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omments1.xml" ContentType="application/vnd.openxmlformats-officedocument.spreadsheetml.comments+xml"/>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3.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omments2.xml" ContentType="application/vnd.openxmlformats-officedocument.spreadsheetml.comments+xml"/>
  <Override PartName="/xl/drawings/drawing4.xml" ContentType="application/vnd.openxmlformats-officedocument.drawing+xml"/>
  <Override PartName="/xl/activeX/activeX9.xml" ContentType="application/vnd.ms-office.activeX+xml"/>
  <Override PartName="/xl/activeX/activeX9.bin" ContentType="application/vnd.ms-office.activeX"/>
  <Override PartName="/xl/comments3.xml" ContentType="application/vnd.openxmlformats-officedocument.spreadsheetml.comments+xml"/>
  <Override PartName="/xl/drawings/drawing5.xml" ContentType="application/vnd.openxmlformats-officedocument.drawing+xml"/>
  <Override PartName="/xl/activeX/activeX10.xml" ContentType="application/vnd.ms-office.activeX+xml"/>
  <Override PartName="/xl/activeX/activeX10.bin" ContentType="application/vnd.ms-office.activeX"/>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My Documents ( Hoang Anh)\2017\Cong ty 2017\BCTC quy 4 -2017\BCTC 2017- CBTT\Chi Giang - Chi Binh\"/>
    </mc:Choice>
  </mc:AlternateContent>
  <bookViews>
    <workbookView xWindow="0" yWindow="0" windowWidth="20490" windowHeight="7650" activeTab="2"/>
  </bookViews>
  <sheets>
    <sheet name="CDKT (2)" sheetId="1" r:id="rId1"/>
    <sheet name="KQKD (3)" sheetId="4" r:id="rId2"/>
    <sheet name="LCGT" sheetId="9" r:id="rId3"/>
    <sheet name="Thuyet_minh" sheetId="5" r:id="rId4"/>
    <sheet name="TM_TSCDHH" sheetId="6" r:id="rId5"/>
    <sheet name="TM_VAY" sheetId="7" r:id="rId6"/>
    <sheet name="TM_VCSH" sheetId="8" r:id="rId7"/>
  </sheets>
  <externalReferences>
    <externalReference r:id="rId8"/>
    <externalReference r:id="rId9"/>
    <externalReference r:id="rId10"/>
    <externalReference r:id="rId11"/>
  </externalReferences>
  <definedNames>
    <definedName name="_xlnm._FilterDatabase" localSheetId="0" hidden="1">'CDKT (2)'!$BW$4:$BW$172</definedName>
    <definedName name="_xlnm._FilterDatabase" localSheetId="2" hidden="1">LCGT!$CK$4:$CK$72</definedName>
    <definedName name="_Order1">255</definedName>
    <definedName name="_Order2">255</definedName>
    <definedName name="AS2DocOpenMode">"AS2DocumentEdit"</definedName>
    <definedName name="BOD_V">[1]Thong_tin!$D$10</definedName>
    <definedName name="CDKT">[1]Tong_hop!$D$9:$AG$369</definedName>
    <definedName name="check_BCTDVCSH">[1]XD_BCKT!$E$20</definedName>
    <definedName name="Chuc_Danh_BGD_E">[1]Thong_tin!$E$25</definedName>
    <definedName name="Chuc_Danh_BGD_V">[1]Thong_tin!$D$25</definedName>
    <definedName name="ChucDanh_DDCTKToan_E">[1]Thong_tin!$E$40</definedName>
    <definedName name="ChucDanh_DDCTKToan_V">[1]Thong_tin!$D$40</definedName>
    <definedName name="ChucDanh_KTT_E">[1]Thong_tin!$E$30</definedName>
    <definedName name="ChucDanh_KTT_V">[1]Thong_tin!$D$30</definedName>
    <definedName name="ChucDanh_NguoiLap_E">[1]Thong_tin!$E$28</definedName>
    <definedName name="ChucDanh_NguoiLap_V">[1]Thong_tin!$D$28</definedName>
    <definedName name="ChucDanh_ThuTruong_E">[1]Thong_tin!$E$32</definedName>
    <definedName name="ChucDanh_ThuTruong_V">[1]Thong_tin!$D$32</definedName>
    <definedName name="ChungChi_DDCTKToan_E">[1]Thong_tin!$E$42</definedName>
    <definedName name="ChungChi_DDCTKToan_V">[1]Thong_tin!$D$42</definedName>
    <definedName name="ChungChi_KTV_E">[1]Thong_tin!$E$44</definedName>
    <definedName name="ChungChi_KTV_V">[1]Thong_tin!$D$44</definedName>
    <definedName name="CPBQ_KN">[1]Thong_tin!$D$61</definedName>
    <definedName name="CPBQ_KT">[1]Thong_tin!$D$62</definedName>
    <definedName name="CPDKPH_KN">[1]LSGTCP!$B$37</definedName>
    <definedName name="CPDKPH_KT">[1]LSGTCP!$C$37</definedName>
    <definedName name="CT_TMinh">[1]TM_ChenhLechCT!$B$9</definedName>
    <definedName name="Data">INDIRECT([1]Du_lieu!$I$1)</definedName>
    <definedName name="Dem_TMCode" localSheetId="2">COUNTA(OFFSET([1]DM!$N$3,0,IF(ISNA(MATCH([1]Dieu_chinh!XFD1,TDe_TMCode,0)),0,MATCH([1]Dieu_chinh!XFD1,TDe_TMCode,0)),50,1))</definedName>
    <definedName name="Dem_TMCode" localSheetId="3">COUNTA(OFFSET([1]DM!$N$3,0,IF(ISNA(MATCH([1]Dieu_chinh!XFD1,TDe_TMCode,0)),0,MATCH([1]Dieu_chinh!XFD1,TDe_TMCode,0)),50,1))</definedName>
    <definedName name="Dem_TMCode" localSheetId="4">COUNTA(OFFSET([1]DM!$N$3,0,IF(ISNA(MATCH([1]Dieu_chinh!XFD1,TDe_TMCode,0)),0,MATCH([1]Dieu_chinh!XFD1,TDe_TMCode,0)),50,1))</definedName>
    <definedName name="Dem_TMCode" localSheetId="5">COUNTA(OFFSET([1]DM!$N$3,0,IF(ISNA(MATCH([1]Dieu_chinh!XFD1,TDe_TMCode,0)),0,MATCH([1]Dieu_chinh!XFD1,TDe_TMCode,0)),50,1))</definedName>
    <definedName name="Dem_TMCode" localSheetId="6">COUNTA(OFFSET([1]DM!$N$3,0,IF(ISNA(MATCH([1]Dieu_chinh!XFD1,TDe_TMCode,0)),0,MATCH([1]Dieu_chinh!XFD1,TDe_TMCode,0)),50,1))</definedName>
    <definedName name="Dem_TMCode">COUNTA(OFFSET([1]DM!$N$3,0,IF(ISNA(MATCH([1]Dieu_chinh!XFD1,TDe_TMCode,0)),0,MATCH([1]Dieu_chinh!XFD1,TDe_TMCode,0)),50,1))</definedName>
    <definedName name="Dia_Chi_Congty_E">[1]Thong_tin!$E$14</definedName>
    <definedName name="Dia_Chi_Congty_V">[1]Thong_tin!$D$14</definedName>
    <definedName name="Dk_1cot">[1]KQKD!$AO$8</definedName>
    <definedName name="DM_ChiTieu">[1]DM!$H$3:$I$137</definedName>
    <definedName name="DM_ChiTieu1">[1]DM!$H$3:$H$137</definedName>
    <definedName name="DM_DonVi">[1]Tong_hop!$F$7:$O$7</definedName>
    <definedName name="DM_KyHieu">[1]DM!$F$3:$F$6</definedName>
    <definedName name="DM_LoaiButToan">[1]DM!$M$3:$M$4</definedName>
    <definedName name="DM_MaTK">OFFSET([1]DM!$D$2,1,0,IF(COUNTA([1]DM!$D$3:$D$1020)=0,1,COUNTA([1]DM!$D$3:$D$1020)),1)</definedName>
    <definedName name="DM_TK">OFFSET([1]Danh_muc!$A$5,1,0,COUNTA([1]Danh_muc!$B$6:$B$565),7)</definedName>
    <definedName name="DM_TK2">OFFSET([1]Danh_muc!$B$5,1,0,COUNTA([1]Danh_muc!$B$6:$B$565),6)</definedName>
    <definedName name="DM_TMCode">[1]Dieu_chinh!$D$11</definedName>
    <definedName name="DM_TMCode_TSCDHH">OFFSET([1]DM!$O$2,1,0,IF(COUNTA([1]DM!$O$3:$O$35)=0,1,COUNTA([1]DM!$D$3:$O$35)),1)</definedName>
    <definedName name="DM_TMCode_TSCDTTC">OFFSET([1]DM!$AA$2,1,0,IF(COUNTA([1]DM!$AA$3:$AA$35)=0,1,COUNTA([1]DM!$AA$3:$AA$35)),1)</definedName>
    <definedName name="DM_TMCode_TSCDVH">OFFSET([1]DM!$AM$2,1,0,IF(COUNTA([1]DM!$AM$3:$AM$35)=0,1,COUNTA([1]DM!$AM$3:$AM$35)),1)</definedName>
    <definedName name="DM_TMCode_VCSH">OFFSET([1]DM!$BA$2,1,0,IF(COUNTA([1]DM!$BA$3:$BA$35)=0,1,COUNTA([1]DM!$BA$3:$BA$35)),1)</definedName>
    <definedName name="DM_YKien">[1]DM!$B$3:$B$4</definedName>
    <definedName name="Don_Vi_Tinh_E">[1]Thong_tin!$E$23</definedName>
    <definedName name="Don_Vi_Tinh_V">[1]Thong_tin!$D$23</definedName>
    <definedName name="End_Page">[1]BCBGD!$AF$20</definedName>
    <definedName name="f_Cap" localSheetId="2">IF(ISBLANK(CT_TMinh),0,IF(CT_TMinh="270",4,IF(CT_TMinh="440",5,IF(RIGHT(CT_TMinh,2)="00",1,IF(RIGHT(CT_TMinh,1)="0",2,3)))))</definedName>
    <definedName name="f_Cap" localSheetId="3">IF(ISBLANK(CT_TMinh),0,IF(CT_TMinh="270",4,IF(CT_TMinh="440",5,IF(RIGHT(CT_TMinh,2)="00",1,IF(RIGHT(CT_TMinh,1)="0",2,3)))))</definedName>
    <definedName name="f_Cap" localSheetId="4">IF(ISBLANK(CT_TMinh),0,IF(CT_TMinh="270",4,IF(CT_TMinh="440",5,IF(RIGHT(CT_TMinh,2)="00",1,IF(RIGHT(CT_TMinh,1)="0",2,3)))))</definedName>
    <definedName name="f_Cap" localSheetId="5">IF(ISBLANK(CT_TMinh),0,IF(CT_TMinh="270",4,IF(CT_TMinh="440",5,IF(RIGHT(CT_TMinh,2)="00",1,IF(RIGHT(CT_TMinh,1)="0",2,3)))))</definedName>
    <definedName name="f_Cap" localSheetId="6">IF(ISBLANK(CT_TMinh),0,IF(CT_TMinh="270",4,IF(CT_TMinh="440",5,IF(RIGHT(CT_TMinh,2)="00",1,IF(RIGHT(CT_TMinh,1)="0",2,3)))))</definedName>
    <definedName name="f_Cap">IF(ISBLANK(CT_TMinh),0,IF(CT_TMinh="270",4,IF(CT_TMinh="440",5,IF(RIGHT(CT_TMinh,2)="00",1,IF(RIGHT(CT_TMinh,1)="0",2,3)))))</definedName>
    <definedName name="fml_CDKT_NN_DcCo" localSheetId="2">SUMIF(NN_CDCo,[1]Tong_hop!$B1,NN_SoDieuChinh)</definedName>
    <definedName name="fml_CDKT_NN_DcCo" localSheetId="3">SUMIF(NN_CDCo,[1]Tong_hop!$B1,NN_SoDieuChinh)</definedName>
    <definedName name="fml_CDKT_NN_DcCo" localSheetId="4">SUMIF(NN_CDCo,[1]Tong_hop!$B1,NN_SoDieuChinh)</definedName>
    <definedName name="fml_CDKT_NN_DcCo" localSheetId="5">SUMIF(NN_CDCo,[1]Tong_hop!$B1,NN_SoDieuChinh)</definedName>
    <definedName name="fml_CDKT_NN_DcCo" localSheetId="6">SUMIF(NN_CDCo,[1]Tong_hop!$B1,NN_SoDieuChinh)</definedName>
    <definedName name="fml_CDKT_NN_DcCo">SUMIF(NN_CDCo,[1]Tong_hop!$B1,NN_SoDieuChinh)</definedName>
    <definedName name="fml_CDKT_NN_DcNo" localSheetId="2">SUMIF(NN_CDNo,[1]Tong_hop!$B1,NN_SoDieuChinh)</definedName>
    <definedName name="fml_CDKT_NN_DcNo" localSheetId="3">SUMIF(NN_CDNo,[1]Tong_hop!$B1,NN_SoDieuChinh)</definedName>
    <definedName name="fml_CDKT_NN_DcNo" localSheetId="4">SUMIF(NN_CDNo,[1]Tong_hop!$B1,NN_SoDieuChinh)</definedName>
    <definedName name="fml_CDKT_NN_DcNo" localSheetId="5">SUMIF(NN_CDNo,[1]Tong_hop!$B1,NN_SoDieuChinh)</definedName>
    <definedName name="fml_CDKT_NN_DcNo" localSheetId="6">SUMIF(NN_CDNo,[1]Tong_hop!$B1,NN_SoDieuChinh)</definedName>
    <definedName name="fml_CDKT_NN_DcNo">SUMIF(NN_CDNo,[1]Tong_hop!$B1,NN_SoDieuChinh)</definedName>
    <definedName name="fml_CDKT_NT_DcCo" localSheetId="2">SUMIF(NT_CDCo,[1]Tong_hop!$B1,NT_SoDieuChinh)</definedName>
    <definedName name="fml_CDKT_NT_DcCo" localSheetId="3">SUMIF(NT_CDCo,[1]Tong_hop!$B1,NT_SoDieuChinh)</definedName>
    <definedName name="fml_CDKT_NT_DcCo" localSheetId="4">SUMIF(NT_CDCo,[1]Tong_hop!$B1,NT_SoDieuChinh)</definedName>
    <definedName name="fml_CDKT_NT_DcCo" localSheetId="5">SUMIF(NT_CDCo,[1]Tong_hop!$B1,NT_SoDieuChinh)</definedName>
    <definedName name="fml_CDKT_NT_DcCo" localSheetId="6">SUMIF(NT_CDCo,[1]Tong_hop!$B1,NT_SoDieuChinh)</definedName>
    <definedName name="fml_CDKT_NT_DcCo">SUMIF(NT_CDCo,[1]Tong_hop!$B1,NT_SoDieuChinh)</definedName>
    <definedName name="fml_CDKT_NT_DcNo" localSheetId="2">SUMIF(NT_CDNo,[1]Tong_hop!$B1,NT_SoDieuChinh)</definedName>
    <definedName name="fml_CDKT_NT_DcNo" localSheetId="3">SUMIF(NT_CDNo,[1]Tong_hop!$B1,NT_SoDieuChinh)</definedName>
    <definedName name="fml_CDKT_NT_DcNo" localSheetId="4">SUMIF(NT_CDNo,[1]Tong_hop!$B1,NT_SoDieuChinh)</definedName>
    <definedName name="fml_CDKT_NT_DcNo" localSheetId="5">SUMIF(NT_CDNo,[1]Tong_hop!$B1,NT_SoDieuChinh)</definedName>
    <definedName name="fml_CDKT_NT_DcNo" localSheetId="6">SUMIF(NT_CDNo,[1]Tong_hop!$B1,NT_SoDieuChinh)</definedName>
    <definedName name="fml_CDKT_NT_DcNo">SUMIF(NT_CDNo,[1]Tong_hop!$B1,NT_SoDieuChinh)</definedName>
    <definedName name="fml_ChuoiDK">IF(ISERROR(FIND("*",[1]CT_LCTT!XFB1&amp;"-"&amp;[1]CT_LCTT!XFC1)),[1]CT_LCTT!XFB1&amp;"-"&amp;[1]CT_LCTT!XFC1,REPLACE([1]CT_LCTT!XFB1&amp;"-"&amp;[1]CT_LCTT!XFC1,FIND("*",[1]CT_LCTT!XFB1&amp;"-"&amp;[1]CT_LCTT!XFC1),1,""))</definedName>
    <definedName name="fml_DoRongCT" localSheetId="2">LEN(CT_TMinh)</definedName>
    <definedName name="fml_DoRongCT" localSheetId="3">LEN(CT_TMinh)</definedName>
    <definedName name="fml_DoRongCT" localSheetId="4">LEN(CT_TMinh)</definedName>
    <definedName name="fml_DoRongCT" localSheetId="5">LEN(CT_TMinh)</definedName>
    <definedName name="fml_DoRongCT" localSheetId="6">LEN(CT_TMinh)</definedName>
    <definedName name="fml_DoRongCT">LEN(CT_TMinh)</definedName>
    <definedName name="fml_KQKD_NN_DcCo" localSheetId="2">SUMIF(NN_KQCo,[1]Tong_hop!$B1,NN_SoDieuChinh)</definedName>
    <definedName name="fml_KQKD_NN_DcCo" localSheetId="3">SUMIF(NN_KQCo,[1]Tong_hop!$B1,NN_SoDieuChinh)</definedName>
    <definedName name="fml_KQKD_NN_DcCo" localSheetId="4">SUMIF(NN_KQCo,[1]Tong_hop!$B1,NN_SoDieuChinh)</definedName>
    <definedName name="fml_KQKD_NN_DcCo" localSheetId="5">SUMIF(NN_KQCo,[1]Tong_hop!$B1,NN_SoDieuChinh)</definedName>
    <definedName name="fml_KQKD_NN_DcCo" localSheetId="6">SUMIF(NN_KQCo,[1]Tong_hop!$B1,NN_SoDieuChinh)</definedName>
    <definedName name="fml_KQKD_NN_DcCo">SUMIF(NN_KQCo,[1]Tong_hop!$B1,NN_SoDieuChinh)</definedName>
    <definedName name="fml_KQKD_NN_DcNo" localSheetId="2">SUMIF(NN_KQNo,[1]Tong_hop!$B1,NN_SoDieuChinh)</definedName>
    <definedName name="fml_KQKD_NN_DcNo" localSheetId="3">SUMIF(NN_KQNo,[1]Tong_hop!$B1,NN_SoDieuChinh)</definedName>
    <definedName name="fml_KQKD_NN_DcNo" localSheetId="4">SUMIF(NN_KQNo,[1]Tong_hop!$B1,NN_SoDieuChinh)</definedName>
    <definedName name="fml_KQKD_NN_DcNo" localSheetId="5">SUMIF(NN_KQNo,[1]Tong_hop!$B1,NN_SoDieuChinh)</definedName>
    <definedName name="fml_KQKD_NN_DcNo" localSheetId="6">SUMIF(NN_KQNo,[1]Tong_hop!$B1,NN_SoDieuChinh)</definedName>
    <definedName name="fml_KQKD_NN_DcNo">SUMIF(NN_KQNo,[1]Tong_hop!$B1,NN_SoDieuChinh)</definedName>
    <definedName name="fml_KQKD_NT_DcCo" localSheetId="2">SUMIF(NT_KQCo,[1]Tong_hop!$B1,NT_SoDieuChinh)</definedName>
    <definedName name="fml_KQKD_NT_DcCo" localSheetId="3">SUMIF(NT_KQCo,[1]Tong_hop!$B1,NT_SoDieuChinh)</definedName>
    <definedName name="fml_KQKD_NT_DcCo" localSheetId="4">SUMIF(NT_KQCo,[1]Tong_hop!$B1,NT_SoDieuChinh)</definedName>
    <definedName name="fml_KQKD_NT_DcCo" localSheetId="5">SUMIF(NT_KQCo,[1]Tong_hop!$B1,NT_SoDieuChinh)</definedName>
    <definedName name="fml_KQKD_NT_DcCo" localSheetId="6">SUMIF(NT_KQCo,[1]Tong_hop!$B1,NT_SoDieuChinh)</definedName>
    <definedName name="fml_KQKD_NT_DcCo">SUMIF(NT_KQCo,[1]Tong_hop!$B1,NT_SoDieuChinh)</definedName>
    <definedName name="fml_KQKD_NT_DcNo" localSheetId="2">SUMIF(NT_KQNo,[1]Tong_hop!$B1,NT_SoDieuChinh)</definedName>
    <definedName name="fml_KQKD_NT_DcNo" localSheetId="3">SUMIF(NT_KQNo,[1]Tong_hop!$B1,NT_SoDieuChinh)</definedName>
    <definedName name="fml_KQKD_NT_DcNo" localSheetId="4">SUMIF(NT_KQNo,[1]Tong_hop!$B1,NT_SoDieuChinh)</definedName>
    <definedName name="fml_KQKD_NT_DcNo" localSheetId="5">SUMIF(NT_KQNo,[1]Tong_hop!$B1,NT_SoDieuChinh)</definedName>
    <definedName name="fml_KQKD_NT_DcNo" localSheetId="6">SUMIF(NT_KQNo,[1]Tong_hop!$B1,NT_SoDieuChinh)</definedName>
    <definedName name="fml_KQKD_NT_DcNo">SUMIF(NT_KQNo,[1]Tong_hop!$B1,NT_SoDieuChinh)</definedName>
    <definedName name="fml_LCGT_KN" localSheetId="2">VLOOKUP(LCGT!$A1,[1]CT_LCGT!$D$6:$G$248,4,0)</definedName>
    <definedName name="fml_LCTT_KT" localSheetId="2">IF(ISBLANK([1]LCTT!$A1),0,VLOOKUP([1]LCTT!$A1,LCTT,MATCH([1]LCTT!$AL$9,subTitle,0),0))</definedName>
    <definedName name="fml_LCTT_KT" localSheetId="3">IF(ISBLANK([1]LCTT!$A1),0,VLOOKUP([1]LCTT!$A1,LCTT,MATCH([1]LCTT!$AL$9,subTitle,0),0))</definedName>
    <definedName name="fml_LCTT_KT" localSheetId="4">IF(ISBLANK([1]LCTT!$A1),0,VLOOKUP([1]LCTT!$A1,LCTT,MATCH([1]LCTT!$AL$9,subTitle,0),0))</definedName>
    <definedName name="fml_LCTT_KT" localSheetId="5">IF(ISBLANK([1]LCTT!$A1),0,VLOOKUP([1]LCTT!$A1,LCTT,MATCH([1]LCTT!$AL$9,subTitle,0),0))</definedName>
    <definedName name="fml_LCTT_KT" localSheetId="6">IF(ISBLANK([1]LCTT!$A1),0,VLOOKUP([1]LCTT!$A1,LCTT,MATCH([1]LCTT!$AL$9,subTitle,0),0))</definedName>
    <definedName name="fml_LCTT_KT">IF(ISBLANK([1]LCTT!$A1),0,VLOOKUP([1]LCTT!$A1,LCTT,MATCH([1]LCTT!$AL$9,subTitle,0),0))</definedName>
    <definedName name="fml_LCTT_NN_DcCo" localSheetId="2" xml:space="preserve"> SUMIF(NN_DCCo,[1]Tong_hop!$B1,NN_SoDieuChinh)</definedName>
    <definedName name="fml_LCTT_NN_DcCo" localSheetId="3" xml:space="preserve"> SUMIF(NN_DCCo,[1]Tong_hop!$B1,NN_SoDieuChinh)</definedName>
    <definedName name="fml_LCTT_NN_DcCo" localSheetId="4" xml:space="preserve"> SUMIF(NN_DCCo,[1]Tong_hop!$B1,NN_SoDieuChinh)</definedName>
    <definedName name="fml_LCTT_NN_DcCo" localSheetId="5" xml:space="preserve"> SUMIF(NN_DCCo,[1]Tong_hop!$B1,NN_SoDieuChinh)</definedName>
    <definedName name="fml_LCTT_NN_DcCo" localSheetId="6" xml:space="preserve"> SUMIF(NN_DCCo,[1]Tong_hop!$B1,NN_SoDieuChinh)</definedName>
    <definedName name="fml_LCTT_NN_DcCo" xml:space="preserve"> SUMIF(NN_DCCo,[1]Tong_hop!$B1,NN_SoDieuChinh)</definedName>
    <definedName name="fml_LCTT_NN_DcNo" localSheetId="2" xml:space="preserve"> SUMIF(NN_DCNo,[1]Tong_hop!$B1,NN_SoDieuChinh)</definedName>
    <definedName name="fml_LCTT_NN_DcNo" localSheetId="3" xml:space="preserve"> SUMIF(NN_DCNo,[1]Tong_hop!$B1,NN_SoDieuChinh)</definedName>
    <definedName name="fml_LCTT_NN_DcNo" localSheetId="4" xml:space="preserve"> SUMIF(NN_DCNo,[1]Tong_hop!$B1,NN_SoDieuChinh)</definedName>
    <definedName name="fml_LCTT_NN_DcNo" localSheetId="5" xml:space="preserve"> SUMIF(NN_DCNo,[1]Tong_hop!$B1,NN_SoDieuChinh)</definedName>
    <definedName name="fml_LCTT_NN_DcNo" localSheetId="6" xml:space="preserve"> SUMIF(NN_DCNo,[1]Tong_hop!$B1,NN_SoDieuChinh)</definedName>
    <definedName name="fml_LCTT_NN_DcNo" xml:space="preserve"> SUMIF(NN_DCNo,[1]Tong_hop!$B1,NN_SoDieuChinh)</definedName>
    <definedName name="fml_LCTT_NT_DcCo" localSheetId="2" xml:space="preserve"> SUMIF(NT_DCCo,[1]Tong_hop!$B1,NT_SoDieuChinh)</definedName>
    <definedName name="fml_LCTT_NT_DcCo" localSheetId="3" xml:space="preserve"> SUMIF(NT_DCCo,[1]Tong_hop!$B1,NT_SoDieuChinh)</definedName>
    <definedName name="fml_LCTT_NT_DcCo" localSheetId="4" xml:space="preserve"> SUMIF(NT_DCCo,[1]Tong_hop!$B1,NT_SoDieuChinh)</definedName>
    <definedName name="fml_LCTT_NT_DcCo" localSheetId="5" xml:space="preserve"> SUMIF(NT_DCCo,[1]Tong_hop!$B1,NT_SoDieuChinh)</definedName>
    <definedName name="fml_LCTT_NT_DcCo" localSheetId="6" xml:space="preserve"> SUMIF(NT_DCCo,[1]Tong_hop!$B1,NT_SoDieuChinh)</definedName>
    <definedName name="fml_LCTT_NT_DcCo" xml:space="preserve"> SUMIF(NT_DCCo,[1]Tong_hop!$B1,NT_SoDieuChinh)</definedName>
    <definedName name="fml_LCTT_NT_DcNo" localSheetId="2" xml:space="preserve"> SUMIF(NT_DCNo,[1]Tong_hop!$B1,NT_SoDieuChinh)</definedName>
    <definedName name="fml_LCTT_NT_DcNo" localSheetId="3" xml:space="preserve"> SUMIF(NT_DCNo,[1]Tong_hop!$B1,NT_SoDieuChinh)</definedName>
    <definedName name="fml_LCTT_NT_DcNo" localSheetId="4" xml:space="preserve"> SUMIF(NT_DCNo,[1]Tong_hop!$B1,NT_SoDieuChinh)</definedName>
    <definedName name="fml_LCTT_NT_DcNo" localSheetId="5" xml:space="preserve"> SUMIF(NT_DCNo,[1]Tong_hop!$B1,NT_SoDieuChinh)</definedName>
    <definedName name="fml_LCTT_NT_DcNo" localSheetId="6" xml:space="preserve"> SUMIF(NT_DCNo,[1]Tong_hop!$B1,NT_SoDieuChinh)</definedName>
    <definedName name="fml_LCTT_NT_DcNo" xml:space="preserve"> SUMIF(NT_DCNo,[1]Tong_hop!$B1,NT_SoDieuChinh)</definedName>
    <definedName name="fml_SaiSotKDC_TK" localSheetId="2">IF(ISBLANK([2]LCBTCP!$C1),0,LCGT!fml_SaiSotKDC_TK1+LCGT!fml_SaiSotKDC_TK2)</definedName>
    <definedName name="fml_SaiSotKDC_TK" localSheetId="3">IF(ISBLANK([2]LCBTCP!$C1),0,Thuyet_minh!fml_SaiSotKDC_TK1+Thuyet_minh!fml_SaiSotKDC_TK2)</definedName>
    <definedName name="fml_SaiSotKDC_TK" localSheetId="4">IF(ISBLANK([2]LCBTCP!$C1),0,TM_TSCDHH!fml_SaiSotKDC_TK1+TM_TSCDHH!fml_SaiSotKDC_TK2)</definedName>
    <definedName name="fml_SaiSotKDC_TK" localSheetId="5">IF(ISBLANK([2]LCBTCP!$C1),0,TM_VAY!fml_SaiSotKDC_TK1+TM_VAY!fml_SaiSotKDC_TK2)</definedName>
    <definedName name="fml_SaiSotKDC_TK" localSheetId="6">IF(ISBLANK([2]LCBTCP!$C1),0,TM_VCSH!fml_SaiSotKDC_TK1+TM_VCSH!fml_SaiSotKDC_TK2)</definedName>
    <definedName name="fml_SaiSotKDC_TK">IF(ISBLANK([2]LCBTCP!$C1),0,[0]!fml_SaiSotKDC_TK1+[0]!fml_SaiSotKDC_TK2)</definedName>
    <definedName name="fml_SaiSotKDC_TK1" localSheetId="2">ABS(SUMPRODUCT(--([0]!NN_YKienKH=[0]!Refuse),--([0]!NN_LoaiButToan="BTDC"),--(LEFT([0]!NN_DCNo,LEN([2]Phan_bo!$C1))=[2]Phan_bo!$C1),[0]!NN_SoDieuChinh))</definedName>
    <definedName name="fml_SaiSotKDC_TK1" localSheetId="3">ABS(SUMPRODUCT(--([0]!NN_YKienKH=[0]!Refuse),--([0]!NN_LoaiButToan="BTDC"),--(LEFT([0]!NN_DCNo,LEN([2]Phan_bo!$C1))=[2]Phan_bo!$C1),[0]!NN_SoDieuChinh))</definedName>
    <definedName name="fml_SaiSotKDC_TK1" localSheetId="4">ABS(SUMPRODUCT(--([0]!NN_YKienKH=[0]!Refuse),--([0]!NN_LoaiButToan="BTDC"),--(LEFT([0]!NN_DCNo,LEN([2]Phan_bo!$C1))=[2]Phan_bo!$C1),[0]!NN_SoDieuChinh))</definedName>
    <definedName name="fml_SaiSotKDC_TK1" localSheetId="5">ABS(SUMPRODUCT(--([0]!NN_YKienKH=[0]!Refuse),--([0]!NN_LoaiButToan="BTDC"),--(LEFT([0]!NN_DCNo,LEN([2]Phan_bo!$C1))=[2]Phan_bo!$C1),[0]!NN_SoDieuChinh))</definedName>
    <definedName name="fml_SaiSotKDC_TK1" localSheetId="6">ABS(SUMPRODUCT(--([0]!NN_YKienKH=[0]!Refuse),--([0]!NN_LoaiButToan="BTDC"),--(LEFT([0]!NN_DCNo,LEN([2]Phan_bo!$C1))=[2]Phan_bo!$C1),[0]!NN_SoDieuChinh))</definedName>
    <definedName name="fml_SaiSotKDC_TK1">ABS(SUMPRODUCT(--([0]!NN_YKienKH=[0]!Refuse),--([0]!NN_LoaiButToan="BTDC"),--(LEFT([0]!NN_DCNo,LEN([2]Phan_bo!$C1))=[2]Phan_bo!$C1),[0]!NN_SoDieuChinh))</definedName>
    <definedName name="fml_SaiSotKDC_TK2" localSheetId="2">ABS(SUMPRODUCT(--([0]!NN_YKienKH=[0]!Refuse),--([0]!NN_LoaiButToan="BTDC"),--(LEFT([0]!NN_DCCo,LEN([2]Phan_bo!$C1))=[2]Phan_bo!$C1),[0]!NN_SoDieuChinh))</definedName>
    <definedName name="fml_SaiSotKDC_TK2" localSheetId="3">ABS(SUMPRODUCT(--([0]!NN_YKienKH=[0]!Refuse),--([0]!NN_LoaiButToan="BTDC"),--(LEFT([0]!NN_DCCo,LEN([2]Phan_bo!$C1))=[2]Phan_bo!$C1),[0]!NN_SoDieuChinh))</definedName>
    <definedName name="fml_SaiSotKDC_TK2" localSheetId="4">ABS(SUMPRODUCT(--([0]!NN_YKienKH=[0]!Refuse),--([0]!NN_LoaiButToan="BTDC"),--(LEFT([0]!NN_DCCo,LEN([2]Phan_bo!$C1))=[2]Phan_bo!$C1),[0]!NN_SoDieuChinh))</definedName>
    <definedName name="fml_SaiSotKDC_TK2" localSheetId="5">ABS(SUMPRODUCT(--([0]!NN_YKienKH=[0]!Refuse),--([0]!NN_LoaiButToan="BTDC"),--(LEFT([0]!NN_DCCo,LEN([2]Phan_bo!$C1))=[2]Phan_bo!$C1),[0]!NN_SoDieuChinh))</definedName>
    <definedName name="fml_SaiSotKDC_TK2" localSheetId="6">ABS(SUMPRODUCT(--([0]!NN_YKienKH=[0]!Refuse),--([0]!NN_LoaiButToan="BTDC"),--(LEFT([0]!NN_DCCo,LEN([2]Phan_bo!$C1))=[2]Phan_bo!$C1),[0]!NN_SoDieuChinh))</definedName>
    <definedName name="fml_SaiSotKDC_TK2">ABS(SUMPRODUCT(--([0]!NN_YKienKH=[0]!Refuse),--([0]!NN_LoaiButToan="BTDC"),--(LEFT([0]!NN_DCCo,LEN([2]Phan_bo!$C1))=[2]Phan_bo!$C1),[0]!NN_SoDieuChinh))</definedName>
    <definedName name="fml_STT" localSheetId="2">SUBTOTAL(103,[1]Thuyet_minh!$B2:$B5)</definedName>
    <definedName name="fml_STT" localSheetId="4">SUBTOTAL(103,[1]Thuyet_minh!$B2:$B5)</definedName>
    <definedName name="fml_STT" localSheetId="5">SUBTOTAL(103,[1]Thuyet_minh!$B2:$B5)</definedName>
    <definedName name="fml_STT" localSheetId="6">SUBTOTAL(103,[1]Thuyet_minh!$B2:$B5)</definedName>
    <definedName name="fml_STT">SUBTOTAL(103,Thuyet_minh!$B2:$B5)</definedName>
    <definedName name="fml_TmChiTieu_CDKT" localSheetId="2">IF(OR(ISNA(VLOOKUP([1]TM_ChenhLechCT!$I1,LCGT!fml_TMChiTieu_CDKT_VungDk,1,0))=FALSE,ISNA(VLOOKUP([1]TM_ChenhLechCT!$J1,LCGT!fml_TMChiTieu_CDKT_VungDk,1,0))=FALSE),1,0)</definedName>
    <definedName name="fml_TmChiTieu_CDKT" localSheetId="3">IF(OR(ISNA(VLOOKUP([1]TM_ChenhLechCT!$I1,Thuyet_minh!fml_TMChiTieu_CDKT_VungDk,1,0))=FALSE,ISNA(VLOOKUP([1]TM_ChenhLechCT!$J1,Thuyet_minh!fml_TMChiTieu_CDKT_VungDk,1,0))=FALSE),1,0)</definedName>
    <definedName name="fml_TmChiTieu_CDKT" localSheetId="4">IF(OR(ISNA(VLOOKUP([1]TM_ChenhLechCT!$I1,TM_TSCDHH!fml_TMChiTieu_CDKT_VungDk,1,0))=FALSE,ISNA(VLOOKUP([1]TM_ChenhLechCT!$J1,TM_TSCDHH!fml_TMChiTieu_CDKT_VungDk,1,0))=FALSE),1,0)</definedName>
    <definedName name="fml_TmChiTieu_CDKT" localSheetId="5">IF(OR(ISNA(VLOOKUP([1]TM_ChenhLechCT!$I1,TM_VAY!fml_TMChiTieu_CDKT_VungDk,1,0))=FALSE,ISNA(VLOOKUP([1]TM_ChenhLechCT!$J1,TM_VAY!fml_TMChiTieu_CDKT_VungDk,1,0))=FALSE),1,0)</definedName>
    <definedName name="fml_TmChiTieu_CDKT" localSheetId="6">IF(OR(ISNA(VLOOKUP([1]TM_ChenhLechCT!$I1,TM_VCSH!fml_TMChiTieu_CDKT_VungDk,1,0))=FALSE,ISNA(VLOOKUP([1]TM_ChenhLechCT!$J1,TM_VCSH!fml_TMChiTieu_CDKT_VungDk,1,0))=FALSE),1,0)</definedName>
    <definedName name="fml_TmChiTieu_CDKT">IF(OR(ISNA(VLOOKUP([1]TM_ChenhLechCT!$I1,fml_TMChiTieu_CDKT_VungDk,1,0))=FALSE,ISNA(VLOOKUP([1]TM_ChenhLechCT!$J1,fml_TMChiTieu_CDKT_VungDk,1,0))=FALSE),1,0)</definedName>
    <definedName name="fml_TmChiTieu_CDKT_DB" localSheetId="2">IF(OR(ISNA(VLOOKUP([1]TM_ChenhLechCT!$F1,LCGT!fml_TMChiTieu_CDKT_VungDkDB,1,0))=FALSE,ISNA(VLOOKUP([1]TM_ChenhLechCT!$G1,LCGT!fml_TMChiTieu_CDKT_VungDkDB,1,0))=FALSE),1,0)</definedName>
    <definedName name="fml_TmChiTieu_CDKT_DB" localSheetId="3">IF(OR(ISNA(VLOOKUP([1]TM_ChenhLechCT!$F1,Thuyet_minh!fml_TMChiTieu_CDKT_VungDkDB,1,0))=FALSE,ISNA(VLOOKUP([1]TM_ChenhLechCT!$G1,Thuyet_minh!fml_TMChiTieu_CDKT_VungDkDB,1,0))=FALSE),1,0)</definedName>
    <definedName name="fml_TmChiTieu_CDKT_DB" localSheetId="4">IF(OR(ISNA(VLOOKUP([1]TM_ChenhLechCT!$F1,TM_TSCDHH!fml_TMChiTieu_CDKT_VungDkDB,1,0))=FALSE,ISNA(VLOOKUP([1]TM_ChenhLechCT!$G1,TM_TSCDHH!fml_TMChiTieu_CDKT_VungDkDB,1,0))=FALSE),1,0)</definedName>
    <definedName name="fml_TmChiTieu_CDKT_DB" localSheetId="5">IF(OR(ISNA(VLOOKUP([1]TM_ChenhLechCT!$F1,TM_VAY!fml_TMChiTieu_CDKT_VungDkDB,1,0))=FALSE,ISNA(VLOOKUP([1]TM_ChenhLechCT!$G1,TM_VAY!fml_TMChiTieu_CDKT_VungDkDB,1,0))=FALSE),1,0)</definedName>
    <definedName name="fml_TmChiTieu_CDKT_DB" localSheetId="6">IF(OR(ISNA(VLOOKUP([1]TM_ChenhLechCT!$F1,TM_VCSH!fml_TMChiTieu_CDKT_VungDkDB,1,0))=FALSE,ISNA(VLOOKUP([1]TM_ChenhLechCT!$G1,TM_VCSH!fml_TMChiTieu_CDKT_VungDkDB,1,0))=FALSE),1,0)</definedName>
    <definedName name="fml_TmChiTieu_CDKT_DB">IF(OR(ISNA(VLOOKUP([1]TM_ChenhLechCT!$F1,fml_TMChiTieu_CDKT_VungDkDB,1,0))=FALSE,ISNA(VLOOKUP([1]TM_ChenhLechCT!$G1,fml_TMChiTieu_CDKT_VungDkDB,1,0))=FALSE),1,0)</definedName>
    <definedName name="fml_TMChiTieu_CDKT_VungDk" localSheetId="2">IF(LCGT!f_Cap=1,IF(LEFT(TongHop_MaChiTieu,LCGT!f_Cap)=LEFT(CT_TMinh,LCGT!f_Cap),TongHop_MaTK,0),IF(LCGT!f_Cap=2,IF(LEFT(TongHop_MaChiTieu,LCGT!f_Cap)=LEFT(CT_TMinh,LCGT!f_Cap),TongHop_MaTK,0),IF(LCGT!f_Cap=3,IF(LEFT(TongHop_MaChiTieu,LCGT!f_Cap)=LEFT(CT_TMinh,LCGT!f_Cap),TongHop_MaTK,0),0)))</definedName>
    <definedName name="fml_TMChiTieu_CDKT_VungDk" localSheetId="3">IF(Thuyet_minh!f_Cap=1,IF(LEFT(TongHop_MaChiTieu,Thuyet_minh!f_Cap)=LEFT(CT_TMinh,Thuyet_minh!f_Cap),TongHop_MaTK,0),IF(Thuyet_minh!f_Cap=2,IF(LEFT(TongHop_MaChiTieu,Thuyet_minh!f_Cap)=LEFT(CT_TMinh,Thuyet_minh!f_Cap),TongHop_MaTK,0),IF(Thuyet_minh!f_Cap=3,IF(LEFT(TongHop_MaChiTieu,Thuyet_minh!f_Cap)=LEFT(CT_TMinh,Thuyet_minh!f_Cap),TongHop_MaTK,0),0)))</definedName>
    <definedName name="fml_TMChiTieu_CDKT_VungDk" localSheetId="4">IF(TM_TSCDHH!f_Cap=1,IF(LEFT(TongHop_MaChiTieu,TM_TSCDHH!f_Cap)=LEFT(CT_TMinh,TM_TSCDHH!f_Cap),TongHop_MaTK,0),IF(TM_TSCDHH!f_Cap=2,IF(LEFT(TongHop_MaChiTieu,TM_TSCDHH!f_Cap)=LEFT(CT_TMinh,TM_TSCDHH!f_Cap),TongHop_MaTK,0),IF(TM_TSCDHH!f_Cap=3,IF(LEFT(TongHop_MaChiTieu,TM_TSCDHH!f_Cap)=LEFT(CT_TMinh,TM_TSCDHH!f_Cap),TongHop_MaTK,0),0)))</definedName>
    <definedName name="fml_TMChiTieu_CDKT_VungDk" localSheetId="5">IF(TM_VAY!f_Cap=1,IF(LEFT(TongHop_MaChiTieu,TM_VAY!f_Cap)=LEFT(CT_TMinh,TM_VAY!f_Cap),TongHop_MaTK,0),IF(TM_VAY!f_Cap=2,IF(LEFT(TongHop_MaChiTieu,TM_VAY!f_Cap)=LEFT(CT_TMinh,TM_VAY!f_Cap),TongHop_MaTK,0),IF(TM_VAY!f_Cap=3,IF(LEFT(TongHop_MaChiTieu,TM_VAY!f_Cap)=LEFT(CT_TMinh,TM_VAY!f_Cap),TongHop_MaTK,0),0)))</definedName>
    <definedName name="fml_TMChiTieu_CDKT_VungDk" localSheetId="6">IF(TM_VCSH!f_Cap=1,IF(LEFT(TongHop_MaChiTieu,TM_VCSH!f_Cap)=LEFT(CT_TMinh,TM_VCSH!f_Cap),TongHop_MaTK,0),IF(TM_VCSH!f_Cap=2,IF(LEFT(TongHop_MaChiTieu,TM_VCSH!f_Cap)=LEFT(CT_TMinh,TM_VCSH!f_Cap),TongHop_MaTK,0),IF(TM_VCSH!f_Cap=3,IF(LEFT(TongHop_MaChiTieu,TM_VCSH!f_Cap)=LEFT(CT_TMinh,TM_VCSH!f_Cap),TongHop_MaTK,0),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 localSheetId="2">IF(LCGT!f_Cap=4,IF(AND(VALUE(LEFT(TongHop_MaChiTieu,3))&gt;100,VALUE(LEFT(TongHop_MaChiTieu,3))&lt;270),TongHop_MaTK,0),IF(LCGT!f_Cap=5,IF(AND(VALUE(LEFT(TongHop_MaChiTieu,3))&gt;300,VALUE(LEFT(TongHop_MaChiTieu,3))&lt;440),TongHop_MaTK,0),0))</definedName>
    <definedName name="fml_TMChiTieu_CDKT_VungDkDB" localSheetId="3">IF(Thuyet_minh!f_Cap=4,IF(AND(VALUE(LEFT(TongHop_MaChiTieu,3))&gt;100,VALUE(LEFT(TongHop_MaChiTieu,3))&lt;270),TongHop_MaTK,0),IF(Thuyet_minh!f_Cap=5,IF(AND(VALUE(LEFT(TongHop_MaChiTieu,3))&gt;300,VALUE(LEFT(TongHop_MaChiTieu,3))&lt;440),TongHop_MaTK,0),0))</definedName>
    <definedName name="fml_TMChiTieu_CDKT_VungDkDB" localSheetId="4">IF(TM_TSCDHH!f_Cap=4,IF(AND(VALUE(LEFT(TongHop_MaChiTieu,3))&gt;100,VALUE(LEFT(TongHop_MaChiTieu,3))&lt;270),TongHop_MaTK,0),IF(TM_TSCDHH!f_Cap=5,IF(AND(VALUE(LEFT(TongHop_MaChiTieu,3))&gt;300,VALUE(LEFT(TongHop_MaChiTieu,3))&lt;440),TongHop_MaTK,0),0))</definedName>
    <definedName name="fml_TMChiTieu_CDKT_VungDkDB" localSheetId="5">IF(TM_VAY!f_Cap=4,IF(AND(VALUE(LEFT(TongHop_MaChiTieu,3))&gt;100,VALUE(LEFT(TongHop_MaChiTieu,3))&lt;270),TongHop_MaTK,0),IF(TM_VAY!f_Cap=5,IF(AND(VALUE(LEFT(TongHop_MaChiTieu,3))&gt;300,VALUE(LEFT(TongHop_MaChiTieu,3))&lt;440),TongHop_MaTK,0),0))</definedName>
    <definedName name="fml_TMChiTieu_CDKT_VungDkDB" localSheetId="6">IF(TM_VCSH!f_Cap=4,IF(AND(VALUE(LEFT(TongHop_MaChiTieu,3))&gt;100,VALUE(LEFT(TongHop_MaChiTieu,3))&lt;270),TongHop_MaTK,0),IF(TM_VCSH!f_Cap=5,IF(AND(VALUE(LEFT(TongHop_MaChiTieu,3))&gt;300,VALUE(LEFT(TongHop_MaChiTieu,3))&lt;440),TongHop_MaTK,0),0))</definedName>
    <definedName name="fml_TMChiTieu_CDKT_VungDkDB">IF(f_Cap=4,IF(AND(VALUE(LEFT(TongHop_MaChiTieu,3))&gt;100,VALUE(LEFT(TongHop_MaChiTieu,3))&lt;270),TongHop_MaTK,0),IF(f_Cap=5,IF(AND(VALUE(LEFT(TongHop_MaChiTieu,3))&gt;300,VALUE(LEFT(TongHop_MaChiTieu,3))&lt;440),TongHop_MaTK,0),0))</definedName>
    <definedName name="fml_TMChiTieu_KQKD" localSheetId="2">IF(OR(LEN([1]TM_ChenhLechCT!$K1)&gt;0,LEN([1]TM_ChenhLechCT!$L1)&gt;0),IF(OR(ISNA(VLOOKUP([1]TM_ChenhLechCT!$K1,IF(LEFT(TongHop_MaChiTieu3,2)=CT_TMinh,TongHop_MaTK3,0),1,0))=FALSE,ISNA(VLOOKUP([1]TM_ChenhLechCT!$L1,IF(LEFT(TongHop_MaChiTieu3,2)=CT_TMinh,TongHop_MaTK3,0),1,0))=FALSE),1,0),0)</definedName>
    <definedName name="fml_TMChiTieu_KQKD" localSheetId="3">IF(OR(LEN([1]TM_ChenhLechCT!$K1)&gt;0,LEN([1]TM_ChenhLechCT!$L1)&gt;0),IF(OR(ISNA(VLOOKUP([1]TM_ChenhLechCT!$K1,IF(LEFT(TongHop_MaChiTieu3,2)=CT_TMinh,TongHop_MaTK3,0),1,0))=FALSE,ISNA(VLOOKUP([1]TM_ChenhLechCT!$L1,IF(LEFT(TongHop_MaChiTieu3,2)=CT_TMinh,TongHop_MaTK3,0),1,0))=FALSE),1,0),0)</definedName>
    <definedName name="fml_TMChiTieu_KQKD" localSheetId="4">IF(OR(LEN([1]TM_ChenhLechCT!$K1)&gt;0,LEN([1]TM_ChenhLechCT!$L1)&gt;0),IF(OR(ISNA(VLOOKUP([1]TM_ChenhLechCT!$K1,IF(LEFT(TongHop_MaChiTieu3,2)=CT_TMinh,TongHop_MaTK3,0),1,0))=FALSE,ISNA(VLOOKUP([1]TM_ChenhLechCT!$L1,IF(LEFT(TongHop_MaChiTieu3,2)=CT_TMinh,TongHop_MaTK3,0),1,0))=FALSE),1,0),0)</definedName>
    <definedName name="fml_TMChiTieu_KQKD" localSheetId="5">IF(OR(LEN([1]TM_ChenhLechCT!$K1)&gt;0,LEN([1]TM_ChenhLechCT!$L1)&gt;0),IF(OR(ISNA(VLOOKUP([1]TM_ChenhLechCT!$K1,IF(LEFT(TongHop_MaChiTieu3,2)=CT_TMinh,TongHop_MaTK3,0),1,0))=FALSE,ISNA(VLOOKUP([1]TM_ChenhLechCT!$L1,IF(LEFT(TongHop_MaChiTieu3,2)=CT_TMinh,TongHop_MaTK3,0),1,0))=FALSE),1,0),0)</definedName>
    <definedName name="fml_TMChiTieu_KQKD" localSheetId="6">IF(OR(LEN([1]TM_ChenhLechCT!$K1)&gt;0,LEN([1]TM_ChenhLechCT!$L1)&gt;0),IF(OR(ISNA(VLOOKUP([1]TM_ChenhLechCT!$K1,IF(LEFT(TongHop_MaChiTieu3,2)=CT_TMinh,TongHop_MaTK3,0),1,0))=FALSE,ISNA(VLOOKUP([1]TM_ChenhLechCT!$L1,IF(LEFT(TongHop_MaChiTieu3,2)=CT_TMinh,TongHop_MaTK3,0),1,0))=FALSE),1,0),0)</definedName>
    <definedName name="fml_TMChiTieu_KQKD">IF(OR(LEN([1]TM_ChenhLechCT!$K1)&gt;0,LEN([1]TM_ChenhLechCT!$L1)&gt;0),IF(OR(ISNA(VLOOKUP([1]TM_ChenhLechCT!$K1,IF(LEFT(TongHop_MaChiTieu3,2)=CT_TMinh,TongHop_MaTK3,0),1,0))=FALSE,ISNA(VLOOKUP([1]TM_ChenhLechCT!$L1,IF(LEFT(TongHop_MaChiTieu3,2)=CT_TMinh,TongHop_MaTK3,0),1,0))=FALSE),1,0),0)</definedName>
    <definedName name="fml2_LCGT_KN" localSheetId="0">IF(ISBLANK([1]LCTT!$A1),0,IF(ISERROR(VLOOKUP([1]LCTT!$A1,CT_LCGT,4,0)),0,VLOOKUP([1]LCTT!$A1,CT_LCGT,4,0)))</definedName>
    <definedName name="fml2_LCGT_KN" localSheetId="2">IF(ISBLANK([1]LCTT!$A1),0,IF(ISERROR(VLOOKUP([1]LCTT!$A1,CT_LCGT,4,0)),0,VLOOKUP([1]LCTT!$A1,CT_LCGT,4,0)))</definedName>
    <definedName name="fml2_LCGT_KN" localSheetId="3">IF(ISBLANK([1]LCTT!$A1),0,IF(ISERROR(VLOOKUP([1]LCTT!$A1,CT_LCGT,4,0)),0,VLOOKUP([1]LCTT!$A1,CT_LCGT,4,0)))</definedName>
    <definedName name="fml2_LCGT_KN" localSheetId="4">IF(ISBLANK([1]LCTT!$A1),0,IF(ISERROR(VLOOKUP([1]LCTT!$A1,CT_LCGT,4,0)),0,VLOOKUP([1]LCTT!$A1,CT_LCGT,4,0)))</definedName>
    <definedName name="fml2_LCGT_KN" localSheetId="5">IF(ISBLANK([1]LCTT!$A1),0,IF(ISERROR(VLOOKUP([1]LCTT!$A1,CT_LCGT,4,0)),0,VLOOKUP([1]LCTT!$A1,CT_LCGT,4,0)))</definedName>
    <definedName name="fml2_LCGT_KN" localSheetId="6">IF(ISBLANK([1]LCTT!$A1),0,IF(ISERROR(VLOOKUP([1]LCTT!$A1,CT_LCGT,4,0)),0,VLOOKUP([1]LCTT!$A1,CT_LCGT,4,0)))</definedName>
    <definedName name="fml2_LCGT_KN">IF(ISBLANK([1]LCTT!$A1),0,IF(ISERROR(VLOOKUP([1]LCTT!$A1,CT_LCGT,4,0)),0,VLOOKUP([1]LCTT!$A1,CT_LCGT,4,0)))</definedName>
    <definedName name="fml2_LCTT_KN" localSheetId="2">IF(ISBLANK(LCGT!$A1),0,VLOOKUP(LCGT!$A1,LCTT,MATCH("6",subTitle,0),0))</definedName>
    <definedName name="fml2_LCTT_KN" localSheetId="3">IF(ISBLANK([1]LCGT!$A1),0,VLOOKUP([1]LCGT!$A1,LCTT,MATCH("6",subTitle,0),0))</definedName>
    <definedName name="fml2_LCTT_KN" localSheetId="4">IF(ISBLANK([1]LCGT!$A1),0,VLOOKUP([1]LCGT!$A1,LCTT,MATCH("6",subTitle,0),0))</definedName>
    <definedName name="fml2_LCTT_KN" localSheetId="5">IF(ISBLANK([1]LCGT!$A1),0,VLOOKUP([1]LCGT!$A1,LCTT,MATCH("6",subTitle,0),0))</definedName>
    <definedName name="fml2_LCTT_KN" localSheetId="6">IF(ISBLANK([1]LCGT!$A1),0,VLOOKUP([1]LCGT!$A1,LCTT,MATCH("6",subTitle,0),0))</definedName>
    <definedName name="fml2_LCTT_KN">IF(ISBLANK([1]LCGT!$A1),0,VLOOKUP([1]LCGT!$A1,LCTT,MATCH("6",subTitle,0),0))</definedName>
    <definedName name="get_LCTT_KN" localSheetId="2">VLOOKUP([1]Tong_hop!XFC1,Nhat_LCTT,7,0)</definedName>
    <definedName name="get_LCTT_KN" localSheetId="3">VLOOKUP([1]Tong_hop!XFC1,Nhat_LCTT,7,0)</definedName>
    <definedName name="get_LCTT_KN" localSheetId="4">VLOOKUP([1]Tong_hop!XFC1,Nhat_LCTT,7,0)</definedName>
    <definedName name="get_LCTT_KN" localSheetId="5">VLOOKUP([1]Tong_hop!XFC1,Nhat_LCTT,7,0)</definedName>
    <definedName name="get_LCTT_KN" localSheetId="6">VLOOKUP([1]Tong_hop!XFC1,Nhat_LCTT,7,0)</definedName>
    <definedName name="get_LCTT_KN">VLOOKUP([1]Tong_hop!XFC1,Nhat_LCTT,7,0)</definedName>
    <definedName name="GiaTriTP_2_CP">[1]Thong_tin!$D$58</definedName>
    <definedName name="GTCL_TSCD_TCHAP">[1]Thong_tin!$D$50</definedName>
    <definedName name="GtriHTK_HoanNhapDP">[1]Thong_tin!$D$49</definedName>
    <definedName name="GtriHTK_TheChap">[1]Thong_tin!$D$48</definedName>
    <definedName name="KHBDSDT" localSheetId="2">[1]Thuyet_minh!$AD$866</definedName>
    <definedName name="KHBDSDT" localSheetId="4">[1]Thuyet_minh!$AD$866</definedName>
    <definedName name="KHBDSDT" localSheetId="5">[1]Thuyet_minh!$AD$866</definedName>
    <definedName name="KHBDSDT" localSheetId="6">[1]Thuyet_minh!$AD$866</definedName>
    <definedName name="KHBDSDT">Thuyet_minh!$AD$866</definedName>
    <definedName name="KHDau">[1]CT_LCTT!$A$1:$A$2</definedName>
    <definedName name="KHTSHH" localSheetId="2">[1]TM_TSCDHH!$P$22</definedName>
    <definedName name="KHTSHH" localSheetId="5">[1]TM_TSCDHH!$P$22</definedName>
    <definedName name="KHTSHH" localSheetId="6">[1]TM_TSCDHH!$P$22</definedName>
    <definedName name="KHTSHH">TM_TSCDHH!$P$22</definedName>
    <definedName name="KHTSTC">[1]TM_TSCDTTC!$P$21</definedName>
    <definedName name="KHTSVH">[1]TM_TSCDVH!$R$22</definedName>
    <definedName name="Kieu_chan_ky">[1]Thong_tin!$D$34</definedName>
    <definedName name="Kinh_Gui_E">[1]Thong_tin!$E$37</definedName>
    <definedName name="Kinh_Gui_V">[1]Thong_tin!$D$37</definedName>
    <definedName name="KN_1111">[1]Tong_hop!$S$14</definedName>
    <definedName name="KN_1112">[1]Tong_hop!$S$15</definedName>
    <definedName name="KN_1113">[1]Tong_hop!$S$16</definedName>
    <definedName name="KN_1121">[1]Tong_hop!$S$17</definedName>
    <definedName name="KN_1122">[1]Tong_hop!$S$18</definedName>
    <definedName name="KN_1123">[1]Tong_hop!$S$19</definedName>
    <definedName name="KN_1131">[1]Tong_hop!$S$20</definedName>
    <definedName name="KN_1132">[1]Tong_hop!$S$21</definedName>
    <definedName name="KN_1281d">[1]Tong_hop!$S$210</definedName>
    <definedName name="KN_1281n">[1]Tong_hop!$S$33</definedName>
    <definedName name="KN_1282d">[1]Tong_hop!$S$211</definedName>
    <definedName name="KN_1282n">[1]Tong_hop!$S$34</definedName>
    <definedName name="KN_1288d">[1]Tong_hop!$S$212</definedName>
    <definedName name="KN_1288n">[1]Tong_hop!$S$35</definedName>
    <definedName name="KN_151">[1]Tong_hop!$S$71</definedName>
    <definedName name="KN_152">[1]Tong_hop!$S$72</definedName>
    <definedName name="KN_1531">[1]Tong_hop!$S$73</definedName>
    <definedName name="KN_1532">[1]Tong_hop!$S$74</definedName>
    <definedName name="KN_1533">[1]Tong_hop!$S$75</definedName>
    <definedName name="KN_1534d">[1]Tong_hop!$S$222</definedName>
    <definedName name="KN_1534n">[1]Tong_hop!$S$76</definedName>
    <definedName name="KN_154d">[1]Tong_hop!$S$197</definedName>
    <definedName name="KN_154n">[1]Tong_hop!$S$77</definedName>
    <definedName name="KN_1551">[1]Tong_hop!$S$78</definedName>
    <definedName name="KN_1557">[1]Tong_hop!$S$79</definedName>
    <definedName name="KN_1561">[1]Tong_hop!$S$80</definedName>
    <definedName name="KN_1562">[1]Tong_hop!$S$81</definedName>
    <definedName name="KN_1567">[1]Tong_hop!$S$82</definedName>
    <definedName name="KN_157">[1]Tong_hop!$S$83</definedName>
    <definedName name="KN_158">[1]Tong_hop!$S$84</definedName>
    <definedName name="KN_2111">[1]Tong_hop!$S$143</definedName>
    <definedName name="KN_2112">[1]Tong_hop!$S$144</definedName>
    <definedName name="KN_2113">[1]Tong_hop!$S$145</definedName>
    <definedName name="KN_2114">[1]Tong_hop!$S$146</definedName>
    <definedName name="KN_2115">[1]Tong_hop!$S$147</definedName>
    <definedName name="KN_2118">[1]Tong_hop!$S$148</definedName>
    <definedName name="KN_21211">[1]Tong_hop!$S$158</definedName>
    <definedName name="KN_21212">[1]Tong_hop!$S$159</definedName>
    <definedName name="KN_21213">[1]Tong_hop!$S$160</definedName>
    <definedName name="KN_21214">[1]Tong_hop!$S$161</definedName>
    <definedName name="KN_21218">[1]Tong_hop!$S$162</definedName>
    <definedName name="KN_2122">[1]Tong_hop!$S$163</definedName>
    <definedName name="KN_2131">[1]Tong_hop!$S$173</definedName>
    <definedName name="KN_2132">[1]Tong_hop!$S$174</definedName>
    <definedName name="KN_2133">[1]Tong_hop!$S$175</definedName>
    <definedName name="KN_2134">[1]Tong_hop!$S$176</definedName>
    <definedName name="KN_2135">[1]Tong_hop!$S$177</definedName>
    <definedName name="KN_2136">[1]Tong_hop!$S$178</definedName>
    <definedName name="KN_2138">[1]Tong_hop!$S$179</definedName>
    <definedName name="KN_21411">[1]Tong_hop!$S$150</definedName>
    <definedName name="KN_21412">[1]Tong_hop!$S$151</definedName>
    <definedName name="KN_21413">[1]Tong_hop!$S$152</definedName>
    <definedName name="KN_21414">[1]Tong_hop!$S$153</definedName>
    <definedName name="KN_21415">[1]Tong_hop!$S$154</definedName>
    <definedName name="KN_21418">[1]Tong_hop!$S$155</definedName>
    <definedName name="KN_214211">[1]Tong_hop!$S$165</definedName>
    <definedName name="KN_214212">[1]Tong_hop!$S$166</definedName>
    <definedName name="KN_214213">[1]Tong_hop!$S$167</definedName>
    <definedName name="KN_214214">[1]Tong_hop!$S$168</definedName>
    <definedName name="KN_214218">[1]Tong_hop!$S$169</definedName>
    <definedName name="KN_21422">[1]Tong_hop!$S$170</definedName>
    <definedName name="KN_21431">[1]Tong_hop!$S$181</definedName>
    <definedName name="KN_21432">[1]Tong_hop!$S$182</definedName>
    <definedName name="KN_21433">[1]Tong_hop!$S$183</definedName>
    <definedName name="KN_21434">[1]Tong_hop!$S$184</definedName>
    <definedName name="KN_21435">[1]Tong_hop!$S$185</definedName>
    <definedName name="KN_21436">[1]Tong_hop!$S$186</definedName>
    <definedName name="KN_21438">[1]Tong_hop!$S$187</definedName>
    <definedName name="KN_2171">[1]Tong_hop!$S$191</definedName>
    <definedName name="KN_2172">[1]Tong_hop!$S$192</definedName>
    <definedName name="KN_2294d1">[1]Tong_hop!$S$198</definedName>
    <definedName name="KN_2294d2">[1]Tong_hop!$S$223</definedName>
    <definedName name="KN_2411">[1]Tong_hop!$S$200</definedName>
    <definedName name="KN_2412">[1]Tong_hop!$S$201</definedName>
    <definedName name="KN_2413">[1]Tong_hop!$S$202</definedName>
    <definedName name="KN_33311a">[1]Tong_hop!$S$95</definedName>
    <definedName name="KN_33311b">[1]Tong_hop!$S$237</definedName>
    <definedName name="KN_33312a">[1]Tong_hop!$S$96</definedName>
    <definedName name="KN_33312b">[1]Tong_hop!$S$238</definedName>
    <definedName name="KN_3332a">[1]Tong_hop!$S$97</definedName>
    <definedName name="KN_3332b">[1]Tong_hop!$S$239</definedName>
    <definedName name="KN_3333a">[1]Tong_hop!$S$98</definedName>
    <definedName name="KN_3333b">[1]Tong_hop!$S$240</definedName>
    <definedName name="KN_3334a">[1]Tong_hop!$S$99</definedName>
    <definedName name="KN_3334b">[1]Tong_hop!$S$241</definedName>
    <definedName name="KN_3335a">[1]Tong_hop!$S$100</definedName>
    <definedName name="KN_3335b">[1]Tong_hop!$S$242</definedName>
    <definedName name="KN_3337a">[1]Tong_hop!$S$102</definedName>
    <definedName name="KN_3337b">[1]Tong_hop!$S$244</definedName>
    <definedName name="KN_33381a">[1]Tong_hop!$S$103</definedName>
    <definedName name="KN_33381b">[1]Tong_hop!$S$245</definedName>
    <definedName name="KN_33382a">[1]Tong_hop!$S$104</definedName>
    <definedName name="KN_33382b">[1]Tong_hop!$S$246</definedName>
    <definedName name="KN_3339a">[1]Tong_hop!$S$105</definedName>
    <definedName name="KN_3339b">[1]Tong_hop!$S$247</definedName>
    <definedName name="KN_3412d">[1]Tong_hop!$S$319</definedName>
    <definedName name="KN_3412n">[1]Tong_hop!$S$277</definedName>
    <definedName name="KN_3521d">[1]Tong_hop!$S$329</definedName>
    <definedName name="KN_3521n">[1]Tong_hop!$S$282</definedName>
    <definedName name="KN_3522d">[1]Tong_hop!$S$330</definedName>
    <definedName name="KN_3522n">[1]Tong_hop!$S$283</definedName>
    <definedName name="KN_3523d">[1]Tong_hop!$S$331</definedName>
    <definedName name="KN_3523n">[1]Tong_hop!$S$284</definedName>
    <definedName name="KN_3524d">[1]Tong_hop!$S$332</definedName>
    <definedName name="KN_3524n">[1]Tong_hop!$S$285</definedName>
    <definedName name="KN_4131">[1]Tong_hop!$S$350</definedName>
    <definedName name="KN_4132">[1]Tong_hop!$S$351</definedName>
    <definedName name="KN_4211">[1]Tong_hop!$S$356</definedName>
    <definedName name="KN_4212">[1]Tong_hop!$S$357</definedName>
    <definedName name="KN_5111">[1]Tong_hop!$S$376</definedName>
    <definedName name="KN_5112">[1]Tong_hop!$S$377</definedName>
    <definedName name="KN_5113">[1]Tong_hop!$S$378</definedName>
    <definedName name="KN_5117">[1]Tong_hop!$S$380</definedName>
    <definedName name="KN_5118">[1]Tong_hop!$S$381</definedName>
    <definedName name="KN_5151">[1]Tong_hop!$S$402</definedName>
    <definedName name="KN_5152">[1]Tong_hop!$S$403</definedName>
    <definedName name="KN_5153">[1]Tong_hop!$S$404</definedName>
    <definedName name="KN_5154">[1]Tong_hop!$S$405</definedName>
    <definedName name="KN_5155">[1]Tong_hop!$S$406</definedName>
    <definedName name="KN_5158">[1]Tong_hop!$S$407</definedName>
    <definedName name="KN_5211">[1]Tong_hop!$S$383</definedName>
    <definedName name="KN_5212">[1]Tong_hop!$S$384</definedName>
    <definedName name="KN_5213">[1]Tong_hop!$S$385</definedName>
    <definedName name="KN_6320">[1]Tong_hop!$S$398</definedName>
    <definedName name="KN_6321">[1]Tong_hop!$S$389</definedName>
    <definedName name="KN_6322">[1]Tong_hop!$S$390</definedName>
    <definedName name="KN_6323">[1]Tong_hop!$S$391</definedName>
    <definedName name="KN_6324">[1]Tong_hop!$S$392</definedName>
    <definedName name="KN_6325">[1]Tong_hop!$S$393</definedName>
    <definedName name="KN_6326">[1]Tong_hop!$S$394</definedName>
    <definedName name="KN_6327">[1]Tong_hop!$S$395</definedName>
    <definedName name="KN_6328">[1]Tong_hop!$S$396</definedName>
    <definedName name="KN_6329">[1]Tong_hop!$S$397</definedName>
    <definedName name="KN_6351">[1]Tong_hop!$S$409</definedName>
    <definedName name="KN_6352">[1]Tong_hop!$S$410</definedName>
    <definedName name="KN_6353">[1]Tong_hop!$S$411</definedName>
    <definedName name="KN_6354">[1]Tong_hop!$S$412</definedName>
    <definedName name="KN_6355">[1]Tong_hop!$S$413</definedName>
    <definedName name="KN_6356">[1]Tong_hop!$S$414</definedName>
    <definedName name="KN_6357">[1]Tong_hop!$S$415</definedName>
    <definedName name="KN_6411">[1]Tong_hop!$S$418</definedName>
    <definedName name="KN_6412">[1]Tong_hop!$S$419</definedName>
    <definedName name="KN_6413">[1]Tong_hop!$S$420</definedName>
    <definedName name="KN_6414">[1]Tong_hop!$S$421</definedName>
    <definedName name="KN_6415">[1]Tong_hop!$S$422</definedName>
    <definedName name="KN_6417">[1]Tong_hop!$S$423</definedName>
    <definedName name="KN_6418">[1]Tong_hop!$S$424</definedName>
    <definedName name="KN_6421">[1]Tong_hop!$S$427</definedName>
    <definedName name="KN_6422">[1]Tong_hop!$S$428</definedName>
    <definedName name="KN_6423">[1]Tong_hop!$S$429</definedName>
    <definedName name="KN_6424">[1]Tong_hop!$S$430</definedName>
    <definedName name="KN_6425">[1]Tong_hop!$S$431</definedName>
    <definedName name="KN_6426">[1]Tong_hop!$S$432</definedName>
    <definedName name="KN_6427">[1]Tong_hop!$S$433</definedName>
    <definedName name="KN_6428">[1]Tong_hop!$S$434</definedName>
    <definedName name="KN_82111">[1]Tong_hop!$S$443</definedName>
    <definedName name="KN_82112">[1]Tong_hop!$S$444</definedName>
    <definedName name="KN_CT01">[1]Tong_hop!$S$375</definedName>
    <definedName name="KN_CT02">[1]Tong_hop!$S$382</definedName>
    <definedName name="KN_CT10">[1]Tong_hop!$S$386</definedName>
    <definedName name="KN_CT100">[1]Tong_hop!$S$10</definedName>
    <definedName name="KN_CT11">[1]Tong_hop!$S$388</definedName>
    <definedName name="KN_CT110">[1]Tong_hop!$S$12</definedName>
    <definedName name="KN_CT112">[1]Tong_hop!$S$22</definedName>
    <definedName name="KN_CT121">[1]Tong_hop!$S$27</definedName>
    <definedName name="KN_CT122">[1]Tong_hop!$S$31</definedName>
    <definedName name="KN_CT123">[1]Tong_hop!$S$32</definedName>
    <definedName name="KN_CT130">[1]Tong_hop!$S$37</definedName>
    <definedName name="KN_CT131">[1]Tong_hop!$S$38</definedName>
    <definedName name="KN_CT132">[1]Tong_hop!$S$39</definedName>
    <definedName name="KN_CT133">[1]Tong_hop!$S$40</definedName>
    <definedName name="KN_CT134">[1]Tong_hop!$S$47</definedName>
    <definedName name="KN_CT135">[1]Tong_hop!$S$48</definedName>
    <definedName name="KN_CT136">[1]Tong_hop!$S$49</definedName>
    <definedName name="KN_CT137">[1]Tong_hop!$S$66</definedName>
    <definedName name="KN_CT139">[1]Tong_hop!$S$67</definedName>
    <definedName name="KN_CT140">[1]Tong_hop!$S$69</definedName>
    <definedName name="KN_CT141">[1]Tong_hop!$S$70</definedName>
    <definedName name="KN_CT149">[1]Tong_hop!$S$85</definedName>
    <definedName name="KN_CT151">[1]Tong_hop!$S$88</definedName>
    <definedName name="KN_CT152">[1]Tong_hop!$S$89</definedName>
    <definedName name="KN_CT153">[1]Tong_hop!$S$94</definedName>
    <definedName name="KN_CT154">[1]Tong_hop!$S$106</definedName>
    <definedName name="KN_CT155">[1]Tong_hop!$S$107</definedName>
    <definedName name="KN_CT200">[1]Tong_hop!$S$109</definedName>
    <definedName name="KN_CT21">[1]Tong_hop!$S$401</definedName>
    <definedName name="KN_CT211">[1]Tong_hop!$S$112</definedName>
    <definedName name="KN_CT212">[1]Tong_hop!$S$113</definedName>
    <definedName name="KN_CT213">[1]Tong_hop!$S$114</definedName>
    <definedName name="KN_CT214">[1]Tong_hop!$S$117</definedName>
    <definedName name="KN_CT215">[1]Tong_hop!$S$124</definedName>
    <definedName name="KN_CT216">[1]Tong_hop!$S$125</definedName>
    <definedName name="KN_CT219">[1]Tong_hop!$S$138</definedName>
    <definedName name="KN_CT22">[1]Tong_hop!$S$408</definedName>
    <definedName name="KN_CT220">[1]Tong_hop!$S$140</definedName>
    <definedName name="KN_CT221">[1]Tong_hop!$S$141</definedName>
    <definedName name="KN_CT222">[1]Tong_hop!$S$142</definedName>
    <definedName name="KN_CT223">[1]Tong_hop!$S$149</definedName>
    <definedName name="KN_CT224">[1]Tong_hop!$S$156</definedName>
    <definedName name="KN_CT225">[1]Tong_hop!$S$157</definedName>
    <definedName name="KN_CT226">[1]Tong_hop!$S$164</definedName>
    <definedName name="KN_CT227">[1]Tong_hop!$S$171</definedName>
    <definedName name="KN_CT228">[1]Tong_hop!$S$172</definedName>
    <definedName name="KN_CT229">[1]Tong_hop!$S$180</definedName>
    <definedName name="KN_CT232">[1]Tong_hop!$S$193</definedName>
    <definedName name="KN_CT241">[1]Tong_hop!$S$196</definedName>
    <definedName name="KN_CT242">[1]Tong_hop!$S$199</definedName>
    <definedName name="KN_CT25">[1]Tong_hop!$S$417</definedName>
    <definedName name="KN_CT251">[1]Tong_hop!$S$205</definedName>
    <definedName name="KN_CT252">[1]Tong_hop!$S$206</definedName>
    <definedName name="KN_CT253">[1]Tong_hop!$S$207</definedName>
    <definedName name="KN_CT254">[1]Tong_hop!$S$208</definedName>
    <definedName name="KN_CT255">[1]Tong_hop!$S$209</definedName>
    <definedName name="KN_CT26">[1]Tong_hop!$S$426</definedName>
    <definedName name="KN_CT261">[1]Tong_hop!$S$215</definedName>
    <definedName name="KN_CT262">[1]Tong_hop!$S$216</definedName>
    <definedName name="KN_CT263">[1]Tong_hop!$S$221</definedName>
    <definedName name="KN_CT268">[1]Tong_hop!$S$224</definedName>
    <definedName name="KN_CT270">[1]Tong_hop!$S$226</definedName>
    <definedName name="KN_CT30">[1]Tong_hop!$S$436</definedName>
    <definedName name="KN_CT300">[1]Tong_hop!$S$231</definedName>
    <definedName name="KN_CT31">[1]Tong_hop!$S$438</definedName>
    <definedName name="KN_CT310">[1]Tong_hop!$S$233</definedName>
    <definedName name="KN_CT311">[1]Tong_hop!$S$234</definedName>
    <definedName name="KN_CT312">[1]Tong_hop!$S$235</definedName>
    <definedName name="KN_CT313">[1]Tong_hop!$S$236</definedName>
    <definedName name="KN_CT314">[1]Tong_hop!$S$248</definedName>
    <definedName name="KN_CT315">[1]Tong_hop!$S$251</definedName>
    <definedName name="KN_CT316">[1]Tong_hop!$S$252</definedName>
    <definedName name="KN_CT317">[1]Tong_hop!$S$259</definedName>
    <definedName name="KN_CT318">[1]Tong_hop!$S$260</definedName>
    <definedName name="KN_CT319">[1]Tong_hop!$S$261</definedName>
    <definedName name="KN_CT32">[1]Tong_hop!$S$439</definedName>
    <definedName name="KN_CT320">[1]Tong_hop!$S$275</definedName>
    <definedName name="KN_CT321">[1]Tong_hop!$S$281</definedName>
    <definedName name="KN_CT323">[1]Tong_hop!$S$291</definedName>
    <definedName name="KN_CT324">[1]Tong_hop!$S$292</definedName>
    <definedName name="KN_CT330">[1]Tong_hop!$S$294</definedName>
    <definedName name="KN_CT331">[1]Tong_hop!$S$295</definedName>
    <definedName name="KN_CT332">[1]Tong_hop!$S$296</definedName>
    <definedName name="KN_CT333">[1]Tong_hop!$S$297</definedName>
    <definedName name="KN_CT334">[1]Tong_hop!$S$298</definedName>
    <definedName name="KN_CT335">[1]Tong_hop!$S$301</definedName>
    <definedName name="KN_CT336">[1]Tong_hop!$S$308</definedName>
    <definedName name="KN_CT337">[1]Tong_hop!$S$309</definedName>
    <definedName name="KN_CT338">[1]Tong_hop!$S$317</definedName>
    <definedName name="KN_CT339">[1]Tong_hop!$S$323</definedName>
    <definedName name="KN_CT340">[1]Tong_hop!$S$324</definedName>
    <definedName name="KN_CT341">[1]Tong_hop!$S$325</definedName>
    <definedName name="KN_CT342">[1]Tong_hop!$S$328</definedName>
    <definedName name="KN_CT343">[1]Tong_hop!$S$333</definedName>
    <definedName name="KN_CT400">[1]Tong_hop!$S$337</definedName>
    <definedName name="KN_CT410">[1]Tong_hop!$S$339</definedName>
    <definedName name="KN_CT411">[1]Tong_hop!$S$340</definedName>
    <definedName name="KN_CT412">[1]Tong_hop!$S$344</definedName>
    <definedName name="KN_CT413">[1]Tong_hop!$S$345</definedName>
    <definedName name="KN_CT414">[1]Tong_hop!$S$346</definedName>
    <definedName name="KN_CT415">[1]Tong_hop!$S$347</definedName>
    <definedName name="KN_CT416">[1]Tong_hop!$S$348</definedName>
    <definedName name="KN_CT417">[1]Tong_hop!$S$349</definedName>
    <definedName name="KN_CT418">[1]Tong_hop!$S$352</definedName>
    <definedName name="KN_CT419">[1]Tong_hop!$S$353</definedName>
    <definedName name="KN_CT420">[1]Tong_hop!$S$354</definedName>
    <definedName name="KN_CT422">[1]Tong_hop!$S$358</definedName>
    <definedName name="KN_CT431">[1]Tong_hop!$S$361</definedName>
    <definedName name="KN_CT440">[1]Tong_hop!$S$368</definedName>
    <definedName name="KN_CT50">[1]Tong_hop!$S$441</definedName>
    <definedName name="KN_CT52">[1]Tong_hop!$S$445</definedName>
    <definedName name="KN_CT60">[1]Tong_hop!$S$451</definedName>
    <definedName name="KN_CTLC01">[1]Tong_hop!$S$462</definedName>
    <definedName name="KN_CTLC02">[1]Tong_hop!$S$463</definedName>
    <definedName name="KN_CTLC03">[1]Tong_hop!$S$464</definedName>
    <definedName name="KN_CTLC04">[1]Tong_hop!$S$465</definedName>
    <definedName name="KN_CTLC05">[1]Tong_hop!$S$466</definedName>
    <definedName name="KN_CTLC06">[1]Tong_hop!$S$467</definedName>
    <definedName name="KN_CTLC07">[1]Tong_hop!$S$468</definedName>
    <definedName name="KN_CTLC21">[1]Tong_hop!$S$472</definedName>
    <definedName name="KN_CTLC22">[1]Tong_hop!$S$473</definedName>
    <definedName name="KN_CTLC23">[1]Tong_hop!$S$474</definedName>
    <definedName name="KN_CTLC24">[1]Tong_hop!$S$475</definedName>
    <definedName name="KN_CTLC25">[1]Tong_hop!$S$476</definedName>
    <definedName name="KN_CTLC26">[1]Tong_hop!$S$477</definedName>
    <definedName name="KN_CTLC27">[1]Tong_hop!$S$478</definedName>
    <definedName name="KN_CTLC31">[1]Tong_hop!$S$482</definedName>
    <definedName name="KN_CTLC32">[1]Tong_hop!$S$483</definedName>
    <definedName name="KN_CTLC33">[1]Tong_hop!$S$484</definedName>
    <definedName name="KN_CTLC34">[1]Tong_hop!$S$485</definedName>
    <definedName name="KN_CTLC35">[1]Tong_hop!$S$486</definedName>
    <definedName name="KN_CTLC36">[1]Tong_hop!$S$487</definedName>
    <definedName name="KN_CTLC61">[1]Tong_hop!$S$493</definedName>
    <definedName name="KQKD">[1]Tong_hop!$D$374:$AG$454</definedName>
    <definedName name="KT_1111">[1]Tong_hop!$AG$14</definedName>
    <definedName name="KT_1112">[1]Tong_hop!$AG$15</definedName>
    <definedName name="KT_1113">[1]Tong_hop!$AG$16</definedName>
    <definedName name="KT_1121">[1]Tong_hop!$AG$17</definedName>
    <definedName name="KT_1122">[1]Tong_hop!$AG$18</definedName>
    <definedName name="KT_1123">[1]Tong_hop!$AG$19</definedName>
    <definedName name="KT_1131">[1]Tong_hop!$AG$20</definedName>
    <definedName name="KT_1132">[1]Tong_hop!$AG$21</definedName>
    <definedName name="KT_1281d">[1]Tong_hop!$AG$210</definedName>
    <definedName name="KT_1281n">[1]Tong_hop!$AG$33</definedName>
    <definedName name="KT_1282d">[1]Tong_hop!$AG$211</definedName>
    <definedName name="KT_1282n">[1]Tong_hop!$AG$34</definedName>
    <definedName name="KT_1288d">[1]Tong_hop!$AG$212</definedName>
    <definedName name="KT_1288n">[1]Tong_hop!$AG$35</definedName>
    <definedName name="KT_151">[1]Tong_hop!$AG$71</definedName>
    <definedName name="KT_152">[1]Tong_hop!$AG$72</definedName>
    <definedName name="KT_1531">[1]Tong_hop!$AG$73</definedName>
    <definedName name="KT_1532">[1]Tong_hop!$AG$74</definedName>
    <definedName name="KT_1533">[1]Tong_hop!$AG$75</definedName>
    <definedName name="KT_1534d">[1]Tong_hop!$AG$222</definedName>
    <definedName name="KT_1534n">[1]Tong_hop!$AG$76</definedName>
    <definedName name="KT_154d">[1]Tong_hop!$AG$197</definedName>
    <definedName name="KT_154n">[1]Tong_hop!$AG$77</definedName>
    <definedName name="KT_1551">[1]Tong_hop!$AG$78</definedName>
    <definedName name="KT_1557">[1]Tong_hop!$AG$79</definedName>
    <definedName name="KT_1561">[1]Tong_hop!$AG$80</definedName>
    <definedName name="KT_1562">[1]Tong_hop!$AG$81</definedName>
    <definedName name="KT_1567">[1]Tong_hop!$AG$82</definedName>
    <definedName name="KT_157">[1]Tong_hop!$AG$83</definedName>
    <definedName name="KT_158">[1]Tong_hop!$AG$84</definedName>
    <definedName name="KT_2111">[1]Tong_hop!$AG$143</definedName>
    <definedName name="KT_2112">[1]Tong_hop!$AG$144</definedName>
    <definedName name="KT_2113">[1]Tong_hop!$AG$145</definedName>
    <definedName name="KT_2114">[1]Tong_hop!$AG$146</definedName>
    <definedName name="KT_2115">[1]Tong_hop!$AG$147</definedName>
    <definedName name="KT_2118">[1]Tong_hop!$AG$148</definedName>
    <definedName name="KT_21211">[1]Tong_hop!$AG$158</definedName>
    <definedName name="KT_21212">[1]Tong_hop!$AG$159</definedName>
    <definedName name="KT_21213">[1]Tong_hop!$AG$160</definedName>
    <definedName name="KT_21214">[1]Tong_hop!$AG$161</definedName>
    <definedName name="KT_21218">[1]Tong_hop!$AG$162</definedName>
    <definedName name="KT_2122">[1]Tong_hop!$AG$163</definedName>
    <definedName name="KT_2131">[1]Tong_hop!$AG$173</definedName>
    <definedName name="KT_2132">[1]Tong_hop!$AG$174</definedName>
    <definedName name="KT_2133">[1]Tong_hop!$AG$175</definedName>
    <definedName name="KT_2134">[1]Tong_hop!$AG$176</definedName>
    <definedName name="KT_2135">[1]Tong_hop!$AG$177</definedName>
    <definedName name="KT_2136">[1]Tong_hop!$AG$178</definedName>
    <definedName name="KT_2138">[1]Tong_hop!$AG$179</definedName>
    <definedName name="KT_21411">[1]Tong_hop!$AG$150</definedName>
    <definedName name="KT_21412">[1]Tong_hop!$AG$151</definedName>
    <definedName name="KT_21413">[1]Tong_hop!$AG$152</definedName>
    <definedName name="KT_21414">[1]Tong_hop!$AG$153</definedName>
    <definedName name="KT_21415">[1]Tong_hop!$AG$154</definedName>
    <definedName name="KT_21418">[1]Tong_hop!$AG$155</definedName>
    <definedName name="KT_214211">[1]Tong_hop!$AG$165</definedName>
    <definedName name="KT_214212">[1]Tong_hop!$AG$166</definedName>
    <definedName name="KT_214213">[1]Tong_hop!$AG$167</definedName>
    <definedName name="KT_214214">[1]Tong_hop!$AG$168</definedName>
    <definedName name="KT_214218">[1]Tong_hop!$AG$169</definedName>
    <definedName name="KT_21422">[1]Tong_hop!$AG$170</definedName>
    <definedName name="KT_21431">[1]Tong_hop!$AG$181</definedName>
    <definedName name="KT_21432">[1]Tong_hop!$AG$182</definedName>
    <definedName name="KT_21433">[1]Tong_hop!$AG$183</definedName>
    <definedName name="KT_21434">[1]Tong_hop!$AG$184</definedName>
    <definedName name="KT_21435">[1]Tong_hop!$AG$185</definedName>
    <definedName name="KT_21436">[1]Tong_hop!$AG$186</definedName>
    <definedName name="KT_21438">[1]Tong_hop!$AG$187</definedName>
    <definedName name="KT_2171">[1]Tong_hop!$AG$191</definedName>
    <definedName name="KT_2172">[1]Tong_hop!$AG$192</definedName>
    <definedName name="KT_2294d1">[1]Tong_hop!$AG$198</definedName>
    <definedName name="KT_2294d2">[1]Tong_hop!$AG$223</definedName>
    <definedName name="KT_2411">[1]Tong_hop!$AG$200</definedName>
    <definedName name="KT_2412">[1]Tong_hop!$AG$201</definedName>
    <definedName name="KT_2413">[1]Tong_hop!$AG$202</definedName>
    <definedName name="KT_33311a">[1]Tong_hop!$AG$95</definedName>
    <definedName name="KT_33311b">[1]Tong_hop!$AG$237</definedName>
    <definedName name="KT_33312a">[1]Tong_hop!$AG$96</definedName>
    <definedName name="KT_33312b">[1]Tong_hop!$AG$238</definedName>
    <definedName name="KT_3332a">[1]Tong_hop!$AG$97</definedName>
    <definedName name="KT_3332b">[1]Tong_hop!$AG$239</definedName>
    <definedName name="KT_3333a">[1]Tong_hop!$AG$98</definedName>
    <definedName name="KT_3333b">[1]Tong_hop!$AG$240</definedName>
    <definedName name="KT_3334a">[1]Tong_hop!$AG$99</definedName>
    <definedName name="KT_3334b">[1]Tong_hop!$AG$241</definedName>
    <definedName name="KT_3335a">[1]Tong_hop!$AG$100</definedName>
    <definedName name="KT_3335b">[1]Tong_hop!$AG$242</definedName>
    <definedName name="KT_3336a">[1]Tong_hop!$AG$101</definedName>
    <definedName name="KT_3336b">[1]Tong_hop!$AG$243</definedName>
    <definedName name="KT_3337a">[1]Tong_hop!$AG$102</definedName>
    <definedName name="KT_3337b">[1]Tong_hop!$AG$244</definedName>
    <definedName name="KT_33381a">[1]Tong_hop!$AG$103</definedName>
    <definedName name="KT_33381b">[1]Tong_hop!$AG$245</definedName>
    <definedName name="KT_33382a">[1]Tong_hop!$AG$104</definedName>
    <definedName name="KT_33382b">[1]Tong_hop!$AG$246</definedName>
    <definedName name="KT_3339a">[1]Tong_hop!$AG$105</definedName>
    <definedName name="KT_3339b">[1]Tong_hop!$AG$247</definedName>
    <definedName name="KT_3412d">[1]Tong_hop!$AG$319</definedName>
    <definedName name="KT_3412n">[1]Tong_hop!$AG$277</definedName>
    <definedName name="KT_3521d">[1]Tong_hop!$AG$329</definedName>
    <definedName name="KT_3521n">[1]Tong_hop!$AG$282</definedName>
    <definedName name="KT_3522d">[1]Tong_hop!$AG$330</definedName>
    <definedName name="KT_3522n">[1]Tong_hop!$AG$283</definedName>
    <definedName name="KT_3523d">[1]Tong_hop!$AG$331</definedName>
    <definedName name="KT_3523n">[1]Tong_hop!$AG$284</definedName>
    <definedName name="KT_3524d">[1]Tong_hop!$AG$332</definedName>
    <definedName name="KT_3524n">[1]Tong_hop!$AG$285</definedName>
    <definedName name="KT_4131">[1]Tong_hop!$AG$350</definedName>
    <definedName name="KT_4132">[1]Tong_hop!$AG$351</definedName>
    <definedName name="KT_4211">[1]Tong_hop!$AG$356</definedName>
    <definedName name="KT_4212">[1]Tong_hop!$AG$357</definedName>
    <definedName name="KT_5111">[1]Tong_hop!$AG$376</definedName>
    <definedName name="KT_5112">[1]Tong_hop!$AG$377</definedName>
    <definedName name="KT_5113">[1]Tong_hop!$AG$378</definedName>
    <definedName name="KT_5117">[1]Tong_hop!$AG$380</definedName>
    <definedName name="KT_5118">[1]Tong_hop!$AG$381</definedName>
    <definedName name="KT_5151">[1]Tong_hop!$AG$402</definedName>
    <definedName name="KT_5152">[1]Tong_hop!$AG$403</definedName>
    <definedName name="KT_5153">[1]Tong_hop!$AG$404</definedName>
    <definedName name="KT_5154">[1]Tong_hop!$AG$405</definedName>
    <definedName name="KT_5155">[1]Tong_hop!$AG$406</definedName>
    <definedName name="KT_5158">[1]Tong_hop!$AG$407</definedName>
    <definedName name="KT_5211">[1]Tong_hop!$AG$383</definedName>
    <definedName name="KT_5212">[1]Tong_hop!$AG$384</definedName>
    <definedName name="KT_5213">[1]Tong_hop!$AG$385</definedName>
    <definedName name="KT_6320">[1]Tong_hop!$AG$398</definedName>
    <definedName name="KT_6321">[1]Tong_hop!$AG$389</definedName>
    <definedName name="KT_6322">[1]Tong_hop!$AG$390</definedName>
    <definedName name="KT_6323">[1]Tong_hop!$AG$391</definedName>
    <definedName name="KT_6324">[1]Tong_hop!$AG$392</definedName>
    <definedName name="KT_6325">[1]Tong_hop!$AG$393</definedName>
    <definedName name="KT_6326">[1]Tong_hop!$AG$394</definedName>
    <definedName name="KT_6327">[1]Tong_hop!$AG$395</definedName>
    <definedName name="KT_6328">[1]Tong_hop!$AG$396</definedName>
    <definedName name="KT_6329">[1]Tong_hop!$AG$397</definedName>
    <definedName name="KT_6351">[1]Tong_hop!$AG$409</definedName>
    <definedName name="KT_6352">[1]Tong_hop!$AG$410</definedName>
    <definedName name="KT_6353">[1]Tong_hop!$AG$411</definedName>
    <definedName name="KT_6354">[1]Tong_hop!$AG$412</definedName>
    <definedName name="KT_6355">[1]Tong_hop!$AG$413</definedName>
    <definedName name="KT_6356">[1]Tong_hop!$AG$414</definedName>
    <definedName name="KT_6357">[1]Tong_hop!$AG$415</definedName>
    <definedName name="KT_6411">[1]Tong_hop!$AG$418</definedName>
    <definedName name="KT_6412">[1]Tong_hop!$AG$419</definedName>
    <definedName name="KT_6413">[1]Tong_hop!$AG$420</definedName>
    <definedName name="KT_6414">[1]Tong_hop!$AG$421</definedName>
    <definedName name="KT_6417">[1]Tong_hop!$AG$423</definedName>
    <definedName name="KT_6418">[1]Tong_hop!$AG$424</definedName>
    <definedName name="KT_6421">[1]Tong_hop!$AG$427</definedName>
    <definedName name="KT_6422">[1]Tong_hop!$AG$428</definedName>
    <definedName name="KT_6423">[1]Tong_hop!$AG$429</definedName>
    <definedName name="KT_6424">[1]Tong_hop!$AG$430</definedName>
    <definedName name="KT_6425">[1]Tong_hop!$AG$431</definedName>
    <definedName name="KT_6426">[1]Tong_hop!$AG$432</definedName>
    <definedName name="KT_6427">[1]Tong_hop!$AG$433</definedName>
    <definedName name="KT_6428">[1]Tong_hop!$AG$434</definedName>
    <definedName name="KT_82111">[1]Tong_hop!$AG$443</definedName>
    <definedName name="KT_82112">[1]Tong_hop!$AG$444</definedName>
    <definedName name="KT_CT01">[1]Tong_hop!$AG$375</definedName>
    <definedName name="KT_CT02">[1]Tong_hop!$AG$382</definedName>
    <definedName name="KT_CT10">[1]Tong_hop!$AG$386</definedName>
    <definedName name="KT_CT100">[1]Tong_hop!$AG$10</definedName>
    <definedName name="KT_CT11">[1]Tong_hop!$AG$388</definedName>
    <definedName name="KT_CT110">[1]Tong_hop!$AG$12</definedName>
    <definedName name="KT_CT112">[1]Tong_hop!$AG$22</definedName>
    <definedName name="KT_CT121">[1]Tong_hop!$AG$27</definedName>
    <definedName name="KT_CT122">[1]Tong_hop!$AG$31</definedName>
    <definedName name="KT_CT123">[1]Tong_hop!$AG$32</definedName>
    <definedName name="KT_CT130">[1]Tong_hop!$AG$37</definedName>
    <definedName name="KT_CT131">[1]Tong_hop!$AG$38</definedName>
    <definedName name="KT_CT132">[1]Tong_hop!$AG$39</definedName>
    <definedName name="KT_CT133">[1]Tong_hop!$AG$40</definedName>
    <definedName name="KT_CT134">[1]Tong_hop!$AG$47</definedName>
    <definedName name="KT_CT135">[1]Tong_hop!$AG$48</definedName>
    <definedName name="KT_CT136">[1]Tong_hop!$AG$49</definedName>
    <definedName name="KT_CT137">[1]Tong_hop!$AG$66</definedName>
    <definedName name="KT_CT139">[1]Tong_hop!$AG$67</definedName>
    <definedName name="KT_CT140">[1]Tong_hop!$AG$69</definedName>
    <definedName name="KT_CT141">[1]Tong_hop!$AG$70</definedName>
    <definedName name="KT_CT149">[1]Tong_hop!$AG$85</definedName>
    <definedName name="KT_CT151">[1]Tong_hop!$AG$88</definedName>
    <definedName name="KT_CT152">[1]Tong_hop!$AG$89</definedName>
    <definedName name="KT_CT153">[1]Tong_hop!$AG$94</definedName>
    <definedName name="KT_CT154">[1]Tong_hop!$AG$106</definedName>
    <definedName name="KT_CT155">[1]Tong_hop!$AG$107</definedName>
    <definedName name="KT_CT200">[1]Tong_hop!$AG$109</definedName>
    <definedName name="KT_CT21">[1]Tong_hop!$AG$401</definedName>
    <definedName name="KT_CT211">[1]Tong_hop!$AG$112</definedName>
    <definedName name="KT_CT212">[1]Tong_hop!$AG$113</definedName>
    <definedName name="KT_CT213">[1]Tong_hop!$AG$114</definedName>
    <definedName name="KT_CT214">[1]Tong_hop!$AG$117</definedName>
    <definedName name="KT_CT215">[1]Tong_hop!$AG$124</definedName>
    <definedName name="KT_CT216">[1]Tong_hop!$AG$125</definedName>
    <definedName name="KT_CT219">[1]Tong_hop!$AG$138</definedName>
    <definedName name="KT_CT22">[1]Tong_hop!$AG$408</definedName>
    <definedName name="KT_CT220">[1]Tong_hop!$AG$140</definedName>
    <definedName name="KT_CT221">[1]Tong_hop!$AG$141</definedName>
    <definedName name="KT_CT222">[1]Tong_hop!$AG$142</definedName>
    <definedName name="KT_CT223">[1]Tong_hop!$AG$149</definedName>
    <definedName name="KT_CT224">[1]Tong_hop!$AG$156</definedName>
    <definedName name="KT_CT225">[1]Tong_hop!$AG$157</definedName>
    <definedName name="KT_CT226">[1]Tong_hop!$AG$164</definedName>
    <definedName name="KT_CT227">[1]Tong_hop!$AG$171</definedName>
    <definedName name="KT_CT228">[1]Tong_hop!$AG$172</definedName>
    <definedName name="KT_CT229">[1]Tong_hop!$AG$180</definedName>
    <definedName name="KT_CT232">[1]Tong_hop!$AG$193</definedName>
    <definedName name="KT_CT241">[1]Tong_hop!$AG$196</definedName>
    <definedName name="KT_CT242">[1]Tong_hop!$AG$199</definedName>
    <definedName name="KT_CT25">[1]Tong_hop!$AG$417</definedName>
    <definedName name="KT_CT251">[1]Tong_hop!$AG$205</definedName>
    <definedName name="KT_CT252">[1]Tong_hop!$AG$206</definedName>
    <definedName name="KT_CT253">[1]Tong_hop!$AG$207</definedName>
    <definedName name="KT_CT254">[1]Tong_hop!$AG$208</definedName>
    <definedName name="KT_CT255">[1]Tong_hop!$AG$209</definedName>
    <definedName name="KT_CT26">[1]Tong_hop!$AG$426</definedName>
    <definedName name="KT_CT261">[1]Tong_hop!$AG$215</definedName>
    <definedName name="KT_CT262">[1]Tong_hop!$AG$216</definedName>
    <definedName name="KT_CT263">[1]Tong_hop!$AG$221</definedName>
    <definedName name="KT_CT268">[1]Tong_hop!$AG$224</definedName>
    <definedName name="KT_CT270">[1]Tong_hop!$AG$226</definedName>
    <definedName name="KT_CT30">[1]Tong_hop!$AG$436</definedName>
    <definedName name="KT_CT300">[1]Tong_hop!$AG$231</definedName>
    <definedName name="KT_CT31">[1]Tong_hop!$AG$438</definedName>
    <definedName name="KT_CT310">[1]Tong_hop!$AG$233</definedName>
    <definedName name="KT_CT311">[1]Tong_hop!$AG$234</definedName>
    <definedName name="KT_CT312">[1]Tong_hop!$AG$235</definedName>
    <definedName name="KT_CT313">[1]Tong_hop!$AG$236</definedName>
    <definedName name="KT_CT314">[1]Tong_hop!$AG$248</definedName>
    <definedName name="KT_CT315">[1]Tong_hop!$AG$251</definedName>
    <definedName name="KT_CT316">[1]Tong_hop!$AG$252</definedName>
    <definedName name="KT_CT317">[1]Tong_hop!$AG$259</definedName>
    <definedName name="KT_CT318">[1]Tong_hop!$AG$260</definedName>
    <definedName name="KT_CT319">[1]Tong_hop!$AG$261</definedName>
    <definedName name="KT_CT32">[1]Tong_hop!$AG$439</definedName>
    <definedName name="KT_CT320">[1]Tong_hop!$AG$275</definedName>
    <definedName name="KT_CT321">[1]Tong_hop!$AG$281</definedName>
    <definedName name="KT_CT323">[1]Tong_hop!$AG$291</definedName>
    <definedName name="KT_CT324">[1]Tong_hop!$AG$292</definedName>
    <definedName name="KT_CT330">[1]Tong_hop!$AG$294</definedName>
    <definedName name="KT_CT331">[1]Tong_hop!$AG$295</definedName>
    <definedName name="KT_CT332">[1]Tong_hop!$AG$296</definedName>
    <definedName name="KT_CT333">[1]Tong_hop!$AG$297</definedName>
    <definedName name="KT_CT334">[1]Tong_hop!$AG$298</definedName>
    <definedName name="KT_CT335">[1]Tong_hop!$AG$301</definedName>
    <definedName name="KT_CT336">[1]Tong_hop!$AG$308</definedName>
    <definedName name="KT_CT337">[1]Tong_hop!$AG$309</definedName>
    <definedName name="KT_CT338">[1]Tong_hop!$AG$317</definedName>
    <definedName name="KT_CT339">[1]Tong_hop!$AG$323</definedName>
    <definedName name="KT_CT340">[1]Tong_hop!$AG$324</definedName>
    <definedName name="KT_CT341">[1]Tong_hop!$AG$325</definedName>
    <definedName name="KT_CT342">[1]Tong_hop!$AG$328</definedName>
    <definedName name="KT_CT343">[1]Tong_hop!$AG$333</definedName>
    <definedName name="KT_CT400">[1]Tong_hop!$AG$337</definedName>
    <definedName name="KT_CT410">[1]Tong_hop!$AG$339</definedName>
    <definedName name="KT_CT411">[1]Tong_hop!$AG$340</definedName>
    <definedName name="KT_CT412">[1]Tong_hop!$AG$344</definedName>
    <definedName name="KT_CT413">[1]Tong_hop!$AG$345</definedName>
    <definedName name="KT_CT414">[1]Tong_hop!$AG$346</definedName>
    <definedName name="KT_CT415">[1]Tong_hop!$AG$347</definedName>
    <definedName name="KT_CT416">[1]Tong_hop!$AG$348</definedName>
    <definedName name="KT_CT417">[1]Tong_hop!$AG$349</definedName>
    <definedName name="KT_CT418">[1]Tong_hop!$AG$352</definedName>
    <definedName name="KT_CT419">[1]Tong_hop!$AG$353</definedName>
    <definedName name="KT_CT420">[1]Tong_hop!$AG$354</definedName>
    <definedName name="KT_CT422">[1]Tong_hop!$AG$358</definedName>
    <definedName name="KT_CT431">[1]Tong_hop!$AG$361</definedName>
    <definedName name="KT_CT440">[1]Tong_hop!$AG$368</definedName>
    <definedName name="KT_CT50">[1]Tong_hop!$AG$441</definedName>
    <definedName name="KT_CT52">[1]Tong_hop!$AG$445</definedName>
    <definedName name="KT_CT60">[1]Tong_hop!$AG$451</definedName>
    <definedName name="KT_CTLC01">[1]Tong_hop!$AG$462</definedName>
    <definedName name="KT_CTLC02">[1]Tong_hop!$AG$463</definedName>
    <definedName name="KT_CTLC03">[1]Tong_hop!$AG$464</definedName>
    <definedName name="KT_CTLC04">[1]Tong_hop!$AG$465</definedName>
    <definedName name="KT_CTLC05">[1]Tong_hop!$AG$466</definedName>
    <definedName name="KT_CTLC06">[1]Tong_hop!$AG$467</definedName>
    <definedName name="KT_CTLC07">[1]Tong_hop!$AG$468</definedName>
    <definedName name="KT_CTLC21">[1]Tong_hop!$AG$472</definedName>
    <definedName name="KT_CTLC22">[1]Tong_hop!$AG$473</definedName>
    <definedName name="KT_CTLC23">[1]Tong_hop!$AG$474</definedName>
    <definedName name="KT_CTLC24">[1]Tong_hop!$AG$475</definedName>
    <definedName name="KT_CTLC25">[1]Tong_hop!$AG$476</definedName>
    <definedName name="KT_CTLC26">[1]Tong_hop!$AG$477</definedName>
    <definedName name="KT_CTLC27">[1]Tong_hop!$AG$478</definedName>
    <definedName name="KT_CTLC31">[1]Tong_hop!$AG$482</definedName>
    <definedName name="KT_CTLC32">[1]Tong_hop!$AG$483</definedName>
    <definedName name="KT_CTLC33">[1]Tong_hop!$AG$484</definedName>
    <definedName name="KT_CTLC34">[1]Tong_hop!$AG$485</definedName>
    <definedName name="KT_CTLC35">[1]Tong_hop!$AG$486</definedName>
    <definedName name="KT_CTLC36">[1]Tong_hop!$AG$487</definedName>
    <definedName name="KT_CTLC60">[1]Tong_hop!$AG$492</definedName>
    <definedName name="KT_CTLC61">[1]Tong_hop!$AG$493</definedName>
    <definedName name="KT_LCGT">LCGT!$A$13:$AQ$54</definedName>
    <definedName name="Ky_ke_toan_E">[1]Thong_tin!$E$15</definedName>
    <definedName name="Ky_ke_toan_V">[1]Thong_tin!$D$15</definedName>
    <definedName name="Ky_Nay1_E">[1]Thong_tin!$E$17</definedName>
    <definedName name="Ky_Nay1_V">[1]Thong_tin!$D$17</definedName>
    <definedName name="Ky_Nay2_E">[1]Thong_tin!$E$18</definedName>
    <definedName name="Ky_Nay2_V">[1]Thong_tin!$D$18</definedName>
    <definedName name="Ky_Truoc1_E">[1]Thong_tin!$E$16</definedName>
    <definedName name="Ky_Truoc1_V">[1]Thong_tin!$D$16</definedName>
    <definedName name="Ky_Truoc2_E">[1]Thong_tin!$E$19</definedName>
    <definedName name="Ky_Truoc2_V">[1]Thong_tin!$D$19</definedName>
    <definedName name="LCBTCP_NN">[1]LCBTCP!$B$37</definedName>
    <definedName name="LCBTCP_NT">[1]LCBTCP!$C$37</definedName>
    <definedName name="LCGT">LCGT!$A$12:$AQ$54</definedName>
    <definedName name="LCGTSS" localSheetId="2">VLOOKUP(#REF!,LCGT!$A$15:$AQ$54,38,0)</definedName>
    <definedName name="LCGTSS" localSheetId="3">VLOOKUP(#REF!,[1]LCGT!$A$16:$AQ$62,38,0)</definedName>
    <definedName name="LCGTSS" localSheetId="4">VLOOKUP(#REF!,[1]LCGT!$A$16:$AQ$62,38,0)</definedName>
    <definedName name="LCGTSS" localSheetId="5">VLOOKUP(#REF!,[1]LCGT!$A$16:$AQ$62,38,0)</definedName>
    <definedName name="LCGTSS" localSheetId="6">VLOOKUP(#REF!,[1]LCGT!$A$16:$AQ$62,38,0)</definedName>
    <definedName name="LCGTSS">VLOOKUP(#REF!,[1]LCGT!$A$16:$AQ$62,38,0)</definedName>
    <definedName name="LCTT">[1]Tong_hop!$D$460:$AG$495</definedName>
    <definedName name="Loai_Baocao">[1]Thong_tin!$D$6</definedName>
    <definedName name="Loai_BC_E">[1]Thong_tin!$E$7</definedName>
    <definedName name="Loai_BC_V">[1]Thong_tin!$D$7</definedName>
    <definedName name="LoaiCT_E">[1]Thong_tin!$E$9</definedName>
    <definedName name="LoaiCT_V">[1]Thong_tin!$D$9</definedName>
    <definedName name="LSGTCP_KN">[1]LSGTCP!$B$40</definedName>
    <definedName name="LSGTCP_KT">[1]LSGTCP!$C$40</definedName>
    <definedName name="MG_CP">[1]Thong_tin!$D$60</definedName>
    <definedName name="MucTrongYeu">[1]Trong_yeu!$D$41</definedName>
    <definedName name="MucTrongYeuTH">[1]Trong_yeu!$D$42</definedName>
    <definedName name="NG_TSCD_CTLY">[1]Thong_tin!$D$52</definedName>
    <definedName name="NG_TSCD_KHH_USE">[1]Thong_tin!$D$51</definedName>
    <definedName name="Ngay_Ky_BCTC_E">[1]Thong_tin!$E$27</definedName>
    <definedName name="Ngay_Ky_BCTC_V">[1]Thong_tin!$D$27</definedName>
    <definedName name="Ngay_Ky_BGD_E">[1]Thong_tin!$E$24</definedName>
    <definedName name="Ngay_Ky_BGD_V">[1]Thong_tin!$D$24</definedName>
    <definedName name="NgayLap_BCKT_E">[1]Thong_tin!$E$38</definedName>
    <definedName name="NgayLap_BCKT_V">[1]Thong_tin!$D$38</definedName>
    <definedName name="Nhat_LCTT">[1]Nhat_LCTT!$O$9:$U$50</definedName>
    <definedName name="NN_CDCo">[1]Dieu_chinh!$P$10:$P$161</definedName>
    <definedName name="NN_CDNo">[1]Dieu_chinh!$O$10:$O$161</definedName>
    <definedName name="NN_CTCo">[1]Dieu_chinh!$I$10:$I$161</definedName>
    <definedName name="NN_CTNo">[1]Dieu_chinh!$G$10:$G$161</definedName>
    <definedName name="NN_DCCo">[1]Dieu_chinh!$H$10:$H$161</definedName>
    <definedName name="NN_DCNo">[1]Dieu_chinh!$F$10:$F$161</definedName>
    <definedName name="NN_KQCo">[1]Dieu_chinh!$R$10:$R$161</definedName>
    <definedName name="NN_KQNo">[1]Dieu_chinh!$Q$10:$Q$161</definedName>
    <definedName name="NN_LoaiButToan">[1]Dieu_chinh!$U$10:$U$161</definedName>
    <definedName name="NN_SoDieuChinh">[1]Dieu_chinh!$N$10:$N$161</definedName>
    <definedName name="NN_SoKDieuChinh">[1]Dieu_chinh!$M$10:$M$161</definedName>
    <definedName name="NN_YKienKH">[1]Dieu_chinh!$S$10:$S$161</definedName>
    <definedName name="NT_CDCo">[1]Dieu_chinh!$P$164:$P$315</definedName>
    <definedName name="NT_CDNo">[1]Dieu_chinh!$O$164:$O$315</definedName>
    <definedName name="NT_CTCo">[1]Dieu_chinh!$I$164:$I$315</definedName>
    <definedName name="NT_CTNo">[1]Dieu_chinh!$G$164:$G$315</definedName>
    <definedName name="NT_DCCo">[1]Dieu_chinh!$H$164:$H$315</definedName>
    <definedName name="NT_DCNo">[1]Dieu_chinh!$F$164:$F$315</definedName>
    <definedName name="NT_KQCo">[1]Dieu_chinh!$R$164:$R$315</definedName>
    <definedName name="NT_KQNo">[1]Dieu_chinh!$Q$164:$Q$315</definedName>
    <definedName name="NT_SoDieuChinh">[1]Dieu_chinh!$N$164:$N$315</definedName>
    <definedName name="NTCHH">[1]Thong_tin!$D$15</definedName>
    <definedName name="PPLap_P2_LCTT">[1]CT_LCTT!$K$28</definedName>
    <definedName name="_xlnm.Print_Area" localSheetId="0">'CDKT (2)'!$A$1:$BV$172</definedName>
    <definedName name="_xlnm.Print_Area" localSheetId="4">TM_TSCDHH!$A$1:$AG$40</definedName>
    <definedName name="_xlnm.Print_Area" localSheetId="5">TM_VAY!$A$1:$CE$97</definedName>
    <definedName name="_xlnm.Print_Area" localSheetId="6">TM_VCSH!$A$1:$BF$43</definedName>
    <definedName name="_xlnm.Print_Titles" localSheetId="0">'CDKT (2)'!$1:$5</definedName>
    <definedName name="_xlnm.Print_Titles" localSheetId="2">LCGT!$1:$8</definedName>
    <definedName name="_xlnm.Print_Titles" localSheetId="3">Thuyet_minh!$1:$5</definedName>
    <definedName name="_xlnm.Print_Titles" localSheetId="4">TM_TSCDHH!$1:$5</definedName>
    <definedName name="_xlnm.Print_Titles" localSheetId="5">TM_VAY!$1:$5</definedName>
    <definedName name="_xlnm.Print_Titles" localSheetId="6">TM_VCSH!$1:$5</definedName>
    <definedName name="Refuse">[1]DM!$B$4</definedName>
    <definedName name="RowsCode_TMTSCDHH">TM_TSCDHH!#REF!</definedName>
    <definedName name="RowsCode_TMVCSH">TM_VCSH!#REF!</definedName>
    <definedName name="SL_CPQUY">[1]Thong_tin!$D$59</definedName>
    <definedName name="SoBCKT_E">[1]Thong_tin!$E$39</definedName>
    <definedName name="SoBCKT_V">[1]Thong_tin!$D$39</definedName>
    <definedName name="SoTien">OFFSET([1]Du_lieu!$H$9,1,0,IF(COUNTA([1]Du_lieu!$F:$F)-COUNTA([1]Du_lieu!$F$1:$F$9)&gt;0,COUNTA([1]Du_lieu!$F:$F)-COUNTA([1]Du_lieu!$F$1:$F$9),1),1)</definedName>
    <definedName name="Start_Page">[1]BCBGD!$AE$20</definedName>
    <definedName name="STT" localSheetId="2">SUBTOTAL(103,[1]Thuyet_minh!$B$8:B1048576)+1-SUBTOTAL(103,subBullets)</definedName>
    <definedName name="STT" localSheetId="3">SUBTOTAL(103,Thuyet_minh!$B$8:B1048576)+1-SUBTOTAL(103,subBullets)</definedName>
    <definedName name="STT" localSheetId="4">SUBTOTAL(103,[1]Thuyet_minh!$B$8:B1048576)+1-SUBTOTAL(103,subBullets)</definedName>
    <definedName name="STT" localSheetId="5">SUBTOTAL(103,[1]Thuyet_minh!$B$8:B1048576)+1-SUBTOTAL(103,subBullets)</definedName>
    <definedName name="STT" localSheetId="6">SUBTOTAL(103,[1]Thuyet_minh!$B$8:B1048576)+1-SUBTOTAL(103,subBullets)</definedName>
    <definedName name="STT">SUBTOTAL(103,[1]Thuyet_minh!$B$8:B1048576)+1-SUBTOTAL(103,subBullets)</definedName>
    <definedName name="STT_BCBoPhan" localSheetId="2">[1]Thuyet_minh!$A$1907</definedName>
    <definedName name="STT_BCBoPhan" localSheetId="4">[1]Thuyet_minh!$A$1907</definedName>
    <definedName name="STT_BCBoPhan" localSheetId="5">[1]Thuyet_minh!$A$1907</definedName>
    <definedName name="STT_BCBoPhan" localSheetId="6">[1]Thuyet_minh!$A$1907</definedName>
    <definedName name="STT_BCBoPhan">Thuyet_minh!$A$1907</definedName>
    <definedName name="STT_BCBoPhan1">Thuyet_minh!$BU$1907</definedName>
    <definedName name="STT_BDSDT" localSheetId="2">[1]Thuyet_minh!$A$850</definedName>
    <definedName name="STT_BDSDT" localSheetId="4">[1]Thuyet_minh!$A$850</definedName>
    <definedName name="STT_BDSDT" localSheetId="5">[1]Thuyet_minh!$A$850</definedName>
    <definedName name="STT_BDSDT" localSheetId="6">[1]Thuyet_minh!$A$850</definedName>
    <definedName name="STT_BDSDT">Thuyet_minh!$A$850</definedName>
    <definedName name="STT_BDSDT1" localSheetId="2">[1]Thuyet_minh!$BU$850</definedName>
    <definedName name="STT_BDSDT1" localSheetId="4">[1]Thuyet_minh!$BU$850</definedName>
    <definedName name="STT_BDSDT1" localSheetId="5">[1]Thuyet_minh!$BU$850</definedName>
    <definedName name="STT_BDSDT1" localSheetId="6">[1]Thuyet_minh!$BU$850</definedName>
    <definedName name="STT_BDSDT1">Thuyet_minh!$BU$850</definedName>
    <definedName name="STT_BenLQ">[1]Thuyet_minh!$A$1919</definedName>
    <definedName name="STT_BenLQ1">Thuyet_minh!$BU$1919</definedName>
    <definedName name="STT_CCTC" localSheetId="2">[1]Thuyet_minh!$A$1767</definedName>
    <definedName name="STT_CCTC" localSheetId="4">[1]Thuyet_minh!$A$1767</definedName>
    <definedName name="STT_CCTC" localSheetId="5">[1]Thuyet_minh!$A$1767</definedName>
    <definedName name="STT_CCTC" localSheetId="6">[1]Thuyet_minh!$A$1767</definedName>
    <definedName name="STT_CCTC">Thuyet_minh!$A$1767</definedName>
    <definedName name="STT_CCTC1">Thuyet_minh!$BU$1767</definedName>
    <definedName name="STT_ChenhLechTG" localSheetId="2">[1]Thuyet_minh!$A$1394</definedName>
    <definedName name="STT_ChenhLechTG" localSheetId="4">[1]Thuyet_minh!$A$1394</definedName>
    <definedName name="STT_ChenhLechTG" localSheetId="5">[1]Thuyet_minh!$A$1394</definedName>
    <definedName name="STT_ChenhLechTG" localSheetId="6">[1]Thuyet_minh!$A$1394</definedName>
    <definedName name="STT_ChenhLechTG">Thuyet_minh!$A$1394</definedName>
    <definedName name="STT_ChenhLechTG1" localSheetId="2">[1]Thuyet_minh!$BU$1394</definedName>
    <definedName name="STT_ChenhLechTG1" localSheetId="4">[1]Thuyet_minh!$BU$1394</definedName>
    <definedName name="STT_ChenhLechTG1" localSheetId="5">[1]Thuyet_minh!$BU$1394</definedName>
    <definedName name="STT_ChenhLechTG1" localSheetId="6">[1]Thuyet_minh!$BU$1394</definedName>
    <definedName name="STT_ChenhLechTG1">Thuyet_minh!$BU$1394</definedName>
    <definedName name="STT_ChiPhiKhac" localSheetId="2">[1]Thuyet_minh!$A$1599</definedName>
    <definedName name="STT_ChiPhiKhac" localSheetId="4">[1]Thuyet_minh!$A$1599</definedName>
    <definedName name="STT_ChiPhiKhac" localSheetId="5">[1]Thuyet_minh!$A$1599</definedName>
    <definedName name="STT_ChiPhiKhac" localSheetId="6">[1]Thuyet_minh!$A$1599</definedName>
    <definedName name="STT_ChiPhiKhac">Thuyet_minh!$A$1599</definedName>
    <definedName name="STT_ChiPhiKhac1" localSheetId="2">[1]Thuyet_minh!$BU$1599</definedName>
    <definedName name="STT_ChiPhiKhac1" localSheetId="4">[1]Thuyet_minh!$BU$1599</definedName>
    <definedName name="STT_ChiPhiKhac1" localSheetId="5">[1]Thuyet_minh!$BU$1599</definedName>
    <definedName name="STT_ChiPhiKhac1" localSheetId="6">[1]Thuyet_minh!$BU$1599</definedName>
    <definedName name="STT_ChiPhiKhac1">Thuyet_minh!$BU$1599</definedName>
    <definedName name="STT_ChiPhiPhaiTra" localSheetId="2">[1]Thuyet_minh!$A$1083</definedName>
    <definedName name="STT_ChiPhiPhaiTra" localSheetId="4">[1]Thuyet_minh!$A$1083</definedName>
    <definedName name="STT_ChiPhiPhaiTra" localSheetId="5">[1]Thuyet_minh!$A$1083</definedName>
    <definedName name="STT_ChiPhiPhaiTra" localSheetId="6">[1]Thuyet_minh!$A$1083</definedName>
    <definedName name="STT_ChiPhiPhaiTra">Thuyet_minh!$A$1083</definedName>
    <definedName name="STT_ChiPhiPhaiTra1" localSheetId="2">[1]Thuyet_minh!$BU$1083</definedName>
    <definedName name="STT_ChiPhiPhaiTra1" localSheetId="4">[1]Thuyet_minh!$BU$1083</definedName>
    <definedName name="STT_ChiPhiPhaiTra1" localSheetId="5">[1]Thuyet_minh!$BU$1083</definedName>
    <definedName name="STT_ChiPhiPhaiTra1" localSheetId="6">[1]Thuyet_minh!$BU$1083</definedName>
    <definedName name="STT_ChiPhiPhaiTra1">Thuyet_minh!$BU$1083</definedName>
    <definedName name="STT_ChiPhiTC" localSheetId="2">[1]Thuyet_minh!$A$1538</definedName>
    <definedName name="STT_ChiPhiTC" localSheetId="4">[1]Thuyet_minh!$A$1538</definedName>
    <definedName name="STT_ChiPhiTC" localSheetId="5">[1]Thuyet_minh!$A$1538</definedName>
    <definedName name="STT_ChiPhiTC" localSheetId="6">[1]Thuyet_minh!$A$1538</definedName>
    <definedName name="STT_ChiPhiTC">Thuyet_minh!$A$1538</definedName>
    <definedName name="STT_ChiPhiTC1" localSheetId="2">[1]Thuyet_minh!$BU$1538</definedName>
    <definedName name="STT_ChiPhiTC1" localSheetId="4">[1]Thuyet_minh!$BU$1538</definedName>
    <definedName name="STT_ChiPhiTC1" localSheetId="5">[1]Thuyet_minh!$BU$1538</definedName>
    <definedName name="STT_ChiPhiTC1" localSheetId="6">[1]Thuyet_minh!$BU$1538</definedName>
    <definedName name="STT_ChiPhiTC1">Thuyet_minh!$BU$1538</definedName>
    <definedName name="STT_CKDTTaiChinh">[1]Thuyet_minh!$A$464</definedName>
    <definedName name="STT_CKDTTaiChinh1" localSheetId="2">[1]Thuyet_minh!$BU$464</definedName>
    <definedName name="STT_CKDTTaiChinh1" localSheetId="4">[1]Thuyet_minh!$BU$464</definedName>
    <definedName name="STT_CKDTTaiChinh1" localSheetId="5">[1]Thuyet_minh!$BU$464</definedName>
    <definedName name="STT_CKDTTaiChinh1" localSheetId="6">[1]Thuyet_minh!$BU$464</definedName>
    <definedName name="STT_CKDTTaiChinh1">Thuyet_minh!$BU$464</definedName>
    <definedName name="STT_CLDanhGiaLaiTS" localSheetId="2">[1]Thuyet_minh!$A$1381</definedName>
    <definedName name="STT_CLDanhGiaLaiTS" localSheetId="4">[1]Thuyet_minh!$A$1381</definedName>
    <definedName name="STT_CLDanhGiaLaiTS" localSheetId="5">[1]Thuyet_minh!$A$1381</definedName>
    <definedName name="STT_CLDanhGiaLaiTS" localSheetId="6">[1]Thuyet_minh!$A$1381</definedName>
    <definedName name="STT_CLDanhGiaLaiTS">Thuyet_minh!$A$1381</definedName>
    <definedName name="STT_CLDanhGiaLaiTS1" localSheetId="2">[1]Thuyet_minh!$BU$1381</definedName>
    <definedName name="STT_CLDanhGiaLaiTS1" localSheetId="4">[1]Thuyet_minh!$BU$1381</definedName>
    <definedName name="STT_CLDanhGiaLaiTS1" localSheetId="5">[1]Thuyet_minh!$BU$1381</definedName>
    <definedName name="STT_CLDanhGiaLaiTS1" localSheetId="6">[1]Thuyet_minh!$BU$1381</definedName>
    <definedName name="STT_CLDanhGiaLaiTS1">Thuyet_minh!$BU$1381</definedName>
    <definedName name="STT_CPBH" localSheetId="2">[1]Thuyet_minh!$A$1554</definedName>
    <definedName name="STT_CPBH" localSheetId="4">[1]Thuyet_minh!$A$1554</definedName>
    <definedName name="STT_CPBH" localSheetId="5">[1]Thuyet_minh!$A$1554</definedName>
    <definedName name="STT_CPBH" localSheetId="6">[1]Thuyet_minh!$A$1554</definedName>
    <definedName name="STT_CPBH">Thuyet_minh!$A$1554</definedName>
    <definedName name="STT_CPBH1" localSheetId="2">[1]Thuyet_minh!$BU$1554</definedName>
    <definedName name="STT_CPBH1" localSheetId="4">[1]Thuyet_minh!$BU$1554</definedName>
    <definedName name="STT_CPBH1" localSheetId="5">[1]Thuyet_minh!$BU$1554</definedName>
    <definedName name="STT_CPBH1" localSheetId="6">[1]Thuyet_minh!$BU$1554</definedName>
    <definedName name="STT_CPBH1">Thuyet_minh!$BU$1554</definedName>
    <definedName name="STT_CPQLDN" localSheetId="2">[1]Thuyet_minh!$A$1570</definedName>
    <definedName name="STT_CPQLDN" localSheetId="4">[1]Thuyet_minh!$A$1570</definedName>
    <definedName name="STT_CPQLDN" localSheetId="5">[1]Thuyet_minh!$A$1570</definedName>
    <definedName name="STT_CPQLDN" localSheetId="6">[1]Thuyet_minh!$A$1570</definedName>
    <definedName name="STT_CPQLDN">Thuyet_minh!$A$1570</definedName>
    <definedName name="STT_CPQLDN1" localSheetId="2">[1]Thuyet_minh!$BU$1570</definedName>
    <definedName name="STT_CPQLDN1" localSheetId="4">[1]Thuyet_minh!$BU$1570</definedName>
    <definedName name="STT_CPQLDN1" localSheetId="5">[1]Thuyet_minh!$BU$1570</definedName>
    <definedName name="STT_CPQLDN1" localSheetId="6">[1]Thuyet_minh!$BU$1570</definedName>
    <definedName name="STT_CPQLDN1">Thuyet_minh!$BU$1570</definedName>
    <definedName name="STT_CPThueTNHH" localSheetId="2">[1]Thuyet_minh!$A$1614</definedName>
    <definedName name="STT_CPThueTNHH" localSheetId="4">[1]Thuyet_minh!$A$1614</definedName>
    <definedName name="STT_CPThueTNHH" localSheetId="5">[1]Thuyet_minh!$A$1614</definedName>
    <definedName name="STT_CPThueTNHH" localSheetId="6">[1]Thuyet_minh!$A$1614</definedName>
    <definedName name="STT_CPThueTNHH">Thuyet_minh!$A$1614</definedName>
    <definedName name="STT_CPThueTNHH1" localSheetId="2">[1]Thuyet_minh!$BU$1614</definedName>
    <definedName name="STT_CPThueTNHH1" localSheetId="4">[1]Thuyet_minh!$BU$1614</definedName>
    <definedName name="STT_CPThueTNHH1" localSheetId="5">[1]Thuyet_minh!$BU$1614</definedName>
    <definedName name="STT_CPThueTNHH1" localSheetId="6">[1]Thuyet_minh!$BU$1614</definedName>
    <definedName name="STT_CPThueTNHH1">Thuyet_minh!$BU$1614</definedName>
    <definedName name="STT_CPTraTruoc" localSheetId="2">[1]Thuyet_minh!$A$905</definedName>
    <definedName name="STT_CPTraTruoc" localSheetId="4">[1]Thuyet_minh!$A$905</definedName>
    <definedName name="STT_CPTraTruoc" localSheetId="5">[1]Thuyet_minh!$A$905</definedName>
    <definedName name="STT_CPTraTruoc" localSheetId="6">[1]Thuyet_minh!$A$905</definedName>
    <definedName name="STT_CPTraTruoc">Thuyet_minh!$A$905</definedName>
    <definedName name="STT_CPTraTruoc1" localSheetId="2">[1]Thuyet_minh!$BU$905</definedName>
    <definedName name="STT_CPTraTruoc1" localSheetId="4">[1]Thuyet_minh!$BU$905</definedName>
    <definedName name="STT_CPTraTruoc1" localSheetId="5">[1]Thuyet_minh!$BU$905</definedName>
    <definedName name="STT_CPTraTruoc1" localSheetId="6">[1]Thuyet_minh!$BU$905</definedName>
    <definedName name="STT_CPTraTruoc1">Thuyet_minh!$BU$905</definedName>
    <definedName name="STT_CPUuDaiNPT" localSheetId="2">[1]Thuyet_minh!$A$1229</definedName>
    <definedName name="STT_CPUuDaiNPT" localSheetId="4">[1]Thuyet_minh!$A$1229</definedName>
    <definedName name="STT_CPUuDaiNPT" localSheetId="5">[1]Thuyet_minh!$A$1229</definedName>
    <definedName name="STT_CPUuDaiNPT" localSheetId="6">[1]Thuyet_minh!$A$1229</definedName>
    <definedName name="STT_CPUuDaiNPT">Thuyet_minh!$A$1229</definedName>
    <definedName name="STT_CPUuDaiNPT1" localSheetId="2">[1]Thuyet_minh!$BU$1229</definedName>
    <definedName name="STT_CPUuDaiNPT1" localSheetId="4">[1]Thuyet_minh!$BU$1229</definedName>
    <definedName name="STT_CPUuDaiNPT1" localSheetId="5">[1]Thuyet_minh!$BU$1229</definedName>
    <definedName name="STT_CPUuDaiNPT1" localSheetId="6">[1]Thuyet_minh!$BU$1229</definedName>
    <definedName name="STT_CPUuDaiNPT1">Thuyet_minh!$BU$1229</definedName>
    <definedName name="STT_DoanhThu" localSheetId="2">[1]Thuyet_minh!$A$1470</definedName>
    <definedName name="STT_DoanhThu" localSheetId="4">[1]Thuyet_minh!$A$1470</definedName>
    <definedName name="STT_DoanhThu" localSheetId="5">[1]Thuyet_minh!$A$1470</definedName>
    <definedName name="STT_DoanhThu" localSheetId="6">[1]Thuyet_minh!$A$1470</definedName>
    <definedName name="STT_DoanhThu">Thuyet_minh!$A$1470</definedName>
    <definedName name="STT_DoanhThu1" localSheetId="2">[1]Thuyet_minh!$BU$1470</definedName>
    <definedName name="STT_DoanhThu1" localSheetId="4">[1]Thuyet_minh!$BU$1470</definedName>
    <definedName name="STT_DoanhThu1" localSheetId="5">[1]Thuyet_minh!$BU$1470</definedName>
    <definedName name="STT_DoanhThu1" localSheetId="6">[1]Thuyet_minh!$BU$1470</definedName>
    <definedName name="STT_DoanhThu1">Thuyet_minh!$BU$1470</definedName>
    <definedName name="STT_DoanhThuCTH" localSheetId="2">[1]Thuyet_minh!$A$1159</definedName>
    <definedName name="STT_DoanhThuCTH" localSheetId="4">[1]Thuyet_minh!$A$1159</definedName>
    <definedName name="STT_DoanhThuCTH" localSheetId="5">[1]Thuyet_minh!$A$1159</definedName>
    <definedName name="STT_DoanhThuCTH" localSheetId="6">[1]Thuyet_minh!$A$1159</definedName>
    <definedName name="STT_DoanhThuCTH">Thuyet_minh!$A$1159</definedName>
    <definedName name="STT_DoanhThuCTH1" localSheetId="2">[1]Thuyet_minh!$BU$1159</definedName>
    <definedName name="STT_DoanhThuCTH1" localSheetId="4">[1]Thuyet_minh!$BU$1159</definedName>
    <definedName name="STT_DoanhThuCTH1" localSheetId="5">[1]Thuyet_minh!$BU$1159</definedName>
    <definedName name="STT_DoanhThuCTH1" localSheetId="6">[1]Thuyet_minh!$BU$1159</definedName>
    <definedName name="STT_DoanhThuCTH1">Thuyet_minh!$BU$1159</definedName>
    <definedName name="STT_DoanhThuTC" localSheetId="2">[1]Thuyet_minh!$A$1523</definedName>
    <definedName name="STT_DoanhThuTC" localSheetId="4">[1]Thuyet_minh!$A$1523</definedName>
    <definedName name="STT_DoanhThuTC" localSheetId="5">[1]Thuyet_minh!$A$1523</definedName>
    <definedName name="STT_DoanhThuTC" localSheetId="6">[1]Thuyet_minh!$A$1523</definedName>
    <definedName name="STT_DoanhThuTC">Thuyet_minh!$A$1523</definedName>
    <definedName name="STT_DoanhThuTC1" localSheetId="2">[1]Thuyet_minh!$BU$1523</definedName>
    <definedName name="STT_DoanhThuTC1" localSheetId="4">[1]Thuyet_minh!$BU$1523</definedName>
    <definedName name="STT_DoanhThuTC1" localSheetId="5">[1]Thuyet_minh!$BU$1523</definedName>
    <definedName name="STT_DoanhThuTC1" localSheetId="6">[1]Thuyet_minh!$BU$1523</definedName>
    <definedName name="STT_DoanhThuTC1">Thuyet_minh!$BU$1523</definedName>
    <definedName name="STT_DPPhaiTra" localSheetId="2">[1]Thuyet_minh!$A$1238</definedName>
    <definedName name="STT_DPPhaiTra" localSheetId="4">[1]Thuyet_minh!$A$1238</definedName>
    <definedName name="STT_DPPhaiTra" localSheetId="5">[1]Thuyet_minh!$A$1238</definedName>
    <definedName name="STT_DPPhaiTra" localSheetId="6">[1]Thuyet_minh!$A$1238</definedName>
    <definedName name="STT_DPPhaiTra">Thuyet_minh!$A$1238</definedName>
    <definedName name="STT_DPPhaiTra1" localSheetId="2">[1]Thuyet_minh!$BU$1238</definedName>
    <definedName name="STT_DPPhaiTra1" localSheetId="4">[1]Thuyet_minh!$BU$1238</definedName>
    <definedName name="STT_DPPhaiTra1" localSheetId="5">[1]Thuyet_minh!$BU$1238</definedName>
    <definedName name="STT_DPPhaiTra1" localSheetId="6">[1]Thuyet_minh!$BU$1238</definedName>
    <definedName name="STT_DPPhaiTra1">Thuyet_minh!$BU$1238</definedName>
    <definedName name="STT_GiamTruDT" localSheetId="2">[1]Thuyet_minh!$A$1490</definedName>
    <definedName name="STT_GiamTruDT" localSheetId="4">[1]Thuyet_minh!$A$1490</definedName>
    <definedName name="STT_GiamTruDT" localSheetId="5">[1]Thuyet_minh!$A$1490</definedName>
    <definedName name="STT_GiamTruDT" localSheetId="6">[1]Thuyet_minh!$A$1490</definedName>
    <definedName name="STT_GiamTruDT">Thuyet_minh!$A$1490</definedName>
    <definedName name="STT_GiamTruDT1" localSheetId="2">[1]Thuyet_minh!$BU$1490</definedName>
    <definedName name="STT_GiamTruDT1" localSheetId="4">[1]Thuyet_minh!$BU$1490</definedName>
    <definedName name="STT_GiamTruDT1" localSheetId="5">[1]Thuyet_minh!$BU$1490</definedName>
    <definedName name="STT_GiamTruDT1" localSheetId="6">[1]Thuyet_minh!$BU$1490</definedName>
    <definedName name="STT_GiamTruDT1">Thuyet_minh!$BU$1490</definedName>
    <definedName name="STT_GiaVon" localSheetId="2">[1]Thuyet_minh!$A$1501</definedName>
    <definedName name="STT_GiaVon" localSheetId="4">[1]Thuyet_minh!$A$1501</definedName>
    <definedName name="STT_GiaVon" localSheetId="5">[1]Thuyet_minh!$A$1501</definedName>
    <definedName name="STT_GiaVon" localSheetId="6">[1]Thuyet_minh!$A$1501</definedName>
    <definedName name="STT_GiaVon">Thuyet_minh!$A$1501</definedName>
    <definedName name="STT_GiaVon1" localSheetId="2">[1]Thuyet_minh!$BU$1501</definedName>
    <definedName name="STT_GiaVon1" localSheetId="4">[1]Thuyet_minh!$BU$1501</definedName>
    <definedName name="STT_GiaVon1" localSheetId="5">[1]Thuyet_minh!$BU$1501</definedName>
    <definedName name="STT_GiaVon1" localSheetId="6">[1]Thuyet_minh!$BU$1501</definedName>
    <definedName name="STT_GiaVon1">Thuyet_minh!$BU$1501</definedName>
    <definedName name="STT_HangTonKho" localSheetId="2">[1]Thuyet_minh!$A$697</definedName>
    <definedName name="STT_HangTonKho" localSheetId="4">[1]Thuyet_minh!$A$697</definedName>
    <definedName name="STT_HangTonKho" localSheetId="5">[1]Thuyet_minh!$A$697</definedName>
    <definedName name="STT_HangTonKho" localSheetId="6">[1]Thuyet_minh!$A$697</definedName>
    <definedName name="STT_HangTonKho">Thuyet_minh!$A$697</definedName>
    <definedName name="STT_HangTonKho1" localSheetId="2">[1]Thuyet_minh!$BU$697</definedName>
    <definedName name="STT_HangTonKho1" localSheetId="4">[1]Thuyet_minh!$BU$697</definedName>
    <definedName name="STT_HangTonKho1" localSheetId="5">[1]Thuyet_minh!$BU$697</definedName>
    <definedName name="STT_HangTonKho1" localSheetId="6">[1]Thuyet_minh!$BU$697</definedName>
    <definedName name="STT_HangTonKho1">Thuyet_minh!$BU$697</definedName>
    <definedName name="STT_LaiCBTrenCP" localSheetId="2">[1]Thuyet_minh!$A$1706</definedName>
    <definedName name="STT_LaiCBTrenCP" localSheetId="4">[1]Thuyet_minh!$A$1706</definedName>
    <definedName name="STT_LaiCBTrenCP" localSheetId="5">[1]Thuyet_minh!$A$1706</definedName>
    <definedName name="STT_LaiCBTrenCP" localSheetId="6">[1]Thuyet_minh!$A$1706</definedName>
    <definedName name="STT_LaiCBTrenCP">Thuyet_minh!$A$1706</definedName>
    <definedName name="STT_LaiCBTrenCP1" localSheetId="2">[1]Thuyet_minh!$BU$1706</definedName>
    <definedName name="STT_LaiCBTrenCP1" localSheetId="4">[1]Thuyet_minh!$BU$1706</definedName>
    <definedName name="STT_LaiCBTrenCP1" localSheetId="5">[1]Thuyet_minh!$BU$1706</definedName>
    <definedName name="STT_LaiCBTrenCP1" localSheetId="6">[1]Thuyet_minh!$BU$1706</definedName>
    <definedName name="STT_LaiCBTrenCP1">Thuyet_minh!$BU$1706</definedName>
    <definedName name="STT_LaiSGTrenCP" localSheetId="2">[1]Thuyet_minh!$A$1731</definedName>
    <definedName name="STT_LaiSGTrenCP" localSheetId="4">[1]Thuyet_minh!$A$1731</definedName>
    <definedName name="STT_LaiSGTrenCP" localSheetId="5">[1]Thuyet_minh!$A$1731</definedName>
    <definedName name="STT_LaiSGTrenCP" localSheetId="6">[1]Thuyet_minh!$A$1731</definedName>
    <definedName name="STT_LaiSGTrenCP">Thuyet_minh!$A$1731</definedName>
    <definedName name="STT_LaiSGTrenCP1" localSheetId="2">[1]Thuyet_minh!$BU$1731</definedName>
    <definedName name="STT_LaiSGTrenCP1" localSheetId="4">[1]Thuyet_minh!$BU$1731</definedName>
    <definedName name="STT_LaiSGTrenCP1" localSheetId="5">[1]Thuyet_minh!$BU$1731</definedName>
    <definedName name="STT_LaiSGTrenCP1" localSheetId="6">[1]Thuyet_minh!$BU$1731</definedName>
    <definedName name="STT_LaiSGTrenCP1">Thuyet_minh!$BU$1731</definedName>
    <definedName name="STT_NguoimuaTTT" localSheetId="2">[1]Thuyet_minh!$A$1041</definedName>
    <definedName name="STT_NguoimuaTTT" localSheetId="4">[1]Thuyet_minh!$A$1041</definedName>
    <definedName name="STT_NguoimuaTTT" localSheetId="5">[1]Thuyet_minh!$A$1041</definedName>
    <definedName name="STT_NguoimuaTTT" localSheetId="6">[1]Thuyet_minh!$A$1041</definedName>
    <definedName name="STT_NguoimuaTTT">Thuyet_minh!$A$1041</definedName>
    <definedName name="STT_NguoimuaTTT1" localSheetId="2">[1]Thuyet_minh!$BU$1041</definedName>
    <definedName name="STT_NguoimuaTTT1" localSheetId="4">[1]Thuyet_minh!$BU$1041</definedName>
    <definedName name="STT_NguoimuaTTT1" localSheetId="5">[1]Thuyet_minh!$BU$1041</definedName>
    <definedName name="STT_NguoimuaTTT1" localSheetId="6">[1]Thuyet_minh!$BU$1041</definedName>
    <definedName name="STT_NguoimuaTTT1">Thuyet_minh!$BU$1041</definedName>
    <definedName name="STT_NguonKP" localSheetId="2">[1]Thuyet_minh!$A$1409</definedName>
    <definedName name="STT_NguonKP" localSheetId="4">[1]Thuyet_minh!$A$1409</definedName>
    <definedName name="STT_NguonKP" localSheetId="5">[1]Thuyet_minh!$A$1409</definedName>
    <definedName name="STT_NguonKP" localSheetId="6">[1]Thuyet_minh!$A$1409</definedName>
    <definedName name="STT_NguonKP">Thuyet_minh!$A$1409</definedName>
    <definedName name="STT_NguonKP1" localSheetId="2">[1]Thuyet_minh!$BU$1409</definedName>
    <definedName name="STT_NguonKP1" localSheetId="4">[1]Thuyet_minh!$BU$1409</definedName>
    <definedName name="STT_NguonKP1" localSheetId="5">[1]Thuyet_minh!$BU$1409</definedName>
    <definedName name="STT_NguonKP1" localSheetId="6">[1]Thuyet_minh!$BU$1409</definedName>
    <definedName name="STT_NguonKP1">Thuyet_minh!$BU$1409</definedName>
    <definedName name="STT_NoXau" localSheetId="2">[1]Thuyet_minh!$A$668</definedName>
    <definedName name="STT_NoXau" localSheetId="4">[1]Thuyet_minh!$A$668</definedName>
    <definedName name="STT_NoXau" localSheetId="5">[1]Thuyet_minh!$A$668</definedName>
    <definedName name="STT_NoXau" localSheetId="6">[1]Thuyet_minh!$A$668</definedName>
    <definedName name="STT_NoXau">Thuyet_minh!$A$668</definedName>
    <definedName name="STT_NoXau1">Thuyet_minh!$BU$668</definedName>
    <definedName name="STT_PhaiThuKH" localSheetId="2">[1]Thuyet_minh!$A$540</definedName>
    <definedName name="STT_PhaiThuKH" localSheetId="4">[1]Thuyet_minh!$A$540</definedName>
    <definedName name="STT_PhaiThuKH" localSheetId="5">[1]Thuyet_minh!$A$540</definedName>
    <definedName name="STT_PhaiThuKH" localSheetId="6">[1]Thuyet_minh!$A$540</definedName>
    <definedName name="STT_PhaiThuKH">Thuyet_minh!$A$540</definedName>
    <definedName name="STT_PhaiThuKH1" localSheetId="2">[1]Thuyet_minh!$BU$540</definedName>
    <definedName name="STT_PhaiThuKH1" localSheetId="4">[1]Thuyet_minh!$BU$540</definedName>
    <definedName name="STT_PhaiThuKH1" localSheetId="5">[1]Thuyet_minh!$BU$540</definedName>
    <definedName name="STT_PhaiThuKH1" localSheetId="6">[1]Thuyet_minh!$BU$540</definedName>
    <definedName name="STT_PhaiThuKH1">Thuyet_minh!$BU$540</definedName>
    <definedName name="STT_PhaiThuKhac" localSheetId="2">[1]Thuyet_minh!$A$614</definedName>
    <definedName name="STT_PhaiThuKhac" localSheetId="4">[1]Thuyet_minh!$A$614</definedName>
    <definedName name="STT_PhaiThuKhac" localSheetId="5">[1]Thuyet_minh!$A$614</definedName>
    <definedName name="STT_PhaiThuKhac" localSheetId="6">[1]Thuyet_minh!$A$614</definedName>
    <definedName name="STT_PhaiThuKhac">Thuyet_minh!$A$614</definedName>
    <definedName name="STT_PhaiThuKhac1" localSheetId="2">[1]Thuyet_minh!$BU$614</definedName>
    <definedName name="STT_PhaiThuKhac1" localSheetId="4">[1]Thuyet_minh!$BU$614</definedName>
    <definedName name="STT_PhaiThuKhac1" localSheetId="5">[1]Thuyet_minh!$BU$614</definedName>
    <definedName name="STT_PhaiThuKhac1" localSheetId="6">[1]Thuyet_minh!$BU$614</definedName>
    <definedName name="STT_PhaiThuKhac1">Thuyet_minh!$BU$614</definedName>
    <definedName name="STT_PhaiThuNoiBo" localSheetId="2">[1]Thuyet_minh!$A$587</definedName>
    <definedName name="STT_PhaiThuNoiBo" localSheetId="4">[1]Thuyet_minh!$A$587</definedName>
    <definedName name="STT_PhaiThuNoiBo" localSheetId="5">[1]Thuyet_minh!$A$587</definedName>
    <definedName name="STT_PhaiThuNoiBo" localSheetId="6">[1]Thuyet_minh!$A$587</definedName>
    <definedName name="STT_PhaiThuNoiBo">Thuyet_minh!$A$587</definedName>
    <definedName name="STT_PhaiThuNoiBo1" localSheetId="2">[1]Thuyet_minh!$BU$587</definedName>
    <definedName name="STT_PhaiThuNoiBo1" localSheetId="4">[1]Thuyet_minh!$BU$587</definedName>
    <definedName name="STT_PhaiThuNoiBo1" localSheetId="5">[1]Thuyet_minh!$BU$587</definedName>
    <definedName name="STT_PhaiThuNoiBo1" localSheetId="6">[1]Thuyet_minh!$BU$587</definedName>
    <definedName name="STT_PhaiThuNoiBo1">Thuyet_minh!$BU$587</definedName>
    <definedName name="STT_PhaiTraKhac">[1]Thuyet_minh!$A$1123</definedName>
    <definedName name="STT_PhaiTraKhac1" localSheetId="2">[1]Thuyet_minh!$BU$1123</definedName>
    <definedName name="STT_PhaiTraKhac1" localSheetId="4">[1]Thuyet_minh!$BU$1123</definedName>
    <definedName name="STT_PhaiTraKhac1" localSheetId="5">[1]Thuyet_minh!$BU$1123</definedName>
    <definedName name="STT_PhaiTraKhac1" localSheetId="6">[1]Thuyet_minh!$BU$1123</definedName>
    <definedName name="STT_PhaiTraKhac1">Thuyet_minh!$BU$1123</definedName>
    <definedName name="STT_PhaiTraNguoiBan" localSheetId="2">[1]Thuyet_minh!$A$998</definedName>
    <definedName name="STT_PhaiTraNguoiBan" localSheetId="4">[1]Thuyet_minh!$A$998</definedName>
    <definedName name="STT_PhaiTraNguoiBan" localSheetId="5">[1]Thuyet_minh!$A$998</definedName>
    <definedName name="STT_PhaiTraNguoiBan" localSheetId="6">[1]Thuyet_minh!$A$998</definedName>
    <definedName name="STT_PhaiTraNguoiBan">Thuyet_minh!$A$998</definedName>
    <definedName name="STT_PhaiTraNguoiBan1" localSheetId="2">[1]Thuyet_minh!$BU$998</definedName>
    <definedName name="STT_PhaiTraNguoiBan1" localSheetId="4">[1]Thuyet_minh!$BU$998</definedName>
    <definedName name="STT_PhaiTraNguoiBan1" localSheetId="5">[1]Thuyet_minh!$BU$998</definedName>
    <definedName name="STT_PhaiTraNguoiBan1" localSheetId="6">[1]Thuyet_minh!$BU$998</definedName>
    <definedName name="STT_PhaiTraNguoiBan1">Thuyet_minh!$BU$998</definedName>
    <definedName name="STT_PhaiTraNoiBo" localSheetId="2">[1]Thuyet_minh!$A$1103</definedName>
    <definedName name="STT_PhaiTraNoiBo" localSheetId="4">[1]Thuyet_minh!$A$1103</definedName>
    <definedName name="STT_PhaiTraNoiBo" localSheetId="5">[1]Thuyet_minh!$A$1103</definedName>
    <definedName name="STT_PhaiTraNoiBo" localSheetId="6">[1]Thuyet_minh!$A$1103</definedName>
    <definedName name="STT_PhaiTraNoiBo">Thuyet_minh!$A$1103</definedName>
    <definedName name="STT_PhaiTraNoiBo1" localSheetId="2">[1]Thuyet_minh!$BU$1103</definedName>
    <definedName name="STT_PhaiTraNoiBo1" localSheetId="4">[1]Thuyet_minh!$BU$1103</definedName>
    <definedName name="STT_PhaiTraNoiBo1" localSheetId="5">[1]Thuyet_minh!$BU$1103</definedName>
    <definedName name="STT_PhaiTraNoiBo1" localSheetId="6">[1]Thuyet_minh!$BU$1103</definedName>
    <definedName name="STT_PhaiTraNoiBo1">Thuyet_minh!$BU$1103</definedName>
    <definedName name="STT_SoLieuSS">Thuyet_minh!$A$1975</definedName>
    <definedName name="STT_SoLieuSS1">Thuyet_minh!$BU$1975</definedName>
    <definedName name="STT_TAISANDD" localSheetId="2">[1]Thuyet_minh!$A$720</definedName>
    <definedName name="STT_TAISANDD" localSheetId="4">[1]Thuyet_minh!$A$720</definedName>
    <definedName name="STT_TAISANDD" localSheetId="5">[1]Thuyet_minh!$A$720</definedName>
    <definedName name="STT_TAISANDD" localSheetId="6">[1]Thuyet_minh!$A$720</definedName>
    <definedName name="STT_TAISANDD">Thuyet_minh!$A$720</definedName>
    <definedName name="STT_TAISANDD1" localSheetId="2">[1]Thuyet_minh!$BU$720</definedName>
    <definedName name="STT_TAISANDD1" localSheetId="4">[1]Thuyet_minh!$BU$720</definedName>
    <definedName name="STT_TAISANDD1" localSheetId="5">[1]Thuyet_minh!$BU$720</definedName>
    <definedName name="STT_TAISANDD1" localSheetId="6">[1]Thuyet_minh!$BU$720</definedName>
    <definedName name="STT_TAISANDD1">Thuyet_minh!$BU$720</definedName>
    <definedName name="STT_ThueTNHoanLai" localSheetId="2">[1]Thuyet_minh!$A$1667</definedName>
    <definedName name="STT_ThueTNHoanLai" localSheetId="4">[1]Thuyet_minh!$A$1667</definedName>
    <definedName name="STT_ThueTNHoanLai" localSheetId="5">[1]Thuyet_minh!$A$1667</definedName>
    <definedName name="STT_ThueTNHoanLai" localSheetId="6">[1]Thuyet_minh!$A$1667</definedName>
    <definedName name="STT_ThueTNHoanLai">Thuyet_minh!$A$1667</definedName>
    <definedName name="STT_ThueTNHoanLai1" localSheetId="2">[1]Thuyet_minh!$BU$1667</definedName>
    <definedName name="STT_ThueTNHoanLai1" localSheetId="4">[1]Thuyet_minh!$BU$1667</definedName>
    <definedName name="STT_ThueTNHoanLai1" localSheetId="5">[1]Thuyet_minh!$BU$1667</definedName>
    <definedName name="STT_ThueTNHoanLai1" localSheetId="6">[1]Thuyet_minh!$BU$1667</definedName>
    <definedName name="STT_ThueTNHoanLai1">Thuyet_minh!$BU$1667</definedName>
    <definedName name="STT_ThuevaCacKhoanPN" localSheetId="2">[1]Thuyet_minh!$A$1063</definedName>
    <definedName name="STT_ThuevaCacKhoanPN" localSheetId="4">[1]Thuyet_minh!$A$1063</definedName>
    <definedName name="STT_ThuevaCacKhoanPN" localSheetId="5">[1]Thuyet_minh!$A$1063</definedName>
    <definedName name="STT_ThuevaCacKhoanPN" localSheetId="6">[1]Thuyet_minh!$A$1063</definedName>
    <definedName name="STT_ThuevaCacKhoanPN">Thuyet_minh!$A$1063</definedName>
    <definedName name="STT_ThuevaCacKhoanPN1" localSheetId="2">[1]Thuyet_minh!$BU$1063</definedName>
    <definedName name="STT_ThuevaCacKhoanPN1" localSheetId="4">[1]Thuyet_minh!$BU$1063</definedName>
    <definedName name="STT_ThuevaCacKhoanPN1" localSheetId="5">[1]Thuyet_minh!$BU$1063</definedName>
    <definedName name="STT_ThuevaCacKhoanPN1" localSheetId="6">[1]Thuyet_minh!$BU$1063</definedName>
    <definedName name="STT_ThuevaCacKhoanPN1">Thuyet_minh!$BU$1063</definedName>
    <definedName name="STT_ThuNhapKhac" localSheetId="2">[1]Thuyet_minh!$A$1585</definedName>
    <definedName name="STT_ThuNhapKhac" localSheetId="4">[1]Thuyet_minh!$A$1585</definedName>
    <definedName name="STT_ThuNhapKhac" localSheetId="5">[1]Thuyet_minh!$A$1585</definedName>
    <definedName name="STT_ThuNhapKhac" localSheetId="6">[1]Thuyet_minh!$A$1585</definedName>
    <definedName name="STT_ThuNhapKhac">Thuyet_minh!$A$1585</definedName>
    <definedName name="STT_ThuNhapKhac1" localSheetId="2">[1]Thuyet_minh!$BU$1585</definedName>
    <definedName name="STT_ThuNhapKhac1" localSheetId="4">[1]Thuyet_minh!$BU$1585</definedName>
    <definedName name="STT_ThuNhapKhac1" localSheetId="5">[1]Thuyet_minh!$BU$1585</definedName>
    <definedName name="STT_ThuNhapKhac1" localSheetId="6">[1]Thuyet_minh!$BU$1585</definedName>
    <definedName name="STT_ThuNhapKhac1">Thuyet_minh!$BU$1585</definedName>
    <definedName name="STT_Tien" localSheetId="2">[1]Thuyet_minh!$A$448</definedName>
    <definedName name="STT_Tien" localSheetId="4">[1]Thuyet_minh!$A$448</definedName>
    <definedName name="STT_Tien" localSheetId="5">[1]Thuyet_minh!$A$448</definedName>
    <definedName name="STT_Tien" localSheetId="6">[1]Thuyet_minh!$A$448</definedName>
    <definedName name="STT_Tien">Thuyet_minh!$A$448</definedName>
    <definedName name="STT_Tien1" localSheetId="2">[1]Thuyet_minh!$BU$448</definedName>
    <definedName name="STT_Tien1" localSheetId="4">[1]Thuyet_minh!$BU$448</definedName>
    <definedName name="STT_Tien1" localSheetId="5">[1]Thuyet_minh!$BU$448</definedName>
    <definedName name="STT_Tien1" localSheetId="6">[1]Thuyet_minh!$BU$448</definedName>
    <definedName name="STT_Tien1">Thuyet_minh!$BU$448</definedName>
    <definedName name="STT_TPChuyenDoi">[1]TM_TP!$A$26</definedName>
    <definedName name="STT_TPThuong">[1]TM_TP!$A$8</definedName>
    <definedName name="STT_TraiPhieuPhatHanh">[1]Thuyet_minh!$A$1184</definedName>
    <definedName name="STT_TraiPhieuPhatHanh1" localSheetId="2">[1]Thuyet_minh!$BU$1184</definedName>
    <definedName name="STT_TraiPhieuPhatHanh1" localSheetId="4">[1]Thuyet_minh!$BU$1184</definedName>
    <definedName name="STT_TraiPhieuPhatHanh1" localSheetId="5">[1]Thuyet_minh!$BU$1184</definedName>
    <definedName name="STT_TraiPhieuPhatHanh1" localSheetId="6">[1]Thuyet_minh!$BU$1184</definedName>
    <definedName name="STT_TraiPhieuPhatHanh1">Thuyet_minh!$BU$1184</definedName>
    <definedName name="STT_TraTruocNguoiBan" localSheetId="2">[1]Thuyet_minh!$A$563</definedName>
    <definedName name="STT_TraTruocNguoiBan" localSheetId="4">[1]Thuyet_minh!$A$563</definedName>
    <definedName name="STT_TraTruocNguoiBan" localSheetId="5">[1]Thuyet_minh!$A$563</definedName>
    <definedName name="STT_TraTruocNguoiBan" localSheetId="6">[1]Thuyet_minh!$A$563</definedName>
    <definedName name="STT_TraTruocNguoiBan">Thuyet_minh!$A$563</definedName>
    <definedName name="STT_TraTruocNguoiBan1" localSheetId="2">[1]Thuyet_minh!$BU$563</definedName>
    <definedName name="STT_TraTruocNguoiBan1" localSheetId="4">[1]Thuyet_minh!$BU$563</definedName>
    <definedName name="STT_TraTruocNguoiBan1" localSheetId="5">[1]Thuyet_minh!$BU$563</definedName>
    <definedName name="STT_TraTruocNguoiBan1" localSheetId="6">[1]Thuyet_minh!$BU$563</definedName>
    <definedName name="STT_TraTruocNguoiBan1">Thuyet_minh!$BU$563</definedName>
    <definedName name="STT_TSCDHH" localSheetId="2">[1]Thuyet_minh!$A$755</definedName>
    <definedName name="STT_TSCDHH" localSheetId="4">[1]Thuyet_minh!$A$755</definedName>
    <definedName name="STT_TSCDHH" localSheetId="5">[1]Thuyet_minh!$A$755</definedName>
    <definedName name="STT_TSCDHH" localSheetId="6">[1]Thuyet_minh!$A$755</definedName>
    <definedName name="STT_TSCDHH">Thuyet_minh!$A$755</definedName>
    <definedName name="STT_TSCDHH1" localSheetId="2">[1]Thuyet_minh!$BU$755</definedName>
    <definedName name="STT_TSCDHH1" localSheetId="4">[1]Thuyet_minh!$BU$755</definedName>
    <definedName name="STT_TSCDHH1" localSheetId="5">[1]Thuyet_minh!$BU$755</definedName>
    <definedName name="STT_TSCDHH1" localSheetId="6">[1]Thuyet_minh!$BU$755</definedName>
    <definedName name="STT_TSCDHH1">Thuyet_minh!$BU$755</definedName>
    <definedName name="STT_TSCDTTC" localSheetId="2">[1]Thuyet_minh!$A$789</definedName>
    <definedName name="STT_TSCDTTC" localSheetId="4">[1]Thuyet_minh!$A$789</definedName>
    <definedName name="STT_TSCDTTC" localSheetId="5">[1]Thuyet_minh!$A$789</definedName>
    <definedName name="STT_TSCDTTC" localSheetId="6">[1]Thuyet_minh!$A$789</definedName>
    <definedName name="STT_TSCDTTC">Thuyet_minh!$A$789</definedName>
    <definedName name="STT_TSCDTTC1" localSheetId="2">[1]Thuyet_minh!$BU$789</definedName>
    <definedName name="STT_TSCDTTC1" localSheetId="4">[1]Thuyet_minh!$BU$789</definedName>
    <definedName name="STT_TSCDTTC1" localSheetId="5">[1]Thuyet_minh!$BU$789</definedName>
    <definedName name="STT_TSCDTTC1" localSheetId="6">[1]Thuyet_minh!$BU$789</definedName>
    <definedName name="STT_TSCDTTC1">Thuyet_minh!$BU$789</definedName>
    <definedName name="STT_TSCDVH" localSheetId="2">[1]Thuyet_minh!$A$819</definedName>
    <definedName name="STT_TSCDVH" localSheetId="4">[1]Thuyet_minh!$A$819</definedName>
    <definedName name="STT_TSCDVH" localSheetId="5">[1]Thuyet_minh!$A$819</definedName>
    <definedName name="STT_TSCDVH" localSheetId="6">[1]Thuyet_minh!$A$819</definedName>
    <definedName name="STT_TSCDVH">Thuyet_minh!$A$819</definedName>
    <definedName name="STT_TSCDVH1" localSheetId="2">[1]Thuyet_minh!$BU$819</definedName>
    <definedName name="STT_TSCDVH1" localSheetId="4">[1]Thuyet_minh!$BU$819</definedName>
    <definedName name="STT_TSCDVH1" localSheetId="5">[1]Thuyet_minh!$BU$819</definedName>
    <definedName name="STT_TSCDVH1" localSheetId="6">[1]Thuyet_minh!$BU$819</definedName>
    <definedName name="STT_TSCDVH1">Thuyet_minh!$BU$819</definedName>
    <definedName name="STT_TSKhac" localSheetId="2">[1]Thuyet_minh!$A$926</definedName>
    <definedName name="STT_TSKhac" localSheetId="4">[1]Thuyet_minh!$A$926</definedName>
    <definedName name="STT_TSKhac" localSheetId="5">[1]Thuyet_minh!$A$926</definedName>
    <definedName name="STT_TSKhac" localSheetId="6">[1]Thuyet_minh!$A$926</definedName>
    <definedName name="STT_TSKhac">Thuyet_minh!$A$926</definedName>
    <definedName name="STT_TSKhac1" localSheetId="2">[1]Thuyet_minh!$BU$926</definedName>
    <definedName name="STT_TSKhac1" localSheetId="4">[1]Thuyet_minh!$BU$926</definedName>
    <definedName name="STT_TSKhac1" localSheetId="5">[1]Thuyet_minh!$BU$926</definedName>
    <definedName name="STT_TSKhac1" localSheetId="6">[1]Thuyet_minh!$BU$926</definedName>
    <definedName name="STT_TSKhac1">Thuyet_minh!$BU$926</definedName>
    <definedName name="STT_TSThieu" localSheetId="2">[1]Thuyet_minh!$A$643</definedName>
    <definedName name="STT_TSThieu" localSheetId="4">[1]Thuyet_minh!$A$643</definedName>
    <definedName name="STT_TSThieu" localSheetId="5">[1]Thuyet_minh!$A$643</definedName>
    <definedName name="STT_TSThieu" localSheetId="6">[1]Thuyet_minh!$A$643</definedName>
    <definedName name="STT_TSThieu">Thuyet_minh!$A$643</definedName>
    <definedName name="STT_TSThieu1" localSheetId="2">[1]Thuyet_minh!$BU$643</definedName>
    <definedName name="STT_TSThieu1" localSheetId="4">[1]Thuyet_minh!$BU$643</definedName>
    <definedName name="STT_TSThieu1" localSheetId="5">[1]Thuyet_minh!$BU$643</definedName>
    <definedName name="STT_TSThieu1" localSheetId="6">[1]Thuyet_minh!$BU$643</definedName>
    <definedName name="STT_TSThieu1">Thuyet_minh!$BU$643</definedName>
    <definedName name="STT_VayvaNoThueTC" localSheetId="2">[1]Thuyet_minh!$A$943</definedName>
    <definedName name="STT_VayvaNoThueTC" localSheetId="4">[1]Thuyet_minh!$A$943</definedName>
    <definedName name="STT_VayvaNoThueTC" localSheetId="5">[1]Thuyet_minh!$A$943</definedName>
    <definedName name="STT_VayvaNoThueTC" localSheetId="6">[1]Thuyet_minh!$A$943</definedName>
    <definedName name="STT_VayvaNoThueTC">Thuyet_minh!$A$943</definedName>
    <definedName name="STT_VayvaNoThueTC1" localSheetId="2">[1]Thuyet_minh!$BU$943</definedName>
    <definedName name="STT_VayvaNoThueTC1" localSheetId="4">[1]Thuyet_minh!$BU$943</definedName>
    <definedName name="STT_VayvaNoThueTC1" localSheetId="5">[1]Thuyet_minh!$BU$943</definedName>
    <definedName name="STT_VayvaNoThueTC1" localSheetId="6">[1]Thuyet_minh!$BU$943</definedName>
    <definedName name="STT_VayvaNoThueTC1">Thuyet_minh!$BU$943</definedName>
    <definedName name="STT_VCSH" localSheetId="2">[1]Thuyet_minh!$A$1261</definedName>
    <definedName name="STT_VCSH" localSheetId="4">[1]Thuyet_minh!$A$1261</definedName>
    <definedName name="STT_VCSH" localSheetId="5">[1]Thuyet_minh!$A$1261</definedName>
    <definedName name="STT_VCSH" localSheetId="6">[1]Thuyet_minh!$A$1261</definedName>
    <definedName name="STT_VCSH">Thuyet_minh!$A$1261</definedName>
    <definedName name="STT_VCSH1" localSheetId="2">[1]Thuyet_minh!$BU$1261</definedName>
    <definedName name="STT_VCSH1" localSheetId="4">[1]Thuyet_minh!$BU$1261</definedName>
    <definedName name="STT_VCSH1" localSheetId="5">[1]Thuyet_minh!$BU$1261</definedName>
    <definedName name="STT_VCSH1" localSheetId="6">[1]Thuyet_minh!$BU$1261</definedName>
    <definedName name="STT_VCSH1">Thuyet_minh!$BU$1261</definedName>
    <definedName name="subBullets">[1]Thuyet_minh!$B$49:$B$446</definedName>
    <definedName name="subSTT">CONCATENATE("2.",SUBTOTAL(103,[1]Thuyet_minh!$B$49:$B1))</definedName>
    <definedName name="subTitle">[1]Tong_hop!$D$8:$AG$8</definedName>
    <definedName name="TaxTV">10%</definedName>
    <definedName name="TaxXL">5%</definedName>
    <definedName name="TDe_Time_CDKT_E">[1]Thong_tin!$E$20</definedName>
    <definedName name="TDe_Time_CDKT_V">[1]Thong_tin!$D$20</definedName>
    <definedName name="TDe_Time_KQKD_E">[1]Thong_tin!$E$21</definedName>
    <definedName name="TDe_Time_KQKD_V">[1]Thong_tin!$D$21</definedName>
    <definedName name="TDe_Time_LCTT_E">[1]Thong_tin!$E$22</definedName>
    <definedName name="TDe_Time_LCTT_V">[1]Thong_tin!$D$22</definedName>
    <definedName name="TDe_TMCode">[1]DM!$O$2:$BN$2</definedName>
    <definedName name="Ten_BGD_E">[1]Thong_tin!$E$26</definedName>
    <definedName name="Ten_BGD_V">[1]Thong_tin!$D$26</definedName>
    <definedName name="Ten_CongTy_Bia_E">[1]Thong_tin!$E$13</definedName>
    <definedName name="Ten_CongTy_Bia_V">[1]Thong_tin!$D$13</definedName>
    <definedName name="Ten_CongTy_E">[1]Thong_tin!$E$11</definedName>
    <definedName name="Ten_CongTy_TieuDe_E">[1]Thong_tin!$E$12</definedName>
    <definedName name="Ten_CongTy_TieuDe_V">[1]Thong_tin!$D$12</definedName>
    <definedName name="Ten_CongTy_V">[1]Thong_tin!$D$11</definedName>
    <definedName name="Ten_DDCTKToan_E">[1]Thong_tin!$E$41</definedName>
    <definedName name="Ten_DDCTKToan_V">[1]Thong_tin!$D$41</definedName>
    <definedName name="Ten_DV1">[1]Tong_hop!$F$7</definedName>
    <definedName name="Ten_DV10">[1]Tong_hop!$O$7</definedName>
    <definedName name="Ten_DV2">[1]Tong_hop!$G$7</definedName>
    <definedName name="Ten_DV3">[1]Tong_hop!$H$7</definedName>
    <definedName name="Ten_DV4">[1]Tong_hop!$I$7</definedName>
    <definedName name="Ten_DV5">[1]Tong_hop!$J$7</definedName>
    <definedName name="Ten_DV6">[1]Tong_hop!$K$7</definedName>
    <definedName name="Ten_DV7">[1]Tong_hop!$L$7</definedName>
    <definedName name="Ten_DV8">[1]Tong_hop!$M$7</definedName>
    <definedName name="Ten_DV9">[1]Tong_hop!$N$7</definedName>
    <definedName name="Ten_DVCQ_E">[1]Thong_tin!$E$8</definedName>
    <definedName name="Ten_DVCQ_V">[1]Thong_tin!$D$8</definedName>
    <definedName name="Ten_KTT_E">[1]Thong_tin!$E$31</definedName>
    <definedName name="Ten_KTT_V">[1]Thong_tin!$D$31</definedName>
    <definedName name="Ten_KTV_E">[1]Thong_tin!$E$43</definedName>
    <definedName name="Ten_KTV_V">[1]Thong_tin!$D$43</definedName>
    <definedName name="Ten_NguoiLap_E">[1]Thong_tin!$E$29</definedName>
    <definedName name="Ten_NguoiLap_V">[1]Thong_tin!$D$29</definedName>
    <definedName name="Ten_PTTHop">[1]Thong_tin!$D$68</definedName>
    <definedName name="Ten_ThuTruong_E">[1]Thong_tin!$E$33</definedName>
    <definedName name="Ten_ThuTruong_V">[1]Thong_tin!$D$33</definedName>
    <definedName name="TienThue_TSCD_PSThem">[1]Thong_tin!$D$55</definedName>
    <definedName name="TitleCode_TMVCSH" localSheetId="2">[1]TM_VCSH!$BL$10:$BX$10</definedName>
    <definedName name="TitleCode_TMVCSH">TM_VCSH!#REF!</definedName>
    <definedName name="TK_BS">OFFSET([1]Danh_muc!$C$5,1,0,COUNTA([1]Danh_muc!$B$6:$B$1065),1)</definedName>
    <definedName name="TK_CD">OFFSET([1]Danh_muc!$B$5,1,0,COUNTA([1]Danh_muc!$B$6:$B$1065),1)</definedName>
    <definedName name="TK_PL">OFFSET([1]Danh_muc!$D$5,1,0,COUNTA([1]Danh_muc!$B$6:$B$1065),1)</definedName>
    <definedName name="TK_TB">OFFSET([1]Danh_muc!$A$5,1,0,COUNTA([1]Danh_muc!$B$6:$B$1065),1)</definedName>
    <definedName name="TK_TMinh">[1]TM_ChenhLechTK!$B$9</definedName>
    <definedName name="TKCO">OFFSET([1]Du_lieu!$G$9,1,0,IF(COUNTA([1]Du_lieu!$F:$F)-COUNTA([1]Du_lieu!$F$1:$F$9)&gt;0,COUNTA([1]Du_lieu!$F:$F)-COUNTA([1]Du_lieu!$F$1:$F$9),1),1)</definedName>
    <definedName name="TKNO">OFFSET([1]Du_lieu!$F$9,1,0,IF(COUNTA([1]Du_lieu!$F:$F)-COUNTA([1]Du_lieu!$F$1:$F$9)&gt;0,COUNTA([1]Du_lieu!$F:$F)-COUNTA([1]Du_lieu!$F$1:$F$9),1),1)</definedName>
    <definedName name="TLVHoa">[1]Thong_tin!$D$47</definedName>
    <definedName name="TM_TSCDHH_E" localSheetId="2">[1]TM_TSCDHH!$U$8:$AG$30</definedName>
    <definedName name="TM_TSCDHH_E" localSheetId="5">[1]TM_TSCDHH!$U$8:$AG$30</definedName>
    <definedName name="TM_TSCDHH_E" localSheetId="6">[1]TM_TSCDHH!$U$8:$AG$30</definedName>
    <definedName name="TM_TSCDHH_E">TM_TSCDHH!$U$8:$AG$30</definedName>
    <definedName name="TM_TSCDHH_V" localSheetId="2">[1]TM_TSCDHH!$D$8:$P$30</definedName>
    <definedName name="TM_TSCDHH_V" localSheetId="5">[1]TM_TSCDHH!$D$8:$P$30</definedName>
    <definedName name="TM_TSCDHH_V" localSheetId="6">[1]TM_TSCDHH!$D$8:$P$30</definedName>
    <definedName name="TM_TSCDHH_V">TM_TSCDHH!$D$8:$P$30</definedName>
    <definedName name="TM_TSCDTTC_E">[1]TM_TSCDTTC!$U$8:$AG$29</definedName>
    <definedName name="TM_TSCDTTC_V">[1]TM_TSCDTTC!$D$8:$P$29</definedName>
    <definedName name="TM_TSCDVH_E">[1]TM_TSCDVH!$W$8:$AK$29</definedName>
    <definedName name="TM_TSCDVH_V">[1]TM_TSCDVH!$D$8:$R$29</definedName>
    <definedName name="TM_VCSH" localSheetId="2">[1]TM_VCSH!$D$10:$AB$31</definedName>
    <definedName name="TM_VCSH">TM_VCSH!$D$10:$AB$31</definedName>
    <definedName name="TM_VCSH_E" localSheetId="2">[1]TM_VCSH!$AH$10:$BF$31</definedName>
    <definedName name="TM_VCSH_E">TM_VCSH!$AH$10:$BF$31</definedName>
    <definedName name="TongHop_DcCo">[1]Tong_hop!$R$9:$R$495</definedName>
    <definedName name="TongHop_DcNo">[1]Tong_hop!$Q$9:$Q$495</definedName>
    <definedName name="TongHop_MaChiTieu">[1]Tong_hop!$D$9:$D$495</definedName>
    <definedName name="TongHop_MaChiTieu3">[1]Tong_hop!$D$374:$D$454</definedName>
    <definedName name="TongHop_MaTK">[1]Tong_hop!$B$9:$B$495</definedName>
    <definedName name="TongHop_MaTK1">[1]Tong_hop!$B$9:$B$226</definedName>
    <definedName name="TongHop_MaTK2">[1]Tong_hop!$B$230:$B$368</definedName>
    <definedName name="TongHop_MaTK3">[1]Tong_hop!$B$374:$B$454</definedName>
    <definedName name="TongHop_SauKT1">[1]Tong_hop!$S$9:$S$226</definedName>
    <definedName name="TongHop_SauKT2">[1]Tong_hop!$S$230:$S$368</definedName>
    <definedName name="TongHop_SauKT3">[1]Tong_hop!$S$374:$S$454</definedName>
    <definedName name="TongHop_TruocKT1">[1]Tong_hop!$P$9:$P$226</definedName>
    <definedName name="TongHop_TruocKT2">[1]Tong_hop!$P$230:$P$368</definedName>
    <definedName name="TongHop_TruocKT3">[1]Tong_hop!$P$374:$P$454</definedName>
    <definedName name="TongHop3">[1]Tong_hop!$D$9:$AG$454</definedName>
    <definedName name="VCSH01">TM_VCSH!#REF!</definedName>
    <definedName name="VCSH02">TM_VCSH!#REF!</definedName>
    <definedName name="VCSH03">TM_VCSH!#REF!</definedName>
    <definedName name="VCSH04">TM_VCSH!#REF!</definedName>
    <definedName name="VCSH05">TM_VCSH!#REF!</definedName>
    <definedName name="VCSH06">TM_VCSH!#REF!</definedName>
    <definedName name="VCSH07">TM_VCSH!#REF!</definedName>
    <definedName name="VCSH08">TM_VCSH!#REF!</definedName>
    <definedName name="VCSH09">TM_VCSH!#REF!</definedName>
    <definedName name="VCSH10">TM_VCSH!#REF!</definedName>
    <definedName name="VCSHDc">TM_VCSH!#REF!</definedName>
    <definedName name="XRefColumnsCount">5</definedName>
    <definedName name="XRefCopyRangeCount">6</definedName>
    <definedName name="XRefPasteRangeCount">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6" i="4" l="1"/>
  <c r="E23" i="4"/>
  <c r="D23" i="4" s="1"/>
  <c r="E22" i="4"/>
  <c r="E24" i="4" s="1"/>
  <c r="D22" i="4" l="1"/>
  <c r="D24" i="4" s="1"/>
  <c r="V59" i="1" l="1"/>
  <c r="AN46" i="7"/>
  <c r="AG43" i="7"/>
  <c r="AG15" i="7"/>
  <c r="AG13" i="7"/>
  <c r="AN13" i="7" s="1"/>
  <c r="AG14" i="7"/>
  <c r="CK72" i="9" l="1"/>
  <c r="AS72" i="9"/>
  <c r="A72" i="9"/>
  <c r="CK71" i="9"/>
  <c r="BY71" i="9"/>
  <c r="BQ71" i="9"/>
  <c r="BE71" i="9"/>
  <c r="AS71" i="9"/>
  <c r="AG71" i="9"/>
  <c r="Y71" i="9"/>
  <c r="M71" i="9"/>
  <c r="A71" i="9"/>
  <c r="CK70" i="9"/>
  <c r="BY70" i="9"/>
  <c r="BQ70" i="9"/>
  <c r="BE70" i="9"/>
  <c r="AS70" i="9"/>
  <c r="AG70" i="9"/>
  <c r="Y70" i="9"/>
  <c r="M70" i="9"/>
  <c r="A70" i="9"/>
  <c r="CK69" i="9"/>
  <c r="CK68" i="9"/>
  <c r="CK67" i="9"/>
  <c r="CK66" i="9"/>
  <c r="CK65" i="9"/>
  <c r="CK64" i="9"/>
  <c r="CK63" i="9"/>
  <c r="CK62" i="9"/>
  <c r="CK61" i="9"/>
  <c r="CK60" i="9"/>
  <c r="CK58" i="9"/>
  <c r="CK57" i="9"/>
  <c r="CC57" i="9"/>
  <c r="BV57" i="9"/>
  <c r="BJ57" i="9"/>
  <c r="AV57" i="9"/>
  <c r="AK57" i="9"/>
  <c r="AD57" i="9"/>
  <c r="R57" i="9"/>
  <c r="D57" i="9"/>
  <c r="AS54" i="9"/>
  <c r="AB54" i="9"/>
  <c r="BT54" i="9" s="1"/>
  <c r="CK53" i="9"/>
  <c r="CD53" i="9"/>
  <c r="CM53" i="9" s="1"/>
  <c r="BW53" i="9"/>
  <c r="CL53" i="9" s="1"/>
  <c r="AS53" i="9"/>
  <c r="CD52" i="9"/>
  <c r="CM52" i="9" s="1"/>
  <c r="AS52" i="9"/>
  <c r="AS51" i="9"/>
  <c r="AS50" i="9"/>
  <c r="AL50" i="9"/>
  <c r="CD49" i="9"/>
  <c r="CM49" i="9" s="1"/>
  <c r="AS49" i="9"/>
  <c r="AE49" i="9"/>
  <c r="CD48" i="9"/>
  <c r="CM48" i="9" s="1"/>
  <c r="AS48" i="9"/>
  <c r="AE48" i="9"/>
  <c r="CD47" i="9"/>
  <c r="CM47" i="9" s="1"/>
  <c r="AS47" i="9"/>
  <c r="AE47" i="9"/>
  <c r="CD46" i="9"/>
  <c r="AS46" i="9"/>
  <c r="AE46" i="9"/>
  <c r="CD45" i="9"/>
  <c r="CM45" i="9" s="1"/>
  <c r="AT45" i="9"/>
  <c r="AS45" i="9"/>
  <c r="AE45" i="9"/>
  <c r="CK45" i="9" s="1"/>
  <c r="B45" i="9"/>
  <c r="CD44" i="9"/>
  <c r="CM44" i="9" s="1"/>
  <c r="AT44" i="9"/>
  <c r="AS44" i="9"/>
  <c r="AE44" i="9"/>
  <c r="B44" i="9"/>
  <c r="CM43" i="9"/>
  <c r="CL43" i="9"/>
  <c r="AS43" i="9"/>
  <c r="AS42" i="9"/>
  <c r="AL42" i="9"/>
  <c r="CD41" i="9"/>
  <c r="CM41" i="9" s="1"/>
  <c r="AS41" i="9"/>
  <c r="CD40" i="9"/>
  <c r="CM40" i="9" s="1"/>
  <c r="AS40" i="9"/>
  <c r="AE40" i="9"/>
  <c r="CD39" i="9"/>
  <c r="CM39" i="9" s="1"/>
  <c r="AS39" i="9"/>
  <c r="AE39" i="9"/>
  <c r="CD38" i="9"/>
  <c r="CM38" i="9" s="1"/>
  <c r="AS38" i="9"/>
  <c r="AE38" i="9"/>
  <c r="CD37" i="9"/>
  <c r="CM37" i="9" s="1"/>
  <c r="AS37" i="9"/>
  <c r="AE37" i="9"/>
  <c r="CD36" i="9"/>
  <c r="CM36" i="9" s="1"/>
  <c r="AS36" i="9"/>
  <c r="AE36" i="9"/>
  <c r="CD35" i="9"/>
  <c r="CM35" i="9" s="1"/>
  <c r="AS35" i="9"/>
  <c r="AE35" i="9"/>
  <c r="CM34" i="9"/>
  <c r="CL34" i="9"/>
  <c r="AS34" i="9"/>
  <c r="AS33" i="9"/>
  <c r="CD32" i="9"/>
  <c r="CM32" i="9" s="1"/>
  <c r="AS32" i="9"/>
  <c r="AE32" i="9"/>
  <c r="CK32" i="9" s="1"/>
  <c r="CD31" i="9"/>
  <c r="CM31" i="9" s="1"/>
  <c r="AS31" i="9"/>
  <c r="AE31" i="9"/>
  <c r="CD30" i="9"/>
  <c r="CM30" i="9" s="1"/>
  <c r="AS30" i="9"/>
  <c r="AE30" i="9"/>
  <c r="CK30" i="9" s="1"/>
  <c r="CD29" i="9"/>
  <c r="CM29" i="9" s="1"/>
  <c r="AS29" i="9"/>
  <c r="AE29" i="9"/>
  <c r="CD28" i="9"/>
  <c r="CM28" i="9" s="1"/>
  <c r="AS28" i="9"/>
  <c r="CD27" i="9"/>
  <c r="CM27" i="9" s="1"/>
  <c r="AS27" i="9"/>
  <c r="CM26" i="9"/>
  <c r="CL26" i="9"/>
  <c r="AS26" i="9"/>
  <c r="CD25" i="9"/>
  <c r="CM25" i="9" s="1"/>
  <c r="AS25" i="9"/>
  <c r="CD24" i="9"/>
  <c r="CM24" i="9" s="1"/>
  <c r="AS24" i="9"/>
  <c r="CD23" i="9"/>
  <c r="CM23" i="9" s="1"/>
  <c r="AS23" i="9"/>
  <c r="CM22" i="9"/>
  <c r="CL22" i="9"/>
  <c r="AS22" i="9"/>
  <c r="AS21" i="9"/>
  <c r="CD20" i="9"/>
  <c r="CM20" i="9" s="1"/>
  <c r="AS20" i="9"/>
  <c r="AB20" i="9"/>
  <c r="BT20" i="9" s="1"/>
  <c r="CD19" i="9"/>
  <c r="CM19" i="9" s="1"/>
  <c r="BT19" i="9"/>
  <c r="AS19" i="9"/>
  <c r="CD18" i="9"/>
  <c r="CM18" i="9" s="1"/>
  <c r="BT18" i="9"/>
  <c r="AS18" i="9"/>
  <c r="CD17" i="9"/>
  <c r="CM17" i="9" s="1"/>
  <c r="AS17" i="9"/>
  <c r="CD16" i="9"/>
  <c r="CM16" i="9" s="1"/>
  <c r="AS16" i="9"/>
  <c r="CD15" i="9"/>
  <c r="CM15" i="9" s="1"/>
  <c r="AS15" i="9"/>
  <c r="CM14" i="9"/>
  <c r="CL14" i="9"/>
  <c r="CK14" i="9"/>
  <c r="AS14" i="9"/>
  <c r="AS13" i="9"/>
  <c r="CM12" i="9"/>
  <c r="CL12" i="9"/>
  <c r="AS12" i="9"/>
  <c r="CD11" i="9"/>
  <c r="BW11" i="9"/>
  <c r="AL11" i="9"/>
  <c r="CM11" i="9" s="1"/>
  <c r="AE11" i="9"/>
  <c r="CL11" i="9" s="1"/>
  <c r="CD10" i="9"/>
  <c r="BW10" i="9"/>
  <c r="AL10" i="9"/>
  <c r="CM10" i="9" s="1"/>
  <c r="AE10" i="9"/>
  <c r="CL10" i="9" s="1"/>
  <c r="CM7" i="9"/>
  <c r="CL7" i="9"/>
  <c r="AS7" i="9"/>
  <c r="A7" i="9"/>
  <c r="A6" i="9"/>
  <c r="CJ3" i="9"/>
  <c r="AS3" i="9"/>
  <c r="AR3" i="9"/>
  <c r="A3" i="9"/>
  <c r="CJ2" i="9"/>
  <c r="AS2" i="9"/>
  <c r="AR2" i="9"/>
  <c r="A2" i="9"/>
  <c r="AS1" i="9"/>
  <c r="A1" i="9"/>
  <c r="BW45" i="9" l="1"/>
  <c r="BW38" i="9"/>
  <c r="CL38" i="9" s="1"/>
  <c r="CK38" i="9"/>
  <c r="BW49" i="9"/>
  <c r="CL49" i="9" s="1"/>
  <c r="CK49" i="9"/>
  <c r="BW36" i="9"/>
  <c r="CL36" i="9" s="1"/>
  <c r="CK36" i="9"/>
  <c r="BW40" i="9"/>
  <c r="CL40" i="9" s="1"/>
  <c r="CK40" i="9"/>
  <c r="CD42" i="9"/>
  <c r="CM42" i="9" s="1"/>
  <c r="CL45" i="9"/>
  <c r="BW47" i="9"/>
  <c r="CL47" i="9" s="1"/>
  <c r="CK47" i="9"/>
  <c r="CK35" i="9"/>
  <c r="BW35" i="9"/>
  <c r="CL35" i="9" s="1"/>
  <c r="CK37" i="9"/>
  <c r="BW37" i="9"/>
  <c r="CL37" i="9" s="1"/>
  <c r="CK39" i="9"/>
  <c r="BW39" i="9"/>
  <c r="CL39" i="9" s="1"/>
  <c r="CK44" i="9"/>
  <c r="BW44" i="9"/>
  <c r="CL44" i="9" s="1"/>
  <c r="CD50" i="9"/>
  <c r="CM50" i="9" s="1"/>
  <c r="CM46" i="9"/>
  <c r="BW29" i="9"/>
  <c r="CL29" i="9" s="1"/>
  <c r="CK29" i="9"/>
  <c r="BW31" i="9"/>
  <c r="CL31" i="9" s="1"/>
  <c r="CK31" i="9"/>
  <c r="AE50" i="9"/>
  <c r="CK46" i="9"/>
  <c r="BW46" i="9"/>
  <c r="CK48" i="9"/>
  <c r="BW48" i="9"/>
  <c r="CL48" i="9" s="1"/>
  <c r="BW30" i="9"/>
  <c r="CL30" i="9" s="1"/>
  <c r="BW32" i="9"/>
  <c r="CL32" i="9" s="1"/>
  <c r="BW50" i="9" l="1"/>
  <c r="CL46" i="9"/>
  <c r="AT49" i="9"/>
  <c r="B48" i="9"/>
  <c r="AT47" i="9"/>
  <c r="B46" i="9"/>
  <c r="AT48" i="9"/>
  <c r="AT46" i="9"/>
  <c r="B49" i="9"/>
  <c r="B47" i="9"/>
  <c r="AT40" i="9"/>
  <c r="B39" i="9"/>
  <c r="AT38" i="9"/>
  <c r="B37" i="9"/>
  <c r="AT36" i="9"/>
  <c r="B35" i="9"/>
  <c r="B40" i="9"/>
  <c r="B38" i="9"/>
  <c r="B36" i="9"/>
  <c r="AT39" i="9"/>
  <c r="AT37" i="9"/>
  <c r="AT35" i="9"/>
  <c r="CL50" i="9"/>
  <c r="CK50" i="9"/>
  <c r="CK43" i="9" s="1"/>
  <c r="AE28" i="9" l="1"/>
  <c r="AE52" i="9"/>
  <c r="AE20" i="9" l="1"/>
  <c r="CK52" i="9"/>
  <c r="BW52" i="9"/>
  <c r="CL52" i="9" s="1"/>
  <c r="CK28" i="9"/>
  <c r="BW28" i="9"/>
  <c r="CL28" i="9" s="1"/>
  <c r="AE17" i="9"/>
  <c r="AE41" i="9"/>
  <c r="AE15" i="9" l="1"/>
  <c r="CK20" i="9"/>
  <c r="BW20" i="9"/>
  <c r="CL20" i="9" s="1"/>
  <c r="CK17" i="9"/>
  <c r="BW17" i="9"/>
  <c r="CL17" i="9" s="1"/>
  <c r="CK41" i="9"/>
  <c r="BW41" i="9"/>
  <c r="BW42" i="9" s="1"/>
  <c r="AE42" i="9"/>
  <c r="AE23" i="9"/>
  <c r="CL41" i="9" l="1"/>
  <c r="AE16" i="9"/>
  <c r="CK23" i="9"/>
  <c r="BW23" i="9"/>
  <c r="CL23" i="9" s="1"/>
  <c r="CK42" i="9"/>
  <c r="CK34" i="9" s="1"/>
  <c r="CL42" i="9"/>
  <c r="CK15" i="9"/>
  <c r="BW15" i="9"/>
  <c r="CL15" i="9" s="1"/>
  <c r="B41" i="9"/>
  <c r="AT41" i="9"/>
  <c r="AL13" i="9"/>
  <c r="AE13" i="9"/>
  <c r="CK16" i="9" l="1"/>
  <c r="BW16" i="9"/>
  <c r="CL16" i="9" s="1"/>
  <c r="CK13" i="9"/>
  <c r="BW13" i="9"/>
  <c r="CL13" i="9" s="1"/>
  <c r="AL21" i="9"/>
  <c r="CD13" i="9"/>
  <c r="CD21" i="9" s="1"/>
  <c r="CD33" i="9" s="1"/>
  <c r="CD51" i="9" s="1"/>
  <c r="CD54" i="9" s="1"/>
  <c r="CM13" i="9" l="1"/>
  <c r="AL33" i="9"/>
  <c r="CM21" i="9"/>
  <c r="AL51" i="9" l="1"/>
  <c r="CM33" i="9"/>
  <c r="CM51" i="9" l="1"/>
  <c r="AL54" i="9"/>
  <c r="CM54" i="9" s="1"/>
  <c r="AE19" i="9" l="1"/>
  <c r="AE18" i="9"/>
  <c r="CK19" i="9" l="1"/>
  <c r="BW19" i="9"/>
  <c r="CL19" i="9" s="1"/>
  <c r="CK18" i="9"/>
  <c r="BW18" i="9"/>
  <c r="BW21" i="9" s="1"/>
  <c r="AE21" i="9"/>
  <c r="AE27" i="9"/>
  <c r="AE24" i="9"/>
  <c r="CK24" i="9" l="1"/>
  <c r="BW24" i="9"/>
  <c r="CL24" i="9" s="1"/>
  <c r="CL18" i="9"/>
  <c r="CK27" i="9"/>
  <c r="BW27" i="9"/>
  <c r="CL27" i="9" s="1"/>
  <c r="CK21" i="9"/>
  <c r="CK22" i="9" s="1"/>
  <c r="CL21" i="9"/>
  <c r="AE25" i="9" l="1"/>
  <c r="CK25" i="9" l="1"/>
  <c r="CK26" i="9" s="1"/>
  <c r="BW25" i="9"/>
  <c r="BW33" i="9" s="1"/>
  <c r="BW51" i="9" s="1"/>
  <c r="BW54" i="9" s="1"/>
  <c r="AE33" i="9"/>
  <c r="CK33" i="9" l="1"/>
  <c r="AE51" i="9"/>
  <c r="CL33" i="9"/>
  <c r="CL25" i="9"/>
  <c r="AE54" i="9" l="1"/>
  <c r="CK51" i="9"/>
  <c r="CL51" i="9"/>
  <c r="CK12" i="9"/>
  <c r="CL57" i="9" l="1"/>
  <c r="CK54" i="9"/>
  <c r="CL54" i="9"/>
  <c r="C25" i="5" l="1"/>
  <c r="L41" i="8" l="1"/>
  <c r="L43" i="8" s="1"/>
  <c r="F41" i="8"/>
  <c r="C41" i="8"/>
  <c r="F40" i="8"/>
  <c r="C40" i="8"/>
  <c r="F39" i="8"/>
  <c r="F43" i="8" s="1"/>
  <c r="C39" i="8"/>
  <c r="J38" i="8"/>
  <c r="C38" i="8"/>
  <c r="C37" i="8"/>
  <c r="R35" i="8"/>
  <c r="L35" i="8"/>
  <c r="J35" i="8"/>
  <c r="F35" i="8"/>
  <c r="R34" i="8"/>
  <c r="J34" i="8"/>
  <c r="BF29" i="8"/>
  <c r="BC29" i="8"/>
  <c r="BA29" i="8"/>
  <c r="AW29" i="8"/>
  <c r="AU29" i="8"/>
  <c r="AS29" i="8"/>
  <c r="AQ29" i="8"/>
  <c r="AO29" i="8"/>
  <c r="AM29" i="8"/>
  <c r="AK29" i="8"/>
  <c r="AI29" i="8"/>
  <c r="BF28" i="8"/>
  <c r="BC28" i="8"/>
  <c r="BA28" i="8"/>
  <c r="AW28" i="8"/>
  <c r="AU28" i="8"/>
  <c r="AS28" i="8"/>
  <c r="AQ28" i="8"/>
  <c r="AO28" i="8"/>
  <c r="AM28" i="8"/>
  <c r="AK28" i="8"/>
  <c r="AI28" i="8"/>
  <c r="BF27" i="8"/>
  <c r="BC27" i="8"/>
  <c r="BA27" i="8"/>
  <c r="AW27" i="8"/>
  <c r="AU27" i="8"/>
  <c r="AS27" i="8"/>
  <c r="AQ27" i="8"/>
  <c r="AO27" i="8"/>
  <c r="AM27" i="8"/>
  <c r="AK27" i="8"/>
  <c r="AI27" i="8"/>
  <c r="BF26" i="8"/>
  <c r="BC26" i="8"/>
  <c r="BA26" i="8"/>
  <c r="AW26" i="8"/>
  <c r="AU26" i="8"/>
  <c r="AS26" i="8"/>
  <c r="AQ26" i="8"/>
  <c r="AO26" i="8"/>
  <c r="AM26" i="8"/>
  <c r="AK26" i="8"/>
  <c r="AI26" i="8"/>
  <c r="BC25" i="8"/>
  <c r="BA25" i="8"/>
  <c r="AW25" i="8"/>
  <c r="AU25" i="8"/>
  <c r="AS25" i="8"/>
  <c r="AQ25" i="8"/>
  <c r="AO25" i="8"/>
  <c r="AM25" i="8"/>
  <c r="AK25" i="8"/>
  <c r="AI25" i="8"/>
  <c r="BF24" i="8"/>
  <c r="BC24" i="8"/>
  <c r="BA24" i="8"/>
  <c r="AW24" i="8"/>
  <c r="AU24" i="8"/>
  <c r="AS24" i="8"/>
  <c r="AQ24" i="8"/>
  <c r="AO24" i="8"/>
  <c r="AM24" i="8"/>
  <c r="AK24" i="8"/>
  <c r="AI24" i="8"/>
  <c r="BF20" i="8"/>
  <c r="BC20" i="8"/>
  <c r="BA20" i="8"/>
  <c r="AW20" i="8"/>
  <c r="AU20" i="8"/>
  <c r="AS20" i="8"/>
  <c r="AQ20" i="8"/>
  <c r="AO20" i="8"/>
  <c r="AM20" i="8"/>
  <c r="AK20" i="8"/>
  <c r="AI20" i="8"/>
  <c r="BF19" i="8"/>
  <c r="BC19" i="8"/>
  <c r="BA19" i="8"/>
  <c r="AW19" i="8"/>
  <c r="AU19" i="8"/>
  <c r="AS19" i="8"/>
  <c r="AQ19" i="8"/>
  <c r="AO19" i="8"/>
  <c r="AM19" i="8"/>
  <c r="AK19" i="8"/>
  <c r="AI19" i="8"/>
  <c r="BF18" i="8"/>
  <c r="BC18" i="8"/>
  <c r="BA18" i="8"/>
  <c r="AW18" i="8"/>
  <c r="AU18" i="8"/>
  <c r="AS18" i="8"/>
  <c r="AQ18" i="8"/>
  <c r="AO18" i="8"/>
  <c r="AM18" i="8"/>
  <c r="AK18" i="8"/>
  <c r="AI18" i="8"/>
  <c r="BF17" i="8"/>
  <c r="BC17" i="8"/>
  <c r="BA17" i="8"/>
  <c r="AW17" i="8"/>
  <c r="AU17" i="8"/>
  <c r="AS17" i="8"/>
  <c r="AQ17" i="8"/>
  <c r="AO17" i="8"/>
  <c r="AM17" i="8"/>
  <c r="AK17" i="8"/>
  <c r="AI17" i="8"/>
  <c r="BC16" i="8"/>
  <c r="BA16" i="8"/>
  <c r="AW16" i="8"/>
  <c r="AU16" i="8"/>
  <c r="AS16" i="8"/>
  <c r="AQ16" i="8"/>
  <c r="AO16" i="8"/>
  <c r="AM16" i="8"/>
  <c r="AK16" i="8"/>
  <c r="AI16" i="8"/>
  <c r="BF15" i="8"/>
  <c r="BC15" i="8"/>
  <c r="BA15" i="8"/>
  <c r="AW15" i="8"/>
  <c r="AU15" i="8"/>
  <c r="AS15" i="8"/>
  <c r="AQ15" i="8"/>
  <c r="AO15" i="8"/>
  <c r="AM15" i="8"/>
  <c r="AK15" i="8"/>
  <c r="AI15" i="8"/>
  <c r="BC14" i="8"/>
  <c r="BA14" i="8"/>
  <c r="AW14" i="8"/>
  <c r="AU14" i="8"/>
  <c r="AS14" i="8"/>
  <c r="AQ14" i="8"/>
  <c r="AO14" i="8"/>
  <c r="AM14" i="8"/>
  <c r="AK14" i="8"/>
  <c r="AI14" i="8"/>
  <c r="BF12" i="8"/>
  <c r="BD12" i="8"/>
  <c r="BB12" i="8"/>
  <c r="AZ12" i="8"/>
  <c r="AV12" i="8"/>
  <c r="AT12" i="8"/>
  <c r="AR12" i="8"/>
  <c r="AP12" i="8"/>
  <c r="AN12" i="8"/>
  <c r="AL12" i="8"/>
  <c r="AJ12" i="8"/>
  <c r="AH12" i="8"/>
  <c r="AB12" i="8"/>
  <c r="Z12" i="8"/>
  <c r="X12" i="8"/>
  <c r="V12" i="8"/>
  <c r="T12" i="8"/>
  <c r="R12" i="8"/>
  <c r="P12" i="8"/>
  <c r="N12" i="8"/>
  <c r="L12" i="8"/>
  <c r="J12" i="8"/>
  <c r="H12" i="8"/>
  <c r="F12" i="8"/>
  <c r="D12" i="8"/>
  <c r="BF10" i="8"/>
  <c r="BD10" i="8"/>
  <c r="BB10" i="8"/>
  <c r="AZ10" i="8"/>
  <c r="AX10" i="8"/>
  <c r="AV10" i="8"/>
  <c r="AT10" i="8"/>
  <c r="AR10" i="8"/>
  <c r="AP10" i="8"/>
  <c r="AN10" i="8"/>
  <c r="AL10" i="8"/>
  <c r="AJ10" i="8"/>
  <c r="AH10" i="8"/>
  <c r="C6" i="8"/>
  <c r="A6" i="8"/>
  <c r="AE6" i="8" s="1"/>
  <c r="BF3" i="8"/>
  <c r="AE3" i="8"/>
  <c r="AB3" i="8"/>
  <c r="A3" i="8"/>
  <c r="BF2" i="8"/>
  <c r="AE2" i="8"/>
  <c r="AB2" i="8"/>
  <c r="A2" i="8"/>
  <c r="AE1" i="8"/>
  <c r="A1" i="8"/>
  <c r="CQ115" i="7"/>
  <c r="CQ114" i="7"/>
  <c r="CQ113" i="7"/>
  <c r="CH112" i="7"/>
  <c r="CA112" i="7"/>
  <c r="BT112" i="7"/>
  <c r="BM112" i="7"/>
  <c r="AN112" i="7"/>
  <c r="AG112" i="7"/>
  <c r="Z112" i="7"/>
  <c r="S112" i="7"/>
  <c r="CQ112" i="7" s="1"/>
  <c r="CQ111" i="7"/>
  <c r="CH110" i="7"/>
  <c r="CA110" i="7"/>
  <c r="BT110" i="7"/>
  <c r="BM110" i="7"/>
  <c r="CQ110" i="7" s="1"/>
  <c r="CH109" i="7"/>
  <c r="CA109" i="7"/>
  <c r="BT109" i="7"/>
  <c r="BM109" i="7"/>
  <c r="CQ109" i="7" s="1"/>
  <c r="CQ108" i="7"/>
  <c r="CQ107" i="7"/>
  <c r="CH106" i="7"/>
  <c r="CA106" i="7"/>
  <c r="BT106" i="7"/>
  <c r="BM106" i="7"/>
  <c r="CQ106" i="7" s="1"/>
  <c r="CH105" i="7"/>
  <c r="CA105" i="7"/>
  <c r="BT105" i="7"/>
  <c r="BM105" i="7"/>
  <c r="CQ105" i="7" s="1"/>
  <c r="CQ104" i="7"/>
  <c r="CQ103" i="7"/>
  <c r="CQ102" i="7"/>
  <c r="CH102" i="7"/>
  <c r="CA102" i="7"/>
  <c r="BT102" i="7"/>
  <c r="BM102" i="7"/>
  <c r="AN102" i="7"/>
  <c r="AG102" i="7"/>
  <c r="Z102" i="7"/>
  <c r="S102" i="7"/>
  <c r="CQ101" i="7"/>
  <c r="CQ100" i="7"/>
  <c r="CF100" i="7"/>
  <c r="CA100" i="7"/>
  <c r="BM100" i="7"/>
  <c r="AL100" i="7"/>
  <c r="AG100" i="7"/>
  <c r="S100" i="7"/>
  <c r="CQ99" i="7"/>
  <c r="CQ98" i="7"/>
  <c r="CQ97" i="7"/>
  <c r="CQ96" i="7"/>
  <c r="CH95" i="7"/>
  <c r="CA95" i="7"/>
  <c r="BT95" i="7"/>
  <c r="BM95" i="7"/>
  <c r="AN95" i="7"/>
  <c r="AG95" i="7"/>
  <c r="Z95" i="7"/>
  <c r="S95" i="7"/>
  <c r="CQ95" i="7" s="1"/>
  <c r="CQ94" i="7"/>
  <c r="CH93" i="7"/>
  <c r="CA93" i="7"/>
  <c r="BT93" i="7"/>
  <c r="BM93" i="7"/>
  <c r="CQ93" i="7" s="1"/>
  <c r="CH92" i="7"/>
  <c r="CA92" i="7"/>
  <c r="BT92" i="7"/>
  <c r="BM92" i="7"/>
  <c r="CQ92" i="7" s="1"/>
  <c r="CQ91" i="7"/>
  <c r="CQ90" i="7"/>
  <c r="CH90" i="7"/>
  <c r="CA90" i="7"/>
  <c r="BT90" i="7"/>
  <c r="BM90" i="7"/>
  <c r="AN90" i="7"/>
  <c r="AG90" i="7"/>
  <c r="Z90" i="7"/>
  <c r="S90" i="7"/>
  <c r="CQ89" i="7"/>
  <c r="CQ88" i="7"/>
  <c r="CF88" i="7"/>
  <c r="CA88" i="7"/>
  <c r="BM88" i="7"/>
  <c r="AL88" i="7"/>
  <c r="AG88" i="7"/>
  <c r="S88" i="7"/>
  <c r="CQ87" i="7"/>
  <c r="CQ86" i="7"/>
  <c r="CM85" i="7"/>
  <c r="CH85" i="7"/>
  <c r="CF85" i="7"/>
  <c r="CA85" i="7"/>
  <c r="BY85" i="7"/>
  <c r="BT85" i="7"/>
  <c r="BR85" i="7"/>
  <c r="BM85" i="7"/>
  <c r="BK85" i="7"/>
  <c r="BF85" i="7"/>
  <c r="BD85" i="7"/>
  <c r="AY85" i="7"/>
  <c r="AS85" i="7"/>
  <c r="AN85" i="7"/>
  <c r="AL85" i="7"/>
  <c r="AG85" i="7"/>
  <c r="AE85" i="7"/>
  <c r="Z85" i="7"/>
  <c r="X85" i="7"/>
  <c r="S85" i="7"/>
  <c r="Q85" i="7"/>
  <c r="L85" i="7"/>
  <c r="J85" i="7"/>
  <c r="E85" i="7"/>
  <c r="CQ85" i="7" s="1"/>
  <c r="CQ84" i="7"/>
  <c r="CH83" i="7"/>
  <c r="CA83" i="7"/>
  <c r="BT83" i="7"/>
  <c r="BM83" i="7"/>
  <c r="BF83" i="7"/>
  <c r="AY83" i="7"/>
  <c r="CQ83" i="7" s="1"/>
  <c r="CH82" i="7"/>
  <c r="CA82" i="7"/>
  <c r="BT82" i="7"/>
  <c r="BM82" i="7"/>
  <c r="BF82" i="7"/>
  <c r="AY82" i="7"/>
  <c r="CQ82" i="7" s="1"/>
  <c r="CH81" i="7"/>
  <c r="CA81" i="7"/>
  <c r="BT81" i="7"/>
  <c r="BM81" i="7"/>
  <c r="BF81" i="7"/>
  <c r="AY81" i="7"/>
  <c r="CQ81" i="7" s="1"/>
  <c r="CQ80" i="7"/>
  <c r="CQ79" i="7"/>
  <c r="CH79" i="7"/>
  <c r="CA79" i="7"/>
  <c r="BT79" i="7"/>
  <c r="BM79" i="7"/>
  <c r="BF79" i="7"/>
  <c r="AY79" i="7"/>
  <c r="AN79" i="7"/>
  <c r="AG79" i="7"/>
  <c r="Z79" i="7"/>
  <c r="S79" i="7"/>
  <c r="L79" i="7"/>
  <c r="E79" i="7"/>
  <c r="CQ78" i="7"/>
  <c r="CQ77" i="7"/>
  <c r="BT77" i="7"/>
  <c r="AY77" i="7"/>
  <c r="Z77" i="7"/>
  <c r="E77" i="7"/>
  <c r="CQ76" i="7"/>
  <c r="CQ75" i="7"/>
  <c r="CQ74" i="7"/>
  <c r="CQ73" i="7"/>
  <c r="CQ72" i="7"/>
  <c r="CQ71" i="7"/>
  <c r="CQ70" i="7"/>
  <c r="CQ69" i="7"/>
  <c r="CQ68" i="7"/>
  <c r="CQ67" i="7"/>
  <c r="CQ65" i="7"/>
  <c r="CQ64" i="7"/>
  <c r="CQ63" i="7"/>
  <c r="CQ62" i="7"/>
  <c r="CH62" i="7"/>
  <c r="CH66" i="7" s="1"/>
  <c r="CA62" i="7"/>
  <c r="CA66" i="7" s="1"/>
  <c r="AN62" i="7"/>
  <c r="AN66" i="7" s="1"/>
  <c r="AG62" i="7"/>
  <c r="AG66" i="7" s="1"/>
  <c r="CQ61" i="7"/>
  <c r="CH60" i="7"/>
  <c r="CA60" i="7"/>
  <c r="CQ60" i="7" s="1"/>
  <c r="CH59" i="7"/>
  <c r="CA59" i="7"/>
  <c r="CQ59" i="7" s="1"/>
  <c r="CQ58" i="7"/>
  <c r="CQ57" i="7"/>
  <c r="CH57" i="7"/>
  <c r="CA57" i="7"/>
  <c r="AN57" i="7"/>
  <c r="AG57" i="7"/>
  <c r="CQ56" i="7"/>
  <c r="CH56" i="7"/>
  <c r="CA56" i="7"/>
  <c r="AN56" i="7"/>
  <c r="AG56" i="7"/>
  <c r="CQ55" i="7"/>
  <c r="CQ54" i="7"/>
  <c r="CQ53" i="7"/>
  <c r="CQ52" i="7"/>
  <c r="CQ51" i="7"/>
  <c r="CQ50" i="7"/>
  <c r="CQ49" i="7"/>
  <c r="CQ48" i="7"/>
  <c r="CQ47" i="7"/>
  <c r="CQ46" i="7"/>
  <c r="CH46" i="7"/>
  <c r="CA46" i="7"/>
  <c r="CP46" i="7"/>
  <c r="CQ45" i="7"/>
  <c r="CQ41" i="7"/>
  <c r="CQ40" i="7"/>
  <c r="CH40" i="7"/>
  <c r="CA40" i="7"/>
  <c r="AN40" i="7"/>
  <c r="AG40" i="7"/>
  <c r="CQ39" i="7"/>
  <c r="CH39" i="7"/>
  <c r="CA39" i="7"/>
  <c r="AN39" i="7"/>
  <c r="AG39" i="7"/>
  <c r="CQ38" i="7"/>
  <c r="CQ37" i="7"/>
  <c r="CQ36" i="7"/>
  <c r="CQ35" i="7"/>
  <c r="CQ33" i="7"/>
  <c r="CQ32" i="7"/>
  <c r="CQ31" i="7"/>
  <c r="CQ30" i="7"/>
  <c r="CQ29" i="7"/>
  <c r="CQ27" i="7"/>
  <c r="Z26" i="7"/>
  <c r="S26" i="7"/>
  <c r="E26" i="7"/>
  <c r="CP26" i="7" s="1"/>
  <c r="CQ25" i="7"/>
  <c r="CH24" i="7"/>
  <c r="CH28" i="7" s="1"/>
  <c r="CA24" i="7"/>
  <c r="CA28" i="7" s="1"/>
  <c r="BT24" i="7"/>
  <c r="BT28" i="7" s="1"/>
  <c r="BM24" i="7"/>
  <c r="BM28" i="7" s="1"/>
  <c r="BF24" i="7"/>
  <c r="BF28" i="7" s="1"/>
  <c r="AY24" i="7"/>
  <c r="AY28" i="7" s="1"/>
  <c r="AN24" i="7"/>
  <c r="AG24" i="7"/>
  <c r="CO62" i="7" s="1"/>
  <c r="Z24" i="7"/>
  <c r="S24" i="7"/>
  <c r="L24" i="7"/>
  <c r="E24" i="7"/>
  <c r="CP62" i="7" s="1"/>
  <c r="CQ23" i="7"/>
  <c r="CH22" i="7"/>
  <c r="CA22" i="7"/>
  <c r="BT22" i="7"/>
  <c r="BM22" i="7"/>
  <c r="BF22" i="7"/>
  <c r="AY22" i="7"/>
  <c r="CQ22" i="7" s="1"/>
  <c r="AG22" i="7"/>
  <c r="CH21" i="7"/>
  <c r="CA21" i="7"/>
  <c r="BT21" i="7"/>
  <c r="BM21" i="7"/>
  <c r="BF21" i="7"/>
  <c r="AY21" i="7"/>
  <c r="CQ21" i="7" s="1"/>
  <c r="AG21" i="7"/>
  <c r="CH20" i="7"/>
  <c r="CA20" i="7"/>
  <c r="BT20" i="7"/>
  <c r="BM20" i="7"/>
  <c r="BF20" i="7"/>
  <c r="AY20" i="7"/>
  <c r="CQ20" i="7" s="1"/>
  <c r="AG20" i="7"/>
  <c r="CQ19" i="7"/>
  <c r="CQ18" i="7"/>
  <c r="Z17" i="7"/>
  <c r="S17" i="7"/>
  <c r="E17" i="7"/>
  <c r="CQ16" i="7"/>
  <c r="BT15" i="7"/>
  <c r="BM15" i="7"/>
  <c r="AY15" i="7"/>
  <c r="AN15" i="7"/>
  <c r="L26" i="7"/>
  <c r="AN14" i="7"/>
  <c r="CQ43" i="7" s="1"/>
  <c r="BT13" i="7"/>
  <c r="BT17" i="7" s="1"/>
  <c r="BM13" i="7"/>
  <c r="AY13" i="7"/>
  <c r="AG42" i="7"/>
  <c r="CA13" i="7"/>
  <c r="L17" i="7"/>
  <c r="CQ12" i="7"/>
  <c r="CQ11" i="7"/>
  <c r="CQ10" i="7"/>
  <c r="CH10" i="7"/>
  <c r="CA10" i="7"/>
  <c r="BT10" i="7"/>
  <c r="BM10" i="7"/>
  <c r="BF10" i="7"/>
  <c r="AY10" i="7"/>
  <c r="AN10" i="7"/>
  <c r="AG10" i="7"/>
  <c r="Z10" i="7"/>
  <c r="S10" i="7"/>
  <c r="L10" i="7"/>
  <c r="E10" i="7"/>
  <c r="CQ9" i="7"/>
  <c r="CQ8" i="7"/>
  <c r="CA8" i="7"/>
  <c r="AY8" i="7"/>
  <c r="AG8" i="7"/>
  <c r="E8" i="7"/>
  <c r="CQ7" i="7"/>
  <c r="CQ6" i="7"/>
  <c r="A6" i="7"/>
  <c r="AU6" i="7" s="1"/>
  <c r="CM3" i="7"/>
  <c r="AU3" i="7"/>
  <c r="AS3" i="7"/>
  <c r="A3" i="7"/>
  <c r="CM2" i="7"/>
  <c r="AU2" i="7"/>
  <c r="AS2" i="7"/>
  <c r="A2" i="7"/>
  <c r="AU1" i="7"/>
  <c r="A1" i="7"/>
  <c r="AG31" i="6"/>
  <c r="AE31" i="6"/>
  <c r="AC31" i="6"/>
  <c r="AA31" i="6"/>
  <c r="Y31" i="6"/>
  <c r="W31" i="6"/>
  <c r="U31" i="6"/>
  <c r="AG24" i="6"/>
  <c r="AG16" i="6"/>
  <c r="AG15" i="6"/>
  <c r="AG10" i="6"/>
  <c r="AE10" i="6"/>
  <c r="AC10" i="6"/>
  <c r="AA10" i="6"/>
  <c r="Y10" i="6"/>
  <c r="W10" i="6"/>
  <c r="U10" i="6"/>
  <c r="P10" i="6"/>
  <c r="N10" i="6"/>
  <c r="L10" i="6"/>
  <c r="J10" i="6"/>
  <c r="H10" i="6"/>
  <c r="F10" i="6"/>
  <c r="D10" i="6"/>
  <c r="AG8" i="6"/>
  <c r="AE8" i="6"/>
  <c r="AC8" i="6"/>
  <c r="AA8" i="6"/>
  <c r="Y8" i="6"/>
  <c r="W8" i="6"/>
  <c r="U8" i="6"/>
  <c r="C6" i="6"/>
  <c r="A6" i="6"/>
  <c r="R6" i="6" s="1"/>
  <c r="AG3" i="6"/>
  <c r="R3" i="6"/>
  <c r="P3" i="6"/>
  <c r="A3" i="6"/>
  <c r="AG2" i="6"/>
  <c r="R2" i="6"/>
  <c r="P2" i="6"/>
  <c r="A2" i="6"/>
  <c r="R1" i="6"/>
  <c r="A1" i="6"/>
  <c r="AK2013" i="5"/>
  <c r="A2013" i="5"/>
  <c r="BI2012" i="5"/>
  <c r="AW2012" i="5"/>
  <c r="AK2012" i="5"/>
  <c r="Y2012" i="5"/>
  <c r="M2012" i="5"/>
  <c r="A2012" i="5"/>
  <c r="BI2011" i="5"/>
  <c r="AW2011" i="5"/>
  <c r="AK2011" i="5"/>
  <c r="Y2011" i="5"/>
  <c r="M2011" i="5"/>
  <c r="A2011" i="5"/>
  <c r="BN1996" i="5"/>
  <c r="BB1996" i="5"/>
  <c r="AO1996" i="5"/>
  <c r="AD1996" i="5"/>
  <c r="R1996" i="5"/>
  <c r="E1996" i="5"/>
  <c r="BN1994" i="5"/>
  <c r="BG1994" i="5"/>
  <c r="BC1994" i="5"/>
  <c r="BN1993" i="5"/>
  <c r="BG1993" i="5"/>
  <c r="BC1993" i="5"/>
  <c r="BC1992" i="5"/>
  <c r="C1992" i="5"/>
  <c r="BN1991" i="5"/>
  <c r="BG1991" i="5"/>
  <c r="BC1991" i="5"/>
  <c r="BN1990" i="5"/>
  <c r="BG1990" i="5"/>
  <c r="BC1990" i="5"/>
  <c r="BC1989" i="5"/>
  <c r="C1989" i="5"/>
  <c r="BN1988" i="5"/>
  <c r="BG1988" i="5"/>
  <c r="BC1988" i="5"/>
  <c r="BN1987" i="5"/>
  <c r="BG1987" i="5"/>
  <c r="BC1987" i="5"/>
  <c r="BC1986" i="5"/>
  <c r="C1986" i="5"/>
  <c r="BN1985" i="5"/>
  <c r="BG1985" i="5"/>
  <c r="BC1985" i="5"/>
  <c r="BN1984" i="5"/>
  <c r="BG1984" i="5"/>
  <c r="BC1984" i="5"/>
  <c r="BC1983" i="5"/>
  <c r="C1983" i="5"/>
  <c r="BN1982" i="5"/>
  <c r="BG1982" i="5"/>
  <c r="AD1982" i="5"/>
  <c r="W1982" i="5"/>
  <c r="BX1979" i="5"/>
  <c r="AM1977" i="5"/>
  <c r="C1977" i="5"/>
  <c r="BX1977" i="5" s="1"/>
  <c r="BX1976" i="5"/>
  <c r="BX1975" i="5"/>
  <c r="BU1975" i="5"/>
  <c r="CB1974" i="5"/>
  <c r="BX1974" i="5"/>
  <c r="BX1973" i="5"/>
  <c r="BX1972" i="5"/>
  <c r="BX1970" i="5"/>
  <c r="BN1970" i="5"/>
  <c r="BG1970" i="5"/>
  <c r="AD1970" i="5"/>
  <c r="W1970" i="5"/>
  <c r="BX1969" i="5"/>
  <c r="BN1969" i="5"/>
  <c r="BG1969" i="5"/>
  <c r="AD1969" i="5"/>
  <c r="W1969" i="5"/>
  <c r="BX1968" i="5"/>
  <c r="BX1967" i="5"/>
  <c r="BN1966" i="5"/>
  <c r="BG1966" i="5"/>
  <c r="BN1965" i="5"/>
  <c r="BG1965" i="5"/>
  <c r="BX1964" i="5"/>
  <c r="BN1963" i="5"/>
  <c r="BG1963" i="5"/>
  <c r="BN1962" i="5"/>
  <c r="BG1962" i="5"/>
  <c r="BX1961" i="5"/>
  <c r="BN1960" i="5"/>
  <c r="BG1960" i="5"/>
  <c r="BN1959" i="5"/>
  <c r="BG1959" i="5"/>
  <c r="BX1958" i="5"/>
  <c r="BN1957" i="5"/>
  <c r="BG1957" i="5"/>
  <c r="BN1956" i="5"/>
  <c r="BG1956" i="5"/>
  <c r="BX1955" i="5"/>
  <c r="BW1955" i="5"/>
  <c r="BV1955" i="5"/>
  <c r="BN1954" i="5"/>
  <c r="BG1954" i="5"/>
  <c r="BN1953" i="5"/>
  <c r="BG1953" i="5"/>
  <c r="BX1952" i="5"/>
  <c r="BN1951" i="5"/>
  <c r="BG1951" i="5"/>
  <c r="BN1950" i="5"/>
  <c r="W1950" i="5"/>
  <c r="BG1950" i="5" s="1"/>
  <c r="BN1949" i="5"/>
  <c r="BG1949" i="5"/>
  <c r="BX1948" i="5"/>
  <c r="BN1947" i="5"/>
  <c r="BG1947" i="5"/>
  <c r="BN1946" i="5"/>
  <c r="BX1945" i="5"/>
  <c r="BW1945" i="5"/>
  <c r="BX1944" i="5"/>
  <c r="BN1944" i="5"/>
  <c r="BG1944" i="5"/>
  <c r="AD1944" i="5"/>
  <c r="W1944" i="5"/>
  <c r="BX1943" i="5"/>
  <c r="BN1943" i="5"/>
  <c r="BG1943" i="5"/>
  <c r="AD1943" i="5"/>
  <c r="W1943" i="5"/>
  <c r="BX1942" i="5"/>
  <c r="BX1941" i="5"/>
  <c r="BN1940" i="5"/>
  <c r="BG1940" i="5"/>
  <c r="BN1939" i="5"/>
  <c r="BG1939" i="5"/>
  <c r="BX1938" i="5"/>
  <c r="BN1937" i="5"/>
  <c r="BG1937" i="5"/>
  <c r="BN1936" i="5"/>
  <c r="BG1936" i="5"/>
  <c r="BX1935" i="5"/>
  <c r="BN1934" i="5"/>
  <c r="BG1934" i="5"/>
  <c r="BN1933" i="5"/>
  <c r="BG1933" i="5"/>
  <c r="BX1932" i="5"/>
  <c r="BN1931" i="5"/>
  <c r="BG1931" i="5"/>
  <c r="BN1930" i="5"/>
  <c r="BG1930" i="5"/>
  <c r="BX1929" i="5"/>
  <c r="BZ1928" i="5"/>
  <c r="BN1928" i="5"/>
  <c r="BG1928" i="5"/>
  <c r="BZ1927" i="5"/>
  <c r="BN1927" i="5"/>
  <c r="BG1927" i="5"/>
  <c r="BX1926" i="5"/>
  <c r="BX1925" i="5"/>
  <c r="BN1925" i="5"/>
  <c r="BG1925" i="5"/>
  <c r="AD1925" i="5"/>
  <c r="W1925" i="5"/>
  <c r="BX1924" i="5"/>
  <c r="BN1924" i="5"/>
  <c r="BG1924" i="5"/>
  <c r="AD1924" i="5"/>
  <c r="W1924" i="5"/>
  <c r="BX1923" i="5"/>
  <c r="BX1922" i="5"/>
  <c r="AM1921" i="5"/>
  <c r="C1921" i="5"/>
  <c r="BX1921" i="5" s="1"/>
  <c r="BX1919" i="5"/>
  <c r="BU1919" i="5"/>
  <c r="BX1918" i="5"/>
  <c r="BX1917" i="5"/>
  <c r="BX1916" i="5"/>
  <c r="BX1915" i="5"/>
  <c r="BX1914" i="5"/>
  <c r="BX1913" i="5"/>
  <c r="BX1912" i="5"/>
  <c r="BX1911" i="5"/>
  <c r="BX1910" i="5"/>
  <c r="BX1909" i="5"/>
  <c r="BX1908" i="5"/>
  <c r="BX1907" i="5"/>
  <c r="AK1907" i="5"/>
  <c r="BX1906" i="5"/>
  <c r="BX1905" i="5"/>
  <c r="BX1904" i="5"/>
  <c r="AM1903" i="5"/>
  <c r="C1903" i="5"/>
  <c r="BX1903" i="5" s="1"/>
  <c r="BX1902" i="5"/>
  <c r="BX1901" i="5"/>
  <c r="BU1901" i="5"/>
  <c r="BX1900" i="5"/>
  <c r="BX1899" i="5"/>
  <c r="BX1898" i="5"/>
  <c r="BX1897" i="5"/>
  <c r="BX1896" i="5"/>
  <c r="BU1896" i="5"/>
  <c r="A1896" i="5"/>
  <c r="AK1896" i="5" s="1"/>
  <c r="BX1895" i="5"/>
  <c r="BX1894" i="5"/>
  <c r="BN1893" i="5"/>
  <c r="BG1893" i="5"/>
  <c r="BN1892" i="5"/>
  <c r="BG1892" i="5"/>
  <c r="BN1891" i="5"/>
  <c r="BG1891" i="5"/>
  <c r="BN1890" i="5"/>
  <c r="BG1890" i="5"/>
  <c r="BN1889" i="5"/>
  <c r="BG1889" i="5"/>
  <c r="BN1888" i="5"/>
  <c r="W1888" i="5"/>
  <c r="BX1886" i="5"/>
  <c r="BN1886" i="5"/>
  <c r="BG1886" i="5"/>
  <c r="AD1886" i="5"/>
  <c r="W1886" i="5"/>
  <c r="BX1885" i="5"/>
  <c r="BN1885" i="5"/>
  <c r="BG1885" i="5"/>
  <c r="AD1885" i="5"/>
  <c r="W1885" i="5"/>
  <c r="BX1884" i="5"/>
  <c r="BX1883" i="5"/>
  <c r="BN1882" i="5"/>
  <c r="BG1882" i="5"/>
  <c r="BN1881" i="5"/>
  <c r="BG1881" i="5"/>
  <c r="BN1880" i="5"/>
  <c r="BG1880" i="5"/>
  <c r="BN1879" i="5"/>
  <c r="BG1879" i="5"/>
  <c r="BN1878" i="5"/>
  <c r="BG1878" i="5"/>
  <c r="BN1877" i="5"/>
  <c r="W1877" i="5"/>
  <c r="BG1877" i="5" s="1"/>
  <c r="BX1876" i="5"/>
  <c r="BX1875" i="5"/>
  <c r="BN1875" i="5"/>
  <c r="BG1875" i="5"/>
  <c r="AD1875" i="5"/>
  <c r="W1875" i="5"/>
  <c r="BX1874" i="5"/>
  <c r="BN1874" i="5"/>
  <c r="BG1874" i="5"/>
  <c r="AD1874" i="5"/>
  <c r="W1874" i="5"/>
  <c r="BX1873" i="5"/>
  <c r="BX1872" i="5"/>
  <c r="BN1871" i="5"/>
  <c r="BG1871" i="5"/>
  <c r="AM1871" i="5"/>
  <c r="C1871" i="5"/>
  <c r="BX1870" i="5"/>
  <c r="BX1869" i="5"/>
  <c r="BN1869" i="5"/>
  <c r="BG1869" i="5"/>
  <c r="AD1869" i="5"/>
  <c r="W1869" i="5"/>
  <c r="BX1868" i="5"/>
  <c r="BN1868" i="5"/>
  <c r="BG1868" i="5"/>
  <c r="AD1868" i="5"/>
  <c r="W1868" i="5"/>
  <c r="AM1867" i="5"/>
  <c r="C1867" i="5"/>
  <c r="BX1867" i="5" s="1"/>
  <c r="BX1866" i="5"/>
  <c r="BN1865" i="5"/>
  <c r="BG1865" i="5"/>
  <c r="BN1864" i="5"/>
  <c r="BG1864" i="5"/>
  <c r="BN1863" i="5"/>
  <c r="BG1863" i="5"/>
  <c r="BN1862" i="5"/>
  <c r="BG1862" i="5"/>
  <c r="BX1861" i="5"/>
  <c r="BX1860" i="5"/>
  <c r="BN1860" i="5"/>
  <c r="BG1860" i="5"/>
  <c r="AD1860" i="5"/>
  <c r="W1860" i="5"/>
  <c r="BX1859" i="5"/>
  <c r="BN1859" i="5"/>
  <c r="BG1859" i="5"/>
  <c r="AD1859" i="5"/>
  <c r="W1859" i="5"/>
  <c r="BX1858" i="5"/>
  <c r="BX1857" i="5"/>
  <c r="BX1856" i="5"/>
  <c r="BU1856" i="5"/>
  <c r="BX1855" i="5"/>
  <c r="BX1854" i="5"/>
  <c r="AM1853" i="5"/>
  <c r="C1853" i="5"/>
  <c r="BX1853" i="5" s="1"/>
  <c r="BX1852" i="5"/>
  <c r="Y1851" i="5"/>
  <c r="S1851" i="5"/>
  <c r="M1851" i="5"/>
  <c r="BX1850" i="5"/>
  <c r="BI1849" i="5"/>
  <c r="BC1849" i="5"/>
  <c r="AW1849" i="5"/>
  <c r="AE1849" i="5"/>
  <c r="BI1848" i="5"/>
  <c r="BC1848" i="5"/>
  <c r="AW1848" i="5"/>
  <c r="AE1848" i="5"/>
  <c r="BI1847" i="5"/>
  <c r="BI1851" i="5" s="1"/>
  <c r="BC1847" i="5"/>
  <c r="BC1851" i="5" s="1"/>
  <c r="AW1847" i="5"/>
  <c r="AW1851" i="5" s="1"/>
  <c r="AE1847" i="5"/>
  <c r="AM1846" i="5"/>
  <c r="C1846" i="5"/>
  <c r="BX1846" i="5" s="1"/>
  <c r="BX1845" i="5"/>
  <c r="Y1844" i="5"/>
  <c r="S1844" i="5"/>
  <c r="BX1843" i="5"/>
  <c r="BI1842" i="5"/>
  <c r="BC1842" i="5"/>
  <c r="BI1841" i="5"/>
  <c r="BC1841" i="5"/>
  <c r="BI1840" i="5"/>
  <c r="BI1844" i="5" s="1"/>
  <c r="BC1840" i="5"/>
  <c r="AM1839" i="5"/>
  <c r="C1839" i="5"/>
  <c r="BX1839" i="5" s="1"/>
  <c r="BX1838" i="5"/>
  <c r="BO1838" i="5"/>
  <c r="BI1838" i="5"/>
  <c r="BC1838" i="5"/>
  <c r="AW1838" i="5"/>
  <c r="AE1838" i="5"/>
  <c r="Y1838" i="5"/>
  <c r="S1838" i="5"/>
  <c r="M1838" i="5"/>
  <c r="BX1837" i="5"/>
  <c r="BX1836" i="5"/>
  <c r="AM1835" i="5"/>
  <c r="C1835" i="5"/>
  <c r="BX1835" i="5" s="1"/>
  <c r="BX1834" i="5"/>
  <c r="BX1833" i="5"/>
  <c r="Y1832" i="5"/>
  <c r="S1832" i="5"/>
  <c r="BX1831" i="5"/>
  <c r="BI1830" i="5"/>
  <c r="BC1830" i="5"/>
  <c r="AW1830" i="5"/>
  <c r="AE1830" i="5"/>
  <c r="BI1829" i="5"/>
  <c r="BC1829" i="5"/>
  <c r="BI1828" i="5"/>
  <c r="BC1828" i="5"/>
  <c r="BI1827" i="5"/>
  <c r="BC1827" i="5"/>
  <c r="BI1826" i="5"/>
  <c r="BI1832" i="5" s="1"/>
  <c r="BC1826" i="5"/>
  <c r="AM1825" i="5"/>
  <c r="C1825" i="5"/>
  <c r="BX1825" i="5" s="1"/>
  <c r="BX1824" i="5"/>
  <c r="S1823" i="5"/>
  <c r="BX1822" i="5"/>
  <c r="BC1821" i="5"/>
  <c r="AW1821" i="5"/>
  <c r="BI1820" i="5"/>
  <c r="BC1820" i="5"/>
  <c r="BI1819" i="5"/>
  <c r="BC1819" i="5"/>
  <c r="BI1818" i="5"/>
  <c r="BC1818" i="5"/>
  <c r="BI1817" i="5"/>
  <c r="BC1817" i="5"/>
  <c r="AM1816" i="5"/>
  <c r="C1816" i="5"/>
  <c r="BX1816" i="5" s="1"/>
  <c r="BX1815" i="5"/>
  <c r="BO1815" i="5"/>
  <c r="BI1815" i="5"/>
  <c r="BC1815" i="5"/>
  <c r="AW1815" i="5"/>
  <c r="AE1815" i="5"/>
  <c r="Y1815" i="5"/>
  <c r="S1815" i="5"/>
  <c r="M1815" i="5"/>
  <c r="BX1814" i="5"/>
  <c r="AM1813" i="5"/>
  <c r="C1813" i="5"/>
  <c r="BX1813" i="5" s="1"/>
  <c r="BX1812" i="5"/>
  <c r="BX1811" i="5"/>
  <c r="AM1810" i="5"/>
  <c r="C1810" i="5"/>
  <c r="BX1810" i="5" s="1"/>
  <c r="BX1809" i="5"/>
  <c r="BX1808" i="5"/>
  <c r="AM1807" i="5"/>
  <c r="C1807" i="5"/>
  <c r="BX1807" i="5" s="1"/>
  <c r="BX1806" i="5"/>
  <c r="BX1805" i="5"/>
  <c r="AM1804" i="5"/>
  <c r="C1804" i="5"/>
  <c r="BX1804" i="5" s="1"/>
  <c r="BX1803" i="5"/>
  <c r="BX1802" i="5"/>
  <c r="AM1801" i="5"/>
  <c r="C1801" i="5"/>
  <c r="BX1801" i="5" s="1"/>
  <c r="BX1800" i="5"/>
  <c r="BX1799" i="5"/>
  <c r="AM1798" i="5"/>
  <c r="C1798" i="5"/>
  <c r="BX1798" i="5" s="1"/>
  <c r="BX1797" i="5"/>
  <c r="BX1796" i="5"/>
  <c r="BX1795" i="5"/>
  <c r="BX1793" i="5"/>
  <c r="BX1792" i="5"/>
  <c r="BX1790" i="5"/>
  <c r="BX1786" i="5"/>
  <c r="BX1785" i="5"/>
  <c r="BN1785" i="5"/>
  <c r="BG1785" i="5"/>
  <c r="AD1785" i="5"/>
  <c r="W1785" i="5"/>
  <c r="BX1784" i="5"/>
  <c r="BN1784" i="5"/>
  <c r="BG1784" i="5"/>
  <c r="AD1784" i="5"/>
  <c r="W1784" i="5"/>
  <c r="BX1783" i="5"/>
  <c r="BX1782" i="5"/>
  <c r="BX1780" i="5"/>
  <c r="BO1775" i="5"/>
  <c r="BB1775" i="5"/>
  <c r="BX1774" i="5"/>
  <c r="BX1773" i="5"/>
  <c r="BO1773" i="5"/>
  <c r="BH1773" i="5"/>
  <c r="BB1773" i="5"/>
  <c r="AU1773" i="5"/>
  <c r="AE1773" i="5"/>
  <c r="X1773" i="5"/>
  <c r="R1773" i="5"/>
  <c r="K1773" i="5"/>
  <c r="BX1772" i="5"/>
  <c r="BX1771" i="5"/>
  <c r="BH1771" i="5"/>
  <c r="AU1771" i="5"/>
  <c r="X1771" i="5"/>
  <c r="K1771" i="5"/>
  <c r="BX1770" i="5"/>
  <c r="AM1769" i="5"/>
  <c r="C1769" i="5"/>
  <c r="BX1769" i="5" s="1"/>
  <c r="BX1768" i="5"/>
  <c r="BX1767" i="5"/>
  <c r="BU1767" i="5"/>
  <c r="BX1766" i="5"/>
  <c r="BX1765" i="5"/>
  <c r="BX1764" i="5"/>
  <c r="BX1763" i="5"/>
  <c r="AD1762" i="5"/>
  <c r="BX1761" i="5"/>
  <c r="BN1760" i="5"/>
  <c r="BG1760" i="5"/>
  <c r="BN1759" i="5"/>
  <c r="BN1758" i="5"/>
  <c r="BG1758" i="5"/>
  <c r="BN1757" i="5"/>
  <c r="BG1757" i="5"/>
  <c r="W1762" i="5"/>
  <c r="BN1756" i="5"/>
  <c r="BG1756" i="5"/>
  <c r="BN1755" i="5"/>
  <c r="BG1755" i="5"/>
  <c r="BX1754" i="5"/>
  <c r="BX1753" i="5"/>
  <c r="BN1753" i="5"/>
  <c r="BG1753" i="5"/>
  <c r="AD1753" i="5"/>
  <c r="W1753" i="5"/>
  <c r="BX1752" i="5"/>
  <c r="BN1752" i="5"/>
  <c r="BG1752" i="5"/>
  <c r="AD1752" i="5"/>
  <c r="W1752" i="5"/>
  <c r="BX1751" i="5"/>
  <c r="BU1751" i="5"/>
  <c r="BX1750" i="5"/>
  <c r="BX1749" i="5"/>
  <c r="BX1748" i="5"/>
  <c r="BX1745" i="5"/>
  <c r="AD1744" i="5"/>
  <c r="BN1744" i="5" s="1"/>
  <c r="W1744" i="5"/>
  <c r="AD1743" i="5"/>
  <c r="BN1743" i="5" s="1"/>
  <c r="W1743" i="5"/>
  <c r="BN1741" i="5"/>
  <c r="BG1741" i="5"/>
  <c r="BN1740" i="5"/>
  <c r="BG1740" i="5"/>
  <c r="BN1739" i="5"/>
  <c r="BG1739" i="5"/>
  <c r="AD1738" i="5"/>
  <c r="BN1738" i="5" s="1"/>
  <c r="W1738" i="5"/>
  <c r="BX1736" i="5"/>
  <c r="BX1735" i="5"/>
  <c r="BN1735" i="5"/>
  <c r="BG1735" i="5"/>
  <c r="AD1735" i="5"/>
  <c r="W1735" i="5"/>
  <c r="BX1734" i="5"/>
  <c r="BN1734" i="5"/>
  <c r="BG1734" i="5"/>
  <c r="AD1734" i="5"/>
  <c r="W1734" i="5"/>
  <c r="BU1733" i="5"/>
  <c r="AM1733" i="5"/>
  <c r="C1733" i="5"/>
  <c r="BX1733" i="5" s="1"/>
  <c r="BX1732" i="5"/>
  <c r="BU1732" i="5"/>
  <c r="BX1731" i="5"/>
  <c r="BU1731" i="5"/>
  <c r="A1731" i="5"/>
  <c r="AK1731" i="5" s="1"/>
  <c r="BX1730" i="5"/>
  <c r="BX1729" i="5"/>
  <c r="BX1728" i="5"/>
  <c r="BX1727" i="5"/>
  <c r="BX1726" i="5"/>
  <c r="BX1725" i="5"/>
  <c r="AM1724" i="5"/>
  <c r="C1724" i="5"/>
  <c r="BX1724" i="5" s="1"/>
  <c r="BX1723" i="5"/>
  <c r="BX1721" i="5"/>
  <c r="BX1719" i="5"/>
  <c r="AD1718" i="5"/>
  <c r="BN1718" i="5" s="1"/>
  <c r="W1718" i="5"/>
  <c r="BN1716" i="5"/>
  <c r="BG1716" i="5"/>
  <c r="BN1715" i="5"/>
  <c r="BG1715" i="5"/>
  <c r="BN1714" i="5"/>
  <c r="BG1714" i="5"/>
  <c r="AD1713" i="5"/>
  <c r="BN1713" i="5" s="1"/>
  <c r="W1713" i="5"/>
  <c r="BX1711" i="5"/>
  <c r="BX1710" i="5"/>
  <c r="BN1710" i="5"/>
  <c r="BG1710" i="5"/>
  <c r="AD1710" i="5"/>
  <c r="W1710" i="5"/>
  <c r="BX1709" i="5"/>
  <c r="BN1709" i="5"/>
  <c r="BG1709" i="5"/>
  <c r="AD1709" i="5"/>
  <c r="W1709" i="5"/>
  <c r="AM1708" i="5"/>
  <c r="C1708" i="5"/>
  <c r="BX1708" i="5" s="1"/>
  <c r="BX1707" i="5"/>
  <c r="BX1706" i="5"/>
  <c r="AK1706" i="5"/>
  <c r="BX1705" i="5"/>
  <c r="BX1704" i="5"/>
  <c r="BX1703" i="5"/>
  <c r="BX1702" i="5"/>
  <c r="BN1701" i="5"/>
  <c r="BG1701" i="5"/>
  <c r="AD1701" i="5"/>
  <c r="W1701" i="5"/>
  <c r="BX1700" i="5"/>
  <c r="BN1699" i="5"/>
  <c r="BG1699" i="5"/>
  <c r="BN1698" i="5"/>
  <c r="BG1698" i="5"/>
  <c r="BN1697" i="5"/>
  <c r="BG1697" i="5"/>
  <c r="BN1696" i="5"/>
  <c r="BG1696" i="5"/>
  <c r="BN1695" i="5"/>
  <c r="BG1695" i="5"/>
  <c r="BX1694" i="5"/>
  <c r="BX1693" i="5"/>
  <c r="BN1693" i="5"/>
  <c r="BG1693" i="5"/>
  <c r="AD1693" i="5"/>
  <c r="W1693" i="5"/>
  <c r="BX1692" i="5"/>
  <c r="BN1692" i="5"/>
  <c r="BG1692" i="5"/>
  <c r="AD1692" i="5"/>
  <c r="W1692" i="5"/>
  <c r="BX1691" i="5"/>
  <c r="BX1690" i="5"/>
  <c r="BN1689" i="5"/>
  <c r="BG1689" i="5"/>
  <c r="AD1689" i="5"/>
  <c r="W1689" i="5"/>
  <c r="BX1688" i="5"/>
  <c r="BN1687" i="5"/>
  <c r="BG1687" i="5"/>
  <c r="BN1686" i="5"/>
  <c r="BG1686" i="5"/>
  <c r="BN1685" i="5"/>
  <c r="BG1685" i="5"/>
  <c r="BX1684" i="5"/>
  <c r="BX1683" i="5"/>
  <c r="BN1683" i="5"/>
  <c r="BG1683" i="5"/>
  <c r="AD1683" i="5"/>
  <c r="W1683" i="5"/>
  <c r="BX1682" i="5"/>
  <c r="BN1682" i="5"/>
  <c r="BG1682" i="5"/>
  <c r="AD1682" i="5"/>
  <c r="W1682" i="5"/>
  <c r="BX1681" i="5"/>
  <c r="BX1680" i="5"/>
  <c r="BN1679" i="5"/>
  <c r="BG1679" i="5"/>
  <c r="AD1679" i="5"/>
  <c r="W1679" i="5"/>
  <c r="BX1678" i="5"/>
  <c r="BN1677" i="5"/>
  <c r="BG1677" i="5"/>
  <c r="BN1676" i="5"/>
  <c r="BG1676" i="5"/>
  <c r="BN1675" i="5"/>
  <c r="BG1675" i="5"/>
  <c r="BN1674" i="5"/>
  <c r="BG1674" i="5"/>
  <c r="BN1673" i="5"/>
  <c r="BG1673" i="5"/>
  <c r="BX1672" i="5"/>
  <c r="BX1671" i="5"/>
  <c r="BN1671" i="5"/>
  <c r="BG1671" i="5"/>
  <c r="AD1671" i="5"/>
  <c r="W1671" i="5"/>
  <c r="BX1670" i="5"/>
  <c r="BN1670" i="5"/>
  <c r="BG1670" i="5"/>
  <c r="AD1670" i="5"/>
  <c r="W1670" i="5"/>
  <c r="BX1669" i="5"/>
  <c r="BX1668" i="5"/>
  <c r="BX1667" i="5"/>
  <c r="BU1667" i="5"/>
  <c r="A1667" i="5"/>
  <c r="AK1667" i="5" s="1"/>
  <c r="BX1666" i="5"/>
  <c r="BX1665" i="5"/>
  <c r="BX1664" i="5"/>
  <c r="BX1663" i="5"/>
  <c r="BX1661" i="5"/>
  <c r="BN1660" i="5"/>
  <c r="BG1660" i="5"/>
  <c r="BN1658" i="5"/>
  <c r="BG1658" i="5"/>
  <c r="AD1658" i="5"/>
  <c r="W1655" i="5" s="1"/>
  <c r="W1658" i="5"/>
  <c r="BX1657" i="5"/>
  <c r="BN1656" i="5"/>
  <c r="BG1656" i="5"/>
  <c r="BN1655" i="5"/>
  <c r="BG1655" i="5"/>
  <c r="BN1654" i="5"/>
  <c r="BG1654" i="5"/>
  <c r="BX1653" i="5"/>
  <c r="BX1651" i="5"/>
  <c r="BN1649" i="5"/>
  <c r="BN1652" i="5" s="1"/>
  <c r="BG1649" i="5"/>
  <c r="BG1652" i="5" s="1"/>
  <c r="AD1649" i="5"/>
  <c r="AD1652" i="5" s="1"/>
  <c r="W1649" i="5"/>
  <c r="W1652" i="5" s="1"/>
  <c r="BN1648" i="5"/>
  <c r="BG1648" i="5"/>
  <c r="BN1647" i="5"/>
  <c r="BG1647" i="5"/>
  <c r="BN1646" i="5"/>
  <c r="BG1646" i="5"/>
  <c r="AD1646" i="5"/>
  <c r="W1646" i="5"/>
  <c r="BN1645" i="5"/>
  <c r="BG1645" i="5"/>
  <c r="BN1644" i="5"/>
  <c r="BG1644" i="5"/>
  <c r="BN1643" i="5"/>
  <c r="BG1643" i="5"/>
  <c r="AD1643" i="5"/>
  <c r="W1643" i="5"/>
  <c r="BX1641" i="5"/>
  <c r="BX1640" i="5"/>
  <c r="BX1638" i="5"/>
  <c r="BW1637" i="5"/>
  <c r="BN1637" i="5"/>
  <c r="W1637" i="5"/>
  <c r="BV1637" i="5" s="1"/>
  <c r="BN1636" i="5"/>
  <c r="BX1634" i="5"/>
  <c r="AK1633" i="5"/>
  <c r="BX1632" i="5"/>
  <c r="BN1629" i="5"/>
  <c r="BG1629" i="5"/>
  <c r="BN1627" i="5"/>
  <c r="BG1627" i="5"/>
  <c r="BN1626" i="5"/>
  <c r="BG1626" i="5"/>
  <c r="BN1625" i="5"/>
  <c r="BG1625" i="5"/>
  <c r="AD1625" i="5"/>
  <c r="W1625" i="5"/>
  <c r="BZ1624" i="5"/>
  <c r="W1624" i="5" s="1"/>
  <c r="BN1624" i="5"/>
  <c r="BN1623" i="5"/>
  <c r="BN1622" i="5"/>
  <c r="BZ1621" i="5"/>
  <c r="BN1621" i="5"/>
  <c r="W1621" i="5"/>
  <c r="BG1621" i="5" s="1"/>
  <c r="BZ1620" i="5"/>
  <c r="BN1620" i="5"/>
  <c r="W1620" i="5"/>
  <c r="AD1619" i="5"/>
  <c r="BX1616" i="5"/>
  <c r="BN1616" i="5"/>
  <c r="BG1616" i="5"/>
  <c r="AD1616" i="5"/>
  <c r="W1616" i="5"/>
  <c r="BX1615" i="5"/>
  <c r="BN1615" i="5"/>
  <c r="BG1615" i="5"/>
  <c r="AD1615" i="5"/>
  <c r="W1615" i="5"/>
  <c r="BX1614" i="5"/>
  <c r="BU1614" i="5"/>
  <c r="BX1613" i="5"/>
  <c r="BX1612" i="5"/>
  <c r="BX1611" i="5"/>
  <c r="BX1610" i="5"/>
  <c r="BZ1608" i="5"/>
  <c r="BX1608" i="5"/>
  <c r="BZ1607" i="5"/>
  <c r="W1607" i="5" s="1"/>
  <c r="AD1607" i="5"/>
  <c r="BN1607" i="5" s="1"/>
  <c r="BZ1606" i="5"/>
  <c r="W1606" i="5" s="1"/>
  <c r="AD1606" i="5"/>
  <c r="AD1609" i="5" s="1"/>
  <c r="BZ1605" i="5"/>
  <c r="W1605" i="5" s="1"/>
  <c r="CA1759" i="5" s="1"/>
  <c r="BN1605" i="5"/>
  <c r="BZ1604" i="5"/>
  <c r="BN1604" i="5"/>
  <c r="W1604" i="5"/>
  <c r="BG1604" i="5" s="1"/>
  <c r="BZ1603" i="5"/>
  <c r="W1603" i="5" s="1"/>
  <c r="CA1754" i="5" s="1"/>
  <c r="BN1603" i="5"/>
  <c r="BZ1602" i="5"/>
  <c r="BX1602" i="5"/>
  <c r="BX1601" i="5"/>
  <c r="BN1601" i="5"/>
  <c r="BG1601" i="5"/>
  <c r="AD1601" i="5"/>
  <c r="W1601" i="5"/>
  <c r="BX1600" i="5"/>
  <c r="BN1600" i="5"/>
  <c r="BG1600" i="5"/>
  <c r="AD1600" i="5"/>
  <c r="W1600" i="5"/>
  <c r="BX1599" i="5"/>
  <c r="BU1599" i="5"/>
  <c r="BX1598" i="5"/>
  <c r="BX1597" i="5"/>
  <c r="AD1596" i="5"/>
  <c r="BX1595" i="5"/>
  <c r="BZ1594" i="5"/>
  <c r="W1594" i="5" s="1"/>
  <c r="BN1594" i="5"/>
  <c r="BG1594" i="5"/>
  <c r="BZ1593" i="5"/>
  <c r="BN1593" i="5"/>
  <c r="W1593" i="5"/>
  <c r="BZ1592" i="5"/>
  <c r="BN1592" i="5"/>
  <c r="W1592" i="5"/>
  <c r="BG1592" i="5" s="1"/>
  <c r="BZ1591" i="5"/>
  <c r="BN1591" i="5"/>
  <c r="W1591" i="5"/>
  <c r="BZ1590" i="5"/>
  <c r="W1590" i="5" s="1"/>
  <c r="BN1590" i="5"/>
  <c r="BG1590" i="5"/>
  <c r="BZ1589" i="5"/>
  <c r="BN1589" i="5"/>
  <c r="BX1588" i="5"/>
  <c r="BX1587" i="5"/>
  <c r="BN1587" i="5"/>
  <c r="BG1587" i="5"/>
  <c r="AD1587" i="5"/>
  <c r="W1587" i="5"/>
  <c r="BX1586" i="5"/>
  <c r="BN1586" i="5"/>
  <c r="BG1586" i="5"/>
  <c r="AD1586" i="5"/>
  <c r="W1586" i="5"/>
  <c r="BX1585" i="5"/>
  <c r="BU1585" i="5"/>
  <c r="BX1584" i="5"/>
  <c r="BX1583" i="5"/>
  <c r="BX1582" i="5"/>
  <c r="BX1581" i="5"/>
  <c r="CA1577" i="5"/>
  <c r="CB1577" i="5" s="1"/>
  <c r="BN1577" i="5"/>
  <c r="BG1577" i="5"/>
  <c r="BX1573" i="5"/>
  <c r="BX1572" i="5"/>
  <c r="BN1572" i="5"/>
  <c r="BG1572" i="5"/>
  <c r="AD1572" i="5"/>
  <c r="W1572" i="5"/>
  <c r="BX1571" i="5"/>
  <c r="BN1571" i="5"/>
  <c r="BG1571" i="5"/>
  <c r="AD1571" i="5"/>
  <c r="W1571" i="5"/>
  <c r="BX1570" i="5"/>
  <c r="BU1570" i="5"/>
  <c r="BX1569" i="5"/>
  <c r="BX1568" i="5"/>
  <c r="BX1567" i="5"/>
  <c r="BX1566" i="5"/>
  <c r="BN1565" i="5"/>
  <c r="BG1565" i="5"/>
  <c r="BN1564" i="5"/>
  <c r="BG1564" i="5"/>
  <c r="BN1563" i="5"/>
  <c r="BX1557" i="5"/>
  <c r="BX1556" i="5"/>
  <c r="BN1556" i="5"/>
  <c r="BG1556" i="5"/>
  <c r="AD1556" i="5"/>
  <c r="W1556" i="5"/>
  <c r="BX1555" i="5"/>
  <c r="BN1555" i="5"/>
  <c r="BG1555" i="5"/>
  <c r="AD1555" i="5"/>
  <c r="W1555" i="5"/>
  <c r="BX1554" i="5"/>
  <c r="BU1554" i="5"/>
  <c r="BX1553" i="5"/>
  <c r="BX1552" i="5"/>
  <c r="BX1550" i="5"/>
  <c r="BX1541" i="5"/>
  <c r="BX1540" i="5"/>
  <c r="BN1540" i="5"/>
  <c r="BG1540" i="5"/>
  <c r="AD1540" i="5"/>
  <c r="W1540" i="5"/>
  <c r="BX1539" i="5"/>
  <c r="BN1539" i="5"/>
  <c r="BG1539" i="5"/>
  <c r="AD1539" i="5"/>
  <c r="W1539" i="5"/>
  <c r="BX1538" i="5"/>
  <c r="AK1538" i="5"/>
  <c r="BX1537" i="5"/>
  <c r="BX1536" i="5"/>
  <c r="BX1534" i="5"/>
  <c r="BN1530" i="5"/>
  <c r="BG1530" i="5"/>
  <c r="BX1526" i="5"/>
  <c r="BX1525" i="5"/>
  <c r="BN1525" i="5"/>
  <c r="BG1525" i="5"/>
  <c r="AD1525" i="5"/>
  <c r="W1525" i="5"/>
  <c r="BX1524" i="5"/>
  <c r="BN1524" i="5"/>
  <c r="BG1524" i="5"/>
  <c r="AD1524" i="5"/>
  <c r="W1524" i="5"/>
  <c r="BX1523" i="5"/>
  <c r="BU1523" i="5"/>
  <c r="BX1522" i="5"/>
  <c r="BX1521" i="5"/>
  <c r="BX1519" i="5"/>
  <c r="BN1510" i="5"/>
  <c r="BG1510" i="5"/>
  <c r="BN1509" i="5"/>
  <c r="BG1509" i="5"/>
  <c r="BN1508" i="5"/>
  <c r="BG1508" i="5"/>
  <c r="BN1507" i="5"/>
  <c r="BG1507" i="5"/>
  <c r="AD1507" i="5"/>
  <c r="W1507" i="5"/>
  <c r="BX1504" i="5"/>
  <c r="BX1503" i="5"/>
  <c r="BN1503" i="5"/>
  <c r="BG1503" i="5"/>
  <c r="AD1503" i="5"/>
  <c r="W1503" i="5"/>
  <c r="BX1502" i="5"/>
  <c r="BN1502" i="5"/>
  <c r="BG1502" i="5"/>
  <c r="AD1502" i="5"/>
  <c r="W1502" i="5"/>
  <c r="BX1501" i="5"/>
  <c r="BU1501" i="5"/>
  <c r="BX1500" i="5"/>
  <c r="BX1499" i="5"/>
  <c r="BN1498" i="5"/>
  <c r="BG1498" i="5"/>
  <c r="AD1498" i="5"/>
  <c r="W1498" i="5"/>
  <c r="BX1497" i="5"/>
  <c r="BX1493" i="5"/>
  <c r="BX1492" i="5"/>
  <c r="BN1492" i="5"/>
  <c r="BG1492" i="5"/>
  <c r="AD1492" i="5"/>
  <c r="W1492" i="5"/>
  <c r="BX1491" i="5"/>
  <c r="BN1491" i="5"/>
  <c r="BG1491" i="5"/>
  <c r="AD1491" i="5"/>
  <c r="W1491" i="5"/>
  <c r="BX1490" i="5"/>
  <c r="BU1490" i="5"/>
  <c r="A1490" i="5"/>
  <c r="AK1490" i="5" s="1"/>
  <c r="BX1489" i="5"/>
  <c r="BX1488" i="5"/>
  <c r="BX1487" i="5"/>
  <c r="BX1486" i="5"/>
  <c r="AM1485" i="5"/>
  <c r="C1485" i="5"/>
  <c r="BX1485" i="5" s="1"/>
  <c r="BN1484" i="5"/>
  <c r="BG1484" i="5"/>
  <c r="BX1483" i="5"/>
  <c r="BX1481" i="5"/>
  <c r="BN1478" i="5"/>
  <c r="BG1478" i="5"/>
  <c r="BN1477" i="5"/>
  <c r="BG1477" i="5"/>
  <c r="BX1476" i="5"/>
  <c r="BX1473" i="5"/>
  <c r="BX1472" i="5"/>
  <c r="BN1472" i="5"/>
  <c r="BG1472" i="5"/>
  <c r="AD1472" i="5"/>
  <c r="W1472" i="5"/>
  <c r="BX1471" i="5"/>
  <c r="BN1471" i="5"/>
  <c r="BG1471" i="5"/>
  <c r="AD1471" i="5"/>
  <c r="W1471" i="5"/>
  <c r="BX1470" i="5"/>
  <c r="BU1470" i="5"/>
  <c r="BX1469" i="5"/>
  <c r="BX1468" i="5"/>
  <c r="BX1467" i="5"/>
  <c r="BX1466" i="5"/>
  <c r="BX1465" i="5"/>
  <c r="BX1464" i="5"/>
  <c r="AD1462" i="5"/>
  <c r="BX1460" i="5"/>
  <c r="W1459" i="5"/>
  <c r="W1462" i="5" s="1"/>
  <c r="AD1457" i="5"/>
  <c r="W1457" i="5"/>
  <c r="BX1455" i="5"/>
  <c r="BX1454" i="5"/>
  <c r="BX1453" i="5"/>
  <c r="BX1452" i="5"/>
  <c r="BX1451" i="5"/>
  <c r="BN1450" i="5"/>
  <c r="BG1450" i="5"/>
  <c r="BN1449" i="5"/>
  <c r="BG1449" i="5"/>
  <c r="BN1448" i="5"/>
  <c r="BG1448" i="5"/>
  <c r="BN1447" i="5"/>
  <c r="BG1447" i="5"/>
  <c r="BN1446" i="5"/>
  <c r="BG1446" i="5"/>
  <c r="BN1445" i="5"/>
  <c r="BG1445" i="5"/>
  <c r="BX1444" i="5"/>
  <c r="BX1443" i="5"/>
  <c r="BN1443" i="5"/>
  <c r="BG1443" i="5"/>
  <c r="AD1443" i="5"/>
  <c r="W1443" i="5"/>
  <c r="BX1442" i="5"/>
  <c r="BX1441" i="5"/>
  <c r="BX1440" i="5"/>
  <c r="BX1439" i="5"/>
  <c r="BX1438" i="5"/>
  <c r="BN1437" i="5"/>
  <c r="BG1437" i="5"/>
  <c r="BN1436" i="5"/>
  <c r="BG1436" i="5"/>
  <c r="BX1435" i="5"/>
  <c r="BX1434" i="5"/>
  <c r="BN1434" i="5"/>
  <c r="BG1434" i="5"/>
  <c r="AD1434" i="5"/>
  <c r="W1434" i="5"/>
  <c r="BX1433" i="5"/>
  <c r="BN1433" i="5"/>
  <c r="BG1433" i="5"/>
  <c r="AD1433" i="5"/>
  <c r="W1433" i="5"/>
  <c r="BX1432" i="5"/>
  <c r="BX1431" i="5"/>
  <c r="BN1430" i="5"/>
  <c r="BG1430" i="5"/>
  <c r="BN1429" i="5"/>
  <c r="BG1429" i="5"/>
  <c r="BN1428" i="5"/>
  <c r="BG1428" i="5"/>
  <c r="BN1427" i="5"/>
  <c r="BG1427" i="5"/>
  <c r="AD1427" i="5"/>
  <c r="W1427" i="5"/>
  <c r="BX1426" i="5"/>
  <c r="BX1425" i="5"/>
  <c r="BN1425" i="5"/>
  <c r="BG1425" i="5"/>
  <c r="AD1425" i="5"/>
  <c r="W1425" i="5"/>
  <c r="BX1424" i="5"/>
  <c r="BN1424" i="5"/>
  <c r="BG1424" i="5"/>
  <c r="AD1424" i="5"/>
  <c r="W1424" i="5"/>
  <c r="BX1423" i="5"/>
  <c r="BX1422" i="5"/>
  <c r="BX1421" i="5"/>
  <c r="BU1421" i="5"/>
  <c r="BX1420" i="5"/>
  <c r="BX1419" i="5"/>
  <c r="BX1418" i="5"/>
  <c r="BN1417" i="5"/>
  <c r="BG1417" i="5"/>
  <c r="AD1417" i="5"/>
  <c r="W1417" i="5"/>
  <c r="BX1416" i="5"/>
  <c r="BN1415" i="5"/>
  <c r="BG1415" i="5"/>
  <c r="BN1414" i="5"/>
  <c r="BG1414" i="5"/>
  <c r="BN1413" i="5"/>
  <c r="BX1412" i="5"/>
  <c r="BX1411" i="5"/>
  <c r="BN1411" i="5"/>
  <c r="BG1411" i="5"/>
  <c r="AD1411" i="5"/>
  <c r="W1411" i="5"/>
  <c r="BX1410" i="5"/>
  <c r="BN1410" i="5"/>
  <c r="BG1410" i="5"/>
  <c r="AD1410" i="5"/>
  <c r="W1410" i="5"/>
  <c r="BX1409" i="5"/>
  <c r="BU1409" i="5"/>
  <c r="A1409" i="5"/>
  <c r="AK1409" i="5" s="1"/>
  <c r="BX1408" i="5"/>
  <c r="BX1407" i="5"/>
  <c r="BN1406" i="5"/>
  <c r="BG1406" i="5"/>
  <c r="AD1406" i="5"/>
  <c r="W1406" i="5"/>
  <c r="BX1405" i="5"/>
  <c r="BN1404" i="5"/>
  <c r="BG1404" i="5"/>
  <c r="BN1403" i="5"/>
  <c r="BG1403" i="5"/>
  <c r="BN1402" i="5"/>
  <c r="BG1402" i="5"/>
  <c r="AD1402" i="5"/>
  <c r="W1402" i="5"/>
  <c r="BN1401" i="5"/>
  <c r="BG1401" i="5"/>
  <c r="BN1400" i="5"/>
  <c r="BG1400" i="5"/>
  <c r="BN1399" i="5"/>
  <c r="BG1399" i="5"/>
  <c r="AD1399" i="5"/>
  <c r="W1399" i="5"/>
  <c r="BW1398" i="5"/>
  <c r="BN1398" i="5"/>
  <c r="BG1398" i="5"/>
  <c r="BX1397" i="5"/>
  <c r="BX1396" i="5"/>
  <c r="BN1396" i="5"/>
  <c r="BG1396" i="5"/>
  <c r="AD1396" i="5"/>
  <c r="W1396" i="5"/>
  <c r="BX1395" i="5"/>
  <c r="BN1395" i="5"/>
  <c r="BG1395" i="5"/>
  <c r="AD1395" i="5"/>
  <c r="W1395" i="5"/>
  <c r="BX1394" i="5"/>
  <c r="BU1394" i="5"/>
  <c r="A1394" i="5"/>
  <c r="AK1394" i="5" s="1"/>
  <c r="BX1393" i="5"/>
  <c r="BX1392" i="5"/>
  <c r="BX1391" i="5"/>
  <c r="BX1390" i="5"/>
  <c r="BN1389" i="5"/>
  <c r="BG1389" i="5"/>
  <c r="AD1389" i="5"/>
  <c r="W1389" i="5"/>
  <c r="BX1388" i="5"/>
  <c r="BN1387" i="5"/>
  <c r="BG1387" i="5"/>
  <c r="BN1386" i="5"/>
  <c r="BG1386" i="5"/>
  <c r="BW1385" i="5"/>
  <c r="BN1385" i="5"/>
  <c r="BG1385" i="5"/>
  <c r="BX1384" i="5"/>
  <c r="BX1383" i="5"/>
  <c r="BN1383" i="5"/>
  <c r="BG1383" i="5"/>
  <c r="AD1383" i="5"/>
  <c r="W1383" i="5"/>
  <c r="BX1382" i="5"/>
  <c r="BN1382" i="5"/>
  <c r="BG1382" i="5"/>
  <c r="AD1382" i="5"/>
  <c r="W1382" i="5"/>
  <c r="BX1381" i="5"/>
  <c r="BU1381" i="5"/>
  <c r="A1381" i="5"/>
  <c r="AK1381" i="5" s="1"/>
  <c r="BX1380" i="5"/>
  <c r="BX1379" i="5"/>
  <c r="BX1378" i="5"/>
  <c r="BX1377" i="5"/>
  <c r="BX1376" i="5"/>
  <c r="BX1375" i="5"/>
  <c r="BX1372" i="5"/>
  <c r="BX1371" i="5"/>
  <c r="BN1371" i="5"/>
  <c r="BG1371" i="5"/>
  <c r="AD1371" i="5"/>
  <c r="W1371" i="5"/>
  <c r="BX1370" i="5"/>
  <c r="BN1370" i="5"/>
  <c r="BG1370" i="5"/>
  <c r="AD1370" i="5"/>
  <c r="W1370" i="5"/>
  <c r="AM1369" i="5"/>
  <c r="C1369" i="5"/>
  <c r="BX1369" i="5" s="1"/>
  <c r="BX1368" i="5"/>
  <c r="BN1367" i="5"/>
  <c r="BG1367" i="5"/>
  <c r="BN1366" i="5"/>
  <c r="BG1366" i="5"/>
  <c r="BN1365" i="5"/>
  <c r="BG1365" i="5"/>
  <c r="BN1364" i="5"/>
  <c r="BG1364" i="5"/>
  <c r="AD1364" i="5"/>
  <c r="W1364" i="5"/>
  <c r="BX1363" i="5"/>
  <c r="BX1362" i="5"/>
  <c r="BN1362" i="5"/>
  <c r="BG1362" i="5"/>
  <c r="AD1362" i="5"/>
  <c r="W1362" i="5"/>
  <c r="BN1361" i="5"/>
  <c r="BG1361" i="5"/>
  <c r="AD1361" i="5"/>
  <c r="W1361" i="5"/>
  <c r="BX1360" i="5"/>
  <c r="BX1359" i="5"/>
  <c r="AM1358" i="5"/>
  <c r="C1358" i="5"/>
  <c r="BX1358" i="5" s="1"/>
  <c r="BN1357" i="5"/>
  <c r="BG1357" i="5"/>
  <c r="AD1356" i="5"/>
  <c r="BN1356" i="5" s="1"/>
  <c r="BN1355" i="5" s="1"/>
  <c r="W1356" i="5"/>
  <c r="W1355" i="5" s="1"/>
  <c r="AD1355" i="5"/>
  <c r="BN1354" i="5"/>
  <c r="BG1354" i="5"/>
  <c r="BN1353" i="5"/>
  <c r="BN1352" i="5" s="1"/>
  <c r="BG1353" i="5"/>
  <c r="BG1352" i="5" s="1"/>
  <c r="AD1352" i="5"/>
  <c r="W1352" i="5"/>
  <c r="BN1351" i="5"/>
  <c r="BG1351" i="5"/>
  <c r="BN1350" i="5"/>
  <c r="BG1350" i="5"/>
  <c r="BG1349" i="5" s="1"/>
  <c r="BN1349" i="5"/>
  <c r="AD1349" i="5"/>
  <c r="W1349" i="5"/>
  <c r="BN1348" i="5"/>
  <c r="BG1348" i="5"/>
  <c r="BX1347" i="5"/>
  <c r="BX1346" i="5"/>
  <c r="BN1346" i="5"/>
  <c r="BG1346" i="5"/>
  <c r="AD1346" i="5"/>
  <c r="W1346" i="5"/>
  <c r="BX1345" i="5"/>
  <c r="BX1344" i="5"/>
  <c r="BX1343" i="5"/>
  <c r="BN1342" i="5"/>
  <c r="BG1342" i="5"/>
  <c r="BN1341" i="5"/>
  <c r="BG1341" i="5"/>
  <c r="BX1340" i="5"/>
  <c r="AD1336" i="5"/>
  <c r="BX1335" i="5"/>
  <c r="BX1334" i="5"/>
  <c r="BN1334" i="5"/>
  <c r="BG1334" i="5"/>
  <c r="AD1334" i="5"/>
  <c r="W1334" i="5"/>
  <c r="BX1333" i="5"/>
  <c r="BN1333" i="5"/>
  <c r="BG1333" i="5"/>
  <c r="AD1333" i="5"/>
  <c r="W1333" i="5"/>
  <c r="BX1332" i="5"/>
  <c r="BX1331" i="5"/>
  <c r="BR1330" i="5"/>
  <c r="BL1330" i="5"/>
  <c r="BI1330" i="5"/>
  <c r="BC1330" i="5"/>
  <c r="AZ1330" i="5"/>
  <c r="AS1330" i="5"/>
  <c r="AH1330" i="5"/>
  <c r="AB1330" i="5"/>
  <c r="Y1330" i="5"/>
  <c r="S1330" i="5"/>
  <c r="P1330" i="5"/>
  <c r="I1330" i="5"/>
  <c r="P1328" i="5" s="1"/>
  <c r="AZ1328" i="5" s="1"/>
  <c r="BX1329" i="5"/>
  <c r="BC1328" i="5"/>
  <c r="AS1328" i="5"/>
  <c r="AB1328" i="5"/>
  <c r="BL1328" i="5" s="1"/>
  <c r="BC1327" i="5"/>
  <c r="AS1327" i="5"/>
  <c r="AB1327" i="5"/>
  <c r="BL1327" i="5" s="1"/>
  <c r="BX1326" i="5"/>
  <c r="BX1325" i="5"/>
  <c r="BL1325" i="5"/>
  <c r="BC1325" i="5"/>
  <c r="AS1325" i="5"/>
  <c r="AB1325" i="5"/>
  <c r="S1325" i="5"/>
  <c r="BX1324" i="5"/>
  <c r="BX1323" i="5"/>
  <c r="BX1322" i="5"/>
  <c r="BX1321" i="5"/>
  <c r="BX1320" i="5"/>
  <c r="BJ1319" i="5"/>
  <c r="AY1319" i="5"/>
  <c r="Z1319" i="5"/>
  <c r="O1319" i="5"/>
  <c r="BX1318" i="5"/>
  <c r="BJ1317" i="5"/>
  <c r="BQ1317" i="5" s="1"/>
  <c r="AY1317" i="5"/>
  <c r="BF1317" i="5" s="1"/>
  <c r="AG1317" i="5"/>
  <c r="V1317" i="5"/>
  <c r="BJ1316" i="5"/>
  <c r="BQ1316" i="5" s="1"/>
  <c r="AY1316" i="5"/>
  <c r="BF1316" i="5" s="1"/>
  <c r="AG1316" i="5"/>
  <c r="V1316" i="5"/>
  <c r="BJ1315" i="5"/>
  <c r="BQ1315" i="5" s="1"/>
  <c r="AY1315" i="5"/>
  <c r="BF1315" i="5" s="1"/>
  <c r="Z1315" i="5"/>
  <c r="AG1315" i="5" s="1"/>
  <c r="O1315" i="5"/>
  <c r="BJ1314" i="5"/>
  <c r="BQ1314" i="5" s="1"/>
  <c r="AY1314" i="5"/>
  <c r="BF1314" i="5" s="1"/>
  <c r="BF1319" i="5" s="1"/>
  <c r="AG1314" i="5"/>
  <c r="V1314" i="5"/>
  <c r="BX1313" i="5"/>
  <c r="BX1312" i="5"/>
  <c r="BJ1312" i="5"/>
  <c r="AY1312" i="5"/>
  <c r="Z1312" i="5"/>
  <c r="O1312" i="5"/>
  <c r="BX1311" i="5"/>
  <c r="BJ1311" i="5"/>
  <c r="AY1311" i="5"/>
  <c r="Z1311" i="5"/>
  <c r="O1311" i="5"/>
  <c r="BX1310" i="5"/>
  <c r="BX1309" i="5"/>
  <c r="BJ1308" i="5"/>
  <c r="AY1308" i="5"/>
  <c r="AG1308" i="5"/>
  <c r="Z1308" i="5"/>
  <c r="V1308" i="5"/>
  <c r="O1308" i="5"/>
  <c r="BX1307" i="5"/>
  <c r="BJ1306" i="5"/>
  <c r="BQ1306" i="5" s="1"/>
  <c r="AY1306" i="5"/>
  <c r="BF1306" i="5" s="1"/>
  <c r="AG1306" i="5"/>
  <c r="V1306" i="5"/>
  <c r="BJ1305" i="5"/>
  <c r="BQ1305" i="5" s="1"/>
  <c r="AY1305" i="5"/>
  <c r="BF1305" i="5" s="1"/>
  <c r="AG1305" i="5"/>
  <c r="V1305" i="5"/>
  <c r="BJ1304" i="5"/>
  <c r="BQ1304" i="5" s="1"/>
  <c r="BQ1308" i="5" s="1"/>
  <c r="AY1304" i="5"/>
  <c r="BF1304" i="5" s="1"/>
  <c r="BF1308" i="5" s="1"/>
  <c r="AG1304" i="5"/>
  <c r="V1304" i="5"/>
  <c r="BX1303" i="5"/>
  <c r="BX1302" i="5"/>
  <c r="BJ1302" i="5"/>
  <c r="AY1302" i="5"/>
  <c r="Z1302" i="5"/>
  <c r="O1302" i="5"/>
  <c r="BX1301" i="5"/>
  <c r="BJ1301" i="5"/>
  <c r="AY1301" i="5"/>
  <c r="Z1301" i="5"/>
  <c r="O1301" i="5"/>
  <c r="BX1300" i="5"/>
  <c r="BX1299" i="5"/>
  <c r="BX1298" i="5"/>
  <c r="BX1297" i="5"/>
  <c r="BI1296" i="5"/>
  <c r="BI1295" i="5"/>
  <c r="BX1293" i="5"/>
  <c r="BX1292" i="5"/>
  <c r="BN1292" i="5"/>
  <c r="AD1292" i="5"/>
  <c r="BX1291" i="5"/>
  <c r="BX1290" i="5"/>
  <c r="BX1289" i="5"/>
  <c r="BX1288" i="5"/>
  <c r="W1287" i="5"/>
  <c r="P1287" i="5"/>
  <c r="I1287" i="5"/>
  <c r="BX1286" i="5"/>
  <c r="BX1279" i="5"/>
  <c r="BN1278" i="5"/>
  <c r="BN1287" i="5" s="1"/>
  <c r="BG1278" i="5"/>
  <c r="BG1287" i="5" s="1"/>
  <c r="AZ1278" i="5"/>
  <c r="AZ1287" i="5" s="1"/>
  <c r="AS1278" i="5"/>
  <c r="AS1287" i="5" s="1"/>
  <c r="W1278" i="5"/>
  <c r="P1278" i="5"/>
  <c r="I1278" i="5"/>
  <c r="BX1277" i="5"/>
  <c r="BX1269" i="5"/>
  <c r="BX1268" i="5"/>
  <c r="BN1268" i="5"/>
  <c r="BG1268" i="5"/>
  <c r="AZ1268" i="5"/>
  <c r="AS1268" i="5"/>
  <c r="AD1268" i="5"/>
  <c r="W1268" i="5"/>
  <c r="P1268" i="5"/>
  <c r="I1268" i="5"/>
  <c r="BX1267" i="5"/>
  <c r="AK1267" i="5"/>
  <c r="AD1267" i="5"/>
  <c r="W1267" i="5"/>
  <c r="P1267" i="5"/>
  <c r="I1267" i="5"/>
  <c r="BN1266" i="5"/>
  <c r="BG1266" i="5"/>
  <c r="AZ1266" i="5"/>
  <c r="AS1266" i="5"/>
  <c r="AK1266" i="5"/>
  <c r="BX1265" i="5"/>
  <c r="BX1264" i="5"/>
  <c r="BX1263" i="5"/>
  <c r="BX1262" i="5"/>
  <c r="BX1261" i="5"/>
  <c r="AK1261" i="5"/>
  <c r="BX1260" i="5"/>
  <c r="BX1259" i="5"/>
  <c r="BX1258" i="5"/>
  <c r="BX1257" i="5"/>
  <c r="BN1256" i="5"/>
  <c r="BG1256" i="5"/>
  <c r="AD1256" i="5"/>
  <c r="W1256" i="5"/>
  <c r="BX1255" i="5"/>
  <c r="BX1250" i="5"/>
  <c r="BX1249" i="5"/>
  <c r="BN1248" i="5"/>
  <c r="BG1248" i="5"/>
  <c r="AD1248" i="5"/>
  <c r="W1248" i="5"/>
  <c r="BX1247" i="5"/>
  <c r="BX1242" i="5"/>
  <c r="BX1241" i="5"/>
  <c r="BX1240" i="5"/>
  <c r="BN1240" i="5"/>
  <c r="BG1240" i="5"/>
  <c r="AD1240" i="5"/>
  <c r="W1240" i="5"/>
  <c r="BX1239" i="5"/>
  <c r="BN1239" i="5"/>
  <c r="BG1239" i="5"/>
  <c r="AD1239" i="5"/>
  <c r="W1239" i="5"/>
  <c r="BX1238" i="5"/>
  <c r="BU1238" i="5"/>
  <c r="A1238" i="5"/>
  <c r="AK1238" i="5" s="1"/>
  <c r="BX1237" i="5"/>
  <c r="BX1236" i="5"/>
  <c r="BX1235" i="5"/>
  <c r="BX1234" i="5"/>
  <c r="BX1233" i="5"/>
  <c r="BX1232" i="5"/>
  <c r="BX1231" i="5"/>
  <c r="BX1230" i="5"/>
  <c r="BX1229" i="5"/>
  <c r="BU1229" i="5"/>
  <c r="A1229" i="5"/>
  <c r="AK1229" i="5" s="1"/>
  <c r="BX1228" i="5"/>
  <c r="BX1227" i="5"/>
  <c r="BX1226" i="5"/>
  <c r="BX1225" i="5"/>
  <c r="BX1224" i="5"/>
  <c r="BX1223" i="5"/>
  <c r="BX1222" i="5"/>
  <c r="BX1221" i="5"/>
  <c r="BX1220" i="5"/>
  <c r="BX1219" i="5"/>
  <c r="BX1218" i="5"/>
  <c r="BX1217" i="5"/>
  <c r="BX1216" i="5"/>
  <c r="BX1215" i="5"/>
  <c r="BX1214" i="5"/>
  <c r="BX1213" i="5"/>
  <c r="BX1212" i="5"/>
  <c r="BX1211" i="5"/>
  <c r="BX1210" i="5"/>
  <c r="BX1209" i="5"/>
  <c r="BX1208" i="5"/>
  <c r="BX1207" i="5"/>
  <c r="BX1206" i="5"/>
  <c r="BX1205" i="5"/>
  <c r="BX1204" i="5"/>
  <c r="BX1203" i="5"/>
  <c r="BX1202" i="5"/>
  <c r="BX1201" i="5"/>
  <c r="BX1200" i="5"/>
  <c r="BX1199" i="5"/>
  <c r="BX1198" i="5"/>
  <c r="BX1197" i="5"/>
  <c r="BX1196" i="5"/>
  <c r="BX1195" i="5"/>
  <c r="BX1194" i="5"/>
  <c r="BX1193" i="5"/>
  <c r="BX1192" i="5"/>
  <c r="BX1191" i="5"/>
  <c r="BX1190" i="5"/>
  <c r="BX1189" i="5"/>
  <c r="A1189" i="5"/>
  <c r="AK1189" i="5" s="1"/>
  <c r="BX1188" i="5"/>
  <c r="BX1187" i="5"/>
  <c r="BX1186" i="5"/>
  <c r="A1186" i="5"/>
  <c r="AK1186" i="5" s="1"/>
  <c r="BX1185" i="5"/>
  <c r="BX1184" i="5"/>
  <c r="BU1184" i="5"/>
  <c r="A1184" i="5"/>
  <c r="AK1184" i="5" s="1"/>
  <c r="BX1183" i="5"/>
  <c r="BX1182" i="5"/>
  <c r="BX1181" i="5"/>
  <c r="BN1181" i="5"/>
  <c r="BG1181" i="5"/>
  <c r="AD1181" i="5"/>
  <c r="W1181" i="5"/>
  <c r="BX1180" i="5"/>
  <c r="BX1179" i="5"/>
  <c r="BX1178" i="5"/>
  <c r="BX1177" i="5"/>
  <c r="BX1176" i="5"/>
  <c r="BN1175" i="5"/>
  <c r="BG1175" i="5"/>
  <c r="AD1175" i="5"/>
  <c r="W1175" i="5"/>
  <c r="BX1174" i="5"/>
  <c r="BN1173" i="5"/>
  <c r="BG1173" i="5"/>
  <c r="BN1172" i="5"/>
  <c r="BG1172" i="5"/>
  <c r="BN1171" i="5"/>
  <c r="BG1171" i="5"/>
  <c r="BX1170" i="5"/>
  <c r="BX1169" i="5"/>
  <c r="BN1168" i="5"/>
  <c r="BG1168" i="5"/>
  <c r="AD1168" i="5"/>
  <c r="W1168" i="5"/>
  <c r="BX1167" i="5"/>
  <c r="BN1166" i="5"/>
  <c r="BG1166" i="5"/>
  <c r="BN1165" i="5"/>
  <c r="BG1165" i="5"/>
  <c r="BN1164" i="5"/>
  <c r="BG1164" i="5"/>
  <c r="BX1163" i="5"/>
  <c r="BX1162" i="5"/>
  <c r="BX1161" i="5"/>
  <c r="BN1161" i="5"/>
  <c r="BG1161" i="5"/>
  <c r="AD1161" i="5"/>
  <c r="W1161" i="5"/>
  <c r="BX1160" i="5"/>
  <c r="BN1160" i="5"/>
  <c r="BG1160" i="5"/>
  <c r="AD1160" i="5"/>
  <c r="W1160" i="5"/>
  <c r="BX1159" i="5"/>
  <c r="BU1159" i="5"/>
  <c r="A1159" i="5"/>
  <c r="AK1159" i="5" s="1"/>
  <c r="BX1158" i="5"/>
  <c r="BX1157" i="5"/>
  <c r="BX1156" i="5"/>
  <c r="BX1155" i="5"/>
  <c r="BN1154" i="5"/>
  <c r="BG1154" i="5"/>
  <c r="AD1154" i="5"/>
  <c r="W1154" i="5"/>
  <c r="BX1153" i="5"/>
  <c r="BN1152" i="5"/>
  <c r="BG1152" i="5"/>
  <c r="BN1151" i="5"/>
  <c r="BG1151" i="5"/>
  <c r="C1150" i="5"/>
  <c r="BX1150" i="5" s="1"/>
  <c r="W1149" i="5"/>
  <c r="BX1148" i="5"/>
  <c r="BN1147" i="5"/>
  <c r="BG1147" i="5"/>
  <c r="BN1146" i="5"/>
  <c r="BG1146" i="5"/>
  <c r="BX1145" i="5"/>
  <c r="BX1144" i="5"/>
  <c r="BX1142" i="5"/>
  <c r="BZ1141" i="5"/>
  <c r="BG1141" i="5"/>
  <c r="AD1141" i="5"/>
  <c r="BZ1140" i="5"/>
  <c r="BZ1139" i="5"/>
  <c r="W1139" i="5" s="1"/>
  <c r="BZ1138" i="5"/>
  <c r="BN1138" i="5"/>
  <c r="W1138" i="5"/>
  <c r="BZ1137" i="5"/>
  <c r="BN1137" i="5"/>
  <c r="W1137" i="5"/>
  <c r="BG1137" i="5" s="1"/>
  <c r="BZ1136" i="5"/>
  <c r="AD1136" i="5"/>
  <c r="AD1143" i="5" s="1"/>
  <c r="BZ1135" i="5"/>
  <c r="BN1135" i="5"/>
  <c r="BG1135" i="5"/>
  <c r="BZ1134" i="5"/>
  <c r="BN1134" i="5"/>
  <c r="BG1134" i="5"/>
  <c r="BZ1133" i="5"/>
  <c r="BN1133" i="5"/>
  <c r="BG1133" i="5"/>
  <c r="BZ1132" i="5"/>
  <c r="BZ1131" i="5"/>
  <c r="BZ1130" i="5"/>
  <c r="BN1130" i="5"/>
  <c r="BZ1129" i="5"/>
  <c r="BN1129" i="5"/>
  <c r="BN1128" i="5"/>
  <c r="BG1128" i="5"/>
  <c r="BX1127" i="5"/>
  <c r="BX1126" i="5"/>
  <c r="BX1125" i="5"/>
  <c r="BN1125" i="5"/>
  <c r="BG1125" i="5"/>
  <c r="AD1125" i="5"/>
  <c r="W1125" i="5"/>
  <c r="BX1124" i="5"/>
  <c r="BN1124" i="5"/>
  <c r="BG1124" i="5"/>
  <c r="AD1124" i="5"/>
  <c r="W1124" i="5"/>
  <c r="BX1123" i="5"/>
  <c r="AK1123" i="5"/>
  <c r="BU1123" i="5"/>
  <c r="BX1122" i="5"/>
  <c r="BX1121" i="5"/>
  <c r="BX1120" i="5"/>
  <c r="BN1119" i="5"/>
  <c r="BG1119" i="5"/>
  <c r="AD1119" i="5"/>
  <c r="W1119" i="5"/>
  <c r="BX1118" i="5"/>
  <c r="BN1117" i="5"/>
  <c r="BG1117" i="5"/>
  <c r="BN1116" i="5"/>
  <c r="BG1116" i="5"/>
  <c r="BN1115" i="5"/>
  <c r="BG1115" i="5"/>
  <c r="BX1114" i="5"/>
  <c r="BX1113" i="5"/>
  <c r="BN1112" i="5"/>
  <c r="BG1112" i="5"/>
  <c r="AD1112" i="5"/>
  <c r="W1112" i="5"/>
  <c r="BX1111" i="5"/>
  <c r="BN1110" i="5"/>
  <c r="BG1110" i="5"/>
  <c r="BN1109" i="5"/>
  <c r="BG1109" i="5"/>
  <c r="BN1108" i="5"/>
  <c r="BG1108" i="5"/>
  <c r="BX1107" i="5"/>
  <c r="BX1106" i="5"/>
  <c r="BX1105" i="5"/>
  <c r="BN1105" i="5"/>
  <c r="BG1105" i="5"/>
  <c r="AD1105" i="5"/>
  <c r="W1105" i="5"/>
  <c r="BX1104" i="5"/>
  <c r="BN1104" i="5"/>
  <c r="BG1104" i="5"/>
  <c r="AD1104" i="5"/>
  <c r="W1104" i="5"/>
  <c r="BX1103" i="5"/>
  <c r="BU1103" i="5"/>
  <c r="A1103" i="5"/>
  <c r="AK1103" i="5" s="1"/>
  <c r="BX1102" i="5"/>
  <c r="BX1101" i="5"/>
  <c r="BN1100" i="5"/>
  <c r="BG1100" i="5"/>
  <c r="AD1100" i="5"/>
  <c r="W1100" i="5"/>
  <c r="BX1099" i="5"/>
  <c r="BN1098" i="5"/>
  <c r="BG1098" i="5"/>
  <c r="BN1097" i="5"/>
  <c r="BG1097" i="5"/>
  <c r="BX1096" i="5"/>
  <c r="BX1095" i="5"/>
  <c r="BN1094" i="5"/>
  <c r="BG1094" i="5"/>
  <c r="AD1094" i="5"/>
  <c r="W1094" i="5"/>
  <c r="BX1093" i="5"/>
  <c r="BN1092" i="5"/>
  <c r="BG1092" i="5"/>
  <c r="BN1091" i="5"/>
  <c r="BG1091" i="5"/>
  <c r="BN1090" i="5"/>
  <c r="BG1090" i="5"/>
  <c r="BN1089" i="5"/>
  <c r="BG1089" i="5"/>
  <c r="BN1088" i="5"/>
  <c r="BG1088" i="5"/>
  <c r="BX1087" i="5"/>
  <c r="BX1086" i="5"/>
  <c r="BX1085" i="5"/>
  <c r="BN1085" i="5"/>
  <c r="BG1085" i="5"/>
  <c r="AD1085" i="5"/>
  <c r="W1085" i="5"/>
  <c r="BX1084" i="5"/>
  <c r="BN1084" i="5"/>
  <c r="BG1084" i="5"/>
  <c r="AD1084" i="5"/>
  <c r="W1084" i="5"/>
  <c r="BX1083" i="5"/>
  <c r="BU1083" i="5"/>
  <c r="A1083" i="5"/>
  <c r="AK1083" i="5" s="1"/>
  <c r="BX1082" i="5"/>
  <c r="BX1081" i="5"/>
  <c r="C1080" i="5"/>
  <c r="BX1080" i="5" s="1"/>
  <c r="BX1079" i="5"/>
  <c r="CD1077" i="5"/>
  <c r="CC1077" i="5"/>
  <c r="BX1077" i="5"/>
  <c r="CB1076" i="5"/>
  <c r="CA1076" i="5"/>
  <c r="CA1077" i="5" s="1"/>
  <c r="BZ1075" i="5"/>
  <c r="BZ1074" i="5"/>
  <c r="Y1074" i="5"/>
  <c r="S1074" i="5"/>
  <c r="BZ1073" i="5"/>
  <c r="BZ1072" i="5"/>
  <c r="Y1072" i="5"/>
  <c r="S1072" i="5"/>
  <c r="BZ1071" i="5"/>
  <c r="Y1071" i="5"/>
  <c r="BZ1070" i="5"/>
  <c r="BZ1069" i="5"/>
  <c r="CE1068" i="5"/>
  <c r="S1068" i="5" s="1"/>
  <c r="BZ1068" i="5"/>
  <c r="Y1068" i="5"/>
  <c r="BX1067" i="5"/>
  <c r="BX1066" i="5"/>
  <c r="BN1066" i="5"/>
  <c r="BG1066" i="5"/>
  <c r="AK1066" i="5"/>
  <c r="AE1066" i="5"/>
  <c r="Y1066" i="5"/>
  <c r="S1066" i="5"/>
  <c r="M1066" i="5"/>
  <c r="BX1065" i="5"/>
  <c r="BN1065" i="5"/>
  <c r="BG1065" i="5"/>
  <c r="AK1065" i="5"/>
  <c r="BX1063" i="5"/>
  <c r="BU1063" i="5"/>
  <c r="BX1062" i="5"/>
  <c r="BX1061" i="5"/>
  <c r="AD1060" i="5"/>
  <c r="W1060" i="5"/>
  <c r="BX1059" i="5"/>
  <c r="BN1058" i="5"/>
  <c r="BG1058" i="5"/>
  <c r="BN1057" i="5"/>
  <c r="BG1057" i="5"/>
  <c r="BX1056" i="5"/>
  <c r="BX1055" i="5"/>
  <c r="AD1054" i="5"/>
  <c r="BX1053" i="5"/>
  <c r="BZ1052" i="5"/>
  <c r="BN1052" i="5"/>
  <c r="BG1052" i="5"/>
  <c r="BZ1051" i="5"/>
  <c r="W1051" i="5" s="1"/>
  <c r="BN1051" i="5"/>
  <c r="BZ1050" i="5"/>
  <c r="BN1050" i="5"/>
  <c r="W1050" i="5"/>
  <c r="BG1050" i="5" s="1"/>
  <c r="BZ1049" i="5"/>
  <c r="BN1049" i="5"/>
  <c r="W1049" i="5"/>
  <c r="BZ1048" i="5"/>
  <c r="W1048" i="5" s="1"/>
  <c r="BN1048" i="5"/>
  <c r="BG1048" i="5"/>
  <c r="BZ1047" i="5"/>
  <c r="W1047" i="5" s="1"/>
  <c r="BN1047" i="5"/>
  <c r="BZ1046" i="5"/>
  <c r="BN1046" i="5"/>
  <c r="BG1046" i="5"/>
  <c r="BX1045" i="5"/>
  <c r="BX1044" i="5"/>
  <c r="BX1043" i="5"/>
  <c r="BN1043" i="5"/>
  <c r="BG1043" i="5"/>
  <c r="AD1043" i="5"/>
  <c r="W1043" i="5"/>
  <c r="BX1042" i="5"/>
  <c r="BN1042" i="5"/>
  <c r="BG1042" i="5"/>
  <c r="AD1042" i="5"/>
  <c r="W1042" i="5"/>
  <c r="BX1041" i="5"/>
  <c r="AK1041" i="5"/>
  <c r="BX1040" i="5"/>
  <c r="BX1039" i="5"/>
  <c r="BX1038" i="5"/>
  <c r="AE1038" i="5"/>
  <c r="Y1038" i="5"/>
  <c r="S1038" i="5"/>
  <c r="M1038" i="5"/>
  <c r="BX1037" i="5"/>
  <c r="BX1036" i="5"/>
  <c r="BX1035" i="5"/>
  <c r="BX1034" i="5"/>
  <c r="BX1033" i="5"/>
  <c r="AE1033" i="5"/>
  <c r="Y1033" i="5"/>
  <c r="S1033" i="5"/>
  <c r="M1033" i="5"/>
  <c r="BX1032" i="5"/>
  <c r="Y1031" i="5"/>
  <c r="M1031" i="5"/>
  <c r="AM1030" i="5"/>
  <c r="C1030" i="5"/>
  <c r="BX1030" i="5" s="1"/>
  <c r="BO1029" i="5"/>
  <c r="BI1029" i="5"/>
  <c r="BC1029" i="5"/>
  <c r="AW1029" i="5"/>
  <c r="BX1028" i="5"/>
  <c r="BX1027" i="5"/>
  <c r="BO1027" i="5"/>
  <c r="BI1027" i="5"/>
  <c r="BC1027" i="5"/>
  <c r="AW1027" i="5"/>
  <c r="AE1027" i="5"/>
  <c r="Y1027" i="5"/>
  <c r="S1027" i="5"/>
  <c r="M1027" i="5"/>
  <c r="BX1026" i="5"/>
  <c r="BO1025" i="5"/>
  <c r="BI1025" i="5"/>
  <c r="BC1025" i="5"/>
  <c r="AW1025" i="5"/>
  <c r="BO1024" i="5"/>
  <c r="BI1024" i="5"/>
  <c r="BC1024" i="5"/>
  <c r="AW1024" i="5"/>
  <c r="BO1023" i="5"/>
  <c r="BI1023" i="5"/>
  <c r="BC1023" i="5"/>
  <c r="AW1023" i="5"/>
  <c r="BX1022" i="5"/>
  <c r="BX1021" i="5"/>
  <c r="BO1020" i="5"/>
  <c r="BI1020" i="5"/>
  <c r="BC1020" i="5"/>
  <c r="AW1020" i="5"/>
  <c r="AE1020" i="5"/>
  <c r="Y1020" i="5"/>
  <c r="S1020" i="5"/>
  <c r="M1020" i="5"/>
  <c r="BX1019" i="5"/>
  <c r="BO1018" i="5"/>
  <c r="BC1018" i="5"/>
  <c r="BO1017" i="5"/>
  <c r="BC1017" i="5"/>
  <c r="BX1016" i="5"/>
  <c r="BX1015" i="5"/>
  <c r="Y1014" i="5"/>
  <c r="BX1013" i="5"/>
  <c r="BZ1012" i="5"/>
  <c r="BI1012" i="5"/>
  <c r="AE1012" i="5"/>
  <c r="BO1012" i="5" s="1"/>
  <c r="M1012" i="5"/>
  <c r="BZ1011" i="5"/>
  <c r="BI1011" i="5"/>
  <c r="AW1011" i="5"/>
  <c r="AE1011" i="5"/>
  <c r="BO1011" i="5" s="1"/>
  <c r="S1011" i="5"/>
  <c r="BZ1010" i="5"/>
  <c r="BI1010" i="5"/>
  <c r="AW1010" i="5"/>
  <c r="AE1010" i="5"/>
  <c r="BO1010" i="5" s="1"/>
  <c r="S1010" i="5"/>
  <c r="BZ1009" i="5"/>
  <c r="BI1009" i="5"/>
  <c r="AW1009" i="5"/>
  <c r="AE1009" i="5"/>
  <c r="BO1009" i="5" s="1"/>
  <c r="S1009" i="5"/>
  <c r="BZ1008" i="5"/>
  <c r="BI1008" i="5"/>
  <c r="AW1008" i="5"/>
  <c r="AE1008" i="5"/>
  <c r="BO1008" i="5" s="1"/>
  <c r="S1008" i="5"/>
  <c r="BZ1007" i="5"/>
  <c r="BI1007" i="5"/>
  <c r="AW1007" i="5"/>
  <c r="AE1007" i="5"/>
  <c r="BO1007" i="5" s="1"/>
  <c r="S1007" i="5"/>
  <c r="BZ1006" i="5"/>
  <c r="BI1006" i="5"/>
  <c r="AW1006" i="5"/>
  <c r="AE1006" i="5"/>
  <c r="BO1006" i="5" s="1"/>
  <c r="S1006" i="5"/>
  <c r="BZ1005" i="5"/>
  <c r="BI1005" i="5"/>
  <c r="AE1005" i="5"/>
  <c r="M1005" i="5"/>
  <c r="BX1004" i="5"/>
  <c r="BX1003" i="5"/>
  <c r="BX1002" i="5"/>
  <c r="BO1002" i="5"/>
  <c r="BI1002" i="5"/>
  <c r="BC1002" i="5"/>
  <c r="AW1002" i="5"/>
  <c r="AE1002" i="5"/>
  <c r="Y1002" i="5"/>
  <c r="S1002" i="5"/>
  <c r="M1002" i="5"/>
  <c r="BX1001" i="5"/>
  <c r="BX1000" i="5"/>
  <c r="BI1000" i="5"/>
  <c r="AW1000" i="5"/>
  <c r="Y1000" i="5"/>
  <c r="M1000" i="5"/>
  <c r="BX998" i="5"/>
  <c r="BU998" i="5"/>
  <c r="BX997" i="5"/>
  <c r="BX996" i="5"/>
  <c r="BX995" i="5"/>
  <c r="BX994" i="5"/>
  <c r="BX993" i="5"/>
  <c r="BX992" i="5"/>
  <c r="BO991" i="5"/>
  <c r="BH991" i="5"/>
  <c r="BB991" i="5"/>
  <c r="AU991" i="5"/>
  <c r="AE991" i="5"/>
  <c r="X991" i="5"/>
  <c r="R991" i="5"/>
  <c r="K991" i="5"/>
  <c r="BX990" i="5"/>
  <c r="BO989" i="5"/>
  <c r="BH989" i="5"/>
  <c r="BB989" i="5"/>
  <c r="AU989" i="5"/>
  <c r="BO988" i="5"/>
  <c r="BH988" i="5"/>
  <c r="BB988" i="5"/>
  <c r="AU988" i="5"/>
  <c r="BX987" i="5"/>
  <c r="BX986" i="5"/>
  <c r="BO986" i="5"/>
  <c r="BH986" i="5"/>
  <c r="BB986" i="5"/>
  <c r="AU986" i="5"/>
  <c r="AE986" i="5"/>
  <c r="X986" i="5"/>
  <c r="R986" i="5"/>
  <c r="K986" i="5"/>
  <c r="BX985" i="5"/>
  <c r="BX984" i="5"/>
  <c r="BH984" i="5"/>
  <c r="AU984" i="5"/>
  <c r="X984" i="5"/>
  <c r="K984" i="5"/>
  <c r="BX983" i="5"/>
  <c r="BX982" i="5"/>
  <c r="BX981" i="5"/>
  <c r="BX980" i="5"/>
  <c r="BX979" i="5"/>
  <c r="BX978" i="5"/>
  <c r="BX977" i="5"/>
  <c r="BX976" i="5"/>
  <c r="BN975" i="5"/>
  <c r="BG975" i="5"/>
  <c r="AD975" i="5"/>
  <c r="W975" i="5"/>
  <c r="BX974" i="5"/>
  <c r="BX973" i="5"/>
  <c r="BX972" i="5"/>
  <c r="BN971" i="5"/>
  <c r="BG971" i="5"/>
  <c r="AD971" i="5"/>
  <c r="W971" i="5"/>
  <c r="BX970" i="5"/>
  <c r="BX969" i="5"/>
  <c r="BX968" i="5"/>
  <c r="BX967" i="5"/>
  <c r="BX966" i="5"/>
  <c r="BN966" i="5"/>
  <c r="BG966" i="5"/>
  <c r="AD966" i="5"/>
  <c r="W966" i="5"/>
  <c r="BX965" i="5"/>
  <c r="BN965" i="5"/>
  <c r="BG965" i="5"/>
  <c r="AD965" i="5"/>
  <c r="W965" i="5"/>
  <c r="BX964" i="5"/>
  <c r="BX963" i="5"/>
  <c r="BX962" i="5"/>
  <c r="BX961" i="5"/>
  <c r="BX960" i="5"/>
  <c r="BX959" i="5"/>
  <c r="BX958" i="5"/>
  <c r="BN957" i="5"/>
  <c r="BG957" i="5"/>
  <c r="AD957" i="5"/>
  <c r="W957" i="5"/>
  <c r="BX956" i="5"/>
  <c r="BX955" i="5"/>
  <c r="BX954" i="5"/>
  <c r="BX953" i="5"/>
  <c r="BX952" i="5"/>
  <c r="BN952" i="5"/>
  <c r="BG952" i="5"/>
  <c r="AD952" i="5"/>
  <c r="W952" i="5"/>
  <c r="BX951" i="5"/>
  <c r="BN951" i="5"/>
  <c r="BG951" i="5"/>
  <c r="AD951" i="5"/>
  <c r="W951" i="5"/>
  <c r="BX950" i="5"/>
  <c r="BX949" i="5"/>
  <c r="BX948" i="5"/>
  <c r="BX947" i="5"/>
  <c r="BX946" i="5"/>
  <c r="BX945" i="5"/>
  <c r="BX944" i="5"/>
  <c r="BX943" i="5"/>
  <c r="A943" i="5"/>
  <c r="AK943" i="5" s="1"/>
  <c r="BX942" i="5"/>
  <c r="BX941" i="5"/>
  <c r="BN940" i="5"/>
  <c r="BG940" i="5"/>
  <c r="AD940" i="5"/>
  <c r="W940" i="5"/>
  <c r="BX939" i="5"/>
  <c r="BN938" i="5"/>
  <c r="BG938" i="5"/>
  <c r="BN937" i="5"/>
  <c r="BG937" i="5"/>
  <c r="BX936" i="5"/>
  <c r="BX935" i="5"/>
  <c r="BN934" i="5"/>
  <c r="BG934" i="5"/>
  <c r="AD934" i="5"/>
  <c r="W934" i="5"/>
  <c r="BX933" i="5"/>
  <c r="BN932" i="5"/>
  <c r="BG932" i="5"/>
  <c r="BN931" i="5"/>
  <c r="BG931" i="5"/>
  <c r="BX930" i="5"/>
  <c r="BX929" i="5"/>
  <c r="BX928" i="5"/>
  <c r="BN928" i="5"/>
  <c r="BG928" i="5"/>
  <c r="AD928" i="5"/>
  <c r="W928" i="5"/>
  <c r="BX927" i="5"/>
  <c r="BN927" i="5"/>
  <c r="BG927" i="5"/>
  <c r="AD927" i="5"/>
  <c r="W927" i="5"/>
  <c r="BX926" i="5"/>
  <c r="BU926" i="5"/>
  <c r="A926" i="5"/>
  <c r="AK926" i="5" s="1"/>
  <c r="BX925" i="5"/>
  <c r="BX924" i="5"/>
  <c r="CB923" i="5"/>
  <c r="CA923" i="5"/>
  <c r="AD923" i="5"/>
  <c r="BX922" i="5"/>
  <c r="BZ921" i="5"/>
  <c r="BN921" i="5"/>
  <c r="W921" i="5"/>
  <c r="BZ920" i="5"/>
  <c r="W920" i="5" s="1"/>
  <c r="BZ919" i="5"/>
  <c r="BN919" i="5"/>
  <c r="W919" i="5"/>
  <c r="BG919" i="5" s="1"/>
  <c r="BZ918" i="5"/>
  <c r="BN918" i="5"/>
  <c r="W918" i="5"/>
  <c r="BX917" i="5"/>
  <c r="BX916" i="5"/>
  <c r="AD915" i="5"/>
  <c r="W915" i="5"/>
  <c r="BX914" i="5"/>
  <c r="BN913" i="5"/>
  <c r="BG913" i="5"/>
  <c r="BN912" i="5"/>
  <c r="BG912" i="5"/>
  <c r="BN911" i="5"/>
  <c r="BG911" i="5"/>
  <c r="BN910" i="5"/>
  <c r="BG910" i="5"/>
  <c r="BX909" i="5"/>
  <c r="BX908" i="5"/>
  <c r="BX907" i="5"/>
  <c r="BN907" i="5"/>
  <c r="BG907" i="5"/>
  <c r="AD907" i="5"/>
  <c r="W907" i="5"/>
  <c r="BX906" i="5"/>
  <c r="BN906" i="5"/>
  <c r="BG906" i="5"/>
  <c r="AD906" i="5"/>
  <c r="W906" i="5"/>
  <c r="BX905" i="5"/>
  <c r="AK905" i="5"/>
  <c r="BX904" i="5"/>
  <c r="BX903" i="5"/>
  <c r="BX902" i="5"/>
  <c r="BX901" i="5"/>
  <c r="BX900" i="5"/>
  <c r="BX899" i="5"/>
  <c r="BX898" i="5"/>
  <c r="BX897" i="5"/>
  <c r="W895" i="5"/>
  <c r="P895" i="5"/>
  <c r="I895" i="5"/>
  <c r="BX894" i="5"/>
  <c r="BX893" i="5"/>
  <c r="BN892" i="5"/>
  <c r="BG892" i="5"/>
  <c r="AZ892" i="5"/>
  <c r="AS892" i="5"/>
  <c r="AD892" i="5"/>
  <c r="W892" i="5"/>
  <c r="P892" i="5"/>
  <c r="I892" i="5"/>
  <c r="BG891" i="5"/>
  <c r="AZ891" i="5"/>
  <c r="AS891" i="5"/>
  <c r="AD891" i="5"/>
  <c r="BG890" i="5"/>
  <c r="AZ890" i="5"/>
  <c r="AS890" i="5"/>
  <c r="AD890" i="5"/>
  <c r="BG889" i="5"/>
  <c r="AZ889" i="5"/>
  <c r="AS889" i="5"/>
  <c r="AD889" i="5"/>
  <c r="BX888" i="5"/>
  <c r="BX887" i="5"/>
  <c r="BN886" i="5"/>
  <c r="BN896" i="5" s="1"/>
  <c r="BG886" i="5"/>
  <c r="BG896" i="5" s="1"/>
  <c r="AZ886" i="5"/>
  <c r="AZ896" i="5" s="1"/>
  <c r="AS886" i="5"/>
  <c r="AS896" i="5" s="1"/>
  <c r="AD886" i="5"/>
  <c r="W886" i="5"/>
  <c r="W896" i="5" s="1"/>
  <c r="P886" i="5"/>
  <c r="P896" i="5" s="1"/>
  <c r="I886" i="5"/>
  <c r="I896" i="5" s="1"/>
  <c r="BG885" i="5"/>
  <c r="AZ885" i="5"/>
  <c r="AS885" i="5"/>
  <c r="AD885" i="5"/>
  <c r="BG884" i="5"/>
  <c r="AZ884" i="5"/>
  <c r="AS884" i="5"/>
  <c r="AD884" i="5"/>
  <c r="BG883" i="5"/>
  <c r="AZ883" i="5"/>
  <c r="AS883" i="5"/>
  <c r="AD883" i="5"/>
  <c r="BG882" i="5"/>
  <c r="AZ882" i="5"/>
  <c r="AS882" i="5"/>
  <c r="AD882" i="5"/>
  <c r="BG881" i="5"/>
  <c r="AZ881" i="5"/>
  <c r="AS881" i="5"/>
  <c r="AD881" i="5"/>
  <c r="BX880" i="5"/>
  <c r="BX879" i="5"/>
  <c r="BN879" i="5"/>
  <c r="BG879" i="5"/>
  <c r="AZ879" i="5"/>
  <c r="AS879" i="5"/>
  <c r="AD879" i="5"/>
  <c r="W879" i="5"/>
  <c r="P879" i="5"/>
  <c r="I879" i="5"/>
  <c r="BX878" i="5"/>
  <c r="BX877" i="5"/>
  <c r="BX876" i="5"/>
  <c r="BX875" i="5"/>
  <c r="W873" i="5"/>
  <c r="P873" i="5"/>
  <c r="I873" i="5"/>
  <c r="BX872" i="5"/>
  <c r="BX871" i="5"/>
  <c r="BN870" i="5"/>
  <c r="BG870" i="5"/>
  <c r="AZ870" i="5"/>
  <c r="AS870" i="5"/>
  <c r="AD870" i="5"/>
  <c r="W870" i="5"/>
  <c r="P870" i="5"/>
  <c r="I870" i="5"/>
  <c r="BG869" i="5"/>
  <c r="AZ869" i="5"/>
  <c r="AS869" i="5"/>
  <c r="AD869" i="5"/>
  <c r="BG868" i="5"/>
  <c r="AZ868" i="5"/>
  <c r="AS868" i="5"/>
  <c r="AD868" i="5"/>
  <c r="BG867" i="5"/>
  <c r="AZ867" i="5"/>
  <c r="AS867" i="5"/>
  <c r="AD867" i="5"/>
  <c r="BG866" i="5"/>
  <c r="AZ866" i="5"/>
  <c r="AS866" i="5"/>
  <c r="AD866" i="5"/>
  <c r="BG865" i="5"/>
  <c r="AZ865" i="5"/>
  <c r="AS865" i="5"/>
  <c r="AD865" i="5"/>
  <c r="BX864" i="5"/>
  <c r="BX863" i="5"/>
  <c r="BN862" i="5"/>
  <c r="BN874" i="5" s="1"/>
  <c r="BG862" i="5"/>
  <c r="BG874" i="5" s="1"/>
  <c r="AZ862" i="5"/>
  <c r="AZ874" i="5" s="1"/>
  <c r="AS862" i="5"/>
  <c r="AS874" i="5" s="1"/>
  <c r="AD862" i="5"/>
  <c r="W862" i="5"/>
  <c r="W874" i="5" s="1"/>
  <c r="P862" i="5"/>
  <c r="I862" i="5"/>
  <c r="I874" i="5" s="1"/>
  <c r="BG861" i="5"/>
  <c r="AZ861" i="5"/>
  <c r="AS861" i="5"/>
  <c r="AD861" i="5"/>
  <c r="BG860" i="5"/>
  <c r="AZ860" i="5"/>
  <c r="AS860" i="5"/>
  <c r="AD860" i="5"/>
  <c r="BG859" i="5"/>
  <c r="AZ859" i="5"/>
  <c r="AS859" i="5"/>
  <c r="AD859" i="5"/>
  <c r="BG858" i="5"/>
  <c r="AZ858" i="5"/>
  <c r="AS858" i="5"/>
  <c r="AD858" i="5"/>
  <c r="BG857" i="5"/>
  <c r="BG873" i="5" s="1"/>
  <c r="AZ857" i="5"/>
  <c r="AZ873" i="5" s="1"/>
  <c r="AS857" i="5"/>
  <c r="AD857" i="5"/>
  <c r="BX856" i="5"/>
  <c r="BX855" i="5"/>
  <c r="BN855" i="5"/>
  <c r="BG855" i="5"/>
  <c r="AZ855" i="5"/>
  <c r="AS855" i="5"/>
  <c r="AD855" i="5"/>
  <c r="W855" i="5"/>
  <c r="P855" i="5"/>
  <c r="I855" i="5"/>
  <c r="BX854" i="5"/>
  <c r="BX853" i="5"/>
  <c r="BX852" i="5"/>
  <c r="BX851" i="5"/>
  <c r="BX850" i="5"/>
  <c r="BU850" i="5"/>
  <c r="A850" i="5"/>
  <c r="AK850" i="5" s="1"/>
  <c r="BX849" i="5"/>
  <c r="BX848" i="5"/>
  <c r="BX847" i="5"/>
  <c r="BX846" i="5"/>
  <c r="BX845" i="5"/>
  <c r="BX844" i="5"/>
  <c r="BX843" i="5"/>
  <c r="BX840" i="5"/>
  <c r="BN839" i="5"/>
  <c r="BG839" i="5"/>
  <c r="AZ839" i="5"/>
  <c r="AS839" i="5"/>
  <c r="AD839" i="5"/>
  <c r="W839" i="5"/>
  <c r="P839" i="5"/>
  <c r="I839" i="5"/>
  <c r="BX833" i="5"/>
  <c r="BN832" i="5"/>
  <c r="BG832" i="5"/>
  <c r="AZ832" i="5"/>
  <c r="AS832" i="5"/>
  <c r="AD832" i="5"/>
  <c r="W832" i="5"/>
  <c r="P832" i="5"/>
  <c r="I832" i="5"/>
  <c r="BX824" i="5"/>
  <c r="BX823" i="5"/>
  <c r="BN823" i="5"/>
  <c r="BG823" i="5"/>
  <c r="AZ823" i="5"/>
  <c r="AS823" i="5"/>
  <c r="AD823" i="5"/>
  <c r="W823" i="5"/>
  <c r="P823" i="5"/>
  <c r="I823" i="5"/>
  <c r="BX822" i="5"/>
  <c r="AD822" i="5"/>
  <c r="W822" i="5"/>
  <c r="P822" i="5"/>
  <c r="I822" i="5"/>
  <c r="BN821" i="5"/>
  <c r="BN822" i="5" s="1"/>
  <c r="BG821" i="5"/>
  <c r="BG822" i="5" s="1"/>
  <c r="AZ821" i="5"/>
  <c r="AZ822" i="5" s="1"/>
  <c r="AS821" i="5"/>
  <c r="AS822" i="5" s="1"/>
  <c r="BX820" i="5"/>
  <c r="BX819" i="5"/>
  <c r="AK819" i="5"/>
  <c r="BX818" i="5"/>
  <c r="BX817" i="5"/>
  <c r="BX816" i="5"/>
  <c r="BX815" i="5"/>
  <c r="BX814" i="5"/>
  <c r="BX813" i="5"/>
  <c r="BX810" i="5"/>
  <c r="BN809" i="5"/>
  <c r="BG809" i="5"/>
  <c r="AZ809" i="5"/>
  <c r="AS809" i="5"/>
  <c r="AD809" i="5"/>
  <c r="W809" i="5"/>
  <c r="P809" i="5"/>
  <c r="I809" i="5"/>
  <c r="BX802" i="5"/>
  <c r="BN801" i="5"/>
  <c r="BG801" i="5"/>
  <c r="AZ801" i="5"/>
  <c r="AS801" i="5"/>
  <c r="AD801" i="5"/>
  <c r="W801" i="5"/>
  <c r="P801" i="5"/>
  <c r="I801" i="5"/>
  <c r="BX794" i="5"/>
  <c r="BX793" i="5"/>
  <c r="BN793" i="5"/>
  <c r="BG793" i="5"/>
  <c r="AZ793" i="5"/>
  <c r="AS793" i="5"/>
  <c r="AD793" i="5"/>
  <c r="W793" i="5"/>
  <c r="P793" i="5"/>
  <c r="I793" i="5"/>
  <c r="BX792" i="5"/>
  <c r="AD792" i="5"/>
  <c r="W792" i="5"/>
  <c r="P792" i="5"/>
  <c r="I792" i="5"/>
  <c r="BN791" i="5"/>
  <c r="BN792" i="5" s="1"/>
  <c r="BG791" i="5"/>
  <c r="BG792" i="5" s="1"/>
  <c r="AZ791" i="5"/>
  <c r="AZ792" i="5" s="1"/>
  <c r="AS791" i="5"/>
  <c r="AS792" i="5" s="1"/>
  <c r="BX790" i="5"/>
  <c r="BX789" i="5"/>
  <c r="BU789" i="5"/>
  <c r="A789" i="5"/>
  <c r="AK789" i="5" s="1"/>
  <c r="BX788" i="5"/>
  <c r="BX787" i="5"/>
  <c r="BX786" i="5"/>
  <c r="BX785" i="5"/>
  <c r="BX784" i="5"/>
  <c r="BX783" i="5"/>
  <c r="BX782" i="5"/>
  <c r="BX781" i="5"/>
  <c r="BX780" i="5"/>
  <c r="BX777" i="5"/>
  <c r="BN776" i="5"/>
  <c r="BG776" i="5"/>
  <c r="AZ776" i="5"/>
  <c r="AS776" i="5"/>
  <c r="AD776" i="5"/>
  <c r="W776" i="5"/>
  <c r="P776" i="5"/>
  <c r="I776" i="5"/>
  <c r="BX769" i="5"/>
  <c r="BN768" i="5"/>
  <c r="BG768" i="5"/>
  <c r="AZ768" i="5"/>
  <c r="AS768" i="5"/>
  <c r="AD768" i="5"/>
  <c r="W768" i="5"/>
  <c r="P768" i="5"/>
  <c r="I768" i="5"/>
  <c r="BX760" i="5"/>
  <c r="BX759" i="5"/>
  <c r="BN759" i="5"/>
  <c r="BG759" i="5"/>
  <c r="AZ759" i="5"/>
  <c r="AS759" i="5"/>
  <c r="AD759" i="5"/>
  <c r="W759" i="5"/>
  <c r="P759" i="5"/>
  <c r="I759" i="5"/>
  <c r="BX758" i="5"/>
  <c r="AD758" i="5"/>
  <c r="W758" i="5"/>
  <c r="P758" i="5"/>
  <c r="I758" i="5"/>
  <c r="BN757" i="5"/>
  <c r="BG757" i="5"/>
  <c r="AZ757" i="5"/>
  <c r="AS757" i="5"/>
  <c r="BX756" i="5"/>
  <c r="BX755" i="5"/>
  <c r="A755" i="5"/>
  <c r="BU755" i="5" s="1"/>
  <c r="BX754" i="5"/>
  <c r="BX752" i="5"/>
  <c r="BX750" i="5"/>
  <c r="BN749" i="5"/>
  <c r="BG749" i="5"/>
  <c r="BN748" i="5"/>
  <c r="BG748" i="5"/>
  <c r="BN747" i="5"/>
  <c r="BG747" i="5"/>
  <c r="AD747" i="5"/>
  <c r="W747" i="5"/>
  <c r="BX746" i="5"/>
  <c r="BN745" i="5"/>
  <c r="BG745" i="5"/>
  <c r="BN744" i="5"/>
  <c r="BG744" i="5"/>
  <c r="BN743" i="5"/>
  <c r="BG743" i="5"/>
  <c r="AD743" i="5"/>
  <c r="W743" i="5"/>
  <c r="BX742" i="5"/>
  <c r="BN741" i="5"/>
  <c r="BG741" i="5"/>
  <c r="BN740" i="5"/>
  <c r="BG740" i="5"/>
  <c r="BN739" i="5"/>
  <c r="BN751" i="5" s="1"/>
  <c r="AD739" i="5"/>
  <c r="AD751" i="5" s="1"/>
  <c r="W739" i="5"/>
  <c r="W751" i="5" s="1"/>
  <c r="BX738" i="5"/>
  <c r="BX737" i="5"/>
  <c r="BN737" i="5"/>
  <c r="BG737" i="5"/>
  <c r="AD737" i="5"/>
  <c r="W737" i="5"/>
  <c r="BX736" i="5"/>
  <c r="BN736" i="5"/>
  <c r="BG736" i="5"/>
  <c r="AD736" i="5"/>
  <c r="W736" i="5"/>
  <c r="BX735" i="5"/>
  <c r="BX734" i="5"/>
  <c r="BX733" i="5"/>
  <c r="BX732" i="5"/>
  <c r="BX731" i="5"/>
  <c r="BO730" i="5"/>
  <c r="BH730" i="5"/>
  <c r="BB730" i="5"/>
  <c r="AU730" i="5"/>
  <c r="AE730" i="5"/>
  <c r="X730" i="5"/>
  <c r="R730" i="5"/>
  <c r="K730" i="5"/>
  <c r="BX729" i="5"/>
  <c r="BO728" i="5"/>
  <c r="BH728" i="5"/>
  <c r="BB728" i="5"/>
  <c r="AU728" i="5"/>
  <c r="BO727" i="5"/>
  <c r="BH727" i="5"/>
  <c r="BB727" i="5"/>
  <c r="AU727" i="5"/>
  <c r="BX726" i="5"/>
  <c r="BX725" i="5"/>
  <c r="BO725" i="5"/>
  <c r="BH725" i="5"/>
  <c r="BB725" i="5"/>
  <c r="AU725" i="5"/>
  <c r="AE725" i="5"/>
  <c r="X725" i="5"/>
  <c r="R725" i="5"/>
  <c r="K725" i="5"/>
  <c r="BX724" i="5"/>
  <c r="BX723" i="5"/>
  <c r="BH723" i="5"/>
  <c r="AU723" i="5"/>
  <c r="X723" i="5"/>
  <c r="K723" i="5"/>
  <c r="BX722" i="5"/>
  <c r="BX721" i="5"/>
  <c r="BX720" i="5"/>
  <c r="BU720" i="5"/>
  <c r="BX719" i="5"/>
  <c r="BX718" i="5"/>
  <c r="BX717" i="5"/>
  <c r="BX716" i="5"/>
  <c r="BX715" i="5"/>
  <c r="BX714" i="5"/>
  <c r="BX713" i="5"/>
  <c r="BX712" i="5"/>
  <c r="BX710" i="5"/>
  <c r="BO709" i="5"/>
  <c r="BB709" i="5"/>
  <c r="BO708" i="5"/>
  <c r="BB708" i="5"/>
  <c r="BO707" i="5"/>
  <c r="BB707" i="5"/>
  <c r="BO705" i="5"/>
  <c r="BB705" i="5"/>
  <c r="BO704" i="5"/>
  <c r="BB704" i="5"/>
  <c r="BO703" i="5"/>
  <c r="BB703" i="5"/>
  <c r="BO702" i="5"/>
  <c r="BB702" i="5"/>
  <c r="BX701" i="5"/>
  <c r="BX700" i="5"/>
  <c r="BO700" i="5"/>
  <c r="BH700" i="5"/>
  <c r="BB700" i="5"/>
  <c r="AU700" i="5"/>
  <c r="AE700" i="5"/>
  <c r="X700" i="5"/>
  <c r="R700" i="5"/>
  <c r="K700" i="5"/>
  <c r="BX699" i="5"/>
  <c r="BX698" i="5"/>
  <c r="BH698" i="5"/>
  <c r="AU698" i="5"/>
  <c r="X698" i="5"/>
  <c r="K698" i="5"/>
  <c r="BX697" i="5"/>
  <c r="AK697" i="5"/>
  <c r="BX696" i="5"/>
  <c r="BX695" i="5"/>
  <c r="BX694" i="5"/>
  <c r="BX693" i="5"/>
  <c r="BX692" i="5"/>
  <c r="BX691" i="5"/>
  <c r="BX689" i="5"/>
  <c r="BX687" i="5"/>
  <c r="S686" i="5"/>
  <c r="M686" i="5"/>
  <c r="AE685" i="5"/>
  <c r="Y685" i="5"/>
  <c r="S685" i="5"/>
  <c r="M685" i="5"/>
  <c r="BX683" i="5"/>
  <c r="BX682" i="5"/>
  <c r="S681" i="5"/>
  <c r="BX681" i="5" s="1"/>
  <c r="AE680" i="5"/>
  <c r="Y680" i="5"/>
  <c r="M680" i="5"/>
  <c r="BZ678" i="5"/>
  <c r="S678" i="5" s="1"/>
  <c r="S675" i="5" s="1"/>
  <c r="M677" i="5"/>
  <c r="BX677" i="5" s="1"/>
  <c r="M676" i="5"/>
  <c r="BX676" i="5" s="1"/>
  <c r="BO675" i="5"/>
  <c r="BO690" i="5" s="1"/>
  <c r="BI675" i="5"/>
  <c r="BI690" i="5" s="1"/>
  <c r="BC675" i="5"/>
  <c r="BC690" i="5" s="1"/>
  <c r="AW675" i="5"/>
  <c r="AW690" i="5" s="1"/>
  <c r="AE675" i="5"/>
  <c r="Y675" i="5"/>
  <c r="BX674" i="5"/>
  <c r="BX673" i="5"/>
  <c r="BO673" i="5"/>
  <c r="BI673" i="5"/>
  <c r="BC673" i="5"/>
  <c r="AW673" i="5"/>
  <c r="AE673" i="5"/>
  <c r="Y673" i="5"/>
  <c r="S673" i="5"/>
  <c r="M673" i="5"/>
  <c r="BX672" i="5"/>
  <c r="BX671" i="5"/>
  <c r="BI671" i="5"/>
  <c r="AW671" i="5"/>
  <c r="Y671" i="5"/>
  <c r="M671" i="5"/>
  <c r="BX670" i="5"/>
  <c r="BX669" i="5"/>
  <c r="BX668" i="5"/>
  <c r="AK668" i="5"/>
  <c r="BX667" i="5"/>
  <c r="BX666" i="5"/>
  <c r="BN665" i="5"/>
  <c r="BG665" i="5"/>
  <c r="AD665" i="5"/>
  <c r="W665" i="5"/>
  <c r="BX664" i="5"/>
  <c r="BN663" i="5"/>
  <c r="BG663" i="5"/>
  <c r="BN662" i="5"/>
  <c r="BG662" i="5"/>
  <c r="BN661" i="5"/>
  <c r="BG661" i="5"/>
  <c r="BN660" i="5"/>
  <c r="BG660" i="5"/>
  <c r="BX659" i="5"/>
  <c r="BX658" i="5"/>
  <c r="BN658" i="5"/>
  <c r="BG658" i="5"/>
  <c r="AD658" i="5"/>
  <c r="W658" i="5"/>
  <c r="BX657" i="5"/>
  <c r="BN657" i="5"/>
  <c r="BG657" i="5"/>
  <c r="AD657" i="5"/>
  <c r="W657" i="5"/>
  <c r="BX656" i="5"/>
  <c r="BX655" i="5"/>
  <c r="BX654" i="5"/>
  <c r="BN653" i="5"/>
  <c r="BA653" i="5"/>
  <c r="AD653" i="5"/>
  <c r="Q653" i="5"/>
  <c r="BX652" i="5"/>
  <c r="BN651" i="5"/>
  <c r="BH651" i="5"/>
  <c r="BA651" i="5"/>
  <c r="AU651" i="5"/>
  <c r="BN650" i="5"/>
  <c r="BH650" i="5"/>
  <c r="BA650" i="5"/>
  <c r="AU650" i="5"/>
  <c r="BN649" i="5"/>
  <c r="BH649" i="5"/>
  <c r="BA649" i="5"/>
  <c r="AU649" i="5"/>
  <c r="BN648" i="5"/>
  <c r="BH648" i="5"/>
  <c r="BA648" i="5"/>
  <c r="AU648" i="5"/>
  <c r="BX647" i="5"/>
  <c r="BX646" i="5"/>
  <c r="BN646" i="5"/>
  <c r="BA646" i="5"/>
  <c r="AD646" i="5"/>
  <c r="Q646" i="5"/>
  <c r="BX645" i="5"/>
  <c r="BX644" i="5"/>
  <c r="BH644" i="5"/>
  <c r="AU644" i="5"/>
  <c r="X644" i="5"/>
  <c r="K644" i="5"/>
  <c r="BX643" i="5"/>
  <c r="BU643" i="5"/>
  <c r="A643" i="5"/>
  <c r="AK643" i="5" s="1"/>
  <c r="BX642" i="5"/>
  <c r="C641" i="5"/>
  <c r="BX639" i="5"/>
  <c r="BN639" i="5"/>
  <c r="BG639" i="5"/>
  <c r="BX637" i="5"/>
  <c r="BO636" i="5"/>
  <c r="BH636" i="5"/>
  <c r="BB636" i="5"/>
  <c r="AU636" i="5"/>
  <c r="BO635" i="5"/>
  <c r="BH635" i="5"/>
  <c r="BB635" i="5"/>
  <c r="AU635" i="5"/>
  <c r="BO634" i="5"/>
  <c r="BH634" i="5"/>
  <c r="BB634" i="5"/>
  <c r="AU634" i="5"/>
  <c r="BO633" i="5"/>
  <c r="BH633" i="5"/>
  <c r="BB633" i="5"/>
  <c r="AU633" i="5"/>
  <c r="BO632" i="5"/>
  <c r="BH632" i="5"/>
  <c r="BB632" i="5"/>
  <c r="AU632" i="5"/>
  <c r="BO631" i="5"/>
  <c r="BH631" i="5"/>
  <c r="BB631" i="5"/>
  <c r="AU631" i="5"/>
  <c r="BX630" i="5"/>
  <c r="BX629" i="5"/>
  <c r="AE628" i="5"/>
  <c r="BX627" i="5"/>
  <c r="BZ626" i="5"/>
  <c r="BO626" i="5"/>
  <c r="AU626" i="5"/>
  <c r="X626" i="5"/>
  <c r="BH626" i="5" s="1"/>
  <c r="R626" i="5"/>
  <c r="R628" i="5" s="1"/>
  <c r="BZ625" i="5"/>
  <c r="BO625" i="5"/>
  <c r="BH625" i="5"/>
  <c r="BB625" i="5"/>
  <c r="AU625" i="5"/>
  <c r="BZ624" i="5"/>
  <c r="BO624" i="5"/>
  <c r="BH624" i="5"/>
  <c r="BB624" i="5"/>
  <c r="BO623" i="5"/>
  <c r="BH623" i="5"/>
  <c r="BB623" i="5"/>
  <c r="AU623" i="5"/>
  <c r="BZ622" i="5"/>
  <c r="BO622" i="5"/>
  <c r="BH622" i="5"/>
  <c r="BB622" i="5"/>
  <c r="AU622" i="5"/>
  <c r="BZ621" i="5"/>
  <c r="BO621" i="5"/>
  <c r="BH621" i="5"/>
  <c r="BB621" i="5"/>
  <c r="K621" i="5"/>
  <c r="BZ620" i="5"/>
  <c r="BO620" i="5"/>
  <c r="BH620" i="5"/>
  <c r="BB620" i="5"/>
  <c r="K620" i="5"/>
  <c r="AU620" i="5" s="1"/>
  <c r="BX619" i="5"/>
  <c r="BX618" i="5"/>
  <c r="BX617" i="5"/>
  <c r="BO617" i="5"/>
  <c r="BH617" i="5"/>
  <c r="BB617" i="5"/>
  <c r="AU617" i="5"/>
  <c r="AE617" i="5"/>
  <c r="X617" i="5"/>
  <c r="R617" i="5"/>
  <c r="K617" i="5"/>
  <c r="BX616" i="5"/>
  <c r="BX615" i="5"/>
  <c r="BH615" i="5"/>
  <c r="AU615" i="5"/>
  <c r="X615" i="5"/>
  <c r="K615" i="5"/>
  <c r="BX614" i="5"/>
  <c r="AK614" i="5"/>
  <c r="BX613" i="5"/>
  <c r="C612" i="5"/>
  <c r="BX612" i="5" s="1"/>
  <c r="BX605" i="5"/>
  <c r="AD604" i="5"/>
  <c r="W604" i="5"/>
  <c r="BX603" i="5"/>
  <c r="BN602" i="5"/>
  <c r="BG602" i="5"/>
  <c r="BN601" i="5"/>
  <c r="BG601" i="5"/>
  <c r="BN600" i="5"/>
  <c r="BG600" i="5"/>
  <c r="BX599" i="5"/>
  <c r="BX598" i="5"/>
  <c r="AD597" i="5"/>
  <c r="BX596" i="5"/>
  <c r="BN595" i="5"/>
  <c r="W595" i="5"/>
  <c r="W597" i="5" s="1"/>
  <c r="BX594" i="5"/>
  <c r="BN593" i="5"/>
  <c r="BG593" i="5"/>
  <c r="BN592" i="5"/>
  <c r="BG592" i="5"/>
  <c r="BX591" i="5"/>
  <c r="BX590" i="5"/>
  <c r="BX589" i="5"/>
  <c r="BN589" i="5"/>
  <c r="BG589" i="5"/>
  <c r="AD589" i="5"/>
  <c r="W589" i="5"/>
  <c r="BX588" i="5"/>
  <c r="BN588" i="5"/>
  <c r="BG588" i="5"/>
  <c r="AD588" i="5"/>
  <c r="W588" i="5"/>
  <c r="BX587" i="5"/>
  <c r="AK587" i="5"/>
  <c r="BX586" i="5"/>
  <c r="C585" i="5"/>
  <c r="BX584" i="5"/>
  <c r="BX582" i="5"/>
  <c r="BX581" i="5"/>
  <c r="BO581" i="5"/>
  <c r="BH581" i="5"/>
  <c r="BB581" i="5"/>
  <c r="AU581" i="5"/>
  <c r="BX580" i="5"/>
  <c r="BO580" i="5"/>
  <c r="BH580" i="5"/>
  <c r="BB580" i="5"/>
  <c r="AU580" i="5"/>
  <c r="BX579" i="5"/>
  <c r="BX578" i="5"/>
  <c r="AE577" i="5"/>
  <c r="R577" i="5"/>
  <c r="K577" i="5"/>
  <c r="BX576" i="5"/>
  <c r="BO575" i="5"/>
  <c r="BB575" i="5"/>
  <c r="AU575" i="5"/>
  <c r="X575" i="5"/>
  <c r="X577" i="5" s="1"/>
  <c r="BX574" i="5"/>
  <c r="BO574" i="5"/>
  <c r="BH574" i="5"/>
  <c r="BB574" i="5"/>
  <c r="AU574" i="5"/>
  <c r="BO573" i="5"/>
  <c r="BH573" i="5"/>
  <c r="BB573" i="5"/>
  <c r="AU573" i="5"/>
  <c r="BO572" i="5"/>
  <c r="BH572" i="5"/>
  <c r="BB572" i="5"/>
  <c r="AU572" i="5"/>
  <c r="BO571" i="5"/>
  <c r="BH571" i="5"/>
  <c r="BB571" i="5"/>
  <c r="AU571" i="5"/>
  <c r="BO570" i="5"/>
  <c r="BH570" i="5"/>
  <c r="BB570" i="5"/>
  <c r="AU570" i="5"/>
  <c r="BX568" i="5"/>
  <c r="BX567" i="5"/>
  <c r="BO567" i="5"/>
  <c r="BH567" i="5"/>
  <c r="BB567" i="5"/>
  <c r="BB577" i="5" s="1"/>
  <c r="AU567" i="5"/>
  <c r="AE567" i="5"/>
  <c r="X567" i="5"/>
  <c r="R567" i="5"/>
  <c r="K567" i="5"/>
  <c r="BX566" i="5"/>
  <c r="BX565" i="5"/>
  <c r="BH565" i="5"/>
  <c r="AU565" i="5"/>
  <c r="AU577" i="5" s="1"/>
  <c r="X565" i="5"/>
  <c r="K565" i="5"/>
  <c r="BX563" i="5"/>
  <c r="AK563" i="5"/>
  <c r="BX562" i="5"/>
  <c r="BX561" i="5"/>
  <c r="BX560" i="5"/>
  <c r="AM559" i="5"/>
  <c r="C559" i="5"/>
  <c r="BX559" i="5" s="1"/>
  <c r="BN558" i="5"/>
  <c r="BG558" i="5"/>
  <c r="BX557" i="5"/>
  <c r="BN556" i="5"/>
  <c r="BG556" i="5"/>
  <c r="AD556" i="5"/>
  <c r="W556" i="5"/>
  <c r="BX555" i="5"/>
  <c r="BX552" i="5"/>
  <c r="BX551" i="5"/>
  <c r="AD550" i="5"/>
  <c r="BX549" i="5"/>
  <c r="BN548" i="5"/>
  <c r="BN547" i="5"/>
  <c r="W547" i="5"/>
  <c r="BN546" i="5"/>
  <c r="W546" i="5"/>
  <c r="BN545" i="5"/>
  <c r="W545" i="5"/>
  <c r="BX544" i="5"/>
  <c r="BX543" i="5"/>
  <c r="BX542" i="5"/>
  <c r="BN542" i="5"/>
  <c r="BG542" i="5"/>
  <c r="AD542" i="5"/>
  <c r="W542" i="5"/>
  <c r="BX541" i="5"/>
  <c r="BN541" i="5"/>
  <c r="BG541" i="5"/>
  <c r="AD541" i="5"/>
  <c r="W541" i="5"/>
  <c r="BX540" i="5"/>
  <c r="AK540" i="5"/>
  <c r="BX539" i="5"/>
  <c r="BX538" i="5"/>
  <c r="BX537" i="5"/>
  <c r="BX536" i="5"/>
  <c r="BX535" i="5"/>
  <c r="BX534" i="5"/>
  <c r="BX533" i="5"/>
  <c r="BX532" i="5"/>
  <c r="BJ531" i="5"/>
  <c r="BF531" i="5"/>
  <c r="BJ530" i="5"/>
  <c r="BF530" i="5"/>
  <c r="BX529" i="5"/>
  <c r="AM528" i="5"/>
  <c r="C528" i="5"/>
  <c r="BX528" i="5" s="1"/>
  <c r="BX527" i="5"/>
  <c r="BX526" i="5"/>
  <c r="AM525" i="5"/>
  <c r="C525" i="5"/>
  <c r="BX525" i="5" s="1"/>
  <c r="BX524" i="5"/>
  <c r="BX523" i="5"/>
  <c r="BX522" i="5"/>
  <c r="BX521" i="5"/>
  <c r="BX520" i="5"/>
  <c r="BX519" i="5"/>
  <c r="BJ518" i="5"/>
  <c r="BF518" i="5"/>
  <c r="BJ517" i="5"/>
  <c r="BF517" i="5"/>
  <c r="BX516" i="5"/>
  <c r="AM515" i="5"/>
  <c r="C515" i="5"/>
  <c r="BX515" i="5" s="1"/>
  <c r="BX514" i="5"/>
  <c r="BX513" i="5"/>
  <c r="BX512" i="5"/>
  <c r="BX511" i="5"/>
  <c r="BX510" i="5"/>
  <c r="BX509" i="5"/>
  <c r="BJ508" i="5"/>
  <c r="BF508" i="5"/>
  <c r="Y502" i="5"/>
  <c r="M502" i="5"/>
  <c r="BX501" i="5"/>
  <c r="BI500" i="5"/>
  <c r="BI502" i="5" s="1"/>
  <c r="AW500" i="5"/>
  <c r="AW502" i="5" s="1"/>
  <c r="BI499" i="5"/>
  <c r="AW499" i="5"/>
  <c r="Y499" i="5"/>
  <c r="M499" i="5"/>
  <c r="BX498" i="5"/>
  <c r="BX497" i="5"/>
  <c r="BO497" i="5"/>
  <c r="BI497" i="5"/>
  <c r="BC497" i="5"/>
  <c r="AW497" i="5"/>
  <c r="AE497" i="5"/>
  <c r="Y497" i="5"/>
  <c r="S497" i="5"/>
  <c r="M497" i="5"/>
  <c r="BX496" i="5"/>
  <c r="BX495" i="5"/>
  <c r="BI495" i="5"/>
  <c r="AW495" i="5"/>
  <c r="Y495" i="5"/>
  <c r="M495" i="5"/>
  <c r="BX493" i="5"/>
  <c r="BX491" i="5"/>
  <c r="BX490" i="5"/>
  <c r="BX489" i="5"/>
  <c r="BX488" i="5"/>
  <c r="BX487" i="5"/>
  <c r="BX486" i="5"/>
  <c r="BX485" i="5"/>
  <c r="BX482" i="5"/>
  <c r="BX480" i="5"/>
  <c r="BI479" i="5"/>
  <c r="AW479" i="5"/>
  <c r="BI478" i="5"/>
  <c r="AW478" i="5"/>
  <c r="BI477" i="5"/>
  <c r="AW477" i="5"/>
  <c r="BO476" i="5"/>
  <c r="BI476" i="5"/>
  <c r="BC476" i="5"/>
  <c r="AW476" i="5"/>
  <c r="AE476" i="5"/>
  <c r="Y476" i="5"/>
  <c r="S476" i="5"/>
  <c r="M476" i="5"/>
  <c r="BX475" i="5"/>
  <c r="BI474" i="5"/>
  <c r="AW474" i="5"/>
  <c r="BI473" i="5"/>
  <c r="AW473" i="5"/>
  <c r="BX470" i="5"/>
  <c r="BX469" i="5"/>
  <c r="BO469" i="5"/>
  <c r="BI469" i="5"/>
  <c r="BC469" i="5"/>
  <c r="AW469" i="5"/>
  <c r="AE469" i="5"/>
  <c r="Y469" i="5"/>
  <c r="S469" i="5"/>
  <c r="M469" i="5"/>
  <c r="BX468" i="5"/>
  <c r="BX467" i="5"/>
  <c r="BI467" i="5"/>
  <c r="AW467" i="5"/>
  <c r="Y467" i="5"/>
  <c r="M467" i="5"/>
  <c r="BX466" i="5"/>
  <c r="BX465" i="5"/>
  <c r="BX464" i="5"/>
  <c r="AK464" i="5"/>
  <c r="BX463" i="5"/>
  <c r="BX462" i="5"/>
  <c r="BX461" i="5"/>
  <c r="BX460" i="5"/>
  <c r="BX459" i="5"/>
  <c r="BX458" i="5"/>
  <c r="BX456" i="5"/>
  <c r="BX451" i="5"/>
  <c r="BX450" i="5"/>
  <c r="BN450" i="5"/>
  <c r="BG450" i="5"/>
  <c r="AD450" i="5"/>
  <c r="W450" i="5"/>
  <c r="BX449" i="5"/>
  <c r="BN449" i="5"/>
  <c r="BG449" i="5"/>
  <c r="AD449" i="5"/>
  <c r="W449" i="5"/>
  <c r="BX448" i="5"/>
  <c r="BU448" i="5"/>
  <c r="A442" i="5"/>
  <c r="AK442" i="5" s="1"/>
  <c r="AM439" i="5"/>
  <c r="C439" i="5"/>
  <c r="AN437" i="5"/>
  <c r="D437" i="5"/>
  <c r="AN436" i="5"/>
  <c r="D436" i="5"/>
  <c r="AN435" i="5"/>
  <c r="D435" i="5"/>
  <c r="AM434" i="5"/>
  <c r="C434" i="5"/>
  <c r="A432" i="5"/>
  <c r="AK432" i="5" s="1"/>
  <c r="C429" i="5"/>
  <c r="A411" i="5"/>
  <c r="AK411" i="5" s="1"/>
  <c r="A401" i="5"/>
  <c r="AK401" i="5" s="1"/>
  <c r="A388" i="5"/>
  <c r="AK388" i="5" s="1"/>
  <c r="AM385" i="5"/>
  <c r="C385" i="5"/>
  <c r="A381" i="5"/>
  <c r="AK381" i="5" s="1"/>
  <c r="AM378" i="5"/>
  <c r="C378" i="5"/>
  <c r="C376" i="5"/>
  <c r="AN367" i="5"/>
  <c r="D367" i="5"/>
  <c r="AN364" i="5"/>
  <c r="D364" i="5"/>
  <c r="AM360" i="5"/>
  <c r="C360" i="5"/>
  <c r="AM358" i="5"/>
  <c r="C358" i="5"/>
  <c r="AN355" i="5"/>
  <c r="D355" i="5"/>
  <c r="AN353" i="5"/>
  <c r="D353" i="5"/>
  <c r="D352" i="5"/>
  <c r="D338" i="5"/>
  <c r="D336" i="5"/>
  <c r="A331" i="5"/>
  <c r="AK331" i="5" s="1"/>
  <c r="C318" i="5"/>
  <c r="AM316" i="5"/>
  <c r="AM312" i="5"/>
  <c r="C312" i="5"/>
  <c r="C308" i="5"/>
  <c r="A302" i="5"/>
  <c r="AK302" i="5" s="1"/>
  <c r="AM297" i="5"/>
  <c r="C297" i="5"/>
  <c r="A293" i="5"/>
  <c r="AK293" i="5" s="1"/>
  <c r="C290" i="5"/>
  <c r="A282" i="5"/>
  <c r="AK282" i="5" s="1"/>
  <c r="D271" i="5"/>
  <c r="A268" i="5"/>
  <c r="AK268" i="5" s="1"/>
  <c r="A261" i="5"/>
  <c r="AK261" i="5" s="1"/>
  <c r="A254" i="5"/>
  <c r="AK254" i="5" s="1"/>
  <c r="A247" i="5"/>
  <c r="AK247" i="5" s="1"/>
  <c r="AM244" i="5"/>
  <c r="C244" i="5"/>
  <c r="A242" i="5"/>
  <c r="AK242" i="5" s="1"/>
  <c r="A233" i="5"/>
  <c r="AK233" i="5" s="1"/>
  <c r="AM230" i="5"/>
  <c r="C230" i="5"/>
  <c r="AM228" i="5"/>
  <c r="C228" i="5"/>
  <c r="AM225" i="5"/>
  <c r="C225" i="5"/>
  <c r="AM223" i="5"/>
  <c r="C223" i="5"/>
  <c r="A188" i="5"/>
  <c r="AK188" i="5" s="1"/>
  <c r="BL185" i="5"/>
  <c r="BL184" i="5"/>
  <c r="BL177" i="5"/>
  <c r="BL176" i="5"/>
  <c r="BL175" i="5"/>
  <c r="BL174" i="5"/>
  <c r="BL173" i="5"/>
  <c r="BL172" i="5"/>
  <c r="BL171" i="5"/>
  <c r="A164" i="5"/>
  <c r="AK164" i="5" s="1"/>
  <c r="C150" i="5"/>
  <c r="A148" i="5"/>
  <c r="AK148" i="5" s="1"/>
  <c r="AM143" i="5"/>
  <c r="C143" i="5"/>
  <c r="A141" i="5"/>
  <c r="AK141" i="5" s="1"/>
  <c r="A120" i="5"/>
  <c r="AK120" i="5" s="1"/>
  <c r="A113" i="5"/>
  <c r="AK113" i="5" s="1"/>
  <c r="AM110" i="5"/>
  <c r="C110" i="5"/>
  <c r="AN106" i="5"/>
  <c r="D106" i="5"/>
  <c r="AN105" i="5"/>
  <c r="D105" i="5"/>
  <c r="AN104" i="5"/>
  <c r="D104" i="5"/>
  <c r="AM103" i="5"/>
  <c r="C103" i="5"/>
  <c r="AN101" i="5"/>
  <c r="AN99" i="5"/>
  <c r="D99" i="5"/>
  <c r="AN98" i="5"/>
  <c r="D98" i="5"/>
  <c r="AN97" i="5"/>
  <c r="D97" i="5"/>
  <c r="AN96" i="5"/>
  <c r="AN95" i="5"/>
  <c r="AN94" i="5"/>
  <c r="D94" i="5"/>
  <c r="A91" i="5"/>
  <c r="AK91" i="5" s="1"/>
  <c r="C88" i="5"/>
  <c r="C86" i="5"/>
  <c r="A86" i="5"/>
  <c r="AK86" i="5" s="1"/>
  <c r="AM80" i="5"/>
  <c r="C80" i="5"/>
  <c r="AM77" i="5"/>
  <c r="C77" i="5"/>
  <c r="A73" i="5"/>
  <c r="AK73" i="5" s="1"/>
  <c r="AM71" i="5"/>
  <c r="C71" i="5"/>
  <c r="AM69" i="5"/>
  <c r="C69" i="5"/>
  <c r="AM67" i="5"/>
  <c r="C67" i="5"/>
  <c r="AM65" i="5"/>
  <c r="C65" i="5"/>
  <c r="A65" i="5"/>
  <c r="AK65" i="5" s="1"/>
  <c r="AM62" i="5"/>
  <c r="C62" i="5"/>
  <c r="AM59" i="5"/>
  <c r="C59" i="5"/>
  <c r="A56" i="5"/>
  <c r="AK56" i="5" s="1"/>
  <c r="AM53" i="5"/>
  <c r="C52" i="5"/>
  <c r="A50" i="5"/>
  <c r="AK50" i="5" s="1"/>
  <c r="C48" i="5"/>
  <c r="AM46" i="5"/>
  <c r="C46" i="5"/>
  <c r="AM39" i="5"/>
  <c r="C39" i="5"/>
  <c r="AM34" i="5"/>
  <c r="C34" i="5"/>
  <c r="AM25" i="5"/>
  <c r="AM17" i="5"/>
  <c r="AM15" i="5"/>
  <c r="C15" i="5"/>
  <c r="AM13" i="5"/>
  <c r="C13" i="5"/>
  <c r="AM9" i="5"/>
  <c r="AK7" i="5"/>
  <c r="A7" i="5"/>
  <c r="AK6" i="5"/>
  <c r="A6" i="5"/>
  <c r="BS3" i="5"/>
  <c r="AK3" i="5"/>
  <c r="AI3" i="5"/>
  <c r="A3" i="5"/>
  <c r="BS2" i="5"/>
  <c r="AK2" i="5"/>
  <c r="AI2" i="5"/>
  <c r="A2" i="5"/>
  <c r="AK1" i="5"/>
  <c r="A1" i="5"/>
  <c r="BN1285" i="5" l="1"/>
  <c r="BM17" i="7"/>
  <c r="AY17" i="7"/>
  <c r="AS758" i="5"/>
  <c r="BG758" i="5"/>
  <c r="AZ758" i="5"/>
  <c r="BN758" i="5"/>
  <c r="BG1637" i="5"/>
  <c r="BX1637" i="5" s="1"/>
  <c r="BX1654" i="5"/>
  <c r="BX1655" i="5"/>
  <c r="BX1674" i="5"/>
  <c r="BX1675" i="5"/>
  <c r="BX1676" i="5"/>
  <c r="BX1685" i="5"/>
  <c r="BX1686" i="5"/>
  <c r="BX1695" i="5"/>
  <c r="BX1696" i="5"/>
  <c r="BX1698" i="5"/>
  <c r="BX1699" i="5"/>
  <c r="BX1877" i="5"/>
  <c r="BX1984" i="5"/>
  <c r="BX1988" i="5"/>
  <c r="BX1990" i="5"/>
  <c r="BX1994" i="5"/>
  <c r="BO577" i="5"/>
  <c r="AZ779" i="5"/>
  <c r="BN779" i="5"/>
  <c r="BG779" i="5"/>
  <c r="BX937" i="5"/>
  <c r="BX938" i="5"/>
  <c r="BX975" i="5"/>
  <c r="BX988" i="5"/>
  <c r="BX989" i="5"/>
  <c r="BI1014" i="5"/>
  <c r="BX1057" i="5"/>
  <c r="BX1058" i="5"/>
  <c r="S1076" i="5"/>
  <c r="BX1088" i="5"/>
  <c r="BX1090" i="5"/>
  <c r="BX1091" i="5"/>
  <c r="BX1092" i="5"/>
  <c r="BX1115" i="5"/>
  <c r="BX1116" i="5"/>
  <c r="BX1117" i="5"/>
  <c r="BX1134" i="5"/>
  <c r="P1327" i="5"/>
  <c r="AZ1327" i="5" s="1"/>
  <c r="BN1619" i="5"/>
  <c r="BX600" i="5"/>
  <c r="BX601" i="5"/>
  <c r="BX602" i="5"/>
  <c r="BX631" i="5"/>
  <c r="BX632" i="5"/>
  <c r="BX633" i="5"/>
  <c r="BX634" i="5"/>
  <c r="BX635" i="5"/>
  <c r="BX636" i="5"/>
  <c r="BX653" i="5"/>
  <c r="BX660" i="5"/>
  <c r="BX661" i="5"/>
  <c r="BX662" i="5"/>
  <c r="BX663" i="5"/>
  <c r="AS842" i="5"/>
  <c r="BG842" i="5"/>
  <c r="AZ842" i="5"/>
  <c r="BN882" i="5"/>
  <c r="BN885" i="5"/>
  <c r="BN891" i="5"/>
  <c r="BX910" i="5"/>
  <c r="BX912" i="5"/>
  <c r="BX913" i="5"/>
  <c r="BN923" i="5"/>
  <c r="BX919" i="5"/>
  <c r="BX1950" i="5"/>
  <c r="I842" i="5"/>
  <c r="W842" i="5"/>
  <c r="BX1029" i="5"/>
  <c r="AG1319" i="5"/>
  <c r="BX508" i="5"/>
  <c r="BX530" i="5"/>
  <c r="BX531" i="5"/>
  <c r="BX571" i="5"/>
  <c r="BX572" i="5"/>
  <c r="BX573" i="5"/>
  <c r="BH575" i="5"/>
  <c r="BX575" i="5" s="1"/>
  <c r="BO628" i="5"/>
  <c r="BO638" i="5" s="1"/>
  <c r="BX622" i="5"/>
  <c r="Y690" i="5"/>
  <c r="AE690" i="5"/>
  <c r="BX727" i="5"/>
  <c r="BX728" i="5"/>
  <c r="BX740" i="5"/>
  <c r="BX741" i="5"/>
  <c r="BX747" i="5"/>
  <c r="BX748" i="5"/>
  <c r="BX749" i="5"/>
  <c r="AS779" i="5"/>
  <c r="I812" i="5"/>
  <c r="W812" i="5"/>
  <c r="AS812" i="5"/>
  <c r="BG812" i="5"/>
  <c r="BX809" i="5"/>
  <c r="BN858" i="5"/>
  <c r="BN859" i="5"/>
  <c r="BX859" i="5" s="1"/>
  <c r="BX862" i="5"/>
  <c r="BN865" i="5"/>
  <c r="BX882" i="5"/>
  <c r="Y1328" i="5"/>
  <c r="BI1328" i="5" s="1"/>
  <c r="Y1327" i="5"/>
  <c r="BI1327" i="5" s="1"/>
  <c r="AH1328" i="5"/>
  <c r="BR1328" i="5" s="1"/>
  <c r="AH1327" i="5"/>
  <c r="BR1327" i="5" s="1"/>
  <c r="AE1014" i="5"/>
  <c r="BX1048" i="5"/>
  <c r="BX1050" i="5"/>
  <c r="BX1151" i="5"/>
  <c r="BX1152" i="5"/>
  <c r="BX1164" i="5"/>
  <c r="BX1165" i="5"/>
  <c r="BX1166" i="5"/>
  <c r="BX1304" i="5"/>
  <c r="BX1305" i="5"/>
  <c r="BX1306" i="5"/>
  <c r="BX1316" i="5"/>
  <c r="BX1317" i="5"/>
  <c r="BX1330" i="5"/>
  <c r="BX1341" i="5"/>
  <c r="BX1342" i="5"/>
  <c r="BX1351" i="5"/>
  <c r="BX1352" i="5"/>
  <c r="BX1357" i="5"/>
  <c r="BX1364" i="5"/>
  <c r="BX1365" i="5"/>
  <c r="BX1366" i="5"/>
  <c r="BX1367" i="5"/>
  <c r="BX1385" i="5"/>
  <c r="BX1389" i="5"/>
  <c r="BX1398" i="5"/>
  <c r="BX1406" i="5"/>
  <c r="BX1427" i="5"/>
  <c r="BX1428" i="5"/>
  <c r="BX1429" i="5"/>
  <c r="BX1430" i="5"/>
  <c r="BX1445" i="5"/>
  <c r="BX1446" i="5"/>
  <c r="BX1447" i="5"/>
  <c r="BX1448" i="5"/>
  <c r="BX1449" i="5"/>
  <c r="BX1450" i="5"/>
  <c r="BX1477" i="5"/>
  <c r="BX1484" i="5"/>
  <c r="BX1507" i="5"/>
  <c r="BX1508" i="5"/>
  <c r="BX1509" i="5"/>
  <c r="BX1510" i="5"/>
  <c r="BX1530" i="5"/>
  <c r="BX1590" i="5"/>
  <c r="BX1592" i="5"/>
  <c r="BX1594" i="5"/>
  <c r="W1589" i="5"/>
  <c r="W1596" i="5" s="1"/>
  <c r="BX1604" i="5"/>
  <c r="BX1739" i="5"/>
  <c r="BX1740" i="5"/>
  <c r="BX1741" i="5"/>
  <c r="BX1757" i="5"/>
  <c r="BX1758" i="5"/>
  <c r="BO1830" i="5"/>
  <c r="BO1848" i="5"/>
  <c r="BO1849" i="5"/>
  <c r="BX1849" i="5" s="1"/>
  <c r="BX1862" i="5"/>
  <c r="BX1863" i="5"/>
  <c r="BX1864" i="5"/>
  <c r="BX1878" i="5"/>
  <c r="BX1879" i="5"/>
  <c r="BX1881" i="5"/>
  <c r="BX1882" i="5"/>
  <c r="BX1889" i="5"/>
  <c r="BX1891" i="5"/>
  <c r="BX1892" i="5"/>
  <c r="BX1893" i="5"/>
  <c r="BX1928" i="5"/>
  <c r="BX1930" i="5"/>
  <c r="BX1936" i="5"/>
  <c r="BX1947" i="5"/>
  <c r="BX1951" i="5"/>
  <c r="BX1956" i="5"/>
  <c r="BX1957" i="5"/>
  <c r="BX1962" i="5"/>
  <c r="BX1963" i="5"/>
  <c r="BX517" i="5"/>
  <c r="BX518" i="5"/>
  <c r="BN550" i="5"/>
  <c r="BX558" i="5"/>
  <c r="BX593" i="5"/>
  <c r="BG595" i="5"/>
  <c r="BX595" i="5" s="1"/>
  <c r="AZ812" i="5"/>
  <c r="BN812" i="5"/>
  <c r="BN842" i="5"/>
  <c r="BN860" i="5"/>
  <c r="BX860" i="5" s="1"/>
  <c r="BN861" i="5"/>
  <c r="BX861" i="5" s="1"/>
  <c r="BX865" i="5"/>
  <c r="BN866" i="5"/>
  <c r="BN867" i="5"/>
  <c r="BX867" i="5" s="1"/>
  <c r="BN868" i="5"/>
  <c r="BN869" i="5"/>
  <c r="BX870" i="5"/>
  <c r="AZ895" i="5"/>
  <c r="BN883" i="5"/>
  <c r="BN884" i="5"/>
  <c r="BX884" i="5" s="1"/>
  <c r="BX886" i="5"/>
  <c r="BN889" i="5"/>
  <c r="BG895" i="5"/>
  <c r="BN890" i="5"/>
  <c r="BX890" i="5" s="1"/>
  <c r="BX892" i="5"/>
  <c r="BZ923" i="5"/>
  <c r="AW1005" i="5"/>
  <c r="S1005" i="5"/>
  <c r="BX1137" i="5"/>
  <c r="BX623" i="5"/>
  <c r="BX625" i="5"/>
  <c r="BB626" i="5"/>
  <c r="BB628" i="5" s="1"/>
  <c r="BB638" i="5" s="1"/>
  <c r="BX648" i="5"/>
  <c r="BX649" i="5"/>
  <c r="BX650" i="5"/>
  <c r="BX651" i="5"/>
  <c r="BX665" i="5"/>
  <c r="AE1777" i="5"/>
  <c r="BO1777" i="5" s="1"/>
  <c r="BX730" i="5"/>
  <c r="BX743" i="5"/>
  <c r="BX744" i="5"/>
  <c r="BX745" i="5"/>
  <c r="I779" i="5"/>
  <c r="V1315" i="5"/>
  <c r="BX1315" i="5" s="1"/>
  <c r="BX1621" i="5"/>
  <c r="BC1832" i="5"/>
  <c r="BX931" i="5"/>
  <c r="BX991" i="5"/>
  <c r="BX1020" i="5"/>
  <c r="BX1023" i="5"/>
  <c r="BX1025" i="5"/>
  <c r="BX1097" i="5"/>
  <c r="BX1098" i="5"/>
  <c r="BX1108" i="5"/>
  <c r="BX1109" i="5"/>
  <c r="BX1128" i="5"/>
  <c r="BX1146" i="5"/>
  <c r="BX1147" i="5"/>
  <c r="BX1171" i="5"/>
  <c r="BX1172" i="5"/>
  <c r="BX1173" i="5"/>
  <c r="BQ1319" i="5"/>
  <c r="BX1348" i="5"/>
  <c r="BX1353" i="5"/>
  <c r="BX1354" i="5"/>
  <c r="BX1386" i="5"/>
  <c r="BX1387" i="5"/>
  <c r="BX1399" i="5"/>
  <c r="BX1400" i="5"/>
  <c r="BX1401" i="5"/>
  <c r="BX1402" i="5"/>
  <c r="BX1403" i="5"/>
  <c r="BX1404" i="5"/>
  <c r="BX1414" i="5"/>
  <c r="BX1415" i="5"/>
  <c r="BX1436" i="5"/>
  <c r="BX1437" i="5"/>
  <c r="BX1498" i="5"/>
  <c r="BX1564" i="5"/>
  <c r="BX1565" i="5"/>
  <c r="BN1596" i="5"/>
  <c r="BX1625" i="5"/>
  <c r="BX1626" i="5"/>
  <c r="BX1627" i="5"/>
  <c r="BX1629" i="5"/>
  <c r="BX1643" i="5"/>
  <c r="BX1645" i="5"/>
  <c r="BX1646" i="5"/>
  <c r="BX1647" i="5"/>
  <c r="BX1660" i="5"/>
  <c r="BX1679" i="5"/>
  <c r="BX1689" i="5"/>
  <c r="BX1714" i="5"/>
  <c r="BX1715" i="5"/>
  <c r="BX1760" i="5"/>
  <c r="BC1823" i="5"/>
  <c r="BX1933" i="5"/>
  <c r="BX1934" i="5"/>
  <c r="BX1939" i="5"/>
  <c r="BX1940" i="5"/>
  <c r="BX1949" i="5"/>
  <c r="BX1954" i="5"/>
  <c r="BX1960" i="5"/>
  <c r="BX1966" i="5"/>
  <c r="BX1983" i="5"/>
  <c r="BX1985" i="5"/>
  <c r="BX1987" i="5"/>
  <c r="BX1989" i="5"/>
  <c r="BX1991" i="5"/>
  <c r="BX1992" i="5"/>
  <c r="BX1993" i="5"/>
  <c r="AK448" i="5"/>
  <c r="BX556" i="5"/>
  <c r="BZ685" i="5"/>
  <c r="BX686" i="5"/>
  <c r="M1014" i="5"/>
  <c r="AK1767" i="5"/>
  <c r="BN1762" i="5"/>
  <c r="BX1256" i="5"/>
  <c r="BX1361" i="5"/>
  <c r="BH577" i="5"/>
  <c r="BX577" i="5" s="1"/>
  <c r="F44" i="8"/>
  <c r="R40" i="8"/>
  <c r="R39" i="8"/>
  <c r="R38" i="8"/>
  <c r="R41" i="8"/>
  <c r="R37" i="8"/>
  <c r="J37" i="8"/>
  <c r="J41" i="8"/>
  <c r="J40" i="8"/>
  <c r="J39" i="8"/>
  <c r="CQ42" i="7"/>
  <c r="AG44" i="7"/>
  <c r="CQ44" i="7" s="1"/>
  <c r="AN26" i="7"/>
  <c r="CH15" i="7"/>
  <c r="L28" i="7"/>
  <c r="AN28" i="7"/>
  <c r="CQ66" i="7"/>
  <c r="BF13" i="7"/>
  <c r="CH13" i="7"/>
  <c r="CA15" i="7"/>
  <c r="CA17" i="7" s="1"/>
  <c r="AG17" i="7"/>
  <c r="CQ24" i="7"/>
  <c r="AG26" i="7"/>
  <c r="CO26" i="7" s="1"/>
  <c r="E28" i="7"/>
  <c r="AK720" i="5"/>
  <c r="P779" i="5"/>
  <c r="W779" i="5"/>
  <c r="P842" i="5"/>
  <c r="BX934" i="5"/>
  <c r="BX1031" i="5"/>
  <c r="AK1063" i="5"/>
  <c r="BX1094" i="5"/>
  <c r="BX1112" i="5"/>
  <c r="BX1175" i="5"/>
  <c r="BU1538" i="5"/>
  <c r="AK1585" i="5"/>
  <c r="BX1652" i="5"/>
  <c r="BX1658" i="5"/>
  <c r="BU1907" i="5"/>
  <c r="AK1919" i="5"/>
  <c r="AK1975" i="5"/>
  <c r="CQ13" i="7"/>
  <c r="BF15" i="7"/>
  <c r="AN17" i="7"/>
  <c r="BX476" i="5"/>
  <c r="BX776" i="5"/>
  <c r="P812" i="5"/>
  <c r="BU819" i="5"/>
  <c r="BX832" i="5"/>
  <c r="BX839" i="5"/>
  <c r="BG915" i="5"/>
  <c r="BN915" i="5"/>
  <c r="BX1100" i="5"/>
  <c r="BX1119" i="5"/>
  <c r="BX1168" i="5"/>
  <c r="BX1248" i="5"/>
  <c r="BX1417" i="5"/>
  <c r="AK1470" i="5"/>
  <c r="AK1523" i="5"/>
  <c r="BX1577" i="5"/>
  <c r="AK1751" i="5"/>
  <c r="AK1856" i="5"/>
  <c r="AK1901" i="5"/>
  <c r="AU583" i="5"/>
  <c r="BB583" i="5"/>
  <c r="BO583" i="5"/>
  <c r="BN597" i="5" s="1"/>
  <c r="BH628" i="5"/>
  <c r="BH638" i="5" s="1"/>
  <c r="BU464" i="5"/>
  <c r="BU540" i="5"/>
  <c r="W548" i="5"/>
  <c r="BU563" i="5"/>
  <c r="BX570" i="5"/>
  <c r="BU587" i="5"/>
  <c r="BX592" i="5"/>
  <c r="BU614" i="5"/>
  <c r="BX620" i="5"/>
  <c r="X628" i="5"/>
  <c r="BU668" i="5"/>
  <c r="M678" i="5"/>
  <c r="BX685" i="5"/>
  <c r="BU697" i="5"/>
  <c r="BG739" i="5"/>
  <c r="BG751" i="5" s="1"/>
  <c r="BX751" i="5" s="1"/>
  <c r="AK755" i="5"/>
  <c r="BX757" i="5"/>
  <c r="AD779" i="5"/>
  <c r="AD812" i="5"/>
  <c r="BX869" i="5"/>
  <c r="P874" i="5"/>
  <c r="AD895" i="5"/>
  <c r="BN881" i="5"/>
  <c r="BX911" i="5"/>
  <c r="BG918" i="5"/>
  <c r="BX918" i="5" s="1"/>
  <c r="BG921" i="5"/>
  <c r="BX921" i="5" s="1"/>
  <c r="W923" i="5"/>
  <c r="BX957" i="5"/>
  <c r="BW957" i="5"/>
  <c r="BX971" i="5"/>
  <c r="BG545" i="5"/>
  <c r="BG546" i="5"/>
  <c r="BX546" i="5" s="1"/>
  <c r="BG547" i="5"/>
  <c r="BX547" i="5" s="1"/>
  <c r="AU621" i="5"/>
  <c r="BX621" i="5" s="1"/>
  <c r="BW675" i="5"/>
  <c r="S680" i="5"/>
  <c r="S690" i="5" s="1"/>
  <c r="BX768" i="5"/>
  <c r="BX791" i="5"/>
  <c r="BX801" i="5"/>
  <c r="BX821" i="5"/>
  <c r="AD842" i="5"/>
  <c r="AD873" i="5"/>
  <c r="BN857" i="5"/>
  <c r="BX858" i="5"/>
  <c r="BX866" i="5"/>
  <c r="BX868" i="5"/>
  <c r="AS873" i="5"/>
  <c r="AD874" i="5"/>
  <c r="BX883" i="5"/>
  <c r="BX885" i="5"/>
  <c r="BX889" i="5"/>
  <c r="BX891" i="5"/>
  <c r="AS895" i="5"/>
  <c r="AD896" i="5"/>
  <c r="BX896" i="5" s="1"/>
  <c r="BU905" i="5"/>
  <c r="BX932" i="5"/>
  <c r="BX940" i="5"/>
  <c r="BU943" i="5"/>
  <c r="BV957" i="5"/>
  <c r="AK998" i="5"/>
  <c r="BC1005" i="5"/>
  <c r="BO1005" i="5"/>
  <c r="BO1014" i="5" s="1"/>
  <c r="BC1006" i="5"/>
  <c r="BX1006" i="5" s="1"/>
  <c r="BC1007" i="5"/>
  <c r="BX1007" i="5" s="1"/>
  <c r="BC1008" i="5"/>
  <c r="BX1008" i="5" s="1"/>
  <c r="BC1009" i="5"/>
  <c r="BX1009" i="5" s="1"/>
  <c r="BC1010" i="5"/>
  <c r="BX1010" i="5" s="1"/>
  <c r="BC1011" i="5"/>
  <c r="BX1011" i="5" s="1"/>
  <c r="S1012" i="5"/>
  <c r="BC1012" i="5" s="1"/>
  <c r="AW1012" i="5"/>
  <c r="AW1014" i="5" s="1"/>
  <c r="BX1024" i="5"/>
  <c r="BU1041" i="5"/>
  <c r="BX1046" i="5"/>
  <c r="BG1047" i="5"/>
  <c r="BG1049" i="5"/>
  <c r="BX1049" i="5" s="1"/>
  <c r="BG1051" i="5"/>
  <c r="BX1051" i="5" s="1"/>
  <c r="BG1138" i="5"/>
  <c r="BX1138" i="5" s="1"/>
  <c r="W1136" i="5"/>
  <c r="W1946" i="5"/>
  <c r="BN1054" i="5"/>
  <c r="BN1060" i="5" s="1"/>
  <c r="BX1052" i="5"/>
  <c r="W1054" i="5"/>
  <c r="CB1077" i="5"/>
  <c r="Y1076" i="5"/>
  <c r="Y1078" i="5" s="1"/>
  <c r="BX1089" i="5"/>
  <c r="BX1110" i="5"/>
  <c r="BX1133" i="5"/>
  <c r="BX1135" i="5"/>
  <c r="BN1136" i="5"/>
  <c r="BN1143" i="5" s="1"/>
  <c r="BN1141" i="5"/>
  <c r="BX1141" i="5" s="1"/>
  <c r="BX1154" i="5"/>
  <c r="BX1308" i="5"/>
  <c r="BX1328" i="5"/>
  <c r="BX1349" i="5"/>
  <c r="BU1261" i="5"/>
  <c r="AZ1267" i="5"/>
  <c r="BN1267" i="5"/>
  <c r="BN1271" i="5"/>
  <c r="BN1273" i="5"/>
  <c r="BN1275" i="5"/>
  <c r="BN1280" i="5"/>
  <c r="BN1282" i="5"/>
  <c r="BN1284" i="5"/>
  <c r="BX1314" i="5"/>
  <c r="BX1327" i="5"/>
  <c r="BX1350" i="5"/>
  <c r="BG1356" i="5"/>
  <c r="BG1355" i="5" s="1"/>
  <c r="BX1355" i="5" s="1"/>
  <c r="AK1421" i="5"/>
  <c r="BZ1459" i="5"/>
  <c r="AK1501" i="5"/>
  <c r="BX1266" i="5"/>
  <c r="AS1267" i="5"/>
  <c r="BG1267" i="5"/>
  <c r="BN1274" i="5"/>
  <c r="BN1276" i="5"/>
  <c r="AD1278" i="5"/>
  <c r="BX1278" i="5" s="1"/>
  <c r="BN1283" i="5"/>
  <c r="AD1287" i="5"/>
  <c r="BX1287" i="5" s="1"/>
  <c r="BN1336" i="5"/>
  <c r="BX1478" i="5"/>
  <c r="BG1606" i="5"/>
  <c r="BG1607" i="5"/>
  <c r="BX1607" i="5" s="1"/>
  <c r="AK1554" i="5"/>
  <c r="AK1570" i="5"/>
  <c r="BG1589" i="5"/>
  <c r="BX1589" i="5" s="1"/>
  <c r="BG1591" i="5"/>
  <c r="BX1591" i="5" s="1"/>
  <c r="BG1593" i="5"/>
  <c r="BX1593" i="5" s="1"/>
  <c r="AK1599" i="5"/>
  <c r="BG1603" i="5"/>
  <c r="BG1605" i="5"/>
  <c r="BX1605" i="5" s="1"/>
  <c r="W1609" i="5"/>
  <c r="AK1614" i="5"/>
  <c r="BG1620" i="5"/>
  <c r="CA1622" i="5"/>
  <c r="BZ1622" i="5" s="1"/>
  <c r="W1622" i="5" s="1"/>
  <c r="CA1623" i="5"/>
  <c r="BZ1623" i="5" s="1"/>
  <c r="W1623" i="5" s="1"/>
  <c r="BG1624" i="5"/>
  <c r="BX1624" i="5" s="1"/>
  <c r="CA1758" i="5"/>
  <c r="BN1606" i="5"/>
  <c r="BN1609" i="5" s="1"/>
  <c r="BX1644" i="5"/>
  <c r="BX1648" i="5"/>
  <c r="BX1649" i="5"/>
  <c r="BX1656" i="5"/>
  <c r="BX1673" i="5"/>
  <c r="BX1677" i="5"/>
  <c r="BX1687" i="5"/>
  <c r="BX1697" i="5"/>
  <c r="BX1701" i="5"/>
  <c r="BU1706" i="5"/>
  <c r="BG1713" i="5"/>
  <c r="BX1713" i="5" s="1"/>
  <c r="AE1851" i="5"/>
  <c r="BO1847" i="5"/>
  <c r="BO1851" i="5" s="1"/>
  <c r="BG1888" i="5"/>
  <c r="BX1888" i="5" s="1"/>
  <c r="BX1716" i="5"/>
  <c r="BG1743" i="5"/>
  <c r="BX1756" i="5"/>
  <c r="BG1759" i="5"/>
  <c r="BG1762" i="5" s="1"/>
  <c r="BC1844" i="5"/>
  <c r="BG1718" i="5"/>
  <c r="BX1718" i="5" s="1"/>
  <c r="BG1738" i="5"/>
  <c r="BX1738" i="5" s="1"/>
  <c r="BG1744" i="5"/>
  <c r="BX1744" i="5" s="1"/>
  <c r="BX1755" i="5"/>
  <c r="BX1830" i="5"/>
  <c r="BX1848" i="5"/>
  <c r="BX1865" i="5"/>
  <c r="BX1871" i="5"/>
  <c r="BX1880" i="5"/>
  <c r="BX1890" i="5"/>
  <c r="BX1927" i="5"/>
  <c r="BX1931" i="5"/>
  <c r="BX1937" i="5"/>
  <c r="BX1953" i="5"/>
  <c r="BX1959" i="5"/>
  <c r="BX1965" i="5"/>
  <c r="BX1986" i="5"/>
  <c r="BH583" i="5" l="1"/>
  <c r="BG597" i="5" s="1"/>
  <c r="BG604" i="5" s="1"/>
  <c r="CQ15" i="7"/>
  <c r="CH17" i="7"/>
  <c r="BX874" i="5"/>
  <c r="BX739" i="5"/>
  <c r="BX915" i="5"/>
  <c r="BZ680" i="5"/>
  <c r="BX1762" i="5"/>
  <c r="BX1356" i="5"/>
  <c r="BX626" i="5"/>
  <c r="BN895" i="5"/>
  <c r="BX1012" i="5"/>
  <c r="BX895" i="5"/>
  <c r="BX680" i="5"/>
  <c r="V1319" i="5"/>
  <c r="BX1319" i="5" s="1"/>
  <c r="BX1759" i="5"/>
  <c r="J43" i="8"/>
  <c r="AX14" i="8"/>
  <c r="AH14" i="8"/>
  <c r="I1270" i="5"/>
  <c r="BB14" i="8"/>
  <c r="AL14" i="8"/>
  <c r="W1270" i="5"/>
  <c r="AJ14" i="8"/>
  <c r="P1270" i="5"/>
  <c r="AR14" i="8"/>
  <c r="AZ14" i="8"/>
  <c r="R43" i="8"/>
  <c r="AP14" i="8"/>
  <c r="AT14" i="8"/>
  <c r="AN14" i="8"/>
  <c r="AV14" i="8"/>
  <c r="BD14" i="8"/>
  <c r="AG28" i="7"/>
  <c r="CQ26" i="7"/>
  <c r="CQ28" i="7"/>
  <c r="BF17" i="7"/>
  <c r="AG46" i="7"/>
  <c r="CO46" i="7" s="1"/>
  <c r="BX1847" i="5"/>
  <c r="BG1622" i="5"/>
  <c r="BX1622" i="5" s="1"/>
  <c r="W1619" i="5"/>
  <c r="BG1609" i="5"/>
  <c r="BX1609" i="5" s="1"/>
  <c r="BX1606" i="5"/>
  <c r="BG1946" i="5"/>
  <c r="BX1946" i="5" s="1"/>
  <c r="BV1945" i="5"/>
  <c r="BC1014" i="5"/>
  <c r="BN1149" i="5"/>
  <c r="BG1054" i="5"/>
  <c r="BG1060" i="5" s="1"/>
  <c r="BX1060" i="5" s="1"/>
  <c r="BX678" i="5"/>
  <c r="M675" i="5"/>
  <c r="BG548" i="5"/>
  <c r="BG550" i="5" s="1"/>
  <c r="BN604" i="5"/>
  <c r="BX583" i="5"/>
  <c r="W550" i="5"/>
  <c r="BX1743" i="5"/>
  <c r="BX1851" i="5"/>
  <c r="BG1623" i="5"/>
  <c r="BX1623" i="5" s="1"/>
  <c r="BX1603" i="5"/>
  <c r="BG1596" i="5"/>
  <c r="BX1596" i="5" s="1"/>
  <c r="BX1620" i="5"/>
  <c r="BG1136" i="5"/>
  <c r="BX1136" i="5" s="1"/>
  <c r="BX1047" i="5"/>
  <c r="S1014" i="5"/>
  <c r="BX1005" i="5"/>
  <c r="BX881" i="5"/>
  <c r="BN873" i="5"/>
  <c r="BX873" i="5" s="1"/>
  <c r="BX857" i="5"/>
  <c r="BX545" i="5"/>
  <c r="BG923" i="5"/>
  <c r="BX923" i="5" s="1"/>
  <c r="BX812" i="5"/>
  <c r="BX779" i="5"/>
  <c r="R1777" i="5"/>
  <c r="BB1777" i="5" s="1"/>
  <c r="BX842" i="5"/>
  <c r="BX597" i="5" l="1"/>
  <c r="BX604" i="5"/>
  <c r="CQ17" i="7"/>
  <c r="BX1014" i="5"/>
  <c r="BX548" i="5"/>
  <c r="BG1619" i="5"/>
  <c r="AZ1270" i="5"/>
  <c r="BG1270" i="5"/>
  <c r="AD1270" i="5"/>
  <c r="BF14" i="8"/>
  <c r="AS1270" i="5"/>
  <c r="BX1054" i="5"/>
  <c r="BX550" i="5"/>
  <c r="M690" i="5"/>
  <c r="BZ675" i="5"/>
  <c r="BX675" i="5"/>
  <c r="BV675" i="5"/>
  <c r="BX1619" i="5"/>
  <c r="BN1270" i="5" l="1"/>
  <c r="BX1270" i="5" s="1"/>
  <c r="BX690" i="5"/>
  <c r="AN18" i="8" l="1"/>
  <c r="BD18" i="8"/>
  <c r="AR20" i="8"/>
  <c r="AL20" i="8"/>
  <c r="AL15" i="8"/>
  <c r="AP20" i="8"/>
  <c r="AP15" i="8"/>
  <c r="AT20" i="8"/>
  <c r="AT15" i="8"/>
  <c r="AX20" i="8"/>
  <c r="AX15" i="8"/>
  <c r="BB20" i="8"/>
  <c r="BB15" i="8"/>
  <c r="AN15" i="8"/>
  <c r="BD15" i="8"/>
  <c r="AL17" i="8"/>
  <c r="BB17" i="8"/>
  <c r="AP19" i="8"/>
  <c r="AJ17" i="8"/>
  <c r="AN17" i="8"/>
  <c r="AR17" i="8"/>
  <c r="AV17" i="8"/>
  <c r="AZ17" i="8"/>
  <c r="BD17" i="8"/>
  <c r="AJ15" i="8"/>
  <c r="AZ15" i="8"/>
  <c r="AX17" i="8"/>
  <c r="AJ18" i="8"/>
  <c r="AZ18" i="8"/>
  <c r="AL19" i="8"/>
  <c r="BB19" i="8"/>
  <c r="AN20" i="8"/>
  <c r="BD20" i="8"/>
  <c r="AV20" i="8"/>
  <c r="AV18" i="8"/>
  <c r="AJ20" i="8"/>
  <c r="AZ20" i="8"/>
  <c r="AL18" i="8"/>
  <c r="AP18" i="8"/>
  <c r="AT18" i="8"/>
  <c r="AX18" i="8"/>
  <c r="BB18" i="8"/>
  <c r="AV15" i="8"/>
  <c r="AT17" i="8"/>
  <c r="AX19" i="8"/>
  <c r="AJ19" i="8"/>
  <c r="AN19" i="8"/>
  <c r="AR19" i="8"/>
  <c r="AV19" i="8"/>
  <c r="AZ19" i="8"/>
  <c r="BD19" i="8"/>
  <c r="AR15" i="8"/>
  <c r="AP17" i="8"/>
  <c r="AR18" i="8"/>
  <c r="AT19" i="8"/>
  <c r="I834" i="5"/>
  <c r="I825" i="5"/>
  <c r="W798" i="5"/>
  <c r="BG798" i="5" s="1"/>
  <c r="I831" i="5"/>
  <c r="W800" i="5"/>
  <c r="BG800" i="5" s="1"/>
  <c r="I797" i="5"/>
  <c r="I798" i="5"/>
  <c r="I796" i="5"/>
  <c r="P1271" i="5" l="1"/>
  <c r="W1271" i="5"/>
  <c r="AE26" i="6"/>
  <c r="BD28" i="8"/>
  <c r="AZ25" i="8"/>
  <c r="AZ29" i="8"/>
  <c r="AV27" i="8"/>
  <c r="AR26" i="8"/>
  <c r="AN25" i="8"/>
  <c r="AJ25" i="8"/>
  <c r="AZ1281" i="5" s="1"/>
  <c r="AJ29" i="8"/>
  <c r="BB29" i="8"/>
  <c r="BB26" i="8"/>
  <c r="AX24" i="8"/>
  <c r="AX28" i="8"/>
  <c r="AT27" i="8"/>
  <c r="AP27" i="8"/>
  <c r="AP26" i="8"/>
  <c r="AL27" i="8"/>
  <c r="AL24" i="8"/>
  <c r="BG1280" i="5" s="1"/>
  <c r="BD25" i="8"/>
  <c r="BD29" i="8"/>
  <c r="AZ26" i="8"/>
  <c r="AV26" i="8"/>
  <c r="AV24" i="8"/>
  <c r="AR28" i="8"/>
  <c r="AR27" i="8"/>
  <c r="AN24" i="8"/>
  <c r="AN29" i="8"/>
  <c r="AJ24" i="8"/>
  <c r="AZ1280" i="5" s="1"/>
  <c r="AX29" i="8"/>
  <c r="AT24" i="8"/>
  <c r="AT28" i="8"/>
  <c r="AP28" i="8"/>
  <c r="AL28" i="8"/>
  <c r="BG1284" i="5" s="1"/>
  <c r="AH19" i="8"/>
  <c r="AS1275" i="5" s="1"/>
  <c r="AH20" i="8"/>
  <c r="AH17" i="8"/>
  <c r="AS1273" i="5" s="1"/>
  <c r="AH18" i="8"/>
  <c r="I1272" i="5"/>
  <c r="I1275" i="5"/>
  <c r="BD27" i="8"/>
  <c r="AZ24" i="8"/>
  <c r="AV28" i="8"/>
  <c r="AR25" i="8"/>
  <c r="AR29" i="8"/>
  <c r="AN27" i="8"/>
  <c r="AJ26" i="8"/>
  <c r="AZ1282" i="5" s="1"/>
  <c r="AP24" i="8"/>
  <c r="BB27" i="8"/>
  <c r="AX27" i="8"/>
  <c r="AX25" i="8"/>
  <c r="AT29" i="8"/>
  <c r="AT26" i="8"/>
  <c r="AP29" i="8"/>
  <c r="AL29" i="8"/>
  <c r="BG1285" i="5" s="1"/>
  <c r="AL26" i="8"/>
  <c r="BD26" i="8"/>
  <c r="BD24" i="8"/>
  <c r="AZ28" i="8"/>
  <c r="AZ27" i="8"/>
  <c r="AV25" i="8"/>
  <c r="AV29" i="8"/>
  <c r="AR24" i="8"/>
  <c r="AN26" i="8"/>
  <c r="AN28" i="8"/>
  <c r="AJ28" i="8"/>
  <c r="AJ27" i="8"/>
  <c r="AZ1283" i="5" s="1"/>
  <c r="BB24" i="8"/>
  <c r="BB28" i="8"/>
  <c r="AX26" i="8"/>
  <c r="AT25" i="8"/>
  <c r="AP25" i="8"/>
  <c r="AL25" i="8"/>
  <c r="BG1281" i="5" s="1"/>
  <c r="P1272" i="5"/>
  <c r="AH15" i="8"/>
  <c r="W1272" i="5"/>
  <c r="AC16" i="6"/>
  <c r="Y18" i="6"/>
  <c r="W16" i="6"/>
  <c r="W14" i="6"/>
  <c r="AA17" i="6"/>
  <c r="AC14" i="6"/>
  <c r="AC18" i="6"/>
  <c r="AA16" i="6"/>
  <c r="AA14" i="6"/>
  <c r="Y17" i="6"/>
  <c r="W17" i="6"/>
  <c r="Y23" i="6"/>
  <c r="W13" i="6"/>
  <c r="AE13" i="6"/>
  <c r="AA15" i="6"/>
  <c r="W18" i="6"/>
  <c r="AE18" i="6"/>
  <c r="AE22" i="6"/>
  <c r="AC23" i="6"/>
  <c r="AE24" i="6"/>
  <c r="AA25" i="6"/>
  <c r="AC26" i="6"/>
  <c r="Y22" i="6"/>
  <c r="W23" i="6"/>
  <c r="AE23" i="6"/>
  <c r="Y24" i="6"/>
  <c r="AC25" i="6"/>
  <c r="AA26" i="6"/>
  <c r="P766" i="5"/>
  <c r="AZ766" i="5" s="1"/>
  <c r="Y14" i="6"/>
  <c r="AE16" i="6"/>
  <c r="AC15" i="6"/>
  <c r="AE14" i="6"/>
  <c r="AC13" i="6"/>
  <c r="AC17" i="6"/>
  <c r="Y16" i="6"/>
  <c r="Y15" i="6"/>
  <c r="Y13" i="6"/>
  <c r="AE17" i="6"/>
  <c r="AA22" i="6"/>
  <c r="AA24" i="6"/>
  <c r="AA13" i="6"/>
  <c r="W15" i="6"/>
  <c r="AE15" i="6"/>
  <c r="AA18" i="6"/>
  <c r="W22" i="6"/>
  <c r="W24" i="6"/>
  <c r="W25" i="6"/>
  <c r="AE25" i="6"/>
  <c r="Y26" i="6"/>
  <c r="AC22" i="6"/>
  <c r="AA23" i="6"/>
  <c r="AC24" i="6"/>
  <c r="Y25" i="6"/>
  <c r="W26" i="6"/>
  <c r="P798" i="5"/>
  <c r="AZ798" i="5" s="1"/>
  <c r="P838" i="5"/>
  <c r="AZ838" i="5" s="1"/>
  <c r="W805" i="5"/>
  <c r="BG805" i="5" s="1"/>
  <c r="W1275" i="5"/>
  <c r="P1276" i="5"/>
  <c r="AD1338" i="5"/>
  <c r="BN1338" i="5" s="1"/>
  <c r="W1276" i="5"/>
  <c r="P796" i="5"/>
  <c r="AZ796" i="5" s="1"/>
  <c r="AS796" i="5"/>
  <c r="AS798" i="5"/>
  <c r="AS797" i="5"/>
  <c r="AS831" i="5"/>
  <c r="W806" i="5"/>
  <c r="BG806" i="5" s="1"/>
  <c r="W829" i="5"/>
  <c r="BG829" i="5" s="1"/>
  <c r="P831" i="5"/>
  <c r="AZ831" i="5" s="1"/>
  <c r="P799" i="5"/>
  <c r="AZ799" i="5" s="1"/>
  <c r="W1274" i="5"/>
  <c r="P1273" i="5"/>
  <c r="I841" i="5"/>
  <c r="AS825" i="5"/>
  <c r="P1274" i="5"/>
  <c r="AD1337" i="5"/>
  <c r="W1273" i="5"/>
  <c r="AS834" i="5"/>
  <c r="P1275" i="5"/>
  <c r="P1283" i="5"/>
  <c r="I836" i="5"/>
  <c r="I827" i="5"/>
  <c r="I829" i="5"/>
  <c r="W797" i="5"/>
  <c r="BG797" i="5" s="1"/>
  <c r="I835" i="5"/>
  <c r="I837" i="5"/>
  <c r="W1281" i="5"/>
  <c r="I830" i="5"/>
  <c r="S473" i="5"/>
  <c r="I828" i="5"/>
  <c r="K709" i="5"/>
  <c r="AE477" i="5"/>
  <c r="BO477" i="5" s="1"/>
  <c r="AS1276" i="5"/>
  <c r="AS1271" i="5"/>
  <c r="AS1274" i="5"/>
  <c r="K703" i="5"/>
  <c r="I795" i="5"/>
  <c r="W795" i="5"/>
  <c r="AE472" i="5"/>
  <c r="W1575" i="5"/>
  <c r="P800" i="5"/>
  <c r="AZ800" i="5" s="1"/>
  <c r="AE1778" i="5"/>
  <c r="BO1778" i="5" s="1"/>
  <c r="AD1574" i="5"/>
  <c r="AE479" i="5"/>
  <c r="BO479" i="5" s="1"/>
  <c r="X705" i="5"/>
  <c r="BH705" i="5" s="1"/>
  <c r="AE478" i="5"/>
  <c r="BO478" i="5" s="1"/>
  <c r="BW1060" i="5"/>
  <c r="W1576" i="5"/>
  <c r="W1563" i="5"/>
  <c r="W1578" i="5"/>
  <c r="W1579" i="5"/>
  <c r="S474" i="5"/>
  <c r="AE1075" i="5"/>
  <c r="AE473" i="5"/>
  <c r="BO473" i="5" s="1"/>
  <c r="X708" i="5"/>
  <c r="BH708" i="5" s="1"/>
  <c r="AD1544" i="5"/>
  <c r="BN1544" i="5" s="1"/>
  <c r="AD1374" i="5"/>
  <c r="BN1374" i="5" s="1"/>
  <c r="W1512" i="5"/>
  <c r="W1529" i="5"/>
  <c r="AZ1285" i="5"/>
  <c r="I808" i="5"/>
  <c r="P773" i="5"/>
  <c r="AZ773" i="5" s="1"/>
  <c r="I807" i="5"/>
  <c r="AD1531" i="5"/>
  <c r="BW1530" i="5" s="1"/>
  <c r="I838" i="5"/>
  <c r="K702" i="5"/>
  <c r="K708" i="5"/>
  <c r="I805" i="5"/>
  <c r="BG1282" i="5"/>
  <c r="I806" i="5"/>
  <c r="X702" i="5"/>
  <c r="BH702" i="5" s="1"/>
  <c r="I803" i="5"/>
  <c r="AD1527" i="5"/>
  <c r="BW1596" i="5"/>
  <c r="P803" i="5"/>
  <c r="AZ803" i="5" s="1"/>
  <c r="AE474" i="5"/>
  <c r="BO474" i="5" s="1"/>
  <c r="X703" i="5"/>
  <c r="BV577" i="5"/>
  <c r="W1513" i="5"/>
  <c r="W1635" i="5"/>
  <c r="BW577" i="5"/>
  <c r="BW1609" i="5"/>
  <c r="I804" i="5"/>
  <c r="Y1018" i="5"/>
  <c r="BI1018" i="5" s="1"/>
  <c r="AD1373" i="5"/>
  <c r="M1018" i="5"/>
  <c r="W834" i="5"/>
  <c r="BG834" i="5" s="1"/>
  <c r="W1527" i="5"/>
  <c r="W1544" i="5"/>
  <c r="BV1596" i="5"/>
  <c r="AD1542" i="5"/>
  <c r="I800" i="5"/>
  <c r="I799" i="5"/>
  <c r="P767" i="5" l="1"/>
  <c r="AZ767" i="5" s="1"/>
  <c r="P762" i="5"/>
  <c r="AZ762" i="5" s="1"/>
  <c r="W1280" i="5"/>
  <c r="I1274" i="5"/>
  <c r="AD1274" i="5" s="1"/>
  <c r="P1282" i="5"/>
  <c r="P1281" i="5"/>
  <c r="W773" i="5"/>
  <c r="BG773" i="5" s="1"/>
  <c r="W775" i="5"/>
  <c r="BG775" i="5" s="1"/>
  <c r="W767" i="5"/>
  <c r="BG767" i="5" s="1"/>
  <c r="W1285" i="5"/>
  <c r="W766" i="5"/>
  <c r="BG766" i="5" s="1"/>
  <c r="P764" i="5"/>
  <c r="AZ764" i="5" s="1"/>
  <c r="P763" i="5"/>
  <c r="AZ763" i="5" s="1"/>
  <c r="P774" i="5"/>
  <c r="AZ774" i="5" s="1"/>
  <c r="W771" i="5"/>
  <c r="BG771" i="5" s="1"/>
  <c r="W762" i="5"/>
  <c r="BG762" i="5" s="1"/>
  <c r="P771" i="5"/>
  <c r="AZ771" i="5" s="1"/>
  <c r="W772" i="5"/>
  <c r="BG772" i="5" s="1"/>
  <c r="AD798" i="5"/>
  <c r="P775" i="5"/>
  <c r="AZ775" i="5" s="1"/>
  <c r="AD1275" i="5"/>
  <c r="X704" i="5"/>
  <c r="BH704" i="5" s="1"/>
  <c r="W454" i="5"/>
  <c r="BG454" i="5" s="1"/>
  <c r="W774" i="5"/>
  <c r="BG774" i="5" s="1"/>
  <c r="W1282" i="5"/>
  <c r="I1271" i="5"/>
  <c r="AD1271" i="5" s="1"/>
  <c r="AE1071" i="5"/>
  <c r="AD1474" i="5"/>
  <c r="AD1482" i="5" s="1"/>
  <c r="AD452" i="5"/>
  <c r="BN452" i="5" s="1"/>
  <c r="AE1068" i="5"/>
  <c r="I1273" i="5"/>
  <c r="AD1273" i="5" s="1"/>
  <c r="I1276" i="5"/>
  <c r="AD1276" i="5" s="1"/>
  <c r="AH27" i="8"/>
  <c r="AH26" i="8"/>
  <c r="AS1282" i="5" s="1"/>
  <c r="AT16" i="8"/>
  <c r="AT22" i="8" s="1"/>
  <c r="AT31" i="8" s="1"/>
  <c r="P22" i="8"/>
  <c r="I1281" i="5"/>
  <c r="AL16" i="8"/>
  <c r="AL22" i="8" s="1"/>
  <c r="AL31" i="8" s="1"/>
  <c r="H22" i="8"/>
  <c r="AX16" i="8"/>
  <c r="AX22" i="8" s="1"/>
  <c r="AX31" i="8" s="1"/>
  <c r="T22" i="8"/>
  <c r="AJ16" i="8"/>
  <c r="AJ22" i="8" s="1"/>
  <c r="AJ31" i="8" s="1"/>
  <c r="F22" i="8"/>
  <c r="AN16" i="8"/>
  <c r="AN22" i="8" s="1"/>
  <c r="AN31" i="8" s="1"/>
  <c r="J22" i="8"/>
  <c r="AR16" i="8"/>
  <c r="AR22" i="8" s="1"/>
  <c r="AR31" i="8" s="1"/>
  <c r="N22" i="8"/>
  <c r="AV16" i="8"/>
  <c r="AV22" i="8" s="1"/>
  <c r="AV31" i="8" s="1"/>
  <c r="R22" i="8"/>
  <c r="AZ16" i="8"/>
  <c r="AZ22" i="8" s="1"/>
  <c r="AZ31" i="8" s="1"/>
  <c r="V22" i="8"/>
  <c r="BD16" i="8"/>
  <c r="BD22" i="8" s="1"/>
  <c r="BD31" i="8" s="1"/>
  <c r="Z22" i="8"/>
  <c r="AP16" i="8"/>
  <c r="AP22" i="8" s="1"/>
  <c r="AP31" i="8" s="1"/>
  <c r="L22" i="8"/>
  <c r="AH28" i="8"/>
  <c r="AS1284" i="5" s="1"/>
  <c r="AH16" i="8"/>
  <c r="AS1272" i="5" s="1"/>
  <c r="D22" i="8"/>
  <c r="AH24" i="8"/>
  <c r="AH29" i="8"/>
  <c r="AS1285" i="5" s="1"/>
  <c r="BN798" i="5"/>
  <c r="W1574" i="5"/>
  <c r="CA1574" i="5" s="1"/>
  <c r="CB1574" i="5" s="1"/>
  <c r="AE1069" i="5"/>
  <c r="W12" i="6"/>
  <c r="F19" i="6"/>
  <c r="U24" i="6"/>
  <c r="I772" i="5"/>
  <c r="I763" i="5"/>
  <c r="I766" i="5"/>
  <c r="J27" i="6"/>
  <c r="AA21" i="6"/>
  <c r="AA27" i="6" s="1"/>
  <c r="U21" i="6"/>
  <c r="L27" i="6"/>
  <c r="AC21" i="6"/>
  <c r="AC27" i="6" s="1"/>
  <c r="H19" i="6"/>
  <c r="Y12" i="6"/>
  <c r="I774" i="5"/>
  <c r="I775" i="5"/>
  <c r="P772" i="5"/>
  <c r="AZ772" i="5" s="1"/>
  <c r="AD1272" i="5"/>
  <c r="N27" i="6"/>
  <c r="AE21" i="6"/>
  <c r="AE27" i="6" s="1"/>
  <c r="H27" i="6"/>
  <c r="Y21" i="6"/>
  <c r="Y27" i="6" s="1"/>
  <c r="AE12" i="6"/>
  <c r="N19" i="6"/>
  <c r="F27" i="6"/>
  <c r="W21" i="6"/>
  <c r="W27" i="6" s="1"/>
  <c r="U12" i="6"/>
  <c r="I767" i="5"/>
  <c r="AA12" i="6"/>
  <c r="J19" i="6"/>
  <c r="L19" i="6"/>
  <c r="AC12" i="6"/>
  <c r="U16" i="6"/>
  <c r="I762" i="5"/>
  <c r="U15" i="6"/>
  <c r="W764" i="5"/>
  <c r="BG764" i="5" s="1"/>
  <c r="W763" i="5"/>
  <c r="BG763" i="5" s="1"/>
  <c r="P797" i="5"/>
  <c r="BN1542" i="5"/>
  <c r="AD1529" i="5"/>
  <c r="BN1529" i="5" s="1"/>
  <c r="AD1512" i="5"/>
  <c r="BN1512" i="5" s="1"/>
  <c r="AD1479" i="5"/>
  <c r="BN1479" i="5" s="1"/>
  <c r="BG1544" i="5"/>
  <c r="BX1544" i="5" s="1"/>
  <c r="W1514" i="5"/>
  <c r="W1475" i="5"/>
  <c r="AS799" i="5"/>
  <c r="AD800" i="5"/>
  <c r="AS800" i="5"/>
  <c r="BN800" i="5" s="1"/>
  <c r="P795" i="5"/>
  <c r="AD795" i="5" s="1"/>
  <c r="AD1547" i="5"/>
  <c r="BN1547" i="5" s="1"/>
  <c r="AD1516" i="5"/>
  <c r="BN1516" i="5" s="1"/>
  <c r="AD1496" i="5"/>
  <c r="BN1496" i="5" s="1"/>
  <c r="W1549" i="5"/>
  <c r="W1532" i="5"/>
  <c r="BG1527" i="5"/>
  <c r="BG1535" i="5" s="1"/>
  <c r="W1506" i="5"/>
  <c r="W1494" i="5"/>
  <c r="W770" i="5"/>
  <c r="BG770" i="5" s="1"/>
  <c r="AE1776" i="5"/>
  <c r="BW690" i="5"/>
  <c r="W1636" i="5"/>
  <c r="M1071" i="5"/>
  <c r="AW1018" i="5"/>
  <c r="BX1018" i="5" s="1"/>
  <c r="AD1376" i="5"/>
  <c r="BW1376" i="5" s="1"/>
  <c r="BN1373" i="5"/>
  <c r="BN1376" i="5" s="1"/>
  <c r="P765" i="5"/>
  <c r="AZ765" i="5" s="1"/>
  <c r="AS804" i="5"/>
  <c r="AD1533" i="5"/>
  <c r="BN1533" i="5" s="1"/>
  <c r="AD1515" i="5"/>
  <c r="BN1515" i="5" s="1"/>
  <c r="AD1495" i="5"/>
  <c r="BN1495" i="5" s="1"/>
  <c r="BV1635" i="5"/>
  <c r="BG1635" i="5"/>
  <c r="W1543" i="5"/>
  <c r="W1517" i="5"/>
  <c r="W1480" i="5"/>
  <c r="AZ1276" i="5"/>
  <c r="BH703" i="5"/>
  <c r="M1072" i="5"/>
  <c r="BG1273" i="5"/>
  <c r="AZ1274" i="5"/>
  <c r="W803" i="5"/>
  <c r="BG803" i="5" s="1"/>
  <c r="M1069" i="5"/>
  <c r="M1076" i="5"/>
  <c r="AS806" i="5"/>
  <c r="W830" i="5"/>
  <c r="BG830" i="5" s="1"/>
  <c r="P807" i="5"/>
  <c r="AZ807" i="5" s="1"/>
  <c r="AS805" i="5"/>
  <c r="AU708" i="5"/>
  <c r="BX708" i="5" s="1"/>
  <c r="W825" i="5"/>
  <c r="W807" i="5"/>
  <c r="BG807" i="5" s="1"/>
  <c r="AD1543" i="5"/>
  <c r="BN1543" i="5" s="1"/>
  <c r="AD1517" i="5"/>
  <c r="BN1517" i="5" s="1"/>
  <c r="AD1505" i="5"/>
  <c r="AD1480" i="5"/>
  <c r="BN1480" i="5" s="1"/>
  <c r="M1074" i="5"/>
  <c r="BW915" i="5"/>
  <c r="BG1274" i="5"/>
  <c r="AD554" i="5"/>
  <c r="BN554" i="5" s="1"/>
  <c r="AS807" i="5"/>
  <c r="AS808" i="5"/>
  <c r="W452" i="5"/>
  <c r="W804" i="5"/>
  <c r="BG804" i="5" s="1"/>
  <c r="AD454" i="5"/>
  <c r="BN454" i="5" s="1"/>
  <c r="R706" i="5"/>
  <c r="W1547" i="5"/>
  <c r="W1516" i="5"/>
  <c r="W1496" i="5"/>
  <c r="BV1609" i="5"/>
  <c r="W1533" i="5"/>
  <c r="W1515" i="5"/>
  <c r="W1495" i="5"/>
  <c r="AD1549" i="5"/>
  <c r="BN1549" i="5" s="1"/>
  <c r="AD1532" i="5"/>
  <c r="BN1532" i="5" s="1"/>
  <c r="AD1506" i="5"/>
  <c r="BN1506" i="5" s="1"/>
  <c r="BW934" i="5"/>
  <c r="AD453" i="5"/>
  <c r="BN453" i="5" s="1"/>
  <c r="W553" i="5"/>
  <c r="BV556" i="5"/>
  <c r="BV550" i="5"/>
  <c r="BC474" i="5"/>
  <c r="BX474" i="5" s="1"/>
  <c r="W1561" i="5"/>
  <c r="BG1563" i="5"/>
  <c r="BX1563" i="5" s="1"/>
  <c r="BW1100" i="5"/>
  <c r="AD1576" i="5"/>
  <c r="BN1576" i="5" s="1"/>
  <c r="W1373" i="5"/>
  <c r="BG1576" i="5"/>
  <c r="AD1254" i="5"/>
  <c r="BN1254" i="5" s="1"/>
  <c r="AD1245" i="5"/>
  <c r="BN1245" i="5" s="1"/>
  <c r="AD1559" i="5"/>
  <c r="AD1558" i="5"/>
  <c r="BN1558" i="5" s="1"/>
  <c r="W1559" i="5"/>
  <c r="BW743" i="5"/>
  <c r="BW747" i="5"/>
  <c r="BW857" i="5"/>
  <c r="BG1575" i="5"/>
  <c r="AD1246" i="5"/>
  <c r="BN1246" i="5" s="1"/>
  <c r="AD1789" i="5"/>
  <c r="BN1789" i="5" s="1"/>
  <c r="BW1094" i="5"/>
  <c r="AD1580" i="5"/>
  <c r="BN1580" i="5" s="1"/>
  <c r="AD1518" i="5"/>
  <c r="BN1518" i="5" s="1"/>
  <c r="BV870" i="5"/>
  <c r="AD1243" i="5"/>
  <c r="BN1243" i="5" s="1"/>
  <c r="BW1175" i="5"/>
  <c r="AD1578" i="5"/>
  <c r="BN1578" i="5" s="1"/>
  <c r="AD1579" i="5"/>
  <c r="BN1579" i="5" s="1"/>
  <c r="W453" i="5"/>
  <c r="I826" i="5"/>
  <c r="K624" i="5"/>
  <c r="K1777" i="5"/>
  <c r="BV597" i="5"/>
  <c r="AS828" i="5"/>
  <c r="BV934" i="5"/>
  <c r="BC473" i="5"/>
  <c r="BX473" i="5" s="1"/>
  <c r="W808" i="5"/>
  <c r="BG808" i="5" s="1"/>
  <c r="W1283" i="5"/>
  <c r="W835" i="5"/>
  <c r="BG835" i="5" s="1"/>
  <c r="W1284" i="5"/>
  <c r="W1337" i="5"/>
  <c r="W1338" i="5"/>
  <c r="I1283" i="5"/>
  <c r="AS830" i="5"/>
  <c r="P1285" i="5"/>
  <c r="W836" i="5"/>
  <c r="BG836" i="5" s="1"/>
  <c r="AS835" i="5"/>
  <c r="AS829" i="5"/>
  <c r="P808" i="5"/>
  <c r="AZ808" i="5" s="1"/>
  <c r="AS841" i="5"/>
  <c r="AZ1275" i="5"/>
  <c r="I761" i="5"/>
  <c r="BW604" i="5"/>
  <c r="BW865" i="5"/>
  <c r="M1068" i="5"/>
  <c r="M1075" i="5"/>
  <c r="W554" i="5"/>
  <c r="BG1283" i="5"/>
  <c r="BG1271" i="5"/>
  <c r="AD1545" i="5"/>
  <c r="AD1528" i="5"/>
  <c r="BN1528" i="5" s="1"/>
  <c r="AD1511" i="5"/>
  <c r="BN1511" i="5" s="1"/>
  <c r="M1070" i="5"/>
  <c r="W1548" i="5"/>
  <c r="W1531" i="5"/>
  <c r="BV1530" i="5" s="1"/>
  <c r="BG1513" i="5"/>
  <c r="W1505" i="5"/>
  <c r="BV1385" i="5"/>
  <c r="BG1276" i="5"/>
  <c r="P834" i="5"/>
  <c r="P825" i="5"/>
  <c r="W761" i="5"/>
  <c r="BG1275" i="5"/>
  <c r="X709" i="5"/>
  <c r="BH709" i="5" s="1"/>
  <c r="BV1389" i="5"/>
  <c r="BN1527" i="5"/>
  <c r="BN1535" i="5" s="1"/>
  <c r="AD1535" i="5"/>
  <c r="AD1494" i="5"/>
  <c r="BN1494" i="5" s="1"/>
  <c r="W1542" i="5"/>
  <c r="W1474" i="5"/>
  <c r="AS803" i="5"/>
  <c r="AZ1273" i="5"/>
  <c r="AE1073" i="5"/>
  <c r="M1073" i="5"/>
  <c r="W826" i="5"/>
  <c r="BG826" i="5" s="1"/>
  <c r="P804" i="5"/>
  <c r="AZ804" i="5" s="1"/>
  <c r="AU702" i="5"/>
  <c r="BX702" i="5" s="1"/>
  <c r="P830" i="5"/>
  <c r="AZ830" i="5" s="1"/>
  <c r="P761" i="5"/>
  <c r="X1777" i="5"/>
  <c r="BW597" i="5"/>
  <c r="AS838" i="5"/>
  <c r="AD1548" i="5"/>
  <c r="BN1548" i="5" s="1"/>
  <c r="AD1513" i="5"/>
  <c r="BN1513" i="5" s="1"/>
  <c r="I770" i="5"/>
  <c r="AD553" i="5"/>
  <c r="BN553" i="5" s="1"/>
  <c r="BW550" i="5"/>
  <c r="BW556" i="5"/>
  <c r="W765" i="5"/>
  <c r="BG765" i="5" s="1"/>
  <c r="P835" i="5"/>
  <c r="AZ835" i="5" s="1"/>
  <c r="P826" i="5"/>
  <c r="AZ826" i="5" s="1"/>
  <c r="BV915" i="5"/>
  <c r="P770" i="5"/>
  <c r="AZ770" i="5" s="1"/>
  <c r="AD1635" i="5"/>
  <c r="R1776" i="5"/>
  <c r="BV690" i="5"/>
  <c r="BG1529" i="5"/>
  <c r="BG1512" i="5"/>
  <c r="BX1512" i="5" s="1"/>
  <c r="W1479" i="5"/>
  <c r="W1545" i="5"/>
  <c r="W1528" i="5"/>
  <c r="W1511" i="5"/>
  <c r="AD1514" i="5"/>
  <c r="BN1514" i="5" s="1"/>
  <c r="AD1475" i="5"/>
  <c r="BN1475" i="5" s="1"/>
  <c r="X707" i="5"/>
  <c r="BH707" i="5" s="1"/>
  <c r="BW1054" i="5"/>
  <c r="BG1579" i="5"/>
  <c r="BV1578" i="5"/>
  <c r="BG1578" i="5"/>
  <c r="BW739" i="5"/>
  <c r="AD1251" i="5"/>
  <c r="BN1251" i="5" s="1"/>
  <c r="BW923" i="5"/>
  <c r="BW881" i="5"/>
  <c r="AD1560" i="5"/>
  <c r="BN1560" i="5" s="1"/>
  <c r="BV604" i="5"/>
  <c r="W1560" i="5"/>
  <c r="BW940" i="5"/>
  <c r="AD1252" i="5"/>
  <c r="BN1252" i="5" s="1"/>
  <c r="Y1017" i="5"/>
  <c r="BI1017" i="5" s="1"/>
  <c r="BW1020" i="5"/>
  <c r="BW1014" i="5"/>
  <c r="BN1574" i="5"/>
  <c r="W1558" i="5"/>
  <c r="W1518" i="5"/>
  <c r="W1562" i="5"/>
  <c r="BW653" i="5"/>
  <c r="BW665" i="5"/>
  <c r="Y472" i="5"/>
  <c r="AE471" i="5"/>
  <c r="BO472" i="5"/>
  <c r="BO471" i="5" s="1"/>
  <c r="BO481" i="5" s="1"/>
  <c r="AD1562" i="5"/>
  <c r="BN1562" i="5" s="1"/>
  <c r="AD1575" i="5"/>
  <c r="BN1575" i="5" s="1"/>
  <c r="AE1076" i="5"/>
  <c r="BG795" i="5"/>
  <c r="I811" i="5"/>
  <c r="AS795" i="5"/>
  <c r="BW1168" i="5"/>
  <c r="AU703" i="5"/>
  <c r="AD1253" i="5"/>
  <c r="BN1253" i="5" s="1"/>
  <c r="AD1244" i="5"/>
  <c r="BN1244" i="5" s="1"/>
  <c r="X706" i="5"/>
  <c r="BH706" i="5" s="1"/>
  <c r="AD1561" i="5"/>
  <c r="BN1561" i="5" s="1"/>
  <c r="W1580" i="5"/>
  <c r="W1252" i="5"/>
  <c r="W1374" i="5"/>
  <c r="K707" i="5"/>
  <c r="W1131" i="5"/>
  <c r="AD1131" i="5"/>
  <c r="BN1131" i="5" s="1"/>
  <c r="AU709" i="5"/>
  <c r="BV1054" i="5"/>
  <c r="P1284" i="5"/>
  <c r="AE1072" i="5"/>
  <c r="AE1070" i="5"/>
  <c r="AE1074" i="5"/>
  <c r="W799" i="5"/>
  <c r="BG799" i="5" s="1"/>
  <c r="I1284" i="5"/>
  <c r="W837" i="5"/>
  <c r="BG837" i="5" s="1"/>
  <c r="P829" i="5"/>
  <c r="AZ829" i="5" s="1"/>
  <c r="P827" i="5"/>
  <c r="AZ827" i="5" s="1"/>
  <c r="W1130" i="5"/>
  <c r="W827" i="5"/>
  <c r="BG827" i="5" s="1"/>
  <c r="P1280" i="5"/>
  <c r="P836" i="5"/>
  <c r="AZ836" i="5" s="1"/>
  <c r="AS837" i="5"/>
  <c r="P805" i="5"/>
  <c r="AZ805" i="5" s="1"/>
  <c r="W831" i="5"/>
  <c r="BG831" i="5" s="1"/>
  <c r="BN831" i="5" s="1"/>
  <c r="AS827" i="5"/>
  <c r="AS836" i="5"/>
  <c r="W828" i="5"/>
  <c r="BG828" i="5" s="1"/>
  <c r="P806" i="5"/>
  <c r="AZ806" i="5" s="1"/>
  <c r="P828" i="5"/>
  <c r="AZ828" i="5" s="1"/>
  <c r="W796" i="5"/>
  <c r="AD796" i="5" s="1"/>
  <c r="W838" i="5"/>
  <c r="BG838" i="5" s="1"/>
  <c r="BN1337" i="5"/>
  <c r="AD1339" i="5"/>
  <c r="BX798" i="5"/>
  <c r="BV801" i="5"/>
  <c r="K704" i="5"/>
  <c r="BW1406" i="5"/>
  <c r="BW1248" i="5"/>
  <c r="BW628" i="5"/>
  <c r="W1413" i="5"/>
  <c r="BW476" i="5"/>
  <c r="BV1701" i="5"/>
  <c r="BW751" i="5"/>
  <c r="BW1679" i="5"/>
  <c r="BW1701" i="5"/>
  <c r="BW1498" i="5"/>
  <c r="BV776" i="5"/>
  <c r="BW1689" i="5"/>
  <c r="CA1517" i="5"/>
  <c r="BV832" i="5"/>
  <c r="BV768" i="5"/>
  <c r="CP17" i="7"/>
  <c r="BW730" i="5"/>
  <c r="BV839" i="5"/>
  <c r="BW1143" i="5"/>
  <c r="BX1529" i="5" l="1"/>
  <c r="BN1474" i="5"/>
  <c r="BN1482" i="5" s="1"/>
  <c r="AD1281" i="5"/>
  <c r="AD775" i="5"/>
  <c r="BG1574" i="5"/>
  <c r="BX1574" i="5" s="1"/>
  <c r="AZ1272" i="5"/>
  <c r="AD807" i="5"/>
  <c r="AS775" i="5"/>
  <c r="BN775" i="5" s="1"/>
  <c r="BX800" i="5"/>
  <c r="AD803" i="5"/>
  <c r="BW803" i="5" s="1"/>
  <c r="W1582" i="5"/>
  <c r="BV1582" i="5" s="1"/>
  <c r="I1280" i="5"/>
  <c r="AD1280" i="5" s="1"/>
  <c r="BG811" i="5"/>
  <c r="W811" i="5"/>
  <c r="BX1578" i="5"/>
  <c r="CA1578" i="5"/>
  <c r="CB1578" i="5" s="1"/>
  <c r="CA1579" i="5"/>
  <c r="CB1579" i="5" s="1"/>
  <c r="BX454" i="5"/>
  <c r="BN803" i="5"/>
  <c r="I764" i="5"/>
  <c r="AD764" i="5" s="1"/>
  <c r="BX1273" i="5"/>
  <c r="AD827" i="5"/>
  <c r="BG1272" i="5"/>
  <c r="BX775" i="5"/>
  <c r="L31" i="8"/>
  <c r="L49" i="8" s="1"/>
  <c r="L48" i="8"/>
  <c r="Z48" i="8"/>
  <c r="Z31" i="8"/>
  <c r="Z49" i="8" s="1"/>
  <c r="V48" i="8"/>
  <c r="V31" i="8"/>
  <c r="V49" i="8" s="1"/>
  <c r="R48" i="8"/>
  <c r="R31" i="8"/>
  <c r="R49" i="8" s="1"/>
  <c r="N48" i="8"/>
  <c r="N31" i="8"/>
  <c r="N49" i="8" s="1"/>
  <c r="J48" i="8"/>
  <c r="J31" i="8"/>
  <c r="J49" i="8" s="1"/>
  <c r="F48" i="8"/>
  <c r="F31" i="8"/>
  <c r="F49" i="8" s="1"/>
  <c r="T31" i="8"/>
  <c r="T49" i="8" s="1"/>
  <c r="T48" i="8"/>
  <c r="H48" i="8"/>
  <c r="H31" i="8"/>
  <c r="H49" i="8" s="1"/>
  <c r="I1282" i="5"/>
  <c r="AD1282" i="5" s="1"/>
  <c r="BX1282" i="5" s="1"/>
  <c r="AH25" i="8"/>
  <c r="P48" i="8"/>
  <c r="P31" i="8"/>
  <c r="P49" i="8" s="1"/>
  <c r="BX703" i="5"/>
  <c r="BX1576" i="5"/>
  <c r="D31" i="8"/>
  <c r="D48" i="8"/>
  <c r="AH22" i="8"/>
  <c r="I1285" i="5"/>
  <c r="AD1285" i="5" s="1"/>
  <c r="BX1285" i="5" s="1"/>
  <c r="AD772" i="5"/>
  <c r="AS772" i="5"/>
  <c r="BN772" i="5" s="1"/>
  <c r="BW975" i="5"/>
  <c r="CP66" i="7"/>
  <c r="CP28" i="7"/>
  <c r="BV975" i="5"/>
  <c r="CO66" i="7"/>
  <c r="CO28" i="7"/>
  <c r="BN836" i="5"/>
  <c r="BX709" i="5"/>
  <c r="BX1579" i="5"/>
  <c r="BX1274" i="5"/>
  <c r="CA1576" i="5"/>
  <c r="CB1576" i="5" s="1"/>
  <c r="BN807" i="5"/>
  <c r="BN827" i="5"/>
  <c r="BX1275" i="5"/>
  <c r="BX1276" i="5"/>
  <c r="L30" i="6"/>
  <c r="AA29" i="6"/>
  <c r="AA19" i="6"/>
  <c r="AA30" i="6" s="1"/>
  <c r="U18" i="6"/>
  <c r="AG18" i="6" s="1"/>
  <c r="U22" i="6"/>
  <c r="AG22" i="6" s="1"/>
  <c r="N30" i="6"/>
  <c r="I771" i="5"/>
  <c r="Y29" i="6"/>
  <c r="Y19" i="6"/>
  <c r="Y30" i="6" s="1"/>
  <c r="AG21" i="6"/>
  <c r="U17" i="6"/>
  <c r="AG17" i="6" s="1"/>
  <c r="U14" i="6"/>
  <c r="AG14" i="6" s="1"/>
  <c r="U23" i="6"/>
  <c r="AG23" i="6" s="1"/>
  <c r="F30" i="6"/>
  <c r="I765" i="5"/>
  <c r="AE1078" i="5"/>
  <c r="BN1582" i="5"/>
  <c r="AD830" i="5"/>
  <c r="U13" i="6"/>
  <c r="AG13" i="6" s="1"/>
  <c r="AC29" i="6"/>
  <c r="AC19" i="6"/>
  <c r="AC30" i="6" s="1"/>
  <c r="J30" i="6"/>
  <c r="U29" i="6"/>
  <c r="AG12" i="6"/>
  <c r="D19" i="6"/>
  <c r="AE29" i="6"/>
  <c r="AE19" i="6"/>
  <c r="AE30" i="6" s="1"/>
  <c r="U26" i="6"/>
  <c r="AG26" i="6" s="1"/>
  <c r="U25" i="6"/>
  <c r="AG25" i="6" s="1"/>
  <c r="H30" i="6"/>
  <c r="D27" i="6"/>
  <c r="W29" i="6"/>
  <c r="W19" i="6"/>
  <c r="W30" i="6" s="1"/>
  <c r="I773" i="5"/>
  <c r="AU704" i="5"/>
  <c r="BX704" i="5" s="1"/>
  <c r="W455" i="5"/>
  <c r="W457" i="5" s="1"/>
  <c r="BW1256" i="5"/>
  <c r="BW1319" i="5"/>
  <c r="BW1308" i="5"/>
  <c r="AD455" i="5"/>
  <c r="BN455" i="5" s="1"/>
  <c r="BN457" i="5" s="1"/>
  <c r="BV1413" i="5"/>
  <c r="BG1413" i="5"/>
  <c r="BX1413" i="5" s="1"/>
  <c r="BV1689" i="5"/>
  <c r="BZ681" i="5"/>
  <c r="CA681" i="5" s="1"/>
  <c r="BW1389" i="5"/>
  <c r="K706" i="5"/>
  <c r="S477" i="5"/>
  <c r="BV1168" i="5"/>
  <c r="BV940" i="5"/>
  <c r="BV923" i="5"/>
  <c r="K705" i="5"/>
  <c r="W1244" i="5"/>
  <c r="M1017" i="5"/>
  <c r="BV1020" i="5"/>
  <c r="BV1014" i="5"/>
  <c r="W1789" i="5"/>
  <c r="BV1094" i="5"/>
  <c r="W1132" i="5"/>
  <c r="AD1132" i="5"/>
  <c r="BN1132" i="5" s="1"/>
  <c r="S478" i="5"/>
  <c r="BV1406" i="5"/>
  <c r="BV1100" i="5"/>
  <c r="S472" i="5"/>
  <c r="BV1417" i="5"/>
  <c r="BV747" i="5"/>
  <c r="K1778" i="5"/>
  <c r="P837" i="5"/>
  <c r="W1251" i="5"/>
  <c r="BV665" i="5"/>
  <c r="BV653" i="5"/>
  <c r="W1245" i="5"/>
  <c r="W1253" i="5"/>
  <c r="BG796" i="5"/>
  <c r="BN796" i="5" s="1"/>
  <c r="AD836" i="5"/>
  <c r="AU707" i="5"/>
  <c r="BX707" i="5" s="1"/>
  <c r="BI472" i="5"/>
  <c r="BI471" i="5" s="1"/>
  <c r="BI481" i="5" s="1"/>
  <c r="Y471" i="5"/>
  <c r="Y481" i="5" s="1"/>
  <c r="AD1582" i="5"/>
  <c r="BW1582" i="5" s="1"/>
  <c r="BG1560" i="5"/>
  <c r="BX1560" i="5" s="1"/>
  <c r="BV1758" i="5"/>
  <c r="BW1758" i="5" s="1"/>
  <c r="BB1776" i="5"/>
  <c r="X1779" i="5"/>
  <c r="BH1779" i="5" s="1"/>
  <c r="BN838" i="5"/>
  <c r="AD767" i="5"/>
  <c r="AS767" i="5"/>
  <c r="BN767" i="5" s="1"/>
  <c r="P778" i="5"/>
  <c r="AZ761" i="5"/>
  <c r="AZ778" i="5" s="1"/>
  <c r="AS763" i="5"/>
  <c r="BN763" i="5" s="1"/>
  <c r="AD763" i="5"/>
  <c r="AS766" i="5"/>
  <c r="BN766" i="5" s="1"/>
  <c r="AD766" i="5"/>
  <c r="AS774" i="5"/>
  <c r="BN774" i="5" s="1"/>
  <c r="AD774" i="5"/>
  <c r="BX1073" i="5"/>
  <c r="BV1073" i="5"/>
  <c r="W1482" i="5"/>
  <c r="BG1474" i="5"/>
  <c r="BG1482" i="5" s="1"/>
  <c r="CA1474" i="5"/>
  <c r="CA1481" i="5" s="1"/>
  <c r="BX1513" i="5"/>
  <c r="BG554" i="5"/>
  <c r="BX554" i="5" s="1"/>
  <c r="BX1075" i="5"/>
  <c r="BV1075" i="5"/>
  <c r="I778" i="5"/>
  <c r="AD761" i="5"/>
  <c r="AS761" i="5"/>
  <c r="BN835" i="5"/>
  <c r="AD835" i="5"/>
  <c r="BN830" i="5"/>
  <c r="BX830" i="5" s="1"/>
  <c r="AD1283" i="5"/>
  <c r="AD828" i="5"/>
  <c r="M1819" i="5"/>
  <c r="AU1777" i="5"/>
  <c r="BG1559" i="5"/>
  <c r="W1567" i="5"/>
  <c r="BV1567" i="5" s="1"/>
  <c r="BG1373" i="5"/>
  <c r="BG1376" i="5" s="1"/>
  <c r="W1376" i="5"/>
  <c r="BV1376" i="5" s="1"/>
  <c r="BG1561" i="5"/>
  <c r="BX1561" i="5" s="1"/>
  <c r="BG553" i="5"/>
  <c r="BX553" i="5" s="1"/>
  <c r="BG452" i="5"/>
  <c r="BN808" i="5"/>
  <c r="AD808" i="5"/>
  <c r="BV1074" i="5"/>
  <c r="BX1074" i="5"/>
  <c r="AD1520" i="5"/>
  <c r="BW1520" i="5" s="1"/>
  <c r="BN1505" i="5"/>
  <c r="BN1520" i="5" s="1"/>
  <c r="BN805" i="5"/>
  <c r="BN806" i="5"/>
  <c r="AD806" i="5"/>
  <c r="X711" i="5"/>
  <c r="BN804" i="5"/>
  <c r="AD804" i="5"/>
  <c r="BG1494" i="5"/>
  <c r="BX1494" i="5" s="1"/>
  <c r="BG1506" i="5"/>
  <c r="BX1506" i="5" s="1"/>
  <c r="W1535" i="5"/>
  <c r="BW1482" i="5"/>
  <c r="P811" i="5"/>
  <c r="AZ795" i="5"/>
  <c r="AZ811" i="5" s="1"/>
  <c r="BN799" i="5"/>
  <c r="BG1475" i="5"/>
  <c r="BX1475" i="5" s="1"/>
  <c r="BG1514" i="5"/>
  <c r="BX1514" i="5" s="1"/>
  <c r="AZ797" i="5"/>
  <c r="BN797" i="5" s="1"/>
  <c r="AD797" i="5"/>
  <c r="BV1498" i="5"/>
  <c r="AD1787" i="5"/>
  <c r="BW971" i="5"/>
  <c r="AZ1271" i="5"/>
  <c r="BX1271" i="5" s="1"/>
  <c r="AE706" i="5"/>
  <c r="X1778" i="5"/>
  <c r="BV1119" i="5"/>
  <c r="BW1119" i="5"/>
  <c r="BW1112" i="5"/>
  <c r="AE1779" i="5"/>
  <c r="BO1779" i="5" s="1"/>
  <c r="AE500" i="5"/>
  <c r="BV1398" i="5"/>
  <c r="BV1679" i="5"/>
  <c r="BV809" i="5"/>
  <c r="R1779" i="5"/>
  <c r="BB1779" i="5" s="1"/>
  <c r="S500" i="5"/>
  <c r="BZ1757" i="5"/>
  <c r="CA1757" i="5" s="1"/>
  <c r="BV743" i="5"/>
  <c r="W1254" i="5"/>
  <c r="BV862" i="5"/>
  <c r="W1246" i="5"/>
  <c r="BV739" i="5"/>
  <c r="BV886" i="5"/>
  <c r="BV1060" i="5"/>
  <c r="W1243" i="5"/>
  <c r="S479" i="5"/>
  <c r="W1129" i="5"/>
  <c r="AS1280" i="5"/>
  <c r="AZ1284" i="5"/>
  <c r="AS1283" i="5"/>
  <c r="BV1175" i="5"/>
  <c r="R1778" i="5"/>
  <c r="BB1778" i="5" s="1"/>
  <c r="BN1339" i="5"/>
  <c r="W1336" i="5"/>
  <c r="BG1130" i="5"/>
  <c r="BX1130" i="5" s="1"/>
  <c r="AD1284" i="5"/>
  <c r="BG1131" i="5"/>
  <c r="BX1131" i="5" s="1"/>
  <c r="BG1374" i="5"/>
  <c r="BX1374" i="5" s="1"/>
  <c r="BG1252" i="5"/>
  <c r="BX1252" i="5" s="1"/>
  <c r="BG1580" i="5"/>
  <c r="BX1580" i="5" s="1"/>
  <c r="CA1580" i="5"/>
  <c r="CB1580" i="5" s="1"/>
  <c r="AS811" i="5"/>
  <c r="BW795" i="5"/>
  <c r="AE481" i="5"/>
  <c r="BW481" i="5" s="1"/>
  <c r="BW471" i="5"/>
  <c r="BG1562" i="5"/>
  <c r="BX1562" i="5" s="1"/>
  <c r="BG1518" i="5"/>
  <c r="BX1518" i="5" s="1"/>
  <c r="BG1558" i="5"/>
  <c r="BX1558" i="5" s="1"/>
  <c r="AD1788" i="5"/>
  <c r="BN1788" i="5" s="1"/>
  <c r="BG1511" i="5"/>
  <c r="BX1511" i="5" s="1"/>
  <c r="BG1528" i="5"/>
  <c r="BX1528" i="5" s="1"/>
  <c r="BV1545" i="5"/>
  <c r="BG1545" i="5"/>
  <c r="BG1479" i="5"/>
  <c r="BX1479" i="5" s="1"/>
  <c r="BW1635" i="5"/>
  <c r="BN1635" i="5"/>
  <c r="BX1635" i="5" s="1"/>
  <c r="X1776" i="5"/>
  <c r="AD770" i="5"/>
  <c r="BW770" i="5" s="1"/>
  <c r="AS770" i="5"/>
  <c r="BN770" i="5" s="1"/>
  <c r="AD838" i="5"/>
  <c r="M1828" i="5"/>
  <c r="BH1777" i="5"/>
  <c r="W1551" i="5"/>
  <c r="BG1542" i="5"/>
  <c r="BX1542" i="5" s="1"/>
  <c r="BW1535" i="5"/>
  <c r="W778" i="5"/>
  <c r="BG761" i="5"/>
  <c r="BG778" i="5" s="1"/>
  <c r="P841" i="5"/>
  <c r="AZ825" i="5"/>
  <c r="AD825" i="5"/>
  <c r="AZ834" i="5"/>
  <c r="BN834" i="5" s="1"/>
  <c r="AD834" i="5"/>
  <c r="BW834" i="5" s="1"/>
  <c r="W1520" i="5"/>
  <c r="BG1505" i="5"/>
  <c r="BG1548" i="5"/>
  <c r="BX1548" i="5" s="1"/>
  <c r="BV1070" i="5"/>
  <c r="BX1070" i="5"/>
  <c r="BW1545" i="5"/>
  <c r="BN1545" i="5"/>
  <c r="BN1551" i="5" s="1"/>
  <c r="BX1068" i="5"/>
  <c r="M1078" i="5"/>
  <c r="BV1068" i="5"/>
  <c r="AD831" i="5"/>
  <c r="BX831" i="5" s="1"/>
  <c r="BN829" i="5"/>
  <c r="AD829" i="5"/>
  <c r="BG1338" i="5"/>
  <c r="BX1338" i="5" s="1"/>
  <c r="BG1337" i="5"/>
  <c r="BX1337" i="5" s="1"/>
  <c r="BN828" i="5"/>
  <c r="AU624" i="5"/>
  <c r="BX624" i="5" s="1"/>
  <c r="K628" i="5"/>
  <c r="AS826" i="5"/>
  <c r="BN826" i="5" s="1"/>
  <c r="AD826" i="5"/>
  <c r="BG453" i="5"/>
  <c r="BX453" i="5" s="1"/>
  <c r="CA1575" i="5"/>
  <c r="CB1575" i="5" s="1"/>
  <c r="BX1575" i="5"/>
  <c r="AD1567" i="5"/>
  <c r="BW1567" i="5" s="1"/>
  <c r="BN1559" i="5"/>
  <c r="BN1567" i="5" s="1"/>
  <c r="BG1495" i="5"/>
  <c r="BX1495" i="5" s="1"/>
  <c r="BG1515" i="5"/>
  <c r="BX1515" i="5" s="1"/>
  <c r="BG1533" i="5"/>
  <c r="BX1533" i="5" s="1"/>
  <c r="BG1496" i="5"/>
  <c r="BX1496" i="5" s="1"/>
  <c r="BG1516" i="5"/>
  <c r="BX1516" i="5" s="1"/>
  <c r="BG1547" i="5"/>
  <c r="BX1547" i="5" s="1"/>
  <c r="BB706" i="5"/>
  <c r="BB711" i="5" s="1"/>
  <c r="R711" i="5"/>
  <c r="AD762" i="5"/>
  <c r="AS762" i="5"/>
  <c r="BN762" i="5" s="1"/>
  <c r="W841" i="5"/>
  <c r="BG825" i="5"/>
  <c r="BG841" i="5" s="1"/>
  <c r="AD805" i="5"/>
  <c r="BV1076" i="5"/>
  <c r="BX1076" i="5"/>
  <c r="BX1069" i="5"/>
  <c r="BV1069" i="5"/>
  <c r="BV1072" i="5"/>
  <c r="BX1072" i="5"/>
  <c r="BH711" i="5"/>
  <c r="BG1480" i="5"/>
  <c r="BX1480" i="5" s="1"/>
  <c r="BV1517" i="5"/>
  <c r="BG1517" i="5"/>
  <c r="BX1517" i="5" s="1"/>
  <c r="BG1543" i="5"/>
  <c r="BX1543" i="5" s="1"/>
  <c r="BV1636" i="5"/>
  <c r="BG1636" i="5"/>
  <c r="BX1636" i="5" s="1"/>
  <c r="BO1776" i="5"/>
  <c r="BX1527" i="5"/>
  <c r="BG1532" i="5"/>
  <c r="BX1532" i="5" s="1"/>
  <c r="BG1549" i="5"/>
  <c r="BX1549" i="5" s="1"/>
  <c r="CB1474" i="5"/>
  <c r="CB1481" i="5" s="1"/>
  <c r="AD799" i="5"/>
  <c r="AD1551" i="5"/>
  <c r="BW1551" i="5" s="1"/>
  <c r="CO17" i="7"/>
  <c r="W1788" i="5"/>
  <c r="X1775" i="5"/>
  <c r="BW1278" i="5"/>
  <c r="BV812" i="5"/>
  <c r="BV779" i="5"/>
  <c r="BV842" i="5"/>
  <c r="K1775" i="5"/>
  <c r="BX836" i="5" l="1"/>
  <c r="BX803" i="5"/>
  <c r="BX807" i="5"/>
  <c r="AD811" i="5"/>
  <c r="BW811" i="5" s="1"/>
  <c r="BX838" i="5"/>
  <c r="BX1505" i="5"/>
  <c r="BX1284" i="5"/>
  <c r="AS764" i="5"/>
  <c r="BN764" i="5" s="1"/>
  <c r="BX835" i="5"/>
  <c r="BX827" i="5"/>
  <c r="K1776" i="5"/>
  <c r="M1818" i="5" s="1"/>
  <c r="BX762" i="5"/>
  <c r="BX826" i="5"/>
  <c r="BG1582" i="5"/>
  <c r="AD457" i="5"/>
  <c r="BW457" i="5" s="1"/>
  <c r="U19" i="6"/>
  <c r="BX797" i="5"/>
  <c r="BX806" i="5"/>
  <c r="BX772" i="5"/>
  <c r="BX767" i="5"/>
  <c r="P19" i="6"/>
  <c r="AH31" i="8"/>
  <c r="P27" i="6"/>
  <c r="AS1281" i="5"/>
  <c r="D49" i="8"/>
  <c r="BX799" i="5"/>
  <c r="AE1781" i="5"/>
  <c r="BX804" i="5"/>
  <c r="BX808" i="5"/>
  <c r="D30" i="6"/>
  <c r="AG27" i="6"/>
  <c r="AD771" i="5"/>
  <c r="AS771" i="5"/>
  <c r="BN771" i="5" s="1"/>
  <c r="BV1757" i="5"/>
  <c r="BW1757" i="5" s="1"/>
  <c r="BO1781" i="5"/>
  <c r="BX805" i="5"/>
  <c r="BX828" i="5"/>
  <c r="BX829" i="5"/>
  <c r="BX1777" i="5"/>
  <c r="BX1545" i="5"/>
  <c r="BN795" i="5"/>
  <c r="BN811" i="5" s="1"/>
  <c r="BX1283" i="5"/>
  <c r="BX1280" i="5"/>
  <c r="BX774" i="5"/>
  <c r="BX766" i="5"/>
  <c r="BX763" i="5"/>
  <c r="BX796" i="5"/>
  <c r="AD773" i="5"/>
  <c r="AS773" i="5"/>
  <c r="BN773" i="5" s="1"/>
  <c r="AG29" i="6"/>
  <c r="AG19" i="6"/>
  <c r="AD765" i="5"/>
  <c r="AS765" i="5"/>
  <c r="BN765" i="5" s="1"/>
  <c r="U27" i="6"/>
  <c r="BG1788" i="5"/>
  <c r="BX1788" i="5" s="1"/>
  <c r="M1817" i="5"/>
  <c r="AU1775" i="5"/>
  <c r="S1071" i="5"/>
  <c r="BV1319" i="5"/>
  <c r="BV1330" i="5"/>
  <c r="BV1308" i="5"/>
  <c r="W1787" i="5"/>
  <c r="BV971" i="5"/>
  <c r="BV476" i="5"/>
  <c r="K1779" i="5"/>
  <c r="BV1112" i="5"/>
  <c r="AU628" i="5"/>
  <c r="AU638" i="5" s="1"/>
  <c r="BX638" i="5" s="1"/>
  <c r="BG1520" i="5"/>
  <c r="BV1520" i="5"/>
  <c r="BX1520" i="5"/>
  <c r="BX834" i="5"/>
  <c r="AZ841" i="5"/>
  <c r="BN825" i="5"/>
  <c r="BN841" i="5" s="1"/>
  <c r="AE1828" i="5"/>
  <c r="AW1828" i="5"/>
  <c r="BO1828" i="5" s="1"/>
  <c r="M1827" i="5"/>
  <c r="BH1776" i="5"/>
  <c r="S499" i="5"/>
  <c r="S502" i="5"/>
  <c r="BC500" i="5"/>
  <c r="AE499" i="5"/>
  <c r="BW499" i="5" s="1"/>
  <c r="AE502" i="5"/>
  <c r="BO500" i="5"/>
  <c r="M1829" i="5"/>
  <c r="BH1778" i="5"/>
  <c r="AD1791" i="5"/>
  <c r="BW1851" i="5" s="1"/>
  <c r="BN1787" i="5"/>
  <c r="BN1791" i="5" s="1"/>
  <c r="BV457" i="5"/>
  <c r="BX1559" i="5"/>
  <c r="AS778" i="5"/>
  <c r="BN761" i="5"/>
  <c r="BN778" i="5" s="1"/>
  <c r="BX1482" i="5"/>
  <c r="BV1482" i="5"/>
  <c r="BB1781" i="5"/>
  <c r="BG1253" i="5"/>
  <c r="BX1253" i="5" s="1"/>
  <c r="BG1245" i="5"/>
  <c r="BX1245" i="5" s="1"/>
  <c r="M472" i="5"/>
  <c r="S471" i="5"/>
  <c r="BC472" i="5"/>
  <c r="BC471" i="5" s="1"/>
  <c r="BC481" i="5" s="1"/>
  <c r="BC478" i="5"/>
  <c r="BX478" i="5" s="1"/>
  <c r="BG1789" i="5"/>
  <c r="BX1789" i="5" s="1"/>
  <c r="AW1017" i="5"/>
  <c r="BX1017" i="5" s="1"/>
  <c r="BX795" i="5"/>
  <c r="CA1755" i="5"/>
  <c r="CA1756" i="5" s="1"/>
  <c r="BV1762" i="5"/>
  <c r="BW1762" i="5"/>
  <c r="M1826" i="5"/>
  <c r="X1781" i="5"/>
  <c r="BH1775" i="5"/>
  <c r="BV1256" i="5"/>
  <c r="BV1248" i="5"/>
  <c r="M1842" i="5"/>
  <c r="BV751" i="5"/>
  <c r="BV730" i="5"/>
  <c r="BV628" i="5"/>
  <c r="BW825" i="5"/>
  <c r="AD841" i="5"/>
  <c r="BW841" i="5" s="1"/>
  <c r="BG1551" i="5"/>
  <c r="BX1551" i="5" s="1"/>
  <c r="BV1551" i="5"/>
  <c r="BX770" i="5"/>
  <c r="W1339" i="5"/>
  <c r="BW1336" i="5"/>
  <c r="BG1336" i="5"/>
  <c r="BX1336" i="5" s="1"/>
  <c r="W1143" i="5"/>
  <c r="BG1129" i="5"/>
  <c r="BC479" i="5"/>
  <c r="BX479" i="5" s="1"/>
  <c r="BG1243" i="5"/>
  <c r="BX1243" i="5" s="1"/>
  <c r="BG1246" i="5"/>
  <c r="BX1246" i="5" s="1"/>
  <c r="BG1254" i="5"/>
  <c r="BX1254" i="5" s="1"/>
  <c r="BO706" i="5"/>
  <c r="BO711" i="5" s="1"/>
  <c r="AE711" i="5"/>
  <c r="BW711" i="5" s="1"/>
  <c r="BX1535" i="5"/>
  <c r="BV1535" i="5"/>
  <c r="BX452" i="5"/>
  <c r="BX1373" i="5"/>
  <c r="BG1567" i="5"/>
  <c r="AW1819" i="5"/>
  <c r="BO1819" i="5" s="1"/>
  <c r="AE1819" i="5"/>
  <c r="AD778" i="5"/>
  <c r="BW778" i="5" s="1"/>
  <c r="BW761" i="5"/>
  <c r="BX1474" i="5"/>
  <c r="R1781" i="5"/>
  <c r="BG1251" i="5"/>
  <c r="BX1251" i="5" s="1"/>
  <c r="AZ837" i="5"/>
  <c r="BN837" i="5" s="1"/>
  <c r="AD837" i="5"/>
  <c r="M1820" i="5"/>
  <c r="AU1778" i="5"/>
  <c r="BG1132" i="5"/>
  <c r="BX1132" i="5" s="1"/>
  <c r="BG1244" i="5"/>
  <c r="BX1244" i="5" s="1"/>
  <c r="AU705" i="5"/>
  <c r="BX705" i="5" s="1"/>
  <c r="BC477" i="5"/>
  <c r="BX477" i="5" s="1"/>
  <c r="AU706" i="5"/>
  <c r="BX706" i="5" s="1"/>
  <c r="BG455" i="5"/>
  <c r="BG457" i="5" s="1"/>
  <c r="K711" i="5"/>
  <c r="BX811" i="5" l="1"/>
  <c r="BX764" i="5"/>
  <c r="BX457" i="5"/>
  <c r="AU1776" i="5"/>
  <c r="AG30" i="6"/>
  <c r="U30" i="6"/>
  <c r="P30" i="6"/>
  <c r="BX1778" i="5"/>
  <c r="BX628" i="5"/>
  <c r="BX761" i="5"/>
  <c r="CA1762" i="5"/>
  <c r="BX765" i="5"/>
  <c r="BX773" i="5"/>
  <c r="BX837" i="5"/>
  <c r="BX1819" i="5"/>
  <c r="BX1776" i="5"/>
  <c r="BX771" i="5"/>
  <c r="BX455" i="5"/>
  <c r="BX841" i="5"/>
  <c r="BX778" i="5"/>
  <c r="BX1775" i="5"/>
  <c r="BV1287" i="5"/>
  <c r="M1840" i="5"/>
  <c r="BV711" i="5"/>
  <c r="BG1143" i="5"/>
  <c r="BG1149" i="5" s="1"/>
  <c r="BX1149" i="5" s="1"/>
  <c r="BV1143" i="5"/>
  <c r="AW472" i="5"/>
  <c r="AW471" i="5" s="1"/>
  <c r="AW481" i="5" s="1"/>
  <c r="M471" i="5"/>
  <c r="BO499" i="5"/>
  <c r="BO502" i="5"/>
  <c r="BX500" i="5"/>
  <c r="AW1827" i="5"/>
  <c r="BO1827" i="5" s="1"/>
  <c r="AE1827" i="5"/>
  <c r="Y1821" i="5"/>
  <c r="AU1779" i="5"/>
  <c r="BX1779" i="5" s="1"/>
  <c r="W1791" i="5"/>
  <c r="BG1787" i="5"/>
  <c r="BG1791" i="5" s="1"/>
  <c r="AE1818" i="5"/>
  <c r="AW1818" i="5"/>
  <c r="BO1818" i="5" s="1"/>
  <c r="AW1817" i="5"/>
  <c r="AE1817" i="5"/>
  <c r="M1823" i="5"/>
  <c r="AU711" i="5"/>
  <c r="BX711" i="5" s="1"/>
  <c r="AW1820" i="5"/>
  <c r="BO1820" i="5" s="1"/>
  <c r="AE1820" i="5"/>
  <c r="BX1129" i="5"/>
  <c r="BV1339" i="5"/>
  <c r="BG1339" i="5"/>
  <c r="BX1339" i="5" s="1"/>
  <c r="M1841" i="5"/>
  <c r="AE1842" i="5"/>
  <c r="AW1842" i="5"/>
  <c r="BO1842" i="5" s="1"/>
  <c r="BH1781" i="5"/>
  <c r="M1832" i="5"/>
  <c r="AE1826" i="5"/>
  <c r="AW1826" i="5"/>
  <c r="S481" i="5"/>
  <c r="BV481" i="5" s="1"/>
  <c r="BV471" i="5"/>
  <c r="AW1829" i="5"/>
  <c r="BO1829" i="5" s="1"/>
  <c r="AE1829" i="5"/>
  <c r="BC499" i="5"/>
  <c r="BC502" i="5"/>
  <c r="BV499" i="5"/>
  <c r="BX1828" i="5"/>
  <c r="S1078" i="5"/>
  <c r="BX1078" i="5" s="1"/>
  <c r="BX1071" i="5"/>
  <c r="BV1071" i="5"/>
  <c r="K1781" i="5"/>
  <c r="BX825" i="5"/>
  <c r="AU1781" i="5" l="1"/>
  <c r="BX502" i="5"/>
  <c r="BX499" i="5"/>
  <c r="BX1842" i="5"/>
  <c r="BX1781" i="5"/>
  <c r="BX1820" i="5"/>
  <c r="BX1827" i="5"/>
  <c r="BX1829" i="5"/>
  <c r="BX1818" i="5"/>
  <c r="BX472" i="5"/>
  <c r="BX1143" i="5"/>
  <c r="W1642" i="5"/>
  <c r="W1618" i="5"/>
  <c r="AW1832" i="5"/>
  <c r="BO1826" i="5"/>
  <c r="BO1832" i="5" s="1"/>
  <c r="AE1832" i="5"/>
  <c r="BW1832" i="5" s="1"/>
  <c r="AW1841" i="5"/>
  <c r="BO1841" i="5" s="1"/>
  <c r="AE1841" i="5"/>
  <c r="BX1787" i="5"/>
  <c r="BX1791" i="5"/>
  <c r="AE1840" i="5"/>
  <c r="M1844" i="5"/>
  <c r="AW1840" i="5"/>
  <c r="AW1823" i="5"/>
  <c r="BO1817" i="5"/>
  <c r="AE1821" i="5"/>
  <c r="AE1823" i="5" s="1"/>
  <c r="BV1823" i="5" s="1"/>
  <c r="BI1821" i="5"/>
  <c r="Y1823" i="5"/>
  <c r="M481" i="5"/>
  <c r="BX481" i="5" s="1"/>
  <c r="BX471" i="5"/>
  <c r="AE1844" i="5" l="1"/>
  <c r="BV1844" i="5" s="1"/>
  <c r="BX1832" i="5"/>
  <c r="BX1826" i="5"/>
  <c r="BX1841" i="5"/>
  <c r="W1712" i="5"/>
  <c r="W1737" i="5"/>
  <c r="BN1294" i="5"/>
  <c r="AD1294" i="5"/>
  <c r="CA1760" i="5"/>
  <c r="BI1823" i="5"/>
  <c r="BO1821" i="5"/>
  <c r="BX1821" i="5" s="1"/>
  <c r="BO1840" i="5"/>
  <c r="AW1844" i="5"/>
  <c r="BG1642" i="5"/>
  <c r="AD1642" i="5"/>
  <c r="BN1642" i="5" s="1"/>
  <c r="AD1618" i="5"/>
  <c r="BX1817" i="5"/>
  <c r="W1628" i="5"/>
  <c r="BG1618" i="5"/>
  <c r="BG1628" i="5" s="1"/>
  <c r="BG1633" i="5" s="1"/>
  <c r="BG1639" i="5" s="1"/>
  <c r="BG1662" i="5" s="1"/>
  <c r="BO1823" i="5" l="1"/>
  <c r="BX1823" i="5" s="1"/>
  <c r="AD1628" i="5"/>
  <c r="AD1630" i="5" s="1"/>
  <c r="BN1618" i="5"/>
  <c r="BN1628" i="5" s="1"/>
  <c r="BN1633" i="5" s="1"/>
  <c r="BN1639" i="5" s="1"/>
  <c r="BN1662" i="5" s="1"/>
  <c r="BX1642" i="5"/>
  <c r="BO1844" i="5"/>
  <c r="BX1844" i="5" s="1"/>
  <c r="BX1840" i="5"/>
  <c r="BN1296" i="5"/>
  <c r="AD1296" i="5"/>
  <c r="BN1295" i="5"/>
  <c r="AD1295" i="5"/>
  <c r="BX1294" i="5"/>
  <c r="W1742" i="5"/>
  <c r="BG1737" i="5"/>
  <c r="AD1737" i="5"/>
  <c r="AD1712" i="5"/>
  <c r="W1630" i="5"/>
  <c r="BG1712" i="5"/>
  <c r="W1717" i="5"/>
  <c r="BX1628" i="5" l="1"/>
  <c r="BX1295" i="5"/>
  <c r="BG1717" i="5"/>
  <c r="BG1720" i="5" s="1"/>
  <c r="W1720" i="5"/>
  <c r="W1633" i="5"/>
  <c r="BG1630" i="5"/>
  <c r="BN1737" i="5"/>
  <c r="BX1737" i="5" s="1"/>
  <c r="AD1742" i="5"/>
  <c r="BG1742" i="5"/>
  <c r="BG1746" i="5" s="1"/>
  <c r="W1746" i="5"/>
  <c r="BX1296" i="5"/>
  <c r="AD1633" i="5"/>
  <c r="BN1630" i="5"/>
  <c r="AD1717" i="5"/>
  <c r="BN1712" i="5"/>
  <c r="BX1712" i="5" s="1"/>
  <c r="BX1618" i="5"/>
  <c r="BX1630" i="5" l="1"/>
  <c r="BN1717" i="5"/>
  <c r="BN1720" i="5" s="1"/>
  <c r="AD1720" i="5"/>
  <c r="BW1720" i="5" s="1"/>
  <c r="BW1633" i="5"/>
  <c r="AD1639" i="5"/>
  <c r="AD1662" i="5" s="1"/>
  <c r="BV1746" i="5"/>
  <c r="BV1720" i="5"/>
  <c r="AD1746" i="5"/>
  <c r="BW1746" i="5" s="1"/>
  <c r="BN1742" i="5"/>
  <c r="W1639" i="5"/>
  <c r="BX1633" i="5"/>
  <c r="BV1633" i="5"/>
  <c r="BX1720" i="5" l="1"/>
  <c r="BX1717" i="5"/>
  <c r="BB25" i="8"/>
  <c r="BF25" i="8" s="1"/>
  <c r="BN1281" i="5" s="1"/>
  <c r="BX1281" i="5" s="1"/>
  <c r="BB16" i="8"/>
  <c r="X22" i="8"/>
  <c r="X31" i="8" s="1"/>
  <c r="AB22" i="8"/>
  <c r="BV1639" i="5"/>
  <c r="BX1639" i="5"/>
  <c r="W1662" i="5"/>
  <c r="BN1746" i="5"/>
  <c r="BX1746" i="5" s="1"/>
  <c r="BX1742" i="5"/>
  <c r="X48" i="8" l="1"/>
  <c r="AB48" i="8" s="1"/>
  <c r="X49" i="8"/>
  <c r="AB49" i="8" s="1"/>
  <c r="AB31" i="8"/>
  <c r="BB22" i="8"/>
  <c r="BB31" i="8" s="1"/>
  <c r="BF16" i="8"/>
  <c r="BF22" i="8" s="1"/>
  <c r="BF31" i="8" s="1"/>
  <c r="BX1662" i="5"/>
  <c r="BV1662" i="5"/>
  <c r="BN1272" i="5" l="1"/>
  <c r="BX1272" i="5" s="1"/>
  <c r="D11" i="4" l="1"/>
  <c r="H11" i="4"/>
  <c r="G11" i="4" s="1"/>
  <c r="D12" i="4"/>
  <c r="H12" i="4"/>
  <c r="G12" i="4" s="1"/>
  <c r="E13" i="4"/>
  <c r="F13" i="4"/>
  <c r="D13" i="4" s="1"/>
  <c r="D14" i="4"/>
  <c r="H14" i="4"/>
  <c r="G14" i="4" s="1"/>
  <c r="E15" i="4"/>
  <c r="F15" i="4"/>
  <c r="D15" i="4" s="1"/>
  <c r="I15" i="4"/>
  <c r="D16" i="4"/>
  <c r="H16" i="4"/>
  <c r="G16" i="4" s="1"/>
  <c r="D17" i="4"/>
  <c r="H17" i="4"/>
  <c r="G17" i="4" s="1"/>
  <c r="E18" i="4"/>
  <c r="D18" i="4" s="1"/>
  <c r="H18" i="4"/>
  <c r="G18" i="4" s="1"/>
  <c r="D19" i="4"/>
  <c r="H19" i="4"/>
  <c r="G19" i="4" s="1"/>
  <c r="D20" i="4"/>
  <c r="H20" i="4"/>
  <c r="G20" i="4" s="1"/>
  <c r="E21" i="4"/>
  <c r="I21" i="4"/>
  <c r="I25" i="4" s="1"/>
  <c r="H22" i="4"/>
  <c r="G22" i="4" s="1"/>
  <c r="H23" i="4"/>
  <c r="G23" i="4" s="1"/>
  <c r="F24" i="4"/>
  <c r="H26" i="4"/>
  <c r="G26" i="4" s="1"/>
  <c r="D27" i="4"/>
  <c r="H27" i="4"/>
  <c r="G27" i="4" s="1"/>
  <c r="F21" i="4" l="1"/>
  <c r="E25" i="4"/>
  <c r="E28" i="4" s="1"/>
  <c r="I28" i="4"/>
  <c r="H24" i="4"/>
  <c r="G24" i="4" s="1"/>
  <c r="H13" i="4"/>
  <c r="D21" i="4" l="1"/>
  <c r="F25" i="4"/>
  <c r="H15" i="4"/>
  <c r="G13" i="4"/>
  <c r="I29" i="4"/>
  <c r="D25" i="4" l="1"/>
  <c r="F28" i="4"/>
  <c r="H21" i="4"/>
  <c r="G15" i="4"/>
  <c r="F29" i="4" l="1"/>
  <c r="D28" i="4"/>
  <c r="H25" i="4"/>
  <c r="G21" i="4"/>
  <c r="H28" i="4" l="1"/>
  <c r="G25" i="4"/>
  <c r="H29" i="4" l="1"/>
  <c r="G29" i="4" s="1"/>
  <c r="G28" i="4"/>
  <c r="BW172" i="1" l="1"/>
  <c r="AL172" i="1"/>
  <c r="A172" i="1"/>
  <c r="BW171" i="1"/>
  <c r="BK171" i="1"/>
  <c r="AX171" i="1"/>
  <c r="AL171" i="1"/>
  <c r="Z171" i="1"/>
  <c r="M171" i="1"/>
  <c r="A171" i="1"/>
  <c r="BW170" i="1"/>
  <c r="BK170" i="1"/>
  <c r="AX170" i="1"/>
  <c r="AL170" i="1"/>
  <c r="Z170" i="1"/>
  <c r="M170" i="1"/>
  <c r="A170" i="1"/>
  <c r="BW169" i="1"/>
  <c r="BW168" i="1"/>
  <c r="BW167" i="1"/>
  <c r="BW166" i="1"/>
  <c r="BW165" i="1"/>
  <c r="BW164" i="1"/>
  <c r="BW163" i="1"/>
  <c r="BW161" i="1"/>
  <c r="BW160" i="1"/>
  <c r="BW159" i="1"/>
  <c r="BW158" i="1"/>
  <c r="BW156" i="1"/>
  <c r="BW155" i="1"/>
  <c r="BO155" i="1"/>
  <c r="BC155" i="1"/>
  <c r="AO155" i="1"/>
  <c r="AD155" i="1"/>
  <c r="R155" i="1"/>
  <c r="D155" i="1"/>
  <c r="BC152" i="1"/>
  <c r="AL152" i="1"/>
  <c r="BY151" i="1"/>
  <c r="BX151" i="1"/>
  <c r="BC151" i="1"/>
  <c r="AL151" i="1"/>
  <c r="BC150" i="1"/>
  <c r="AM150" i="1"/>
  <c r="AL150" i="1"/>
  <c r="B150" i="1"/>
  <c r="AM149" i="1"/>
  <c r="AL149" i="1"/>
  <c r="B149" i="1"/>
  <c r="BC148" i="1"/>
  <c r="AL148" i="1"/>
  <c r="AD148" i="1"/>
  <c r="BO148" i="1" s="1"/>
  <c r="V148" i="1"/>
  <c r="BG148" i="1" s="1"/>
  <c r="BX148" i="1" s="1"/>
  <c r="BY147" i="1"/>
  <c r="BX147" i="1"/>
  <c r="BC147" i="1"/>
  <c r="AL147" i="1"/>
  <c r="BC146" i="1"/>
  <c r="AL146" i="1"/>
  <c r="AL145" i="1"/>
  <c r="AL144" i="1"/>
  <c r="BC143" i="1"/>
  <c r="AL143" i="1"/>
  <c r="BC142" i="1"/>
  <c r="AL142" i="1"/>
  <c r="BC141" i="1"/>
  <c r="AL141" i="1"/>
  <c r="BC140" i="1"/>
  <c r="AL140" i="1"/>
  <c r="AL139" i="1"/>
  <c r="AL138" i="1"/>
  <c r="BC137" i="1"/>
  <c r="AL137" i="1"/>
  <c r="BC136" i="1"/>
  <c r="AL136" i="1"/>
  <c r="BC135" i="1"/>
  <c r="AL135" i="1"/>
  <c r="BC134" i="1"/>
  <c r="AL134" i="1"/>
  <c r="AL133" i="1"/>
  <c r="AL132" i="1"/>
  <c r="BC131" i="1"/>
  <c r="AL131" i="1"/>
  <c r="AL130" i="1"/>
  <c r="BY129" i="1"/>
  <c r="BX129" i="1"/>
  <c r="BC129" i="1"/>
  <c r="AL129" i="1"/>
  <c r="BC128" i="1"/>
  <c r="AL128" i="1"/>
  <c r="BY127" i="1"/>
  <c r="BX127" i="1"/>
  <c r="BC127" i="1"/>
  <c r="AL127" i="1"/>
  <c r="AM126" i="1"/>
  <c r="AL126" i="1"/>
  <c r="B126" i="1"/>
  <c r="AM125" i="1"/>
  <c r="AL125" i="1"/>
  <c r="B125" i="1"/>
  <c r="AM124" i="1"/>
  <c r="AL124" i="1"/>
  <c r="B124" i="1"/>
  <c r="AM123" i="1"/>
  <c r="AL123" i="1"/>
  <c r="B123" i="1"/>
  <c r="AM122" i="1"/>
  <c r="AL122" i="1"/>
  <c r="B122" i="1"/>
  <c r="AM121" i="1"/>
  <c r="AL121" i="1"/>
  <c r="B121" i="1"/>
  <c r="AM120" i="1"/>
  <c r="AL120" i="1"/>
  <c r="B120" i="1"/>
  <c r="AM119" i="1"/>
  <c r="AL119" i="1"/>
  <c r="B119" i="1"/>
  <c r="AM118" i="1"/>
  <c r="AL118" i="1"/>
  <c r="B118" i="1"/>
  <c r="BC117" i="1"/>
  <c r="AM117" i="1"/>
  <c r="AL117" i="1"/>
  <c r="B117" i="1"/>
  <c r="AM116" i="1"/>
  <c r="AL116" i="1"/>
  <c r="B116" i="1"/>
  <c r="AM115" i="1"/>
  <c r="AL115" i="1"/>
  <c r="B115" i="1"/>
  <c r="AM114" i="1"/>
  <c r="AL114" i="1"/>
  <c r="B114" i="1"/>
  <c r="BC113" i="1"/>
  <c r="AL113" i="1"/>
  <c r="AD113" i="1"/>
  <c r="BO113" i="1" s="1"/>
  <c r="BY113" i="1" s="1"/>
  <c r="V113" i="1"/>
  <c r="BY112" i="1"/>
  <c r="BX112" i="1"/>
  <c r="BC112" i="1"/>
  <c r="AL112" i="1"/>
  <c r="BC111" i="1"/>
  <c r="AL111" i="1"/>
  <c r="AL110" i="1"/>
  <c r="BC109" i="1"/>
  <c r="AL109" i="1"/>
  <c r="AL108" i="1"/>
  <c r="AL107" i="1"/>
  <c r="AL106" i="1"/>
  <c r="AL105" i="1"/>
  <c r="BC104" i="1"/>
  <c r="AL104" i="1"/>
  <c r="AL103" i="1"/>
  <c r="AL102" i="1"/>
  <c r="BC101" i="1"/>
  <c r="AL101" i="1"/>
  <c r="AL100" i="1"/>
  <c r="AL99" i="1"/>
  <c r="AL98" i="1"/>
  <c r="BC97" i="1"/>
  <c r="AL97" i="1"/>
  <c r="BY96" i="1"/>
  <c r="BX96" i="1"/>
  <c r="BC96" i="1"/>
  <c r="AL96" i="1"/>
  <c r="BC95" i="1"/>
  <c r="AL95" i="1"/>
  <c r="BY94" i="1"/>
  <c r="BX94" i="1"/>
  <c r="AL94" i="1"/>
  <c r="AD93" i="1"/>
  <c r="BY93" i="1" s="1"/>
  <c r="V93" i="1"/>
  <c r="BX93" i="1" s="1"/>
  <c r="BC92" i="1"/>
  <c r="AL92" i="1"/>
  <c r="R92" i="1"/>
  <c r="A92" i="1"/>
  <c r="BY91" i="1"/>
  <c r="BX91" i="1"/>
  <c r="BY90" i="1"/>
  <c r="BX90" i="1"/>
  <c r="BY89" i="1"/>
  <c r="BX89" i="1"/>
  <c r="BY88" i="1"/>
  <c r="BX88" i="1"/>
  <c r="BC87" i="1"/>
  <c r="AL87" i="1"/>
  <c r="AL86" i="1"/>
  <c r="AL85" i="1"/>
  <c r="AL84" i="1"/>
  <c r="AL83" i="1"/>
  <c r="BC82" i="1"/>
  <c r="AL82" i="1"/>
  <c r="BY81" i="1"/>
  <c r="BX81" i="1"/>
  <c r="BC81" i="1"/>
  <c r="AL81" i="1"/>
  <c r="AL80" i="1"/>
  <c r="AL79" i="1"/>
  <c r="AL78" i="1"/>
  <c r="AM77" i="1"/>
  <c r="AL77" i="1"/>
  <c r="B77" i="1"/>
  <c r="AM76" i="1"/>
  <c r="AL76" i="1"/>
  <c r="B76" i="1"/>
  <c r="AL75" i="1"/>
  <c r="BY74" i="1"/>
  <c r="BX74" i="1"/>
  <c r="BC74" i="1"/>
  <c r="AL74" i="1"/>
  <c r="AL73" i="1"/>
  <c r="AM72" i="1"/>
  <c r="AL72" i="1"/>
  <c r="B72" i="1"/>
  <c r="AL71" i="1"/>
  <c r="BY70" i="1"/>
  <c r="BX70" i="1"/>
  <c r="BC69" i="1"/>
  <c r="AL69" i="1"/>
  <c r="BC68" i="1"/>
  <c r="AL68" i="1"/>
  <c r="AL67" i="1"/>
  <c r="AD67" i="1"/>
  <c r="BO67" i="1" s="1"/>
  <c r="BY67" i="1" s="1"/>
  <c r="V67" i="1"/>
  <c r="BY66" i="1"/>
  <c r="BX66" i="1"/>
  <c r="BC66" i="1"/>
  <c r="AL66" i="1"/>
  <c r="BC65" i="1"/>
  <c r="AL65" i="1"/>
  <c r="BC64" i="1"/>
  <c r="AL64" i="1"/>
  <c r="AL63" i="1"/>
  <c r="BC62" i="1"/>
  <c r="AL62" i="1"/>
  <c r="BC61" i="1"/>
  <c r="AL61" i="1"/>
  <c r="AL60" i="1"/>
  <c r="AD60" i="1"/>
  <c r="BO60" i="1" s="1"/>
  <c r="V60" i="1"/>
  <c r="BC59" i="1"/>
  <c r="AL59" i="1"/>
  <c r="BC58" i="1"/>
  <c r="AL58" i="1"/>
  <c r="AL57" i="1"/>
  <c r="BC56" i="1"/>
  <c r="AL56" i="1"/>
  <c r="BY55" i="1"/>
  <c r="BX55" i="1"/>
  <c r="BC55" i="1"/>
  <c r="AL55" i="1"/>
  <c r="BC54" i="1"/>
  <c r="AL54" i="1"/>
  <c r="AL53" i="1"/>
  <c r="AL52" i="1"/>
  <c r="AM51" i="1"/>
  <c r="AL51" i="1"/>
  <c r="B51" i="1"/>
  <c r="BC50" i="1"/>
  <c r="AM50" i="1"/>
  <c r="AL50" i="1"/>
  <c r="B50" i="1"/>
  <c r="AM49" i="1"/>
  <c r="AL49" i="1"/>
  <c r="B49" i="1"/>
  <c r="AM48" i="1"/>
  <c r="AL48" i="1"/>
  <c r="B48" i="1"/>
  <c r="BC47" i="1"/>
  <c r="AL47" i="1"/>
  <c r="BY46" i="1"/>
  <c r="BX46" i="1"/>
  <c r="BC46" i="1"/>
  <c r="AL46" i="1"/>
  <c r="BC45" i="1"/>
  <c r="AL45" i="1"/>
  <c r="BY44" i="1"/>
  <c r="BX44" i="1"/>
  <c r="BC44" i="1"/>
  <c r="AL44" i="1"/>
  <c r="AL43" i="1"/>
  <c r="BC42" i="1"/>
  <c r="AL42" i="1"/>
  <c r="AL41" i="1"/>
  <c r="BC40" i="1"/>
  <c r="AL40" i="1"/>
  <c r="AM39" i="1"/>
  <c r="AL39" i="1"/>
  <c r="B39" i="1"/>
  <c r="BC38" i="1"/>
  <c r="AL38" i="1"/>
  <c r="BY37" i="1"/>
  <c r="BX37" i="1"/>
  <c r="BC37" i="1"/>
  <c r="AL37" i="1"/>
  <c r="BC36" i="1"/>
  <c r="AL36" i="1"/>
  <c r="BC35" i="1"/>
  <c r="AL35" i="1"/>
  <c r="AL34" i="1"/>
  <c r="BY33" i="1"/>
  <c r="BX33" i="1"/>
  <c r="BC33" i="1"/>
  <c r="AL33" i="1"/>
  <c r="AL32" i="1"/>
  <c r="BW31" i="1"/>
  <c r="BO31" i="1"/>
  <c r="BY31" i="1" s="1"/>
  <c r="BG31" i="1"/>
  <c r="BX31" i="1" s="1"/>
  <c r="BC31" i="1"/>
  <c r="AL31" i="1"/>
  <c r="BW30" i="1"/>
  <c r="BO30" i="1"/>
  <c r="BY30" i="1" s="1"/>
  <c r="BG30" i="1"/>
  <c r="BX30" i="1" s="1"/>
  <c r="AL30" i="1"/>
  <c r="BW29" i="1"/>
  <c r="BO29" i="1"/>
  <c r="BY29" i="1" s="1"/>
  <c r="BG29" i="1"/>
  <c r="BX29" i="1" s="1"/>
  <c r="AL29" i="1"/>
  <c r="AL28" i="1"/>
  <c r="AL27" i="1"/>
  <c r="BW26" i="1"/>
  <c r="BO26" i="1"/>
  <c r="BY26" i="1" s="1"/>
  <c r="BG26" i="1"/>
  <c r="BX26" i="1" s="1"/>
  <c r="AL26" i="1"/>
  <c r="BW25" i="1"/>
  <c r="BO25" i="1"/>
  <c r="BY25" i="1" s="1"/>
  <c r="BG25" i="1"/>
  <c r="BX25" i="1" s="1"/>
  <c r="AL25" i="1"/>
  <c r="BC24" i="1"/>
  <c r="AL24" i="1"/>
  <c r="AD24" i="1"/>
  <c r="BO24" i="1" s="1"/>
  <c r="V24" i="1"/>
  <c r="BY23" i="1"/>
  <c r="BX23" i="1"/>
  <c r="AL23" i="1"/>
  <c r="BW22" i="1"/>
  <c r="BO22" i="1"/>
  <c r="BY22" i="1" s="1"/>
  <c r="BG22" i="1"/>
  <c r="BX22" i="1" s="1"/>
  <c r="BC22" i="1"/>
  <c r="AM22" i="1"/>
  <c r="AL22" i="1"/>
  <c r="B22" i="1"/>
  <c r="AM21" i="1"/>
  <c r="AL21" i="1"/>
  <c r="B21" i="1"/>
  <c r="BC20" i="1"/>
  <c r="AM20" i="1"/>
  <c r="AL20" i="1"/>
  <c r="B20" i="1"/>
  <c r="AL19" i="1"/>
  <c r="AD19" i="1"/>
  <c r="BO19" i="1" s="1"/>
  <c r="V19" i="1"/>
  <c r="BG19" i="1" s="1"/>
  <c r="BX19" i="1" s="1"/>
  <c r="BY18" i="1"/>
  <c r="BX18" i="1"/>
  <c r="BC18" i="1"/>
  <c r="AL18" i="1"/>
  <c r="BW17" i="1"/>
  <c r="BO17" i="1"/>
  <c r="BY17" i="1" s="1"/>
  <c r="BG17" i="1"/>
  <c r="BX17" i="1" s="1"/>
  <c r="BC17" i="1"/>
  <c r="AL17" i="1"/>
  <c r="BW16" i="1"/>
  <c r="BO16" i="1"/>
  <c r="BY16" i="1" s="1"/>
  <c r="BG16" i="1"/>
  <c r="BX16" i="1" s="1"/>
  <c r="BC16" i="1"/>
  <c r="AM16" i="1"/>
  <c r="AL16" i="1"/>
  <c r="B16" i="1"/>
  <c r="BW15" i="1"/>
  <c r="BW14" i="1" s="1"/>
  <c r="AL15" i="1"/>
  <c r="AD15" i="1"/>
  <c r="BO15" i="1" s="1"/>
  <c r="BY15" i="1" s="1"/>
  <c r="V15" i="1"/>
  <c r="BG15" i="1" s="1"/>
  <c r="BY14" i="1"/>
  <c r="BX14" i="1"/>
  <c r="BC14" i="1"/>
  <c r="AL14" i="1"/>
  <c r="BC13" i="1"/>
  <c r="AL13" i="1"/>
  <c r="BX12" i="1"/>
  <c r="AL12" i="1"/>
  <c r="AD11" i="1"/>
  <c r="V11" i="1"/>
  <c r="BX11" i="1" s="1"/>
  <c r="BY10" i="1"/>
  <c r="BX10" i="1"/>
  <c r="AD10" i="1"/>
  <c r="AD92" i="1" s="1"/>
  <c r="BY92" i="1" s="1"/>
  <c r="V10" i="1"/>
  <c r="V92" i="1" s="1"/>
  <c r="BX92" i="1" s="1"/>
  <c r="AL7" i="1"/>
  <c r="AL89" i="1" s="1"/>
  <c r="A7" i="1"/>
  <c r="A89" i="1" s="1"/>
  <c r="A6" i="1"/>
  <c r="A88" i="1" s="1"/>
  <c r="BU3" i="1"/>
  <c r="AL3" i="1"/>
  <c r="AJ3" i="1"/>
  <c r="A3" i="1"/>
  <c r="BU2" i="1"/>
  <c r="AL1" i="1"/>
  <c r="A1" i="1"/>
  <c r="AM17" i="1" l="1"/>
  <c r="B17" i="1"/>
  <c r="AM29" i="1"/>
  <c r="BY24" i="1"/>
  <c r="BG60" i="1"/>
  <c r="BX60" i="1" s="1"/>
  <c r="BX15" i="1"/>
  <c r="BY19" i="1"/>
  <c r="AM25" i="1"/>
  <c r="BG24" i="1"/>
  <c r="BX24" i="1" s="1"/>
  <c r="AM32" i="1"/>
  <c r="AM30" i="1"/>
  <c r="B32" i="1"/>
  <c r="AM31" i="1"/>
  <c r="B31" i="1"/>
  <c r="B30" i="1"/>
  <c r="B29" i="1"/>
  <c r="AM28" i="1"/>
  <c r="B28" i="1"/>
  <c r="B27" i="1"/>
  <c r="B26" i="1"/>
  <c r="B25" i="1"/>
  <c r="AM26" i="1"/>
  <c r="AM27" i="1"/>
  <c r="BY60" i="1"/>
  <c r="BG67" i="1"/>
  <c r="BX67" i="1" s="1"/>
  <c r="BG113" i="1"/>
  <c r="BX113" i="1" s="1"/>
  <c r="BY148" i="1"/>
  <c r="AJ2" i="1" l="1"/>
  <c r="R115" i="1" l="1"/>
  <c r="BC115" i="1" s="1"/>
  <c r="R99" i="1"/>
  <c r="BC99" i="1" s="1"/>
  <c r="R49" i="1" l="1"/>
  <c r="R26" i="1"/>
  <c r="BC26" i="1" s="1"/>
  <c r="R120" i="1" l="1"/>
  <c r="BC120" i="1" s="1"/>
  <c r="R106" i="1"/>
  <c r="BC106" i="1" s="1"/>
  <c r="R139" i="1" l="1"/>
  <c r="BC139" i="1" s="1"/>
  <c r="R138" i="1"/>
  <c r="BC138" i="1" s="1"/>
  <c r="R123" i="1"/>
  <c r="R122" i="1"/>
  <c r="BC122" i="1" s="1"/>
  <c r="R67" i="1"/>
  <c r="BC67" i="1" s="1"/>
  <c r="BG10" i="1"/>
  <c r="BG92" i="1" s="1"/>
  <c r="BO10" i="1"/>
  <c r="BO92" i="1" s="1"/>
  <c r="A2" i="1" l="1"/>
  <c r="BG93" i="1"/>
  <c r="BO11" i="1"/>
  <c r="BO93" i="1"/>
  <c r="BG11" i="1"/>
  <c r="R52" i="1"/>
  <c r="BC52" i="1" s="1"/>
  <c r="R29" i="1"/>
  <c r="BC29" i="1" s="1"/>
  <c r="AL2" i="1"/>
  <c r="R15" i="1"/>
  <c r="BC15" i="1" s="1"/>
  <c r="R32" i="1"/>
  <c r="BC32" i="1" s="1"/>
  <c r="R71" i="1"/>
  <c r="BC71" i="1" s="1"/>
  <c r="R149" i="1"/>
  <c r="BC149" i="1" s="1"/>
  <c r="R34" i="1"/>
  <c r="BC34" i="1" s="1"/>
  <c r="R130" i="1"/>
  <c r="BC130" i="1" s="1"/>
  <c r="R63" i="1"/>
  <c r="BC63" i="1" s="1"/>
  <c r="R57" i="1"/>
  <c r="BC57" i="1" s="1"/>
  <c r="R60" i="1"/>
  <c r="BC60" i="1" s="1"/>
  <c r="R19" i="1" l="1"/>
  <c r="BC19" i="1" s="1"/>
  <c r="R75" i="1"/>
  <c r="BC75" i="1" s="1"/>
  <c r="R43" i="1"/>
  <c r="BC43" i="1" s="1"/>
  <c r="R86" i="1"/>
  <c r="BC86" i="1" s="1"/>
  <c r="R53" i="1"/>
  <c r="BC53" i="1" s="1"/>
  <c r="R30" i="1"/>
  <c r="BC30" i="1" s="1"/>
  <c r="R118" i="1"/>
  <c r="BC118" i="1" s="1"/>
  <c r="R103" i="1"/>
  <c r="BC103" i="1" s="1"/>
  <c r="R119" i="1"/>
  <c r="BC119" i="1" s="1"/>
  <c r="R105" i="1"/>
  <c r="BC105" i="1" s="1"/>
  <c r="R125" i="1"/>
  <c r="R108" i="1"/>
  <c r="BC108" i="1" s="1"/>
  <c r="R121" i="1"/>
  <c r="BC121" i="1" s="1"/>
  <c r="R107" i="1"/>
  <c r="BC107" i="1" s="1"/>
  <c r="R51" i="1"/>
  <c r="BC51" i="1" s="1"/>
  <c r="R27" i="1"/>
  <c r="BC27" i="1" s="1"/>
  <c r="R116" i="1"/>
  <c r="BC116" i="1" s="1"/>
  <c r="R102" i="1"/>
  <c r="BC102" i="1" s="1"/>
  <c r="R83" i="1"/>
  <c r="BC83" i="1" s="1"/>
  <c r="R39" i="1"/>
  <c r="BC39" i="1" s="1"/>
  <c r="R100" i="1"/>
  <c r="BC100" i="1" s="1"/>
  <c r="R41" i="1"/>
  <c r="BC41" i="1" s="1"/>
  <c r="R124" i="1"/>
  <c r="R84" i="1"/>
  <c r="BC84" i="1" s="1"/>
  <c r="R114" i="1"/>
  <c r="BC114" i="1" s="1"/>
  <c r="R98" i="1"/>
  <c r="BC98" i="1" s="1"/>
  <c r="R25" i="1"/>
  <c r="BC25" i="1" s="1"/>
  <c r="R48" i="1"/>
  <c r="BC48" i="1" s="1"/>
  <c r="AD150" i="1"/>
  <c r="V150" i="1"/>
  <c r="V28" i="1"/>
  <c r="V99" i="1"/>
  <c r="V43" i="1"/>
  <c r="V142" i="1"/>
  <c r="AD135" i="1"/>
  <c r="AD119" i="1"/>
  <c r="AD105" i="1"/>
  <c r="V104" i="1"/>
  <c r="V69" i="1"/>
  <c r="AD102" i="1"/>
  <c r="AD123" i="1"/>
  <c r="AD86" i="1"/>
  <c r="AD122" i="1"/>
  <c r="V52" i="1"/>
  <c r="V140" i="1"/>
  <c r="AD116" i="1"/>
  <c r="AD111" i="1"/>
  <c r="AD83" i="1"/>
  <c r="AD99" i="1"/>
  <c r="AD146" i="1"/>
  <c r="AD137" i="1"/>
  <c r="AD43" i="1"/>
  <c r="V78" i="1"/>
  <c r="AD54" i="1"/>
  <c r="V36" i="1"/>
  <c r="AD42" i="1"/>
  <c r="V39" i="1"/>
  <c r="AD48" i="1"/>
  <c r="AD39" i="1"/>
  <c r="AD28" i="1"/>
  <c r="V138" i="1"/>
  <c r="AD138" i="1"/>
  <c r="V48" i="1"/>
  <c r="AD69" i="1"/>
  <c r="AD52" i="1"/>
  <c r="AD77" i="1" l="1"/>
  <c r="V114" i="1"/>
  <c r="AD140" i="1"/>
  <c r="BW140" i="1" s="1"/>
  <c r="AD36" i="1"/>
  <c r="BO52" i="1"/>
  <c r="BY52" i="1" s="1"/>
  <c r="AD47" i="1"/>
  <c r="BO69" i="1"/>
  <c r="BY69" i="1" s="1"/>
  <c r="BW48" i="1"/>
  <c r="BG48" i="1"/>
  <c r="BX48" i="1" s="1"/>
  <c r="AD114" i="1"/>
  <c r="BO138" i="1"/>
  <c r="BY138" i="1" s="1"/>
  <c r="BW138" i="1"/>
  <c r="BG138" i="1"/>
  <c r="BX138" i="1" s="1"/>
  <c r="AD141" i="1"/>
  <c r="AD78" i="1"/>
  <c r="BW78" i="1" s="1"/>
  <c r="BW39" i="1"/>
  <c r="BG39" i="1"/>
  <c r="BX39" i="1" s="1"/>
  <c r="V76" i="1"/>
  <c r="AD145" i="1"/>
  <c r="BO54" i="1"/>
  <c r="BY54" i="1" s="1"/>
  <c r="AD134" i="1"/>
  <c r="AD136" i="1"/>
  <c r="BG78" i="1"/>
  <c r="BX78" i="1" s="1"/>
  <c r="BO146" i="1"/>
  <c r="BY146" i="1" s="1"/>
  <c r="V79" i="1"/>
  <c r="BO99" i="1"/>
  <c r="BY99" i="1" s="1"/>
  <c r="BO83" i="1"/>
  <c r="BY83" i="1" s="1"/>
  <c r="AD82" i="1"/>
  <c r="AD133" i="1"/>
  <c r="BW52" i="1"/>
  <c r="BG52" i="1"/>
  <c r="V47" i="1"/>
  <c r="BX52" i="1"/>
  <c r="AD115" i="1"/>
  <c r="BO86" i="1"/>
  <c r="BY86" i="1" s="1"/>
  <c r="AD98" i="1"/>
  <c r="AD21" i="1"/>
  <c r="AD32" i="1"/>
  <c r="BG104" i="1"/>
  <c r="BX104" i="1" s="1"/>
  <c r="BO105" i="1"/>
  <c r="BY105" i="1" s="1"/>
  <c r="AD49" i="1"/>
  <c r="BG142" i="1"/>
  <c r="BX142" i="1" s="1"/>
  <c r="V141" i="1"/>
  <c r="BW99" i="1"/>
  <c r="BG99" i="1"/>
  <c r="BX99" i="1" s="1"/>
  <c r="BG28" i="1"/>
  <c r="BX28" i="1" s="1"/>
  <c r="BW28" i="1"/>
  <c r="V145" i="1"/>
  <c r="BG150" i="1"/>
  <c r="BX150" i="1" s="1"/>
  <c r="BW150" i="1"/>
  <c r="V134" i="1"/>
  <c r="BO150" i="1"/>
  <c r="BY150" i="1" s="1"/>
  <c r="AD104" i="1"/>
  <c r="AD76" i="1"/>
  <c r="BO28" i="1"/>
  <c r="BY28" i="1" s="1"/>
  <c r="AD79" i="1"/>
  <c r="V137" i="1"/>
  <c r="AD144" i="1"/>
  <c r="BO39" i="1"/>
  <c r="BY39" i="1" s="1"/>
  <c r="V136" i="1"/>
  <c r="BO48" i="1"/>
  <c r="BY48" i="1" s="1"/>
  <c r="AD110" i="1"/>
  <c r="V42" i="1"/>
  <c r="BO42" i="1"/>
  <c r="BY42" i="1" s="1"/>
  <c r="V110" i="1"/>
  <c r="BG36" i="1"/>
  <c r="BX36" i="1" s="1"/>
  <c r="AD142" i="1"/>
  <c r="BO43" i="1"/>
  <c r="BY43" i="1" s="1"/>
  <c r="V77" i="1"/>
  <c r="BO137" i="1"/>
  <c r="BY137" i="1" s="1"/>
  <c r="BO111" i="1"/>
  <c r="BY111" i="1" s="1"/>
  <c r="BO116" i="1"/>
  <c r="BY116" i="1" s="1"/>
  <c r="BG140" i="1"/>
  <c r="BX140" i="1" s="1"/>
  <c r="BO122" i="1"/>
  <c r="BY122" i="1" s="1"/>
  <c r="BO123" i="1"/>
  <c r="BY123" i="1" s="1"/>
  <c r="AD132" i="1"/>
  <c r="BO102" i="1"/>
  <c r="BY102" i="1" s="1"/>
  <c r="BW69" i="1"/>
  <c r="BG69" i="1"/>
  <c r="BX69" i="1" s="1"/>
  <c r="BO119" i="1"/>
  <c r="BY119" i="1" s="1"/>
  <c r="BO135" i="1"/>
  <c r="BY135" i="1" s="1"/>
  <c r="BW43" i="1"/>
  <c r="BG43" i="1"/>
  <c r="BX43" i="1" s="1"/>
  <c r="V54" i="1"/>
  <c r="V133" i="1"/>
  <c r="V122" i="1"/>
  <c r="V21" i="1"/>
  <c r="V119" i="1"/>
  <c r="V32" i="1"/>
  <c r="V149" i="1"/>
  <c r="V116" i="1"/>
  <c r="V144" i="1"/>
  <c r="V146" i="1"/>
  <c r="V40" i="1"/>
  <c r="V139" i="1"/>
  <c r="V126" i="1"/>
  <c r="V132" i="1"/>
  <c r="V135" i="1"/>
  <c r="V49" i="1"/>
  <c r="V102" i="1"/>
  <c r="V115" i="1"/>
  <c r="V98" i="1"/>
  <c r="V123" i="1"/>
  <c r="V111" i="1"/>
  <c r="V83" i="1"/>
  <c r="V86" i="1"/>
  <c r="V105" i="1"/>
  <c r="AD117" i="1"/>
  <c r="AD68" i="1"/>
  <c r="V62" i="1"/>
  <c r="V124" i="1"/>
  <c r="V84" i="1"/>
  <c r="AD139" i="1"/>
  <c r="AD59" i="1"/>
  <c r="V109" i="1"/>
  <c r="AD103" i="1"/>
  <c r="AD118" i="1"/>
  <c r="V118" i="1"/>
  <c r="V101" i="1"/>
  <c r="AD125" i="1"/>
  <c r="BW36" i="1" l="1"/>
  <c r="BO125" i="1"/>
  <c r="BY125" i="1" s="1"/>
  <c r="AD131" i="1"/>
  <c r="AD62" i="1"/>
  <c r="BW62" i="1" s="1"/>
  <c r="V58" i="1"/>
  <c r="BG101" i="1"/>
  <c r="BX101" i="1" s="1"/>
  <c r="V41" i="1"/>
  <c r="V64" i="1"/>
  <c r="AD27" i="1"/>
  <c r="AD41" i="1"/>
  <c r="V100" i="1"/>
  <c r="AD58" i="1"/>
  <c r="AD64" i="1"/>
  <c r="AD40" i="1"/>
  <c r="BW40" i="1" s="1"/>
  <c r="AD65" i="1"/>
  <c r="AD73" i="1"/>
  <c r="BG109" i="1"/>
  <c r="BX109" i="1" s="1"/>
  <c r="AD126" i="1"/>
  <c r="BW126" i="1" s="1"/>
  <c r="AD120" i="1"/>
  <c r="AD53" i="1"/>
  <c r="AD149" i="1"/>
  <c r="BG124" i="1"/>
  <c r="BX124" i="1" s="1"/>
  <c r="AD85" i="1"/>
  <c r="AD101" i="1"/>
  <c r="BO68" i="1"/>
  <c r="BY68" i="1" s="1"/>
  <c r="BW105" i="1"/>
  <c r="BG105" i="1"/>
  <c r="BX105" i="1" s="1"/>
  <c r="BW86" i="1"/>
  <c r="BG86" i="1"/>
  <c r="BX86" i="1" s="1"/>
  <c r="BW83" i="1"/>
  <c r="BG83" i="1"/>
  <c r="V82" i="1"/>
  <c r="BX83" i="1"/>
  <c r="BW98" i="1"/>
  <c r="BG98" i="1"/>
  <c r="BX98" i="1" s="1"/>
  <c r="BW102" i="1"/>
  <c r="BG102" i="1"/>
  <c r="BX102" i="1" s="1"/>
  <c r="BW49" i="1"/>
  <c r="BG49" i="1"/>
  <c r="BX49" i="1" s="1"/>
  <c r="BW135" i="1"/>
  <c r="BG135" i="1"/>
  <c r="BX135" i="1" s="1"/>
  <c r="BG126" i="1"/>
  <c r="BX126" i="1" s="1"/>
  <c r="BG139" i="1"/>
  <c r="BX139" i="1" s="1"/>
  <c r="BW139" i="1"/>
  <c r="BW116" i="1"/>
  <c r="BG116" i="1"/>
  <c r="BX116" i="1" s="1"/>
  <c r="BW149" i="1"/>
  <c r="BW148" i="1" s="1"/>
  <c r="BW147" i="1" s="1"/>
  <c r="BG149" i="1"/>
  <c r="BX149" i="1" s="1"/>
  <c r="V20" i="1"/>
  <c r="BW32" i="1"/>
  <c r="BG32" i="1"/>
  <c r="BX32" i="1" s="1"/>
  <c r="BW122" i="1"/>
  <c r="BG122" i="1"/>
  <c r="BX122" i="1" s="1"/>
  <c r="BW77" i="1"/>
  <c r="BG77" i="1"/>
  <c r="BX77" i="1" s="1"/>
  <c r="BO142" i="1"/>
  <c r="BY142" i="1" s="1"/>
  <c r="BW110" i="1"/>
  <c r="BG110" i="1"/>
  <c r="BX110" i="1" s="1"/>
  <c r="BW42" i="1"/>
  <c r="BG42" i="1"/>
  <c r="BX42" i="1" s="1"/>
  <c r="BO110" i="1"/>
  <c r="BY110" i="1" s="1"/>
  <c r="BW136" i="1"/>
  <c r="BG136" i="1"/>
  <c r="BX136" i="1" s="1"/>
  <c r="BO144" i="1"/>
  <c r="AD143" i="1"/>
  <c r="BY144" i="1"/>
  <c r="BG137" i="1"/>
  <c r="BX137" i="1" s="1"/>
  <c r="BW137" i="1"/>
  <c r="BO79" i="1"/>
  <c r="BY79" i="1" s="1"/>
  <c r="BO76" i="1"/>
  <c r="BY76" i="1" s="1"/>
  <c r="BO104" i="1"/>
  <c r="BY104" i="1" s="1"/>
  <c r="BW134" i="1"/>
  <c r="BG134" i="1"/>
  <c r="BX134" i="1" s="1"/>
  <c r="BO49" i="1"/>
  <c r="BY49" i="1" s="1"/>
  <c r="BG47" i="1"/>
  <c r="BX47" i="1" s="1"/>
  <c r="AM53" i="1"/>
  <c r="AM52" i="1"/>
  <c r="AM54" i="1"/>
  <c r="B54" i="1"/>
  <c r="B53" i="1"/>
  <c r="B52" i="1"/>
  <c r="BW79" i="1"/>
  <c r="B80" i="1" s="1"/>
  <c r="BG79" i="1"/>
  <c r="BX79" i="1" s="1"/>
  <c r="BO136" i="1"/>
  <c r="BY136" i="1" s="1"/>
  <c r="BO134" i="1"/>
  <c r="BY134" i="1" s="1"/>
  <c r="BO145" i="1"/>
  <c r="BY145" i="1" s="1"/>
  <c r="BW76" i="1"/>
  <c r="BG76" i="1"/>
  <c r="BX76" i="1" s="1"/>
  <c r="BO114" i="1"/>
  <c r="BY114" i="1" s="1"/>
  <c r="BO36" i="1"/>
  <c r="BY36" i="1" s="1"/>
  <c r="BO140" i="1"/>
  <c r="BY140" i="1" s="1"/>
  <c r="BW114" i="1"/>
  <c r="BG114" i="1"/>
  <c r="BX114" i="1" s="1"/>
  <c r="BO77" i="1"/>
  <c r="BY77" i="1" s="1"/>
  <c r="AD72" i="1"/>
  <c r="AD61" i="1"/>
  <c r="AD106" i="1"/>
  <c r="V65" i="1"/>
  <c r="AD100" i="1"/>
  <c r="AD107" i="1"/>
  <c r="AD35" i="1"/>
  <c r="AD124" i="1"/>
  <c r="BW124" i="1" s="1"/>
  <c r="AD20" i="1"/>
  <c r="BW118" i="1"/>
  <c r="BG118" i="1"/>
  <c r="BX118" i="1" s="1"/>
  <c r="BO118" i="1"/>
  <c r="BY118" i="1" s="1"/>
  <c r="BO103" i="1"/>
  <c r="BY103" i="1" s="1"/>
  <c r="AD84" i="1"/>
  <c r="BW84" i="1" s="1"/>
  <c r="AD109" i="1"/>
  <c r="AD80" i="1"/>
  <c r="BO59" i="1"/>
  <c r="BY59" i="1" s="1"/>
  <c r="AD51" i="1"/>
  <c r="AD50" i="1"/>
  <c r="BO139" i="1"/>
  <c r="BY139" i="1" s="1"/>
  <c r="BG84" i="1"/>
  <c r="BX84" i="1" s="1"/>
  <c r="BG62" i="1"/>
  <c r="BX62" i="1" s="1"/>
  <c r="AD108" i="1"/>
  <c r="AD121" i="1"/>
  <c r="BO117" i="1"/>
  <c r="BY117" i="1" s="1"/>
  <c r="V121" i="1"/>
  <c r="BW111" i="1"/>
  <c r="BG111" i="1"/>
  <c r="BX111" i="1" s="1"/>
  <c r="BW123" i="1"/>
  <c r="BG123" i="1"/>
  <c r="BX123" i="1" s="1"/>
  <c r="BW115" i="1"/>
  <c r="BG115" i="1"/>
  <c r="BX115" i="1" s="1"/>
  <c r="BW132" i="1"/>
  <c r="BG132" i="1"/>
  <c r="BX132" i="1" s="1"/>
  <c r="V61" i="1"/>
  <c r="V38" i="1"/>
  <c r="BG40" i="1"/>
  <c r="BX40" i="1" s="1"/>
  <c r="BW146" i="1"/>
  <c r="BG146" i="1"/>
  <c r="BX146" i="1" s="1"/>
  <c r="V143" i="1"/>
  <c r="BW144" i="1"/>
  <c r="BG144" i="1"/>
  <c r="BX144" i="1" s="1"/>
  <c r="V51" i="1"/>
  <c r="BW119" i="1"/>
  <c r="BG119" i="1"/>
  <c r="BX119" i="1" s="1"/>
  <c r="BG21" i="1"/>
  <c r="BX21" i="1" s="1"/>
  <c r="BW21" i="1"/>
  <c r="BG133" i="1"/>
  <c r="BX133" i="1" s="1"/>
  <c r="BW133" i="1"/>
  <c r="BW54" i="1"/>
  <c r="BG54" i="1"/>
  <c r="BX54" i="1" s="1"/>
  <c r="BO132" i="1"/>
  <c r="AD130" i="1"/>
  <c r="AD128" i="1" s="1"/>
  <c r="BY132" i="1"/>
  <c r="BG145" i="1"/>
  <c r="BX145" i="1" s="1"/>
  <c r="BW145" i="1"/>
  <c r="BW141" i="1"/>
  <c r="BG141" i="1"/>
  <c r="BX141" i="1" s="1"/>
  <c r="BW142" i="1"/>
  <c r="BW104" i="1"/>
  <c r="BO32" i="1"/>
  <c r="BY32" i="1" s="1"/>
  <c r="BO21" i="1"/>
  <c r="BY21" i="1" s="1"/>
  <c r="BO98" i="1"/>
  <c r="BY98" i="1" s="1"/>
  <c r="BO115" i="1"/>
  <c r="BY115" i="1" s="1"/>
  <c r="BO133" i="1"/>
  <c r="BY133" i="1" s="1"/>
  <c r="BO82" i="1"/>
  <c r="BY82" i="1" s="1"/>
  <c r="V75" i="1"/>
  <c r="AM80" i="1"/>
  <c r="AM78" i="1"/>
  <c r="B78" i="1"/>
  <c r="BO78" i="1"/>
  <c r="BY78" i="1" s="1"/>
  <c r="AD75" i="1"/>
  <c r="BO141" i="1"/>
  <c r="BY141" i="1" s="1"/>
  <c r="BO47" i="1"/>
  <c r="BY47" i="1" s="1"/>
  <c r="V27" i="1"/>
  <c r="V85" i="1"/>
  <c r="V103" i="1"/>
  <c r="V72" i="1"/>
  <c r="V120" i="1"/>
  <c r="V117" i="1"/>
  <c r="V50" i="1"/>
  <c r="V73" i="1"/>
  <c r="V80" i="1"/>
  <c r="V35" i="1"/>
  <c r="V68" i="1"/>
  <c r="V107" i="1"/>
  <c r="V53" i="1"/>
  <c r="V108" i="1"/>
  <c r="V131" i="1"/>
  <c r="V125" i="1"/>
  <c r="AM79" i="1" l="1"/>
  <c r="AD97" i="1"/>
  <c r="BO97" i="1" s="1"/>
  <c r="BY97" i="1" s="1"/>
  <c r="B79" i="1"/>
  <c r="BW125" i="1"/>
  <c r="BG125" i="1"/>
  <c r="BX125" i="1" s="1"/>
  <c r="BW108" i="1"/>
  <c r="BG108" i="1"/>
  <c r="BX108" i="1" s="1"/>
  <c r="BW53" i="1"/>
  <c r="BG53" i="1"/>
  <c r="BX53" i="1" s="1"/>
  <c r="BW35" i="1"/>
  <c r="BG35" i="1"/>
  <c r="BX35" i="1" s="1"/>
  <c r="V34" i="1"/>
  <c r="BW73" i="1"/>
  <c r="BG73" i="1"/>
  <c r="BX73" i="1" s="1"/>
  <c r="V71" i="1"/>
  <c r="BW120" i="1"/>
  <c r="BG120" i="1"/>
  <c r="BX120" i="1" s="1"/>
  <c r="BW72" i="1"/>
  <c r="BG72" i="1"/>
  <c r="BX72" i="1" s="1"/>
  <c r="BO75" i="1"/>
  <c r="BY75" i="1" s="1"/>
  <c r="BW51" i="1"/>
  <c r="BG51" i="1"/>
  <c r="BX51" i="1" s="1"/>
  <c r="BG143" i="1"/>
  <c r="BX143" i="1" s="1"/>
  <c r="BW143" i="1"/>
  <c r="AM43" i="1"/>
  <c r="AM42" i="1"/>
  <c r="B42" i="1"/>
  <c r="B41" i="1"/>
  <c r="B43" i="1"/>
  <c r="AM41" i="1"/>
  <c r="AM40" i="1"/>
  <c r="B40" i="1"/>
  <c r="BW121" i="1"/>
  <c r="BG121" i="1"/>
  <c r="BX121" i="1" s="1"/>
  <c r="BO121" i="1"/>
  <c r="BY121" i="1" s="1"/>
  <c r="BO108" i="1"/>
  <c r="BY108" i="1" s="1"/>
  <c r="BO50" i="1"/>
  <c r="BY50" i="1" s="1"/>
  <c r="BO51" i="1"/>
  <c r="BY51" i="1" s="1"/>
  <c r="BO80" i="1"/>
  <c r="BY80" i="1" s="1"/>
  <c r="BO109" i="1"/>
  <c r="BY109" i="1" s="1"/>
  <c r="BO84" i="1"/>
  <c r="BY84" i="1" s="1"/>
  <c r="BW59" i="1"/>
  <c r="BG59" i="1"/>
  <c r="BX59" i="1" s="1"/>
  <c r="BO143" i="1"/>
  <c r="BY143" i="1" s="1"/>
  <c r="BW20" i="1"/>
  <c r="BW19" i="1" s="1"/>
  <c r="BW18" i="1" s="1"/>
  <c r="BG20" i="1"/>
  <c r="BX20" i="1" s="1"/>
  <c r="BG82" i="1"/>
  <c r="BX82" i="1" s="1"/>
  <c r="AM86" i="1"/>
  <c r="AM84" i="1"/>
  <c r="AM83" i="1"/>
  <c r="B86" i="1"/>
  <c r="AM85" i="1"/>
  <c r="B85" i="1"/>
  <c r="B84" i="1"/>
  <c r="B83" i="1"/>
  <c r="BO149" i="1"/>
  <c r="BY149" i="1" s="1"/>
  <c r="BO53" i="1"/>
  <c r="BY53" i="1" s="1"/>
  <c r="BO120" i="1"/>
  <c r="BY120" i="1" s="1"/>
  <c r="BO126" i="1"/>
  <c r="BY126" i="1" s="1"/>
  <c r="BW109" i="1"/>
  <c r="BW58" i="1"/>
  <c r="BG58" i="1"/>
  <c r="V57" i="1"/>
  <c r="BX58" i="1"/>
  <c r="BO62" i="1"/>
  <c r="BY62" i="1" s="1"/>
  <c r="BO131" i="1"/>
  <c r="BY131" i="1" s="1"/>
  <c r="BG131" i="1"/>
  <c r="BX131" i="1" s="1"/>
  <c r="BW131" i="1"/>
  <c r="V106" i="1"/>
  <c r="BW107" i="1"/>
  <c r="BG107" i="1"/>
  <c r="BX107" i="1" s="1"/>
  <c r="BW68" i="1"/>
  <c r="BW67" i="1" s="1"/>
  <c r="BW66" i="1" s="1"/>
  <c r="BG68" i="1"/>
  <c r="BX68" i="1" s="1"/>
  <c r="BW80" i="1"/>
  <c r="BW75" i="1" s="1"/>
  <c r="BW74" i="1" s="1"/>
  <c r="BG80" i="1"/>
  <c r="BX80" i="1" s="1"/>
  <c r="BW50" i="1"/>
  <c r="BG50" i="1"/>
  <c r="BX50" i="1" s="1"/>
  <c r="BW117" i="1"/>
  <c r="BG117" i="1"/>
  <c r="BX117" i="1" s="1"/>
  <c r="BW103" i="1"/>
  <c r="BG103" i="1"/>
  <c r="BX103" i="1" s="1"/>
  <c r="BW85" i="1"/>
  <c r="BW82" i="1" s="1"/>
  <c r="BW81" i="1" s="1"/>
  <c r="BG85" i="1"/>
  <c r="BX85" i="1" s="1"/>
  <c r="BW27" i="1"/>
  <c r="BW24" i="1" s="1"/>
  <c r="BW23" i="1" s="1"/>
  <c r="BG27" i="1"/>
  <c r="BX27" i="1" s="1"/>
  <c r="BG75" i="1"/>
  <c r="BX75" i="1" s="1"/>
  <c r="BO128" i="1"/>
  <c r="BY128" i="1" s="1"/>
  <c r="BO130" i="1"/>
  <c r="BY130" i="1" s="1"/>
  <c r="BG38" i="1"/>
  <c r="BX38" i="1" s="1"/>
  <c r="BW61" i="1"/>
  <c r="BW60" i="1" s="1"/>
  <c r="BG61" i="1"/>
  <c r="BX61" i="1" s="1"/>
  <c r="V130" i="1"/>
  <c r="BO20" i="1"/>
  <c r="BY20" i="1" s="1"/>
  <c r="BO124" i="1"/>
  <c r="BY124" i="1" s="1"/>
  <c r="AD34" i="1"/>
  <c r="BO35" i="1"/>
  <c r="BY35" i="1" s="1"/>
  <c r="BO107" i="1"/>
  <c r="BY107" i="1" s="1"/>
  <c r="BO100" i="1"/>
  <c r="BY100" i="1" s="1"/>
  <c r="BW65" i="1"/>
  <c r="BG65" i="1"/>
  <c r="BX65" i="1" s="1"/>
  <c r="BO106" i="1"/>
  <c r="BY106" i="1" s="1"/>
  <c r="BO61" i="1"/>
  <c r="BY61" i="1" s="1"/>
  <c r="BO72" i="1"/>
  <c r="BY72" i="1" s="1"/>
  <c r="B99" i="1"/>
  <c r="B98" i="1"/>
  <c r="AM99" i="1"/>
  <c r="AM98" i="1"/>
  <c r="BO101" i="1"/>
  <c r="BY101" i="1" s="1"/>
  <c r="BO85" i="1"/>
  <c r="BY85" i="1" s="1"/>
  <c r="BO73" i="1"/>
  <c r="AD71" i="1"/>
  <c r="BY73" i="1"/>
  <c r="BO65" i="1"/>
  <c r="BY65" i="1" s="1"/>
  <c r="BO40" i="1"/>
  <c r="BY40" i="1" s="1"/>
  <c r="AD38" i="1"/>
  <c r="BO64" i="1"/>
  <c r="BY64" i="1" s="1"/>
  <c r="AD63" i="1"/>
  <c r="BO58" i="1"/>
  <c r="BY58" i="1" s="1"/>
  <c r="AD57" i="1"/>
  <c r="BW100" i="1"/>
  <c r="BG100" i="1"/>
  <c r="BX100" i="1" s="1"/>
  <c r="BO41" i="1"/>
  <c r="BY41" i="1" s="1"/>
  <c r="BO27" i="1"/>
  <c r="BY27" i="1" s="1"/>
  <c r="BW64" i="1"/>
  <c r="BW63" i="1" s="1"/>
  <c r="BG64" i="1"/>
  <c r="V63" i="1"/>
  <c r="BX64" i="1"/>
  <c r="BW41" i="1"/>
  <c r="BW38" i="1" s="1"/>
  <c r="BW37" i="1" s="1"/>
  <c r="BG41" i="1"/>
  <c r="BX41" i="1" s="1"/>
  <c r="BW101" i="1"/>
  <c r="AD95" i="1" l="1"/>
  <c r="BW113" i="1"/>
  <c r="BW112" i="1" s="1"/>
  <c r="BW47" i="1"/>
  <c r="BW46" i="1" s="1"/>
  <c r="BG63" i="1"/>
  <c r="BX63" i="1" s="1"/>
  <c r="BO57" i="1"/>
  <c r="AD56" i="1"/>
  <c r="BY57" i="1"/>
  <c r="BO38" i="1"/>
  <c r="BY38" i="1" s="1"/>
  <c r="BO71" i="1"/>
  <c r="BY71" i="1" s="1"/>
  <c r="B102" i="1"/>
  <c r="B104" i="1"/>
  <c r="AM105" i="1"/>
  <c r="B100" i="1"/>
  <c r="AM101" i="1"/>
  <c r="AM103" i="1"/>
  <c r="BO95" i="1"/>
  <c r="BY95" i="1" s="1"/>
  <c r="AD152" i="1"/>
  <c r="BW106" i="1"/>
  <c r="B109" i="1" s="1"/>
  <c r="BG106" i="1"/>
  <c r="BX106" i="1" s="1"/>
  <c r="V97" i="1"/>
  <c r="AM146" i="1"/>
  <c r="B146" i="1"/>
  <c r="AM142" i="1"/>
  <c r="B142" i="1"/>
  <c r="AM140" i="1"/>
  <c r="B140" i="1"/>
  <c r="B139" i="1"/>
  <c r="B138" i="1"/>
  <c r="AM136" i="1"/>
  <c r="B136" i="1"/>
  <c r="AM134" i="1"/>
  <c r="B134" i="1"/>
  <c r="BW130" i="1"/>
  <c r="BW129" i="1" s="1"/>
  <c r="BW128" i="1" s="1"/>
  <c r="BW127" i="1" s="1"/>
  <c r="AM143" i="1"/>
  <c r="B141" i="1"/>
  <c r="AM138" i="1"/>
  <c r="AM137" i="1"/>
  <c r="B135" i="1"/>
  <c r="AM131" i="1"/>
  <c r="B143" i="1"/>
  <c r="AM141" i="1"/>
  <c r="AM139" i="1"/>
  <c r="B137" i="1"/>
  <c r="AM135" i="1"/>
  <c r="B131" i="1"/>
  <c r="BG57" i="1"/>
  <c r="BX57" i="1" s="1"/>
  <c r="V56" i="1"/>
  <c r="B57" i="1"/>
  <c r="BW57" i="1"/>
  <c r="AM57" i="1"/>
  <c r="BW71" i="1"/>
  <c r="BW70" i="1" s="1"/>
  <c r="AM35" i="1"/>
  <c r="B35" i="1"/>
  <c r="AM36" i="1"/>
  <c r="B36" i="1"/>
  <c r="BW34" i="1"/>
  <c r="BW33" i="1" s="1"/>
  <c r="BW13" i="1" s="1"/>
  <c r="BW12" i="1" s="1"/>
  <c r="BO63" i="1"/>
  <c r="BY63" i="1" s="1"/>
  <c r="AM100" i="1"/>
  <c r="B103" i="1"/>
  <c r="AM104" i="1"/>
  <c r="AM111" i="1"/>
  <c r="B101" i="1"/>
  <c r="AM102" i="1"/>
  <c r="B105" i="1"/>
  <c r="B107" i="1"/>
  <c r="BO34" i="1"/>
  <c r="BY34" i="1" s="1"/>
  <c r="AD13" i="1"/>
  <c r="BG130" i="1"/>
  <c r="BX130" i="1" s="1"/>
  <c r="V128" i="1"/>
  <c r="BG71" i="1"/>
  <c r="BX71" i="1" s="1"/>
  <c r="AM73" i="1"/>
  <c r="B73" i="1"/>
  <c r="BG34" i="1"/>
  <c r="BX34" i="1" s="1"/>
  <c r="V13" i="1"/>
  <c r="AM108" i="1" l="1"/>
  <c r="AM110" i="1"/>
  <c r="AM106" i="1"/>
  <c r="BG128" i="1"/>
  <c r="BX128" i="1" s="1"/>
  <c r="B63" i="1"/>
  <c r="B60" i="1"/>
  <c r="AM63" i="1"/>
  <c r="AM60" i="1"/>
  <c r="BW56" i="1"/>
  <c r="BW55" i="1" s="1"/>
  <c r="BW45" i="1" s="1"/>
  <c r="BW44" i="1" s="1"/>
  <c r="BG56" i="1"/>
  <c r="BX56" i="1" s="1"/>
  <c r="V45" i="1"/>
  <c r="BG97" i="1"/>
  <c r="BX97" i="1" s="1"/>
  <c r="V95" i="1"/>
  <c r="AM109" i="1"/>
  <c r="B106" i="1"/>
  <c r="B111" i="1"/>
  <c r="AM107" i="1"/>
  <c r="BW97" i="1"/>
  <c r="BW96" i="1" s="1"/>
  <c r="BW95" i="1" s="1"/>
  <c r="BW94" i="1" s="1"/>
  <c r="BO56" i="1"/>
  <c r="BY56" i="1" s="1"/>
  <c r="AD45" i="1"/>
  <c r="AD87" i="1" s="1"/>
  <c r="V87" i="1"/>
  <c r="BG13" i="1"/>
  <c r="BX13" i="1" s="1"/>
  <c r="BO13" i="1"/>
  <c r="BY13" i="1" s="1"/>
  <c r="BO152" i="1"/>
  <c r="BY152" i="1" s="1"/>
  <c r="B108" i="1"/>
  <c r="B110" i="1"/>
  <c r="BW87" i="1" l="1"/>
  <c r="BG87" i="1"/>
  <c r="BX87" i="1" s="1"/>
  <c r="BG45" i="1"/>
  <c r="BX45" i="1" s="1"/>
  <c r="BO87" i="1"/>
  <c r="BY87" i="1" s="1"/>
  <c r="BO45" i="1"/>
  <c r="BY45" i="1" s="1"/>
  <c r="BG95" i="1"/>
  <c r="BX95" i="1" s="1"/>
  <c r="V152" i="1"/>
  <c r="BY153" i="1" l="1"/>
  <c r="BG152" i="1"/>
  <c r="BX152" i="1" s="1"/>
  <c r="BX153" i="1" s="1"/>
  <c r="BX155" i="1"/>
  <c r="BW152" i="1"/>
  <c r="BW151" i="1" s="1"/>
</calcChain>
</file>

<file path=xl/comments1.xml><?xml version="1.0" encoding="utf-8"?>
<comments xmlns="http://schemas.openxmlformats.org/spreadsheetml/2006/main">
  <authors>
    <author>Ta Tien Hoang</author>
    <author>admin</author>
  </authors>
  <commentList>
    <comment ref="BW3" authorId="0" shapeId="0">
      <text>
        <r>
          <rPr>
            <b/>
            <sz val="9"/>
            <color indexed="81"/>
            <rFont val="Tahoma"/>
            <family val="2"/>
          </rPr>
          <t>CY:</t>
        </r>
        <r>
          <rPr>
            <sz val="9"/>
            <color indexed="81"/>
            <rFont val="Tahoma"/>
            <family val="2"/>
          </rPr>
          <t xml:space="preserve">
Bấm lọc các dòng =1 nếu không chạy đc macro</t>
        </r>
      </text>
    </comment>
    <comment ref="AD10" authorId="1" shapeId="0">
      <text>
        <r>
          <rPr>
            <b/>
            <sz val="9"/>
            <color indexed="81"/>
            <rFont val="Tahoma"/>
            <family val="2"/>
          </rPr>
          <t>admin:</t>
        </r>
        <r>
          <rPr>
            <sz val="9"/>
            <color indexed="81"/>
            <rFont val="Tahoma"/>
            <family val="2"/>
          </rPr>
          <t xml:space="preserve">
(Nếu trong năm có điều chỉnh hồi tố số dư đầu năm thì có thêm cụm từ (Đã điều chỉnh) phía dưới Số đầu năm)</t>
        </r>
      </text>
    </comment>
  </commentList>
</comments>
</file>

<file path=xl/comments2.xml><?xml version="1.0" encoding="utf-8"?>
<comments xmlns="http://schemas.openxmlformats.org/spreadsheetml/2006/main">
  <authors>
    <author>Mr Xuyen</author>
    <author>Elina</author>
    <author>admin</author>
    <author>nguyendieutrang</author>
  </authors>
  <commentList>
    <comment ref="AI29" authorId="0" shapeId="0">
      <text>
        <r>
          <rPr>
            <b/>
            <sz val="9"/>
            <color indexed="81"/>
            <rFont val="Tahoma"/>
            <family val="2"/>
          </rPr>
          <t>Mr Xuyen:</t>
        </r>
        <r>
          <rPr>
            <sz val="9"/>
            <color indexed="81"/>
            <rFont val="Tahoma"/>
            <family val="2"/>
          </rPr>
          <t xml:space="preserve">
Dãn dòng 13pt</t>
        </r>
      </text>
    </comment>
    <comment ref="AI33" authorId="0" shapeId="0">
      <text>
        <r>
          <rPr>
            <b/>
            <sz val="9"/>
            <color indexed="81"/>
            <rFont val="Tahoma"/>
            <family val="2"/>
          </rPr>
          <t>Mr Xuyen:</t>
        </r>
        <r>
          <rPr>
            <sz val="9"/>
            <color indexed="81"/>
            <rFont val="Tahoma"/>
            <family val="2"/>
          </rPr>
          <t xml:space="preserve">
Dãn dòng 13pt</t>
        </r>
      </text>
    </comment>
    <comment ref="AI36" authorId="0" shapeId="0">
      <text>
        <r>
          <rPr>
            <b/>
            <sz val="9"/>
            <color indexed="81"/>
            <rFont val="Tahoma"/>
            <family val="2"/>
          </rPr>
          <t>Mr Xuyen:</t>
        </r>
        <r>
          <rPr>
            <sz val="9"/>
            <color indexed="81"/>
            <rFont val="Tahoma"/>
            <family val="2"/>
          </rPr>
          <t xml:space="preserve">
Dãn dòng 13pt</t>
        </r>
      </text>
    </comment>
    <comment ref="D99" authorId="1" shapeId="0">
      <text>
        <r>
          <rPr>
            <b/>
            <sz val="9"/>
            <color indexed="81"/>
            <rFont val="Tahoma"/>
            <family val="2"/>
          </rPr>
          <t>Elina:</t>
        </r>
        <r>
          <rPr>
            <sz val="9"/>
            <color indexed="81"/>
            <rFont val="Tahoma"/>
            <family val="2"/>
          </rPr>
          <t xml:space="preserve">
Chưa đúng ý nghĩa của TT53/2016</t>
        </r>
      </text>
    </comment>
    <comment ref="C290" authorId="0" shapeId="0">
      <text>
        <r>
          <rPr>
            <b/>
            <sz val="9"/>
            <color indexed="81"/>
            <rFont val="Tahoma"/>
            <family val="2"/>
          </rPr>
          <t>Mr Xuyen:</t>
        </r>
        <r>
          <rPr>
            <sz val="9"/>
            <color indexed="81"/>
            <rFont val="Tahoma"/>
            <family val="2"/>
          </rPr>
          <t xml:space="preserve">
Công bổ sung giúp anh công thức Loại Công ty</t>
        </r>
      </text>
    </comment>
    <comment ref="AW472" authorId="0" shapeId="0">
      <text>
        <r>
          <rPr>
            <b/>
            <sz val="9"/>
            <color indexed="81"/>
            <rFont val="Tahoma"/>
            <family val="2"/>
          </rPr>
          <t>Mr Xuyen:</t>
        </r>
        <r>
          <rPr>
            <sz val="9"/>
            <color indexed="81"/>
            <rFont val="Tahoma"/>
            <family val="2"/>
          </rPr>
          <t xml:space="preserve">
Chưa link Công thức với bản tiếng Việt</t>
        </r>
      </text>
    </comment>
    <comment ref="AL486" authorId="0" shapeId="0">
      <text>
        <r>
          <rPr>
            <b/>
            <sz val="9"/>
            <color indexed="81"/>
            <rFont val="Tahoma"/>
            <family val="2"/>
          </rPr>
          <t>Mr Xuyen:</t>
        </r>
        <r>
          <rPr>
            <sz val="9"/>
            <color indexed="81"/>
            <rFont val="Tahoma"/>
            <family val="2"/>
          </rPr>
          <t xml:space="preserve">
Thừa dấu chấm</t>
        </r>
      </text>
    </comment>
    <comment ref="AW500" authorId="0" shapeId="0">
      <text>
        <r>
          <rPr>
            <b/>
            <sz val="9"/>
            <color indexed="81"/>
            <rFont val="Tahoma"/>
            <family val="2"/>
          </rPr>
          <t>Mr Xuyen:</t>
        </r>
        <r>
          <rPr>
            <sz val="9"/>
            <color indexed="81"/>
            <rFont val="Tahoma"/>
            <family val="2"/>
          </rPr>
          <t xml:space="preserve">
Chưa link Công thức với bản tiếng Việt</t>
        </r>
      </text>
    </comment>
    <comment ref="BC675" authorId="0" shapeId="0">
      <text>
        <r>
          <rPr>
            <b/>
            <sz val="9"/>
            <color indexed="81"/>
            <rFont val="Tahoma"/>
            <family val="2"/>
          </rPr>
          <t>Mr Xuyen:</t>
        </r>
        <r>
          <rPr>
            <sz val="9"/>
            <color indexed="81"/>
            <rFont val="Tahoma"/>
            <family val="2"/>
          </rPr>
          <t xml:space="preserve">
Công bổ sung công thức link</t>
        </r>
      </text>
    </comment>
    <comment ref="BI675" authorId="0" shapeId="0">
      <text>
        <r>
          <rPr>
            <b/>
            <sz val="9"/>
            <color indexed="81"/>
            <rFont val="Tahoma"/>
            <family val="2"/>
          </rPr>
          <t>Mr Xuyen:</t>
        </r>
        <r>
          <rPr>
            <sz val="9"/>
            <color indexed="81"/>
            <rFont val="Tahoma"/>
            <family val="2"/>
          </rPr>
          <t xml:space="preserve">
Công bổ sung công thức link</t>
        </r>
      </text>
    </comment>
    <comment ref="BO675" authorId="0" shapeId="0">
      <text>
        <r>
          <rPr>
            <b/>
            <sz val="9"/>
            <color indexed="81"/>
            <rFont val="Tahoma"/>
            <family val="2"/>
          </rPr>
          <t>Mr Xuyen:</t>
        </r>
        <r>
          <rPr>
            <sz val="9"/>
            <color indexed="81"/>
            <rFont val="Tahoma"/>
            <family val="2"/>
          </rPr>
          <t xml:space="preserve">
Công bổ sung công thức link</t>
        </r>
      </text>
    </comment>
    <comment ref="BB702" authorId="0" shapeId="0">
      <text>
        <r>
          <rPr>
            <b/>
            <sz val="9"/>
            <color indexed="81"/>
            <rFont val="Tahoma"/>
            <family val="2"/>
          </rPr>
          <t>Mr Xuyen:</t>
        </r>
        <r>
          <rPr>
            <sz val="9"/>
            <color indexed="81"/>
            <rFont val="Tahoma"/>
            <family val="2"/>
          </rPr>
          <t xml:space="preserve">
Công link bổ sung công thức</t>
        </r>
      </text>
    </comment>
    <comment ref="AN713" authorId="0" shapeId="0">
      <text>
        <r>
          <rPr>
            <b/>
            <sz val="9"/>
            <color indexed="81"/>
            <rFont val="Tahoma"/>
            <family val="2"/>
          </rPr>
          <t>Mr Xuyen:</t>
        </r>
        <r>
          <rPr>
            <sz val="9"/>
            <color indexed="81"/>
            <rFont val="Tahoma"/>
            <family val="2"/>
          </rPr>
          <t xml:space="preserve">
Sửa lại format</t>
        </r>
      </text>
    </comment>
    <comment ref="BG739" authorId="0" shapeId="0">
      <text>
        <r>
          <rPr>
            <b/>
            <sz val="9"/>
            <color indexed="81"/>
            <rFont val="Tahoma"/>
            <family val="2"/>
          </rPr>
          <t>Mr Xuyen:</t>
        </r>
        <r>
          <rPr>
            <sz val="9"/>
            <color indexed="81"/>
            <rFont val="Tahoma"/>
            <family val="2"/>
          </rPr>
          <t xml:space="preserve">
Sửa lại format in đậm/ không đậm/ không nghiêng</t>
        </r>
      </text>
    </comment>
    <comment ref="AD825" authorId="0" shapeId="0">
      <text>
        <r>
          <rPr>
            <b/>
            <sz val="9"/>
            <color indexed="81"/>
            <rFont val="Tahoma"/>
            <family val="2"/>
          </rPr>
          <t>Mr Xuyen:</t>
        </r>
        <r>
          <rPr>
            <sz val="9"/>
            <color indexed="81"/>
            <rFont val="Tahoma"/>
            <family val="2"/>
          </rPr>
          <t xml:space="preserve">
Sửa thành Cthức sum not sub</t>
        </r>
      </text>
    </comment>
    <comment ref="AD834" authorId="0" shapeId="0">
      <text>
        <r>
          <rPr>
            <b/>
            <sz val="9"/>
            <color indexed="81"/>
            <rFont val="Tahoma"/>
            <family val="2"/>
          </rPr>
          <t>Mr Xuyen:</t>
        </r>
        <r>
          <rPr>
            <sz val="9"/>
            <color indexed="81"/>
            <rFont val="Tahoma"/>
            <family val="2"/>
          </rPr>
          <t xml:space="preserve">
Sửa thành Cthức sum not sub</t>
        </r>
      </text>
    </comment>
    <comment ref="AS857" authorId="0" shapeId="0">
      <text>
        <r>
          <rPr>
            <b/>
            <sz val="9"/>
            <color indexed="81"/>
            <rFont val="Tahoma"/>
            <family val="2"/>
          </rPr>
          <t>Mr Xuyen:</t>
        </r>
        <r>
          <rPr>
            <sz val="9"/>
            <color indexed="81"/>
            <rFont val="Tahoma"/>
            <family val="2"/>
          </rPr>
          <t xml:space="preserve">
Công link Cthức</t>
        </r>
      </text>
    </comment>
    <comment ref="AS881" authorId="0" shapeId="0">
      <text>
        <r>
          <rPr>
            <b/>
            <sz val="9"/>
            <color indexed="81"/>
            <rFont val="Tahoma"/>
            <family val="2"/>
          </rPr>
          <t>Mr Xuyen:</t>
        </r>
        <r>
          <rPr>
            <sz val="9"/>
            <color indexed="81"/>
            <rFont val="Tahoma"/>
            <family val="2"/>
          </rPr>
          <t xml:space="preserve">
Công bổ sung link công thức</t>
        </r>
      </text>
    </comment>
    <comment ref="C899" authorId="0" shapeId="0">
      <text>
        <r>
          <rPr>
            <b/>
            <sz val="9"/>
            <color indexed="81"/>
            <rFont val="Tahoma"/>
            <family val="2"/>
          </rPr>
          <t>Mr Xuyen:</t>
        </r>
        <r>
          <rPr>
            <sz val="9"/>
            <color indexed="81"/>
            <rFont val="Tahoma"/>
            <family val="2"/>
          </rPr>
          <t xml:space="preserve">
Sửa tương tự TM TSCDHH</t>
        </r>
      </text>
    </comment>
    <comment ref="BG1178" authorId="0" shapeId="0">
      <text>
        <r>
          <rPr>
            <b/>
            <sz val="9"/>
            <color indexed="81"/>
            <rFont val="Tahoma"/>
            <family val="2"/>
          </rPr>
          <t>Mr Xuyen:</t>
        </r>
        <r>
          <rPr>
            <sz val="9"/>
            <color indexed="81"/>
            <rFont val="Tahoma"/>
            <family val="2"/>
          </rPr>
          <t xml:space="preserve">
Công link Công thức</t>
        </r>
      </text>
    </comment>
    <comment ref="C1189" authorId="0" shapeId="0">
      <text>
        <r>
          <rPr>
            <b/>
            <sz val="9"/>
            <color indexed="81"/>
            <rFont val="Tahoma"/>
            <family val="2"/>
          </rPr>
          <t>Mr Xuyen:</t>
        </r>
        <r>
          <rPr>
            <sz val="9"/>
            <color indexed="81"/>
            <rFont val="Tahoma"/>
            <family val="2"/>
          </rPr>
          <t xml:space="preserve">
Bổ sung</t>
        </r>
      </text>
    </comment>
    <comment ref="AS1270" authorId="0" shapeId="0">
      <text>
        <r>
          <rPr>
            <b/>
            <sz val="9"/>
            <color indexed="81"/>
            <rFont val="Tahoma"/>
            <family val="2"/>
          </rPr>
          <t>Mr Xuyen:</t>
        </r>
        <r>
          <rPr>
            <sz val="9"/>
            <color indexed="81"/>
            <rFont val="Tahoma"/>
            <family val="2"/>
          </rPr>
          <t xml:space="preserve">
Căn lề trên</t>
        </r>
      </text>
    </comment>
    <comment ref="BG1340" authorId="0" shapeId="0">
      <text>
        <r>
          <rPr>
            <b/>
            <sz val="9"/>
            <color indexed="81"/>
            <rFont val="Tahoma"/>
            <family val="2"/>
          </rPr>
          <t>Mr Xuyen:</t>
        </r>
        <r>
          <rPr>
            <sz val="9"/>
            <color indexed="81"/>
            <rFont val="Tahoma"/>
            <family val="2"/>
          </rPr>
          <t xml:space="preserve">
Bỏ cthưc link</t>
        </r>
      </text>
    </comment>
    <comment ref="AM1358" authorId="2" shapeId="0">
      <text>
        <r>
          <rPr>
            <b/>
            <sz val="9"/>
            <color indexed="81"/>
            <rFont val="Tahoma"/>
            <family val="2"/>
          </rPr>
          <t>admin:</t>
        </r>
        <r>
          <rPr>
            <sz val="9"/>
            <color indexed="81"/>
            <rFont val="Tahoma"/>
            <family val="2"/>
          </rPr>
          <t xml:space="preserve">
Lưu ý chuyển dấu , khi phát hành tiếng Anh
</t>
        </r>
      </text>
    </comment>
    <comment ref="BG1398" authorId="0" shapeId="0">
      <text>
        <r>
          <rPr>
            <b/>
            <sz val="9"/>
            <color indexed="81"/>
            <rFont val="Tahoma"/>
            <family val="2"/>
          </rPr>
          <t>Mr Xuyen:</t>
        </r>
        <r>
          <rPr>
            <sz val="9"/>
            <color indexed="81"/>
            <rFont val="Tahoma"/>
            <family val="2"/>
          </rPr>
          <t xml:space="preserve">
Công link công thức</t>
        </r>
      </text>
    </comment>
    <comment ref="BG1482" authorId="0" shapeId="0">
      <text>
        <r>
          <rPr>
            <b/>
            <sz val="9"/>
            <color indexed="81"/>
            <rFont val="Tahoma"/>
            <family val="2"/>
          </rPr>
          <t>Mr Xuyen:</t>
        </r>
        <r>
          <rPr>
            <sz val="9"/>
            <color indexed="81"/>
            <rFont val="Tahoma"/>
            <family val="2"/>
          </rPr>
          <t xml:space="preserve">
Sửa lại công thức</t>
        </r>
      </text>
    </comment>
    <comment ref="BN1482" authorId="0" shapeId="0">
      <text>
        <r>
          <rPr>
            <b/>
            <sz val="9"/>
            <color indexed="81"/>
            <rFont val="Tahoma"/>
            <family val="2"/>
          </rPr>
          <t>Mr Xuyen:</t>
        </r>
        <r>
          <rPr>
            <sz val="9"/>
            <color indexed="81"/>
            <rFont val="Tahoma"/>
            <family val="2"/>
          </rPr>
          <t xml:space="preserve">
Sửa lại công thức</t>
        </r>
      </text>
    </comment>
    <comment ref="R1776" authorId="0" shapeId="0">
      <text>
        <r>
          <rPr>
            <b/>
            <sz val="9"/>
            <color indexed="81"/>
            <rFont val="Tahoma"/>
            <family val="2"/>
          </rPr>
          <t>Mr Xuyen:</t>
        </r>
        <r>
          <rPr>
            <sz val="9"/>
            <color indexed="81"/>
            <rFont val="Tahoma"/>
            <family val="2"/>
          </rPr>
          <t xml:space="preserve">
Lưu ý: Dự phòng tương ứng với Pthu K. hàng và Pthu khác</t>
        </r>
      </text>
    </comment>
    <comment ref="C1798" authorId="3" shapeId="0">
      <text>
        <r>
          <rPr>
            <b/>
            <sz val="8"/>
            <color indexed="81"/>
            <rFont val="Tahoma"/>
            <family val="2"/>
          </rPr>
          <t>nguyendieutrang:</t>
        </r>
        <r>
          <rPr>
            <sz val="8"/>
            <color indexed="81"/>
            <rFont val="Tahoma"/>
            <family val="2"/>
          </rPr>
          <t xml:space="preserve">
dính chữ: BanGiám đốc</t>
        </r>
      </text>
    </comment>
  </commentList>
</comments>
</file>

<file path=xl/comments3.xml><?xml version="1.0" encoding="utf-8"?>
<comments xmlns="http://schemas.openxmlformats.org/spreadsheetml/2006/main">
  <authors>
    <author>Mr Xuyen</author>
  </authors>
  <commentList>
    <comment ref="D10" authorId="0" shapeId="0">
      <text>
        <r>
          <rPr>
            <b/>
            <sz val="9"/>
            <color indexed="81"/>
            <rFont val="Tahoma"/>
            <family val="2"/>
          </rPr>
          <t>Mr Xuyen:</t>
        </r>
        <r>
          <rPr>
            <sz val="9"/>
            <color indexed="81"/>
            <rFont val="Tahoma"/>
            <family val="2"/>
          </rPr>
          <t xml:space="preserve">
Không in đậm</t>
        </r>
      </text>
    </comment>
  </commentList>
</comments>
</file>

<file path=xl/comments4.xml><?xml version="1.0" encoding="utf-8"?>
<comments xmlns="http://schemas.openxmlformats.org/spreadsheetml/2006/main">
  <authors>
    <author>KingHoang</author>
    <author>Mr Xuyen</author>
  </authors>
  <commentList>
    <comment ref="C10" authorId="0" shape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AG10" authorId="0" shape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D11" authorId="1" shapeId="0">
      <text>
        <r>
          <rPr>
            <b/>
            <sz val="9"/>
            <color indexed="81"/>
            <rFont val="Tahoma"/>
            <family val="2"/>
          </rPr>
          <t>Mr Xuyen:</t>
        </r>
        <r>
          <rPr>
            <sz val="9"/>
            <color indexed="81"/>
            <rFont val="Tahoma"/>
            <family val="2"/>
          </rPr>
          <t xml:space="preserve">
Không đậm trừ cột tổng</t>
        </r>
      </text>
    </comment>
  </commentList>
</comments>
</file>

<file path=xl/sharedStrings.xml><?xml version="1.0" encoding="utf-8"?>
<sst xmlns="http://schemas.openxmlformats.org/spreadsheetml/2006/main" count="5832" uniqueCount="2142">
  <si>
    <t>STATEMENT OF FINANCIAL POSITION</t>
  </si>
  <si>
    <t>6</t>
  </si>
  <si>
    <t>10</t>
  </si>
  <si>
    <t>Kiểm tra C/L En-Vn</t>
  </si>
  <si>
    <t>Mã số</t>
  </si>
  <si>
    <t>TÀI SẢN</t>
  </si>
  <si>
    <t>Thuyết minh</t>
  </si>
  <si>
    <t>Code</t>
  </si>
  <si>
    <t>ASSETS</t>
  </si>
  <si>
    <t>Note</t>
  </si>
  <si>
    <t>100</t>
  </si>
  <si>
    <t>A. TÀI SẢN NGẮN HẠN</t>
  </si>
  <si>
    <t>A.  SHORT-TERM ASSETS</t>
  </si>
  <si>
    <t>110</t>
  </si>
  <si>
    <t>I. Tiền và các khoản tương đương tiền</t>
  </si>
  <si>
    <t>I. Cash and cash equivalents</t>
  </si>
  <si>
    <t>111</t>
  </si>
  <si>
    <t>112</t>
  </si>
  <si>
    <t>120</t>
  </si>
  <si>
    <t>II. Đầu tư tài chính ngắn hạn</t>
  </si>
  <si>
    <t>II. Short-term financial investments</t>
  </si>
  <si>
    <t>121</t>
  </si>
  <si>
    <t>122</t>
  </si>
  <si>
    <t>123</t>
  </si>
  <si>
    <t>130</t>
  </si>
  <si>
    <t>III. Các khoản phải thu ngắn hạn</t>
  </si>
  <si>
    <t>III. Short-term receivables</t>
  </si>
  <si>
    <t>131</t>
  </si>
  <si>
    <t>132</t>
  </si>
  <si>
    <t>133</t>
  </si>
  <si>
    <t>134</t>
  </si>
  <si>
    <t>135</t>
  </si>
  <si>
    <t>136</t>
  </si>
  <si>
    <t>137</t>
  </si>
  <si>
    <t>139</t>
  </si>
  <si>
    <t>140</t>
  </si>
  <si>
    <t>IV. Hàng tồn kho</t>
  </si>
  <si>
    <t>IV. Inventories</t>
  </si>
  <si>
    <t>141</t>
  </si>
  <si>
    <t>149</t>
  </si>
  <si>
    <t>150</t>
  </si>
  <si>
    <t>V. Tài sản ngắn hạn khác</t>
  </si>
  <si>
    <t>V. Other short-term assets</t>
  </si>
  <si>
    <t>151</t>
  </si>
  <si>
    <t>152</t>
  </si>
  <si>
    <t>153</t>
  </si>
  <si>
    <t>154</t>
  </si>
  <si>
    <t>155</t>
  </si>
  <si>
    <t>200</t>
  </si>
  <si>
    <t>B. TÀI SẢN DÀI HẠN</t>
  </si>
  <si>
    <t>B. LONG-TERM ASSETS</t>
  </si>
  <si>
    <t>210</t>
  </si>
  <si>
    <t>I. Các khoản phải thu dài hạn</t>
  </si>
  <si>
    <t>I. Long-term receivables</t>
  </si>
  <si>
    <t>211</t>
  </si>
  <si>
    <t>212</t>
  </si>
  <si>
    <t>213</t>
  </si>
  <si>
    <t>214</t>
  </si>
  <si>
    <t>215</t>
  </si>
  <si>
    <t>216</t>
  </si>
  <si>
    <t>219</t>
  </si>
  <si>
    <t>220</t>
  </si>
  <si>
    <t>II. Tài sản cố định</t>
  </si>
  <si>
    <t>II. Fixed assets</t>
  </si>
  <si>
    <t>221</t>
  </si>
  <si>
    <t>222</t>
  </si>
  <si>
    <t xml:space="preserve"> - Nguyên giá</t>
  </si>
  <si>
    <t xml:space="preserve"> -  Historical cost</t>
  </si>
  <si>
    <t>223</t>
  </si>
  <si>
    <t xml:space="preserve"> - Giá trị hao mòn lũy kế</t>
  </si>
  <si>
    <t xml:space="preserve"> - Accumulated depreciation</t>
  </si>
  <si>
    <t>224</t>
  </si>
  <si>
    <t>225</t>
  </si>
  <si>
    <t>226</t>
  </si>
  <si>
    <t>227</t>
  </si>
  <si>
    <t>228</t>
  </si>
  <si>
    <t>229</t>
  </si>
  <si>
    <t xml:space="preserve"> - Accumulated amortization</t>
  </si>
  <si>
    <t>230</t>
  </si>
  <si>
    <t>III. Bất động sản đầu tư</t>
  </si>
  <si>
    <t>III. Investment properties</t>
  </si>
  <si>
    <t>231</t>
  </si>
  <si>
    <t>232</t>
  </si>
  <si>
    <t xml:space="preserve"> - Giá trị hao mòn lũy kế </t>
  </si>
  <si>
    <t xml:space="preserve"> - Accumulated depreciation </t>
  </si>
  <si>
    <t>240</t>
  </si>
  <si>
    <t>IV. Tài sản dở dang dài hạn</t>
  </si>
  <si>
    <t xml:space="preserve">IV. Long-term assets in progress </t>
  </si>
  <si>
    <t>241</t>
  </si>
  <si>
    <t>242</t>
  </si>
  <si>
    <t>250</t>
  </si>
  <si>
    <t>V. Đầu tư tài chính dài hạn</t>
  </si>
  <si>
    <t>V. Long-term investments</t>
  </si>
  <si>
    <t>251</t>
  </si>
  <si>
    <t>252</t>
  </si>
  <si>
    <t>253</t>
  </si>
  <si>
    <t>254</t>
  </si>
  <si>
    <t>255</t>
  </si>
  <si>
    <t>260</t>
  </si>
  <si>
    <t>VI. Tài sản dài hạn khác</t>
  </si>
  <si>
    <t>VI. Other long-term assets</t>
  </si>
  <si>
    <t>261</t>
  </si>
  <si>
    <t>262</t>
  </si>
  <si>
    <t>263</t>
  </si>
  <si>
    <t>268</t>
  </si>
  <si>
    <t>270</t>
  </si>
  <si>
    <t>TỔNG CỘNG TÀI SẢN</t>
  </si>
  <si>
    <t>TOTAL ASSETS</t>
  </si>
  <si>
    <t>(tiếp theo)</t>
  </si>
  <si>
    <t>(Continued)</t>
  </si>
  <si>
    <t>NGUỒN VỐN</t>
  </si>
  <si>
    <t>CAPITAL</t>
  </si>
  <si>
    <t>300</t>
  </si>
  <si>
    <t>C. NỢ PHẢI TRẢ</t>
  </si>
  <si>
    <t>C. LIABILITIES</t>
  </si>
  <si>
    <t>310</t>
  </si>
  <si>
    <t>I. Nợ ngắn hạn</t>
  </si>
  <si>
    <t>I. Short-term liabilities</t>
  </si>
  <si>
    <t>311</t>
  </si>
  <si>
    <t>312</t>
  </si>
  <si>
    <t>313</t>
  </si>
  <si>
    <t>314</t>
  </si>
  <si>
    <t>315</t>
  </si>
  <si>
    <t>316</t>
  </si>
  <si>
    <t>317</t>
  </si>
  <si>
    <t>318</t>
  </si>
  <si>
    <t>319</t>
  </si>
  <si>
    <t>320</t>
  </si>
  <si>
    <t>321</t>
  </si>
  <si>
    <t>322</t>
  </si>
  <si>
    <t>323</t>
  </si>
  <si>
    <t>324</t>
  </si>
  <si>
    <t>330</t>
  </si>
  <si>
    <t>II. Nợ dài hạn</t>
  </si>
  <si>
    <t>II. Long-term liabilities</t>
  </si>
  <si>
    <t>331</t>
  </si>
  <si>
    <t>332</t>
  </si>
  <si>
    <t>333</t>
  </si>
  <si>
    <t>334</t>
  </si>
  <si>
    <t>335</t>
  </si>
  <si>
    <t>336</t>
  </si>
  <si>
    <t>337</t>
  </si>
  <si>
    <t>338</t>
  </si>
  <si>
    <t>339</t>
  </si>
  <si>
    <t>340</t>
  </si>
  <si>
    <t>341</t>
  </si>
  <si>
    <t>342</t>
  </si>
  <si>
    <t>343</t>
  </si>
  <si>
    <t>400</t>
  </si>
  <si>
    <t>D. VỐN CHỦ SỞ HỮU</t>
  </si>
  <si>
    <t>D. OWNER'S EQUITY</t>
  </si>
  <si>
    <t>410</t>
  </si>
  <si>
    <t>I. Vốn chủ sở hữu</t>
  </si>
  <si>
    <t>I. Owner’s equity</t>
  </si>
  <si>
    <t>411</t>
  </si>
  <si>
    <t>411a</t>
  </si>
  <si>
    <t xml:space="preserve"> - Cổ phiếu phổ thông có quyền biểu quyết</t>
  </si>
  <si>
    <t xml:space="preserve"> - Ordinary shares with voting rights</t>
  </si>
  <si>
    <t>411b</t>
  </si>
  <si>
    <t xml:space="preserve"> - Cổ phiếu ưu đãi</t>
  </si>
  <si>
    <t xml:space="preserve"> - Preference shares</t>
  </si>
  <si>
    <t>412</t>
  </si>
  <si>
    <t>413</t>
  </si>
  <si>
    <t>414</t>
  </si>
  <si>
    <t>415</t>
  </si>
  <si>
    <t>416</t>
  </si>
  <si>
    <t>417</t>
  </si>
  <si>
    <t>418</t>
  </si>
  <si>
    <t>419</t>
  </si>
  <si>
    <t>420</t>
  </si>
  <si>
    <t>421</t>
  </si>
  <si>
    <t>421a</t>
  </si>
  <si>
    <t xml:space="preserve"> - LNST chưa phân phối lũy kế đến cuối năm trước</t>
  </si>
  <si>
    <t xml:space="preserve"> - Undistributed post-tax profits accumulated by the end of the previous year</t>
  </si>
  <si>
    <t>421b</t>
  </si>
  <si>
    <t xml:space="preserve"> - LNST chưa phân phối năm nay</t>
  </si>
  <si>
    <t xml:space="preserve"> - Undistributed profit after tax for the current year</t>
  </si>
  <si>
    <t>422</t>
  </si>
  <si>
    <t>430</t>
  </si>
  <si>
    <t>II. Nguồn kinh phí và các quỹ khác</t>
  </si>
  <si>
    <t>II. Non-business funds and other funds</t>
  </si>
  <si>
    <t>431</t>
  </si>
  <si>
    <t>432</t>
  </si>
  <si>
    <t>440</t>
  </si>
  <si>
    <t>TỔNG CỘNG NGUỒN VỐN</t>
  </si>
  <si>
    <t>TOTAL CAPITAL</t>
  </si>
  <si>
    <t>71</t>
  </si>
  <si>
    <t>70</t>
  </si>
  <si>
    <t>60</t>
  </si>
  <si>
    <t>52</t>
  </si>
  <si>
    <t>51</t>
  </si>
  <si>
    <t>50</t>
  </si>
  <si>
    <t>40</t>
  </si>
  <si>
    <t>32</t>
  </si>
  <si>
    <t>31</t>
  </si>
  <si>
    <t>30</t>
  </si>
  <si>
    <t>26</t>
  </si>
  <si>
    <t>25</t>
  </si>
  <si>
    <t>23</t>
  </si>
  <si>
    <t>22</t>
  </si>
  <si>
    <t>21</t>
  </si>
  <si>
    <t>20</t>
  </si>
  <si>
    <t>11</t>
  </si>
  <si>
    <t>02</t>
  </si>
  <si>
    <t>01</t>
  </si>
  <si>
    <t>ITEMS</t>
  </si>
  <si>
    <t>CHỈ TIÊU</t>
  </si>
  <si>
    <t>Cash and cash equivalents at end of the year</t>
  </si>
  <si>
    <t>Tiền và tương đương tiền cuối năm</t>
  </si>
  <si>
    <t>Effect of exchange rate fluctuations</t>
  </si>
  <si>
    <t>Ảnh hưởng của thay đổi tỷ giá hối đoái quy đổi ngoại tệ</t>
  </si>
  <si>
    <t>61</t>
  </si>
  <si>
    <t>Cash and cash equivalents at beginning of the year</t>
  </si>
  <si>
    <t>Tiền và tương đương tiền đầu năm</t>
  </si>
  <si>
    <t>Net cash flows in the year</t>
  </si>
  <si>
    <t>Lưu chuyển tiền thuần trong năm</t>
  </si>
  <si>
    <t>Net cash flows from financing activities</t>
  </si>
  <si>
    <t>Lưu chuyển tiền thuần từ hoạt động tài chính</t>
  </si>
  <si>
    <t>36</t>
  </si>
  <si>
    <t>35</t>
  </si>
  <si>
    <t>34</t>
  </si>
  <si>
    <t>33</t>
  </si>
  <si>
    <t>III. CASH FLOWS FROM FINANCING ACTIVITIES</t>
  </si>
  <si>
    <t xml:space="preserve">III. LƯU CHUYỂN TIỀN TỪ HOẠT ĐỘNG TÀI CHÍNH </t>
  </si>
  <si>
    <t>Net cash flows from investing activities</t>
  </si>
  <si>
    <t>Lưu chuyển tiền thuần từ hoạt động đầu tư</t>
  </si>
  <si>
    <t>27</t>
  </si>
  <si>
    <t>24</t>
  </si>
  <si>
    <t>II. CASH FLOWS FROM INVESTING ACTIVITIES</t>
  </si>
  <si>
    <t xml:space="preserve">II.  LƯU CHUYỂN TIỀN TỪ HOẠT ĐỘNG ĐẦU TƯ </t>
  </si>
  <si>
    <t>Net cash flows from operating activities</t>
  </si>
  <si>
    <t>Lưu chuyển tiền thuần từ hoạt động kinh doanh</t>
  </si>
  <si>
    <t xml:space="preserve"> - Other payments on operating activities</t>
  </si>
  <si>
    <t>Tiền chi khác cho hoạt động kinh doanh</t>
  </si>
  <si>
    <t xml:space="preserve"> - </t>
  </si>
  <si>
    <t>17</t>
  </si>
  <si>
    <t xml:space="preserve"> - Other receipts from operating activities</t>
  </si>
  <si>
    <t>Tiền thu khác từ hoạt động kinh doanh</t>
  </si>
  <si>
    <t>16</t>
  </si>
  <si>
    <t xml:space="preserve"> - Corporate income taxes paid</t>
  </si>
  <si>
    <t>Thuế thu nhập doanh nghiệp đã nộp</t>
  </si>
  <si>
    <t>15</t>
  </si>
  <si>
    <t xml:space="preserve"> - Interest paid</t>
  </si>
  <si>
    <t>Tiền lãi vay đã trả</t>
  </si>
  <si>
    <t>14</t>
  </si>
  <si>
    <t xml:space="preserve"> - Increase/Decrease in trading securities</t>
  </si>
  <si>
    <t>Tăng/giảm chứng khoán kinh doanh</t>
  </si>
  <si>
    <t>13</t>
  </si>
  <si>
    <t xml:space="preserve"> - Increase/Decrease in prepaid expenses</t>
  </si>
  <si>
    <t>Tăng/giảm chi phí trả trước</t>
  </si>
  <si>
    <t>12</t>
  </si>
  <si>
    <t xml:space="preserve">   payables, enterprise income tax payables)</t>
  </si>
  <si>
    <t>(không kể lãi vay phải trả, thuế TNDN phải nộp)</t>
  </si>
  <si>
    <t xml:space="preserve"> - Increase/Decrease in payables (excluding interest</t>
  </si>
  <si>
    <t>Tăng/giảm các khoản phải trả</t>
  </si>
  <si>
    <t xml:space="preserve"> - Increase/Decrease in inventories</t>
  </si>
  <si>
    <t xml:space="preserve">Tăng/giảm hàng tồn kho </t>
  </si>
  <si>
    <t xml:space="preserve"> - Increase/Decrease in receivables</t>
  </si>
  <si>
    <t xml:space="preserve">Tăng/giảm các khoản phải thu </t>
  </si>
  <si>
    <t>09</t>
  </si>
  <si>
    <t xml:space="preserve">   capital</t>
  </si>
  <si>
    <t xml:space="preserve">    thay đổi vốn lưu động</t>
  </si>
  <si>
    <t>3. 3. Operating profit before changes in working</t>
  </si>
  <si>
    <t>3. Lợi nhuận từ hoạt động kinh doanh trước</t>
  </si>
  <si>
    <t>08</t>
  </si>
  <si>
    <t xml:space="preserve"> - Other adjustments</t>
  </si>
  <si>
    <t>Các khoản điều chỉnh khác</t>
  </si>
  <si>
    <t>07</t>
  </si>
  <si>
    <t xml:space="preserve"> - Interest expenses</t>
  </si>
  <si>
    <t xml:space="preserve">Chi phí lãi vay </t>
  </si>
  <si>
    <t>06</t>
  </si>
  <si>
    <t xml:space="preserve"> - Gains/loss from investment</t>
  </si>
  <si>
    <t>Lãi/lỗ từ hoạt động đầu tư</t>
  </si>
  <si>
    <t>05</t>
  </si>
  <si>
    <t xml:space="preserve"> - Gains / losses of exchange rate differences from revaluation of accounts derived from foreign currencies</t>
  </si>
  <si>
    <t>Lãi, lỗ chênh lệch tỷ giá hối đoái do đánh giá lại các khoản mục tiền tệ có gốc ngoại tệ</t>
  </si>
  <si>
    <t>04</t>
  </si>
  <si>
    <t xml:space="preserve"> - Provisions</t>
  </si>
  <si>
    <t xml:space="preserve">Các khoản dự phòng </t>
  </si>
  <si>
    <t>03</t>
  </si>
  <si>
    <r>
      <t xml:space="preserve"> - Depreciation of fixed assets and investment properties</t>
    </r>
    <r>
      <rPr>
        <sz val="10"/>
        <color rgb="FFFF0000"/>
        <rFont val="Times New Roman"/>
        <family val="1"/>
      </rPr>
      <t xml:space="preserve"> </t>
    </r>
  </si>
  <si>
    <t>Khấu hao tài sản cố định và bất động sản đầu tư</t>
  </si>
  <si>
    <t>2. Adjustments for :</t>
  </si>
  <si>
    <t>2. Điều chỉnh cho các khoản</t>
  </si>
  <si>
    <t>1. Profits before tax</t>
  </si>
  <si>
    <t xml:space="preserve">1. Lợi nhuận trước thuế </t>
  </si>
  <si>
    <t>I. CASH FLOWS FROM OPERATING ACTIVITIES</t>
  </si>
  <si>
    <t>I. LƯU CHUYỂN TIỀN TỪ HOẠT ĐỘNG KINH DOANH</t>
  </si>
  <si>
    <t>Thuyết
minh</t>
  </si>
  <si>
    <t>(Indirect method)</t>
  </si>
  <si>
    <t>(Theo phương pháp gián tiếp)</t>
  </si>
  <si>
    <t>STATEMENT OF CASH FLOWS</t>
  </si>
  <si>
    <t>Nguyễn Thị Mơ</t>
  </si>
  <si>
    <t xml:space="preserve">Nguyễn Thị Th.Hương        </t>
  </si>
  <si>
    <t xml:space="preserve">    Giám đốc</t>
  </si>
  <si>
    <t xml:space="preserve">     TP.TCKT</t>
  </si>
  <si>
    <t xml:space="preserve">          Người lập                                                                  </t>
  </si>
  <si>
    <t>19. Lãi suy giảm trên cổ phiếu</t>
  </si>
  <si>
    <t>18. Lãi cơ bản trên cổ phiếu</t>
  </si>
  <si>
    <t>17. Lợi nhuận sau thuế thu nhập doanh nghiệp (60=50-51-52)</t>
  </si>
  <si>
    <t>16. Chi phí thuế TNDN hoãn lại</t>
  </si>
  <si>
    <t>15. Chi phí thuế TNDN hiện hành</t>
  </si>
  <si>
    <t>14. Tổng lợi nhuận kế toán trước thuế (50=30+40)</t>
  </si>
  <si>
    <t>13. Lợi nhuận khác (40=31-32)</t>
  </si>
  <si>
    <t>12. Chi phí khác</t>
  </si>
  <si>
    <t>11. Thu nhập khác</t>
  </si>
  <si>
    <t>10. Lợi nhuận thuần từ hoạt động kinh doanh {30=20+(21-22)-(25+26)}</t>
  </si>
  <si>
    <t>9. Chi phí quản lý doanh nghiệp</t>
  </si>
  <si>
    <t>8. Chi phí bán hàng</t>
  </si>
  <si>
    <t>  - Trong đó: Chi phí lãi vay</t>
  </si>
  <si>
    <t>7. Chi phí tài chính</t>
  </si>
  <si>
    <t>6. Doanh thu hoạt động tài chính</t>
  </si>
  <si>
    <t>5. Lợi nhuận gộp về bán hàng và cung cấp dịch vụ (20=10-11)</t>
  </si>
  <si>
    <t>4. Giá vốn hàng bán</t>
  </si>
  <si>
    <t>3. Doanh thu thuần về bán hàng và cung cấp dịch vụ (10=01- 02)</t>
  </si>
  <si>
    <t>2. Các khoản giảm trừ doanh thu</t>
  </si>
  <si>
    <t>1. Doanh thu bán hàng và cung cấp dịch vụ</t>
  </si>
  <si>
    <t>4</t>
  </si>
  <si>
    <t>3</t>
  </si>
  <si>
    <t>2</t>
  </si>
  <si>
    <t>1</t>
  </si>
  <si>
    <t>Lũy kế năm 2016</t>
  </si>
  <si>
    <t>9 tháng đầu năm 2016</t>
  </si>
  <si>
    <t>Quý 4/2016</t>
  </si>
  <si>
    <t>Lũy kế năm 2017</t>
  </si>
  <si>
    <t>9 tháng đầu năm 2017</t>
  </si>
  <si>
    <t>Quý 4/2017</t>
  </si>
  <si>
    <t>Năm 2016</t>
  </si>
  <si>
    <t>Năm 2017</t>
  </si>
  <si>
    <t>Chỉ tiêu</t>
  </si>
  <si>
    <t>Đơn vị tính: VNĐ</t>
  </si>
  <si>
    <t>Kỳ kế toán từ ngày 01/01/2017 đến ngày 31/12/2017</t>
  </si>
  <si>
    <t>BÁO CÁO KẾT QUẢ HOẠT ĐỘNG KINH DOANH</t>
  </si>
  <si>
    <t>của Bộ Tài chính)</t>
  </si>
  <si>
    <t>200/2014/TT-BTC Ngày 22/12/2015</t>
  </si>
  <si>
    <t>(Ban hành theo Thông tư số</t>
  </si>
  <si>
    <t>Phường Đình Bảng - Thị xã Từ Sơn - Tỉnh Bắc Ninh</t>
  </si>
  <si>
    <t>Mẫu số: B 02 - DN</t>
  </si>
  <si>
    <t>Công ty cổ phần Viglacera Từ Sơn</t>
  </si>
  <si>
    <t>Kỳ này</t>
  </si>
  <si>
    <t>Kỳ trước</t>
  </si>
  <si>
    <t>Check C/L E-V</t>
  </si>
  <si>
    <t>Check STT</t>
  </si>
  <si>
    <t>Từ Sơn</t>
  </si>
  <si>
    <t>Hải Dương</t>
  </si>
  <si>
    <t>.</t>
  </si>
  <si>
    <t>ĐẶC ĐIỂM HOẠT ĐỘNG CỦA DOANH NGHIỆP</t>
  </si>
  <si>
    <t>Hình thức sở hữu vốn</t>
  </si>
  <si>
    <t>Form of capital ownership</t>
  </si>
  <si>
    <t>Vốn điều lệ của Công ty là 20.002.050.000 VND, tương đương với 2.000.205 cổ phần, mệnh giá mỗi cổ phần là 10.000 VND.</t>
  </si>
  <si>
    <t>Lĩnh vực kinh doanh</t>
  </si>
  <si>
    <t xml:space="preserve">Business field </t>
  </si>
  <si>
    <t>Xây dựng và vật liệu.</t>
  </si>
  <si>
    <t>Ngành nghề kinh doanh</t>
  </si>
  <si>
    <t>Business activities</t>
  </si>
  <si>
    <t>-</t>
  </si>
  <si>
    <t>Sản xuất gạch chịu lửa;</t>
  </si>
  <si>
    <t>Sản xuất vật liệu xây dựng từ đất sét: Sản xuất vật liệu xây dựng từ đất sét nung và các loại vật liệu xây dựng khác.</t>
  </si>
  <si>
    <t>Chu kỳ sản xuất, kinh doanh thông thường</t>
  </si>
  <si>
    <t>Normal business and production cycle</t>
  </si>
  <si>
    <t>[Trường hợp chu kỳ sản xuất kinh doanh dưới 12 tháng thì không cần thuyết minh nội dung này. Trường hợp chu kỳ sản xuất kinh doanh kéo dài hơn 12 tháng thì phải thuyết minh nội dung này, trong đó nêu rõ thêm chu kỳ sản xuất kinh doanh bình quân của ngành, lĩnh vực. Trường hợp nhiều HĐKD có chu kỳ khác nhau thì TM rõ theo từng HĐKD]</t>
  </si>
  <si>
    <t>[- Những sự kiện về môi trường pháp lý, diễn biến thị trường có tác động đến tình hình hoạt động sản xuất kinh doanh, có ảnh hưởng đến số liệu tài chính,…
- Đặc điểm hoạt động kinh doanh, quản lý, tài chính: Ví dụ: sản phẩm, hàng hóa, dịch vụ  mới sản xuất kinh doanh, dây chuyền sản xuất mới đi vào hoạt động, các biến động lớn về số dư, chỉ số tài chính,… ; 
- Các hoạt động sản xuất kinh doanh mang lại doanh thu chủ yếu, hoạt động mới phát sinh hoặc thu hẹp, loại bỏ trong kỳ, các khoản thu nhập bất thường ảnh hưởng lớn đến KQKD,…
- các sự kiện sáp nhập, chia tách, thay đổi quy mô… 
- các vấn đề ảnh hưởng đến khả năng hoạt động liên tục của doanh nghiệp
- các vấn đề khác có ảnh hưởng đến báo cáo tài chính của doanh nghiệp (nếu có)]</t>
  </si>
  <si>
    <t xml:space="preserve">[- Những sự kiện về môi trường pháp lý, diễn biến thị trường có tác động đến tình hình hoạt động sản xuất kinh doanh, có ảnh hưởng đến số liệu tài chính,…
- Đặc điểm hoạt động kinh doanh, quản lý, tài chính: Ví dụ: sản phẩm, hàng hóa, dịch vụ  mới sản xuất kinh doanh, dây chuyền sản xuất mới đi vào hoạt động, các biến động lớn về số dư, chỉ số tài chính,… ; 
- Các hoạt động sản xuất kinh doanh mang lại doanh thu chủ yếu, hoạt động mới phát sinh hoặc thu hẹp, loại bỏ trong kỳ, các khoản thu nhập bất thường ảnh hưởng lớn đến KQKD,…
- Các sự kiện sáp nhập, chia tách, thay đổi quy mô… 
- Các vấn đề ảnh hưởng đến khả năng hoạt động liên tục của doanh nghiệp
- Các vấn đề khác có ảnh hưởng đến báo cáo tài chính của doanh nghiệp (nếu có)]
</t>
  </si>
  <si>
    <t>Cấu trúc doanh nghiệp</t>
  </si>
  <si>
    <t>Structure of enterprises</t>
  </si>
  <si>
    <t>Địa chỉ</t>
  </si>
  <si>
    <t>Hoạt động kinh doanh chính</t>
  </si>
  <si>
    <t>Address</t>
  </si>
  <si>
    <t>Principle activities</t>
  </si>
  <si>
    <t>- Nhà máy Từ Sơn</t>
  </si>
  <si>
    <t>Sản xuất, kinh doanh gạch, ngói.</t>
  </si>
  <si>
    <t>Branch (,…)</t>
  </si>
  <si>
    <t>- Nhà máy Hải Dương</t>
  </si>
  <si>
    <t>Enterprise</t>
  </si>
  <si>
    <t>Trung tâm</t>
  </si>
  <si>
    <t>Center</t>
  </si>
  <si>
    <t>Văn phòng đại diện</t>
  </si>
  <si>
    <t>Representative office</t>
  </si>
  <si>
    <t>[Lưu ý: cột địa chỉ chỉ nêu tên tỉnh, địa bàn hoạt động, còn cột “Hoạt động kinh doanh chính” nêu những hoạt động kinh doanh chính mà đơn vị trực thuộc thực hiện và có liên quan đến hoạt động chung của tập đoàn, công ty.]</t>
  </si>
  <si>
    <t>Lưu ý: cột địa chỉ chỉ nêu tên tỉnh, địa bàn hoạt động, còn cột “Hoạt động kinh doanh chính” nêu những hoạt động kinh doanh chính mà đơn vị trực thuộc thực hiện và có liên quan đến hoạt động chung của tập đoàn, công ty.</t>
  </si>
  <si>
    <t>ACCOUNTING SYSTEM AND ACCOUNTING POLICY</t>
  </si>
  <si>
    <t>Kỳ kế toán, đơn vị tiền tệ sử dụng trong kế toán</t>
  </si>
  <si>
    <t>Accounting period and accounting currency</t>
  </si>
  <si>
    <r>
      <t>Annual accounting period commences from 1</t>
    </r>
    <r>
      <rPr>
        <vertAlign val="superscript"/>
        <sz val="10"/>
        <rFont val="Times New Roman"/>
        <family val="1"/>
      </rPr>
      <t>st</t>
    </r>
    <r>
      <rPr>
        <sz val="10"/>
        <rFont val="Times New Roman"/>
        <family val="1"/>
      </rPr>
      <t xml:space="preserve"> January and ends </t>
    </r>
    <r>
      <rPr>
        <sz val="10"/>
        <color rgb="FFFF0000"/>
        <rFont val="Times New Roman"/>
        <family val="1"/>
      </rPr>
      <t>as at</t>
    </r>
    <r>
      <rPr>
        <sz val="10"/>
        <rFont val="Times New Roman"/>
        <family val="1"/>
      </rPr>
      <t xml:space="preserve"> 31</t>
    </r>
    <r>
      <rPr>
        <vertAlign val="superscript"/>
        <sz val="10"/>
        <rFont val="Times New Roman"/>
        <family val="1"/>
      </rPr>
      <t>st</t>
    </r>
    <r>
      <rPr>
        <sz val="10"/>
        <rFont val="Times New Roman"/>
        <family val="1"/>
      </rPr>
      <t xml:space="preserve"> December.
</t>
    </r>
  </si>
  <si>
    <t>Đơn vị tiền tệ sử dụng trong ghi chép kế toán là Đồng Việt Nam (VND).</t>
  </si>
  <si>
    <t>Chuẩn mực và Chế độ kế toán áp dụng</t>
  </si>
  <si>
    <t>Standards and Applicable Accounting Policies</t>
  </si>
  <si>
    <t>Chế độ kế toán áp dụng</t>
  </si>
  <si>
    <t>Applicable Accounting Policies</t>
  </si>
  <si>
    <t>Tuyên bố về việc tuân thủ Chuẩn mực kế toán và Chế độ kế toán</t>
  </si>
  <si>
    <t>Declaration of compliance with Accounting Standards and Accounting System</t>
  </si>
  <si>
    <t>[Chỉ áp dụng đối với báo cáo tài chính tổng hợp của Công ty mẹ và các đơn vị trực thuộc hạch toán theo phân cấp]</t>
  </si>
  <si>
    <t>[Đoạn sau chỉ áp dụng trong trường hợp có BCTC hợp nhất]</t>
  </si>
  <si>
    <t xml:space="preserve">Công cụ tài chính </t>
  </si>
  <si>
    <t>Financial Instruments</t>
  </si>
  <si>
    <t>[Sửa đổi cho phù hợp]</t>
  </si>
  <si>
    <t>Ghi nhận ban đầu</t>
  </si>
  <si>
    <t>Initial recognition</t>
  </si>
  <si>
    <t>Tài sản tài chính</t>
  </si>
  <si>
    <t>Financial assets</t>
  </si>
  <si>
    <t>Nợ phải trả tài chính</t>
  </si>
  <si>
    <t>Financial liabilities</t>
  </si>
  <si>
    <t>Giá trị sau ghi nhận ban đầu</t>
  </si>
  <si>
    <t>Subsequent measurement after initial recognition</t>
  </si>
  <si>
    <t>Hiện tại chưa có các quy định về đánh giá lại công cụ tài chính sau ghi nhận ban đầu.</t>
  </si>
  <si>
    <t>There are currently no regulations on revaluation of financial instruments after initial recognition.</t>
  </si>
  <si>
    <t>Convert Financial Statements prepared in foreign currencies into Vietnam Dong</t>
  </si>
  <si>
    <t xml:space="preserve"> [sửa đổi, xoá bỏ nếu không phù hợp]</t>
  </si>
  <si>
    <t>[sửa đổi, xoá bỏ nếu không phù hợp]</t>
  </si>
  <si>
    <r>
      <t xml:space="preserve">Financial statements prepared in foreign currencies are converted to Financial statements prepared in Vietnam Dong complies with the exchange rates: assets and liabilities at the exchange rate at the end of the period, owner‘s investments at the exchange rate at the date of contribution, Statement of income, Statement of cash flows in accordance with the actual exchange rate or the average exchange rate </t>
    </r>
    <r>
      <rPr>
        <i/>
        <sz val="10"/>
        <color rgb="FF00B050"/>
        <rFont val="Times New Roman"/>
        <family val="1"/>
      </rPr>
      <t>(nếu chênh lệch không vượt quá 3%).</t>
    </r>
  </si>
  <si>
    <t>Các nghiệp vụ bằng ngoại tệ</t>
  </si>
  <si>
    <t>Foreign currency transactions</t>
  </si>
  <si>
    <t>Các giao dịch bằng ngoại tệ trong năm tài chính được quy đổi ra đồng Việt Nam theo tỷ giá thực tế tại ngày giao dịch. Tỷ giá giao dịch thực tế này được xác định theo nguyên tắc sau:</t>
  </si>
  <si>
    <t>The foreign currency transactions during the year are converted into Vietnam dong with the real exchange rate at the transaction date. Real exchange rates are determined as the following principles:</t>
  </si>
  <si>
    <t>Khi góp vốn: là tỷ giá mua ngoại tệ của ngân hàng nơi Công ty mở tài khoản tại ngày góp vốn;</t>
  </si>
  <si>
    <t>Khi  nhận góp vốn: là tỷ giá mua ngoại tệ của ngân hàng nơi Công ty mở tài khoản để nhận vốn của nhà đầu tư tại ngày góp vốn;</t>
  </si>
  <si>
    <t>Tỷ giá giao dịch thực tế khi đánh giá lại các khoản tiền gửi ngoại tệ là áp dụng tỷ giá mua của chính ngân hàng nơi Công ty mở tài khoản ngoại tệ.</t>
  </si>
  <si>
    <t>Tất cả các khoản chênh lệch tỷ giá thực tế phát sinh trong năm và chênh lệch do đánh giá lại số dư các khoản mục tiền tệ có gốc ngoại tệ tại thời điểm lập Báo cáo tài chính được hạch toán vào kết quả hoạt động kinh doanh của năm tài chính. Trong đó lãi chênh lệch tỷ giá do đánh giá lại số dư cuối kỳ của các khoản mục tiền tệ có gốc ngoại tệ không được sử dụng để phân phối lợi nhuận hoặc chia cổ tức.</t>
  </si>
  <si>
    <t xml:space="preserve">All sums of real exchange rates for foreign currency transactions in the year and real exchange rate upon re-determining accounts derived from foreign currencies at the end of the year are recorded immediately to results of business operations in accounting year. </t>
  </si>
  <si>
    <t>[Áp dụng đoạn sau đối với khoản chênh lệch tỷ giá trong giai đoạn trước hoạt động của Doanh nghiệp Nhà nước nắm giữ 100% vốn điều lệ có thực hiện dự án, công trình trọng điểm quốc gia gắn với nhiệm vụ ổn định kinh tế vĩ mô, an ninh, quốc phòng:]</t>
  </si>
  <si>
    <t>Tiền và các khoản tương đương tiền</t>
  </si>
  <si>
    <t xml:space="preserve">Cash and cash equivalents </t>
  </si>
  <si>
    <t>Tiền bao gồm tiền mặt tại quỹ và tiền gửi ngân hàng không kỳ hạn.</t>
  </si>
  <si>
    <t>Cash includes cash on hand, demand deposits, monetary gold used for value storage, not includes the gold classified to inventory account and used as raw materials for production of goods for sale.</t>
  </si>
  <si>
    <t>Các khoản tương đương tiền là các khoản đầu tư ngắn hạn có thời gian thu hồi không quá 03 tháng kể từ ngày đầu tư, có tính thanh khoản cao, có khả năng chuyển đổi dễ dàng thành các lượng tiền xác định và không có nhiều rủi ro trong chuyển đổi thành tiền.</t>
  </si>
  <si>
    <t>Cash equivalents is short-term highly liquid investments with maturity less than 3 months from the date investment, can be converted easily into a certain amount of cash and there is no risk in conversion into cash.</t>
  </si>
  <si>
    <t>Các khoản đầu tư tài chính</t>
  </si>
  <si>
    <t>Financial investments</t>
  </si>
  <si>
    <r>
      <rPr>
        <i/>
        <sz val="10"/>
        <rFont val="Times New Roman"/>
        <family val="1"/>
      </rPr>
      <t>Chứng khoán kinh doanh</t>
    </r>
    <r>
      <rPr>
        <sz val="10"/>
        <rFont val="Times New Roman"/>
        <family val="1"/>
      </rPr>
      <t xml:space="preserve"> được ghi nhận ban đầu trên sổ kế toán theo giá gốc, bao gồm: Giá mua cộng các chi phí mua (nếu có) như chi phí môi giới, giao dịch, cung cấp thông tin, thuế, lệ phí và phí ngân hàng. Sau ghi nhận ban đầu, chứng khoán kinh doanh được xác định theo giá gốc trừ đi dự phòng giảm giá chứng khoán kinh doanh. Khi thanh lý hoặc nhượng bán, giá vốn của chứng khoán kinh doanh được xác định theo phương pháp nhập trước xuất trước</t>
    </r>
    <r>
      <rPr>
        <sz val="10"/>
        <color rgb="FF0000FF"/>
        <rFont val="Times New Roman"/>
        <family val="1"/>
      </rPr>
      <t xml:space="preserve">/hoặc phương pháp bình quân gia quyền. </t>
    </r>
  </si>
  <si>
    <r>
      <rPr>
        <i/>
        <sz val="10"/>
        <rFont val="Times New Roman"/>
        <family val="1"/>
      </rPr>
      <t>Trading securities</t>
    </r>
    <r>
      <rPr>
        <sz val="10"/>
        <rFont val="Times New Roman"/>
        <family val="1"/>
      </rPr>
      <t xml:space="preserve"> are initially recognized in the ledger according to original prices, includes: buying prices plus buying costs (if any) as brokerage, transactions, information provision, taxes, bank's fees and charges. After initial recognition, trading securities are determined at original price less provision for diminution in value of trading securities.</t>
    </r>
  </si>
  <si>
    <r>
      <rPr>
        <i/>
        <sz val="10"/>
        <rFont val="Times New Roman"/>
        <family val="1"/>
      </rPr>
      <t>Các khoản đầu tư nắm giữ đến ngày đáo hạn</t>
    </r>
    <r>
      <rPr>
        <sz val="10"/>
        <rFont val="Times New Roman"/>
        <family val="1"/>
      </rPr>
      <t xml:space="preserve"> bao gồm: Các khoản tiền gửi ngân hàng có kỳ hạn và các khoản cho vay được nắm giữ đến ngày đáo hạn với mục đích thu lãi hàng kỳ.</t>
    </r>
  </si>
  <si>
    <r>
      <rPr>
        <i/>
        <sz val="10"/>
        <rFont val="Times New Roman"/>
        <family val="1"/>
      </rPr>
      <t>Investments held to maturity</t>
    </r>
    <r>
      <rPr>
        <sz val="10"/>
        <rFont val="Times New Roman"/>
        <family val="1"/>
      </rPr>
      <t xml:space="preserve"> include: term deposits (including treasury bills, promissory notes), bonds, preference shares which the issuer is required to re-buy them in a certain time in the future and loans… held to maturity to earn profits periodically and other held to maturity investments. </t>
    </r>
  </si>
  <si>
    <r>
      <rPr>
        <i/>
        <sz val="10"/>
        <rFont val="Times New Roman"/>
        <family val="1"/>
      </rPr>
      <t xml:space="preserve">Các khoản đầu tư vào các công ty con, công ty liên doanh, liên kết </t>
    </r>
    <r>
      <rPr>
        <sz val="10"/>
        <rFont val="Times New Roman"/>
        <family val="1"/>
      </rPr>
      <t>được ghi nhận ban đầu trên sổ kế toán theo giá gốc. Sau ghi nhận ban đầu, giá trị của các khoản đầu tư này được xác định theo giá gốc trừ đi dự phòng giảm giá khoản đầu tư.</t>
    </r>
  </si>
  <si>
    <r>
      <rPr>
        <i/>
        <sz val="10"/>
        <rFont val="Times New Roman"/>
        <family val="1"/>
      </rPr>
      <t>Investments in subsidiaries, joint ventures or associates</t>
    </r>
    <r>
      <rPr>
        <sz val="10"/>
        <rFont val="Times New Roman"/>
        <family val="1"/>
      </rPr>
      <t xml:space="preserve"> are initially recognized in the ledger according to original cost. After initial recognition, the value of these investments is determined at original cost less provision for diminution in value of investments.</t>
    </r>
  </si>
  <si>
    <r>
      <rPr>
        <i/>
        <sz val="10"/>
        <rFont val="Times New Roman"/>
        <family val="1"/>
      </rPr>
      <t>Các khoản đầu tư góp vốn vào các đơn vị khác</t>
    </r>
    <r>
      <rPr>
        <sz val="10"/>
        <rFont val="Times New Roman"/>
        <family val="1"/>
      </rPr>
      <t xml:space="preserve"> bao gồm: các khoản đầu tư vào công cụ vốn của đơn vị khác không có quyền kiểm soát, đồng kiểm soát hoặc có ảnh hưởng đáng kể đối với bên được đầu tư. Giá trị ghi sổ ban đầu của các khoản đầu tư này được xác định theo giá gốc. Sau ghi nhận ban đầu, giá trị của các khoản đầu tư này được xác định theo giá gốc trừ đi dự phòng giảm giá khoản đầu tư.</t>
    </r>
  </si>
  <si>
    <r>
      <rPr>
        <i/>
        <sz val="10"/>
        <rFont val="Times New Roman"/>
        <family val="1"/>
      </rPr>
      <t>Investments in equity of other entities include</t>
    </r>
    <r>
      <rPr>
        <sz val="10"/>
        <rFont val="Times New Roman"/>
        <family val="1"/>
      </rPr>
      <t>: investments in equity of other entities but not control, joint control, or significant influence on the investee. Book value of these investments is determined at original cost.  After initial recognition, the value of these investments is determined at original cost less provision for diminution in value of investments.</t>
    </r>
  </si>
  <si>
    <t>Cổ tức nhận bằng cổ phiếu chỉ thực hiện ghi nhận số lượng cổ phiếu được nhận, không ghi nhận tăng giá trị khoản đầu tư và doanh thu hoạt động tài chính.</t>
  </si>
  <si>
    <t>Dividends received in shares only monitor the number of shares received, do not record increase in the value of the investment and financial income.</t>
  </si>
  <si>
    <t>Giá trị của cổ phiếu hoán đổi được xác định theo giá trị hợp lý tại ngày trao đổi. Giá trị hợp lý đối với cổ phiếu của công ty niêm yết là giá đóng cửa niêm yết trên thị trường chứng khoán, đối với cổ phiếu chưa niêm yết giao dịch trên sàn UPCOM là giá giao dịch đóng cửa trên sàn UPCOM, đối với cổ phiếu chưa niêm yết khác là giá thỏa thuận theo hợp đồng hoặc giá trị sổ sách tại thời điểm trao đổi.</t>
  </si>
  <si>
    <t>Value of shares exchanged is determined according to fair value on the exchanging date. The fair value regarding shares of listed companies are closing prices listed on the securities market, regarding unlisted shares permitted to transact on the UPCOM are closing prices of UPCOM, with regard to other unlisted shares is prices dealt by contracting parties or book value at the exchange date.</t>
  </si>
  <si>
    <t>Dự phòng giảm giá các khoản đầu tư được lập vào thời điểm cuối năm cụ thể như sau:</t>
  </si>
  <si>
    <t>Provision for devaluation of investments are made at the end of the year as follows:</t>
  </si>
  <si>
    <r>
      <rPr>
        <i/>
        <sz val="10"/>
        <rFont val="Times New Roman"/>
        <family val="1"/>
      </rPr>
      <t>Đối với các khoản đầu tư chứng khoán kinh doanh:</t>
    </r>
    <r>
      <rPr>
        <sz val="10"/>
        <rFont val="Times New Roman"/>
        <family val="1"/>
      </rPr>
      <t xml:space="preserve"> căn cứ trích lập dự phòng là số chênh lệch giữa giá gốc của các khoản đầu tư được hạch toán trên sổ kế toán lớn hơn giá trị thị trường của chúng tại thời điểm lập dự phòng.</t>
    </r>
  </si>
  <si>
    <r>
      <rPr>
        <i/>
        <sz val="10"/>
        <rFont val="Times New Roman"/>
        <family val="1"/>
      </rPr>
      <t>With regard to investments in trading securities:</t>
    </r>
    <r>
      <rPr>
        <sz val="10"/>
        <rFont val="Times New Roman"/>
        <family val="1"/>
      </rPr>
      <t xml:space="preserve"> the provisions shall be made according to the excess of original cost of the investments are accounted in the accounting book value over their market value on provision date. </t>
    </r>
  </si>
  <si>
    <r>
      <rPr>
        <i/>
        <sz val="10"/>
        <rFont val="Times New Roman"/>
        <family val="1"/>
      </rPr>
      <t>Đối với các khoản đầu tư vào công ty con, công ty liên doanh, liên kết:</t>
    </r>
    <r>
      <rPr>
        <sz val="10"/>
        <rFont val="Times New Roman"/>
        <family val="1"/>
      </rPr>
      <t xml:space="preserve"> căn cứ vào </t>
    </r>
    <r>
      <rPr>
        <sz val="10"/>
        <color rgb="FF0000FF"/>
        <rFont val="Times New Roman"/>
        <family val="1"/>
      </rPr>
      <t>Báo cáo tài chính riêng/Báo cáo tài chính hợp nhất</t>
    </r>
    <r>
      <rPr>
        <sz val="10"/>
        <rFont val="Times New Roman"/>
        <family val="1"/>
      </rPr>
      <t xml:space="preserve"> </t>
    </r>
    <r>
      <rPr>
        <i/>
        <sz val="10"/>
        <color rgb="FF00B050"/>
        <rFont val="Times New Roman"/>
        <family val="1"/>
      </rPr>
      <t>(nếu đơn vị nhận đầu tư là Công ty mẹ)</t>
    </r>
    <r>
      <rPr>
        <sz val="10"/>
        <rFont val="Times New Roman"/>
        <family val="1"/>
      </rPr>
      <t xml:space="preserve"> của công ty con, công ty liên doanh, liên kết tại thời điểm trích lập dự phòng. Dự phòng giảm giá đầu tư được lập khi đơn vị nhận đầu tư phát sinh lỗ, ngoại trừ trường hợp khoản lỗ đó đã nằm trong kế hoạch khi quyết định đầu tư.</t>
    </r>
  </si>
  <si>
    <r>
      <rPr>
        <i/>
        <sz val="10"/>
        <rFont val="Times New Roman"/>
        <family val="1"/>
      </rPr>
      <t>With regard to investments in subsidiaries, joint ventures or associates and investments in other units:</t>
    </r>
    <r>
      <rPr>
        <sz val="10"/>
        <rFont val="Times New Roman"/>
        <family val="1"/>
      </rPr>
      <t xml:space="preserve"> the provisions  shall  be  made  according  to the </t>
    </r>
    <r>
      <rPr>
        <sz val="10"/>
        <color rgb="FF0000FF"/>
        <rFont val="Times New Roman"/>
        <family val="1"/>
      </rPr>
      <t>[Separate] Financial Statements/Consolidated Financial Statements</t>
    </r>
    <r>
      <rPr>
        <sz val="10"/>
        <rFont val="Times New Roman"/>
        <family val="1"/>
      </rPr>
      <t xml:space="preserve"> </t>
    </r>
    <r>
      <rPr>
        <i/>
        <sz val="10"/>
        <color rgb="FF00B050"/>
        <rFont val="Times New Roman"/>
        <family val="1"/>
      </rPr>
      <t>(nếu đơn vị nhận đầu tư là Công ty mẹ)</t>
    </r>
    <r>
      <rPr>
        <sz val="10"/>
        <rFont val="Times New Roman"/>
        <family val="1"/>
      </rPr>
      <t xml:space="preserve"> of subsidiaries, joint ventures or associates on provision date.</t>
    </r>
  </si>
  <si>
    <r>
      <rPr>
        <i/>
        <sz val="10"/>
        <rFont val="Times New Roman"/>
        <family val="1"/>
      </rPr>
      <t xml:space="preserve">Đối với khoản đầu tư nắm giữ lâu dài (không phân loại là chứng khoán kinh doanh) và không có ảnh hưởng đáng kể đối với bên được đầu tư: </t>
    </r>
    <r>
      <rPr>
        <sz val="10"/>
        <rFont val="Times New Roman"/>
        <family val="1"/>
      </rPr>
      <t>nếu khoản đầu tư không xác định được giá trị hợp lý tại thời điểm báo cáo thì việc lập dự phòng căn cứ vào báo cáo tài chính tại thời điểm trích lập dự phòng của bên được đầu tư.</t>
    </r>
  </si>
  <si>
    <r>
      <rPr>
        <i/>
        <sz val="10"/>
        <rFont val="Times New Roman"/>
        <family val="1"/>
      </rPr>
      <t>With regard to investments held long-term (other than trade securities) and not influencing significantly on the investee:</t>
    </r>
    <r>
      <rPr>
        <sz val="10"/>
        <rFont val="Times New Roman"/>
        <family val="1"/>
      </rPr>
      <t xml:space="preserve"> If an investment in listed shares or the fair value of the investment is determined reliably, the provisions shall be made according to the market value of the shares; if an investment is not determined the fair value at the reporting time, the provision shall be made according to Financial Statements on provision date of the investee.</t>
    </r>
  </si>
  <si>
    <r>
      <rPr>
        <i/>
        <sz val="10"/>
        <rFont val="Times New Roman"/>
        <family val="1"/>
      </rPr>
      <t>Đối với các khoản đầu tư nắm giữ đến ngày đáo hạn:</t>
    </r>
    <r>
      <rPr>
        <sz val="10"/>
        <rFont val="Times New Roman"/>
        <family val="1"/>
      </rPr>
      <t xml:space="preserve"> căn cứ khả năng thu hồi để lập dự phòng phải thu khó đòi theo quy định của pháp luật.</t>
    </r>
  </si>
  <si>
    <r>
      <rPr>
        <i/>
        <sz val="10"/>
        <rFont val="Times New Roman"/>
        <family val="1"/>
      </rPr>
      <t>With regard to investments held to maturity:</t>
    </r>
    <r>
      <rPr>
        <sz val="10"/>
        <rFont val="Times New Roman"/>
        <family val="1"/>
      </rPr>
      <t xml:space="preserve"> the provisions for doubtful debts shall be made according to the recovery under regulatory requirements.</t>
    </r>
  </si>
  <si>
    <t xml:space="preserve">Các khoản phải thu </t>
  </si>
  <si>
    <t>Receivables</t>
  </si>
  <si>
    <t>Dự phòng nợ phải thu khó đòi được trích lập cho các khoản: nợ phải thu quá hạn thanh toán ghi trong hợp đồng kinh tế, các khế ước vay nợ, cam kết hợp đồng hoặc cam kết nợ và nợ phải thu chưa đến hạn thanh toán nhưng khó có khả năng thu hồi. Trong đó, việc trích lập dự phòng nợ phải thu quá hạn thanh toán được căn cứ vào thời gian trả nợ gốc theo hợp đồng mua bán ban đầu, không tính đến việc gia hạn nợ giữa các bên và nợ phải thu chưa đến hạn thanh toán nhưng khách nợ đã lâm vào tình trạng phá sản hoặc đang làm thủ tục giải thể, mất tích, bỏ trốn.</t>
  </si>
  <si>
    <t xml:space="preserve"> The allowances for doubtful debts is created when: An overdue debt under an economic contract, a loan agreement, a contractual commitment or a promissory note and debts are not due but difficult recovery. Accordingly, the provisions for overdue debts shall be made according to time in which the principal is repaid according to the sale contract, exclusive of the debt rescheduling between contracting parties and the debts are not due but the debtor is close to bankruptcy or undergone procedures for dissolution, or the debtor is missing or makes a getaway.</t>
  </si>
  <si>
    <t xml:space="preserve">Hàng tồn kho </t>
  </si>
  <si>
    <t>Inventories</t>
  </si>
  <si>
    <t>Inventories are initially recognized at original cost included: the purchase price, costs of conversion and other costs incurred in bringing the inventories to their location and condition at the time of initial recognition. After initial recognition, at the time the financial statements are prepared if the net realizable value is lower than cost, inventories should be measured at the net realizable value.</t>
  </si>
  <si>
    <r>
      <t>Giá trị hàng tồn kho được xác định theo phương pháp bình quân gia quyền</t>
    </r>
    <r>
      <rPr>
        <sz val="10"/>
        <color rgb="FF00B050"/>
        <rFont val="Times New Roman"/>
        <family val="1"/>
      </rPr>
      <t>.</t>
    </r>
  </si>
  <si>
    <r>
      <t xml:space="preserve">The cost of inventory is calculated by weighted average method </t>
    </r>
    <r>
      <rPr>
        <sz val="10"/>
        <color rgb="FF0000FF"/>
        <rFont val="Times New Roman"/>
        <family val="1"/>
      </rPr>
      <t>(or first in first out method or specification price or retail price).</t>
    </r>
  </si>
  <si>
    <t>Hàng tồn kho được hạch toán theo phương pháp kê khai thường xuyên.</t>
  </si>
  <si>
    <r>
      <t>Inventory is recorded by perpetual</t>
    </r>
    <r>
      <rPr>
        <sz val="10"/>
        <color rgb="FF0000FF"/>
        <rFont val="Times New Roman"/>
        <family val="1"/>
      </rPr>
      <t>/periodic method.</t>
    </r>
  </si>
  <si>
    <t>Phương pháp xác định giá trị sản phẩm dở dang cuối năm: Chi phí sản xuất kinh doanh dở dang được tập hợp theo chi phí nguyên vật liệu chính cho từng loại sản phẩm chưa hoàn thành.</t>
  </si>
  <si>
    <r>
      <t xml:space="preserve"> Method for valuation of work in process at the end of the period: </t>
    </r>
    <r>
      <rPr>
        <i/>
        <sz val="10"/>
        <color rgb="FF00B050"/>
        <rFont val="Times New Roman"/>
        <family val="1"/>
      </rPr>
      <t>[sửa đổi, xoá bỏ nếu không phù hợp]</t>
    </r>
  </si>
  <si>
    <r>
      <rPr>
        <i/>
        <sz val="10"/>
        <color rgb="FF00B050"/>
        <rFont val="Times New Roman"/>
        <family val="1"/>
      </rPr>
      <t>[Áp dụng đối với doanh nghiệp xây lắp:]</t>
    </r>
    <r>
      <rPr>
        <sz val="10"/>
        <rFont val="Times New Roman"/>
        <family val="1"/>
      </rPr>
      <t xml:space="preserve"> Chi phí sản xuất kinh doanh dở dang được tập hợp theo từng công trình chưa hoàn thành hoặc chưa ghi nhận doanh thu, tương ứng với khối lượng công việc còn dở dang cuối năm.</t>
    </r>
  </si>
  <si>
    <r>
      <rPr>
        <i/>
        <sz val="10"/>
        <color rgb="FF00B050"/>
        <rFont val="Times New Roman"/>
        <family val="1"/>
      </rPr>
      <t>[Áp dụng đối với doanh nghiệp xây lắp:]</t>
    </r>
    <r>
      <rPr>
        <sz val="10"/>
        <rFont val="Times New Roman"/>
        <family val="1"/>
      </rPr>
      <t xml:space="preserve"> Works in progress is obtained for each construction project unfinished or related unrecognised revenue, corresponding to the workload unfinished at the end of the year.</t>
    </r>
  </si>
  <si>
    <r>
      <rPr>
        <i/>
        <sz val="10"/>
        <color rgb="FF00B050"/>
        <rFont val="Times New Roman"/>
        <family val="1"/>
      </rPr>
      <t>[Áp dụng đối với doanh nghiệp sản xuất:]</t>
    </r>
    <r>
      <rPr>
        <sz val="10"/>
        <rFont val="Times New Roman"/>
        <family val="1"/>
      </rPr>
      <t xml:space="preserve"> Chi phí sản xuất kinh doanh dở dang được tập hợp theo chi phí phát sinh thực tế cho từng loại sản phẩm chưa hoàn thành/ </t>
    </r>
    <r>
      <rPr>
        <sz val="10"/>
        <color rgb="FF0000FF"/>
        <rFont val="Times New Roman"/>
        <family val="1"/>
      </rPr>
      <t>hoặc</t>
    </r>
    <r>
      <rPr>
        <sz val="10"/>
        <rFont val="Times New Roman"/>
        <family val="1"/>
      </rPr>
      <t xml:space="preserve"> chi phí nguyên vật liệu chính cho từng loại sản phẩm chưa hoàn thành/ </t>
    </r>
    <r>
      <rPr>
        <sz val="10"/>
        <color rgb="FF0000FF"/>
        <rFont val="Times New Roman"/>
        <family val="1"/>
      </rPr>
      <t>hoặc</t>
    </r>
    <r>
      <rPr>
        <sz val="10"/>
        <rFont val="Times New Roman"/>
        <family val="1"/>
      </rPr>
      <t xml:space="preserve"> chi phí phát sinh thực tế cho từng giai đoạn sản xuất trong dây chuyền/ </t>
    </r>
    <r>
      <rPr>
        <sz val="10"/>
        <color rgb="FF0000FF"/>
        <rFont val="Times New Roman"/>
        <family val="1"/>
      </rPr>
      <t>hoặc</t>
    </r>
    <r>
      <rPr>
        <sz val="10"/>
        <rFont val="Times New Roman"/>
        <family val="1"/>
      </rPr>
      <t xml:space="preserve"> theo tỷ lệ sản phẩm hoàn thành tương đương.  </t>
    </r>
  </si>
  <si>
    <r>
      <rPr>
        <i/>
        <sz val="10"/>
        <rFont val="Times New Roman"/>
        <family val="1"/>
      </rPr>
      <t>[Áp dụng đối với doanh nghiệp sản xuất:]</t>
    </r>
    <r>
      <rPr>
        <sz val="10"/>
        <rFont val="Times New Roman"/>
        <family val="1"/>
      </rPr>
      <t xml:space="preserve"> Work in progress is obtained based on actual cost incurred for each kind of unfinished products</t>
    </r>
    <r>
      <rPr>
        <i/>
        <sz val="10"/>
        <color rgb="FF0000FF"/>
        <rFont val="Times New Roman"/>
        <family val="1"/>
      </rPr>
      <t>/ or</t>
    </r>
    <r>
      <rPr>
        <sz val="10"/>
        <color rgb="FF0000FF"/>
        <rFont val="Times New Roman"/>
        <family val="1"/>
      </rPr>
      <t xml:space="preserve"> </t>
    </r>
    <r>
      <rPr>
        <sz val="10"/>
        <rFont val="Times New Roman"/>
        <family val="1"/>
      </rPr>
      <t>main material cost for each unfinished products</t>
    </r>
    <r>
      <rPr>
        <i/>
        <sz val="10"/>
        <color rgb="FF0000FF"/>
        <rFont val="Times New Roman"/>
        <family val="1"/>
      </rPr>
      <t>/ or</t>
    </r>
    <r>
      <rPr>
        <sz val="10"/>
        <rFont val="Times New Roman"/>
        <family val="1"/>
      </rPr>
      <t xml:space="preserve"> cost incurred for each stage in production chain</t>
    </r>
    <r>
      <rPr>
        <i/>
        <sz val="10"/>
        <color rgb="FF0000FF"/>
        <rFont val="Times New Roman"/>
        <family val="1"/>
      </rPr>
      <t xml:space="preserve">/ or </t>
    </r>
    <r>
      <rPr>
        <sz val="10"/>
        <rFont val="Times New Roman"/>
        <family val="1"/>
      </rPr>
      <t xml:space="preserve"> the ratio of the equivalent finished product.</t>
    </r>
  </si>
  <si>
    <t>Dự phòng giảm giá hàng tồn kho được lập vào thời điểm cuối năm là số chênh lệch giữa giá gốc của hàng tồn kho lớn hơn giá trị thuần có thể thực hiện được.</t>
  </si>
  <si>
    <t>Allowances for devaluation of inventories made at the end of the year are the excess of original cost of inventory over their net realizable value.</t>
  </si>
  <si>
    <t>Tài sản cố định</t>
  </si>
  <si>
    <t>Fixed assets, Finance lease fixed assets and Investment property</t>
  </si>
  <si>
    <t>Tài sản cố định hữu hình, tài sản cố định vô hình được ghi nhận ban đầu theo giá gốc. Trong quá trình sử dụng, tài sản cố định hữu hình, tài sản cố định vô hình được ghi nhận theo nguyên giá, hao mòn luỹ kế và giá trị còn lại. Khấu hao được trích theo phương pháp đường thẳng.</t>
  </si>
  <si>
    <r>
      <t>Tangible and intangible fixed assets are stated at the historical cost. During the useful lives, tangible and intangible fixed assets are recorded at cost, accumulated depreciation and net book value. Depreciation is provided on a straight-line basis method</t>
    </r>
    <r>
      <rPr>
        <sz val="10"/>
        <color rgb="FF0000FF"/>
        <rFont val="Times New Roman"/>
        <family val="1"/>
      </rPr>
      <t xml:space="preserve"> (or method of depreciation based on volume/ adjusted reducing balance method).</t>
    </r>
  </si>
  <si>
    <t>Tài sản cố định thuê tài chính được ghi nhận nguyên giá theo giá trị hợp lý hoặc giá trị hiện tại của khoản thanh toán tiền thuê tối thiểu (trường hợp giá trị hợp lý cao hơn giá trị hiện tại của khoản thanh toán tiền thuê tối thiểu) cộng với các chi phí trực tiếp phát sinh ban đầu liên quan đến hoạt động thuê tài chính (không bao gồm thuế GTGT). Trong quá trình sử dụng, tài sản cố định thuê tài chính được ghi nhận theo nguyên giá, hao mòn luỹ kế và giá trị còn lại. Khấu hao của tài sản cố định thuê tài chính được trích căn cứ theo thời gian thuê theo hợp đồng và tính vào chi phí sản xuất, kinh doanh, đảm bảo thu hồi đủ vốn.</t>
  </si>
  <si>
    <t>The historical cost of finance lease fixed assets is recognised at fair value or present value of the minimum lease payments amounts (in case the fair value is greater than present value of minimum lease payments amounts) plus initial direct costs incurred in connection with financial leasing activities (excluding value added tax). During the useful lives, finance lease fixed assets are recorded at historical cost, accumulated depreciation and net book value. Depreciation of financial lease fixed assets is depreciated over the lease term and charge to operating costs in order to recover all capital.</t>
  </si>
  <si>
    <t>Khấu hao tài sản cố định được trích theo phương pháp đường thẳng với thời gian khấu hao được ước tính như sau:</t>
  </si>
  <si>
    <t>Depreciation is provided on a straight-line basis. Depreciation period is estimated as follows:</t>
  </si>
  <si>
    <t>Nhà cửa, vật kiến trúc</t>
  </si>
  <si>
    <t>10 - 20</t>
  </si>
  <si>
    <t>năm</t>
  </si>
  <si>
    <t>Buildings</t>
  </si>
  <si>
    <t>years</t>
  </si>
  <si>
    <t xml:space="preserve">Máy móc, thiết bị  </t>
  </si>
  <si>
    <t>07 - 15</t>
  </si>
  <si>
    <t xml:space="preserve">Machine, equipment  </t>
  </si>
  <si>
    <t xml:space="preserve">Phương tiện vận tải </t>
  </si>
  <si>
    <t>07 - 10</t>
  </si>
  <si>
    <t xml:space="preserve">Transportation equipment  </t>
  </si>
  <si>
    <t>Thiết bị văn phòng</t>
  </si>
  <si>
    <t>Office equipment and furniture</t>
  </si>
  <si>
    <t>Các tài sản khác</t>
  </si>
  <si>
    <t>X - Y</t>
  </si>
  <si>
    <t>Other properties</t>
  </si>
  <si>
    <t>Quyền sử dụng đất</t>
  </si>
  <si>
    <t>Land use rights</t>
  </si>
  <si>
    <t>Phần mềm quản lý</t>
  </si>
  <si>
    <t>Management software</t>
  </si>
  <si>
    <t xml:space="preserve">Bất động sản đầu tư được ghi nhận theo giá gốc. </t>
  </si>
  <si>
    <t xml:space="preserve">Investment property is recognised at historical cost. </t>
  </si>
  <si>
    <t>Đối với bất động sản đầu tư nắm giữ chờ tăng giá, trước ngày 01/01/2015 được tính trích khấu hao theo phương pháp đường thẳng tương tự như các tài sản khác, kể từ ngày 01/01/2015 không thực hiện trích khấu hao.</t>
  </si>
  <si>
    <t>For property held for capital appreciation prior to January 01, 2015 are depreciated on a straight-line basis similar to other properties, from January 01, 2015 fail to deduct depreciation.</t>
  </si>
  <si>
    <t>Đối với bất động sản đầu tư cho thuê hoạt động được ghi nhận theo nguyên giá, hao mòn luỹ kế và giá trị còn lại. Trong đó khấu hao được trích theo phương pháp đường thẳng với thời gian khấu hao được ước tính như sau:</t>
  </si>
  <si>
    <t xml:space="preserve">For investment property operating lease are recorded at cost, accumulated depreciation and net book value.
In which, depreciation is provided on a straight-line basis with expected useful life as follows:
</t>
  </si>
  <si>
    <t>Hợp đồng hợp tác kinh doanh (BCC)</t>
  </si>
  <si>
    <t xml:space="preserve">Business Cooperation Contract (BCC) </t>
  </si>
  <si>
    <t xml:space="preserve">[sửa đổi, xoá bỏ nếu không phù hợp]
</t>
  </si>
  <si>
    <t>Hợp đồng hợp tác kinh doanh (BCC) là thỏa thuận bằng hợp đồng của hai hoặc nhiều bên để cùng thực hiện hoạt động kinh tế nhưng không hình thành pháp nhân độc lập. Hoạt động này có thể được đồng kiểm soát bởi các bên góp vốn theo thỏa thuận liên doanh hoặc kiểm soát bởi một trong số các bên tham gia.</t>
  </si>
  <si>
    <t>Business Cooperation Contract (BCC) means a cooperation contract between two or more venturers in order to carry out specific business activities, but it does not require establishment of a new legal entity. Those activities may be jointly controlled by venturers under BCC or controlled by one of them.</t>
  </si>
  <si>
    <r>
      <t xml:space="preserve">Trường hợp nhận tiền, tài sản của các bên khác đóng góp cho hoạt động hợp tác kinh doanh (BCC) được kế toán là nợ phải trả. Trường hợp đưa tiền, tài sản đi đóng góp cho hoạt động hợp tác kinh doanh (BCC) được ghi nhận là nợ phải thu. </t>
    </r>
    <r>
      <rPr>
        <i/>
        <sz val="10"/>
        <color rgb="FF00B050"/>
        <rFont val="Times New Roman"/>
        <family val="1"/>
      </rPr>
      <t>[sửa đổi cho phù hợp với đặc thù của đơn vị]</t>
    </r>
    <r>
      <rPr>
        <sz val="10"/>
        <rFont val="Times New Roman"/>
        <family val="1"/>
      </rPr>
      <t xml:space="preserve"> Trong quá trình thực hiện hoạt động BCC, tùy theo từng trường hợp kế toán tiếp tục thực hiện đối với các hình thức cụ thể như sau:</t>
    </r>
  </si>
  <si>
    <r>
      <t xml:space="preserve">In case receiving money or assets from other entities contributed to BCC that should be recorded to liabilities. In case sending money or assets contributed to BCC that should be recorded to receivables. </t>
    </r>
    <r>
      <rPr>
        <i/>
        <sz val="10"/>
        <color rgb="FF00B050"/>
        <rFont val="Times New Roman"/>
        <family val="1"/>
      </rPr>
      <t xml:space="preserve">[sửa đổi cho phù hợp với đặc thù của đơn vị]  </t>
    </r>
    <r>
      <rPr>
        <sz val="10"/>
        <rFont val="Times New Roman"/>
        <family val="1"/>
      </rPr>
      <t>During the process carrying out BCC, depending on the case continues carrying out for the specific form as follows:</t>
    </r>
  </si>
  <si>
    <t>a) Đối với BCC theo hình thức tài sản đồng kiểm soát</t>
  </si>
  <si>
    <t>a) BCC in the form of jointly controlled assets</t>
  </si>
  <si>
    <t>Các bên tham gia liên doanh cùng mở sổ kế toán chi tiết trên cùng hệ thống sổ kế toán của mình để ghi chép và phản ánh trong Báo cáo tài chính của mình những nội dung sau đây:</t>
  </si>
  <si>
    <t>A venturer must keep records in the same system of accounting records and record in its Financial Statements:</t>
  </si>
  <si>
    <t>Phần vốn góp vào tài sản đồng kiểm soát, được phân loại theo tính chất của tài sản;</t>
  </si>
  <si>
    <t>Its share of the jointly controlled assets, classified according to the nature of the assets;</t>
  </si>
  <si>
    <t>Các khoản nợ phải trả phát sinh riêng của mỗi bên tham gia góp vốn liên doanh;</t>
  </si>
  <si>
    <t>Separate liabilities incurred by each party;</t>
  </si>
  <si>
    <t>Phần nợ phải trả phát sinh chung phải gánh chịu cùng với các bên tham gia góp vốn liên doanh khác từ hoạt động của liên doanh;</t>
  </si>
  <si>
    <t>Its share of any liabilities incurred jointly with the other venturers in the relation to the joint venture;</t>
  </si>
  <si>
    <t>Các khoản thu nhập từ việc bán hoặc sử dụng phần sản phẩm được chia từ liên doanh cùng với phần chi phí phát sinh được phân chia từ hoạt động của liên doanh;</t>
  </si>
  <si>
    <t>Any income from the sale or use of its share of the output of the venture, together with its share of any expenses incurred by the joint venture;</t>
  </si>
  <si>
    <t>Các khoản chi phí phát sinh liên quan đến việc góp vốn liên doanh.</t>
  </si>
  <si>
    <t>Any expenses that incurred related to the joint venture.</t>
  </si>
  <si>
    <t>Đối với tài sản cố định, bất động sản đầu tư khi mang đi góp vốn vào BCC và không chuyển quyền sở hữu từ bên góp vốn thành sở hữu chung của các bên thì bên nhận tài sản theo dõi như tài sản nhận giữ hộ, không hạch toán tăng tài sản và nguồn vốn kinh doanh; Bên góp tài sản không ghi giảm tài sản trên sổ kế toán mà chỉ theo dõi chi tiết địa điểm, vị trí, nơi đặt tài sản.</t>
  </si>
  <si>
    <t>Regard to fixed asset or investment property which is contributed to BCC and the ownership of the contributor is not transferred to the joint ownership of BCC venturers, the receiver shall keep records of assets without recording any increase in assets or business funds; the contributor shall not include a decrease in assets in the accounting records but keep records of the places of assets.</t>
  </si>
  <si>
    <t>Đối với tài sản cố định, bất động sản đầu tư mang đi góp vốn có sự chuyển quyền sở hữu từ bên góp vốn thành quyền sở hữu chung, trong quá trình đang xây dựng tài sản đồng kiểm soát, bên mang tài sản đi góp phải ghi giảm tài sản trên sổ kế toán và ghi nhận giá trị tài sản vào chi phí xây dựng cơ bản dở dang. Sau khi tài sản đồng kiểm soát hoàn thành, bàn giao, đưa vào sử dụng, căn cứ vào giá trị tài sản được chia, các bên ghi nhận tăng tài sản của mình phù hợp với mục đích sử dụng. Phần chênh lệch giữa giá trị hợp lý của tài sản được chia so với chi phí đầu tư xây dựng đã bỏ ra được ghi nhận là thu nhập khác (nếu lãi) hoặc chi phí khác (nếu lỗ).</t>
  </si>
  <si>
    <t>Regard to fixed asset or investment property which is contributed to BCC and the ownership of the contributor is transferred to the joint ownership; during construction of jointly controlled assets, the contributor shall include a decrease in assets in the accounting records and the value of assets shall be recorded to construction in progress. After putting jointly controlled assets into operation, the venturers shall record their increases in assets in conformity with their use purposes according to value of their assets' shares. The excess of the fair value of the share of asset and the construction expense is recorded as other income (if profit) or other costs (if loss).</t>
  </si>
  <si>
    <t>Khi tài sản đồng kiểm soát đi vào hoạt động, BCC chuyển sang hình thức hoạt động kinh doanh đồng kiểm soát, mỗi bên tham gia liên doanh được nhận sản phẩm hoặc doanh thu từ việc sử dụng và khai thác tài sản đồng kiểm soát và chịu một phần chi phí phát sinh theo thỏa thuận trong hợp đồng.</t>
  </si>
  <si>
    <t>When the jointly controlled assets operates, BCC which is converted into the form of jointly controlled operations, each venturer may take a share of the output from the jointly controlled assets and each bears an agreed share of the expenses incurred.</t>
  </si>
  <si>
    <t>b) Đối với BCC theo hình thức hoạt động kinh doanh đồng kiểm soát</t>
  </si>
  <si>
    <t>b) BCC in the form of jointly controlled operations</t>
  </si>
  <si>
    <t>Các bên tham gia liên doanh cùng mở sổ kế toán để ghi chép và phản ánh trong Báo cáo tài chính của mình các nội dung sau đây:</t>
  </si>
  <si>
    <t>BCC’s venturers must include in accounting records and record in its Financial Statements:</t>
  </si>
  <si>
    <t>Tài sản góp vốn liên doanh và chịu sự kiểm soát của bên góp vốn liên doanh;</t>
  </si>
  <si>
    <t>The assets of joint venture that it controls;</t>
  </si>
  <si>
    <t>Các khoản nợ phải trả phải gánh chịu;</t>
  </si>
  <si>
    <t>The liabilities that it incurs;</t>
  </si>
  <si>
    <t>Doanh thu được chia từ việc bán hàng hoặc cung cấp dịch vụ của liên doanh;</t>
  </si>
  <si>
    <t>Its share of the income that it earns from the sale of goods or services by the joint venture;</t>
  </si>
  <si>
    <t>Chi phí phải gánh chịu.</t>
  </si>
  <si>
    <t>The expenses that it incurs.</t>
  </si>
  <si>
    <t>Các bên thực hiện phân chia doanh thu từ việc bán hàng hoặc cung cấp dịch vụ của liên doanh, phân chia chi phí chung theo các thỏa thuận trong Hợp đồng liên doanh.</t>
  </si>
  <si>
    <t>The ventures are divided revenue from goods sale or service provisions, divided joint expenses according to the joint venture contract.</t>
  </si>
  <si>
    <t>c) Đối với BCC chia lợi nhuận sau thuế</t>
  </si>
  <si>
    <t>c) BCC in the form of shares of post-tax profits</t>
  </si>
  <si>
    <t>[Trường hợp 1:] Nếu BCC quy định các bên khác tham gia BCC được hưởng một khoản lợi nhuận cố định mà không phụ thuộc vào kết quả kinh doanh của hợp đồng thì:</t>
  </si>
  <si>
    <t xml:space="preserve">Nếu Công ty là bên thực hiện ghi sổ kế toán của BCC, trình bày như sau: </t>
  </si>
  <si>
    <t xml:space="preserve">Nếu Công ty chỉ nhận khoản lợi nhuận cố định mà không phụ thuộc vào kết quả kinh doanh của hợp đồng, không thực hiện ghi sổ kế toán của BCC trình bày như sau: </t>
  </si>
  <si>
    <t xml:space="preserve">[Trường hợp 2:] Nếu BCC quy định các bên cùng nhau phân chia lãi, lỗ theo kết quả kinh doanh của BCC thì trình bày như sau: </t>
  </si>
  <si>
    <t>Nếu Công ty thực hiện kế toán cho BCC thì bổ sung câu sau nối vào câu liền trước:</t>
  </si>
  <si>
    <t>Chi phí trả trước</t>
  </si>
  <si>
    <t>Prepaid expenses</t>
  </si>
  <si>
    <t>Các chi phí đã phát sinh liên quan đến kết quả hoạt động sản xuất kinh doanh của nhiều kỳ kế toán được hạch toán vào chi phí trả trước để phân bổ dần vào kết quả hoạt động kinh doanh trong các kỳ kế toán sau.</t>
  </si>
  <si>
    <t>The expenses incurred but related to results of business operations of several accounting periods are recorded as prepaid expenses and are amortised to the income statement in the following accounting periods.</t>
  </si>
  <si>
    <t xml:space="preserve">Việc tính và phân bổ chi phí trả trước dài hạn vào chi phí sản xuất kinh doanh từng kỳ kế toán được căn cứ vào tính chất, mức độ từng loại chi phí để lựa chọn phương pháp và tiêu thức phân bổ hợp lý. Chi phí trả trước được phân bổ dần vào chi phí sản xuất kinh doanh theo phương pháp đường thẳng. </t>
  </si>
  <si>
    <t xml:space="preserve">The calculation and allocation of long-term prepaid expenses to operating expenses in each accounting period should be based on nature of those expenses to select a reasonable method and allocated factors. Prepaid expenses are allocated partly into operating expenses on a straight-line basis.   </t>
  </si>
  <si>
    <t>Lợi thế kinh doanh phát sinh khi cổ phần hóa doanh nghiệp Nhà nước được phân bổ dần tối đa không quá 3 năm.</t>
  </si>
  <si>
    <t>Goodwill incurred when equitization of state-owned enterprise is allocated gradually for within 3 years.</t>
  </si>
  <si>
    <t>Các khoản nợ phải trả</t>
  </si>
  <si>
    <t>Payables</t>
  </si>
  <si>
    <t>Vay</t>
  </si>
  <si>
    <t>Loans and finance lease liabilities</t>
  </si>
  <si>
    <t>Giá trị khoản nợ phải trả thuê tài chính là tổng số tiền phải trả được tính bằng giá trị hiện tại của khoản thanh toán tiền thuê tối thiểu hoặc giá trị hợp lý của tài sản thuê.</t>
  </si>
  <si>
    <t>The value of finance lease liabilities is the total payable amount calculated on the present value of minimum lease payments or the fair value of leased assets.</t>
  </si>
  <si>
    <t>Các khoản vay được theo dõi theo từng đối tượng cho vay, từng khế ước vay nợ và kỳ hạn phải trả của các khoản vay.</t>
  </si>
  <si>
    <t>Loans and finance lease liabilities shall be kept records in details according to entities loans, loan agreement and loans and finance lease liabilities term. In case of loans or liabilities in foreign currency shall be kept records in detail the currency.</t>
  </si>
  <si>
    <t xml:space="preserve">Chi phí đi vay </t>
  </si>
  <si>
    <t>Borrowing costs</t>
  </si>
  <si>
    <t>Chi phí đi vay được ghi nhận vào chi phí sản xuất, kinh doanh trong năm khi phát sinh, trừ chi phí đi vay liên quan trực tiếp đến việc đầu tư xây dựng hoặc sản xuất tài sản dở dang được tính vào giá trị của tài sản đó (được vốn hoá) khi có đủ các điều kiện quy định trong Chuẩn mực kế toán Việt Nam số 16 “Chi phí đi vay”. Ngoài ra, đối với khoản vay riêng phục vụ việc xây dựng tài sản cố định, bất động sản đầu tư, lãi vay được vốn hóa kể cả khi thời gian xây dựng dưới 12 tháng.</t>
  </si>
  <si>
    <r>
      <t>Borrowing costs are recognized into operating costs in the period, except for which directly attributable to the construction or production of unfinished asset included (capitalized) in the cost of that asset, when gather sufficient conditions as regulated in VAS No. 16 “Borrowing costs”. Beside, regarding loans serving the construction of fixed assets, investment properties, and the interests shall be capitalized even if the construction duration is under 12 months.</t>
    </r>
    <r>
      <rPr>
        <i/>
        <sz val="10"/>
        <color rgb="FF00B050"/>
        <rFont val="Times New Roman"/>
        <family val="1"/>
      </rPr>
      <t xml:space="preserve">
[Lưu ý Nhà thầu không vốn hóa lãi vay khi đi vay để phục vụ việc thi công, xây dựng công trình, tài sản cho khách hàng, kể cả trường hợp đối với khoản vay riêng]</t>
    </r>
  </si>
  <si>
    <t>Đối với các khoản vốn vay chung, trong đó có sử dụng cho mục đích đầu tư xây dựng hoặc sản xuất một tài sản dở dang thì số chi phí đi vay có đủ điều kiện vốn hoá trong mỗi kỳ kế toán năm được xác định theo tỷ lệ vốn hoá đối với chi phí lũy kế bình quân gia quyền phát sinh cho việc đầu tư xây dựng hoặc sản xuất tài sản đó. Tỷ lệ vốn hoá được tính theo tỷ lệ lãi suất bình quân gia quyền của các khoản vay chưa trả trong kỳ, ngoại trừ các khoản vay riêng biệt phục vụ cho mục đích có một tài sản dở dang. Tỷ lệ vốn hoá chi phí lãi vay trong năm là: ... %.</t>
  </si>
  <si>
    <r>
      <t>Regarding joint capital borrowings, which are used for the purpose of investment in construction or production of an unfinished asset, the borrowing costs eligible for capitalization in each accounting period shall be determined according to the capitalization rate for weighted average accumulated costs incurred to the investment in construction or production of such asset. The capitalization rate shall be calculated according to the weighted average interest rate of the borrowings unrepaid in the period, except for particular borrowings for purpose of obtaining an unfinished asset. Capitalized rate of borrowing costs during the period is</t>
    </r>
    <r>
      <rPr>
        <sz val="10"/>
        <color rgb="FF0000FF"/>
        <rFont val="Times New Roman"/>
        <family val="1"/>
      </rPr>
      <t>…%.</t>
    </r>
  </si>
  <si>
    <t xml:space="preserve">Chi phí phải trả </t>
  </si>
  <si>
    <t xml:space="preserve">Accrued expenses </t>
  </si>
  <si>
    <t xml:space="preserve">Các khoản phải trả cho dịch vụ đã nhận được từ người bán, chi phí lãi tiền vay phải trả trong năm báo cáo nhưng thực tế chưa chi trả được ghi nhận vào chi phí sản xuất, kinh doanh của năm báo cáo. </t>
  </si>
  <si>
    <r>
      <t xml:space="preserve">Payables to goods or services received from the seller or provided for the seller during a reporting period, but payments of such goods or services have not been made and other payables such as annual leave salary, expenses in seasonal cessation of production period, interest expenses... </t>
    </r>
    <r>
      <rPr>
        <i/>
        <sz val="10"/>
        <color rgb="FF00B050"/>
        <rFont val="Times New Roman"/>
        <family val="1"/>
      </rPr>
      <t xml:space="preserve">[sửa đổi, xoá bỏ nếu không phù hợp] </t>
    </r>
    <r>
      <rPr>
        <sz val="10"/>
        <rFont val="Times New Roman"/>
        <family val="1"/>
      </rPr>
      <t>which are recorded to operating expenses of the reporting period.</t>
    </r>
  </si>
  <si>
    <t>Việc ghi nhận các khoản chi phí phải trả vào chi phí sản xuất, kinh doanh trong năm được thực hiện theo nguyên tắc phù hợp giữa doanh thu và chi phí phát sinh trong năm. Các khoản chi phí phải trả sẽ được quyết toán với số chi phí thực tế phát sinh. Số chênh lệch giữa số trích trước và chi phí thực tế được hoàn nhập.</t>
  </si>
  <si>
    <t>The recording of accrued expenses to operating expenses during a period shall be carried out in conformity with revenues and expenses incurring during a period. Accrued expenses payable are settled with actual expenses incurred. The difference between accruement and actual expenses are reverted.</t>
  </si>
  <si>
    <t xml:space="preserve">Các khoản dự phòng phải trả </t>
  </si>
  <si>
    <t>Provision for payables</t>
  </si>
  <si>
    <t>Các khoản dự phòng phải trả chỉ được ghi nhận khi thỏa mãn các điều kiện sau:</t>
  </si>
  <si>
    <t>Provision for payables only record when meet all following conditions:</t>
  </si>
  <si>
    <t>Enterprises have current debt obligation (legal obligation or jointly liable obligation) due to result from a fact happened;</t>
  </si>
  <si>
    <t>Sự giảm sút về những lợi ích kinh tế có thể xảy ra dẫn đến việc yêu cầu phải thanh toán nghĩa vụ nợ; và</t>
  </si>
  <si>
    <t>Decrease in economic benefits may happen leading to the requirement for payment of debt obligation;</t>
  </si>
  <si>
    <t>Đưa ra được một ước tính đáng tin cậy về giá trị của nghĩa vụ nợ đó.</t>
  </si>
  <si>
    <t>Giving a confident estimation on value of such debt obligation.</t>
  </si>
  <si>
    <t>Giá trị được ghi nhận của một khoản dự phòng phải trả là giá trị được ước tính hợp lý nhất về khoản tiền sẽ phải chi để thanh toán nghĩa vụ nợ hiện tại tại ngày kết thúc năm tài chính.</t>
  </si>
  <si>
    <t>Value recorded of a provision payable is the most reasonably estimated the amount which will be paid for current debt obligation at the end of the fiscal year.</t>
  </si>
  <si>
    <t>Chỉ những khoản chi phí liên quan đến khoản dự phòng phải trả đã lập ban đầu mới được bù đắp bằng khoản dự phòng phải trả đó.</t>
  </si>
  <si>
    <t>Only expenses related to the provision for payable set up initially shall be offset by that provision for payable.</t>
  </si>
  <si>
    <t>Dự phòng phải trả được ghi nhận vào chi phí sản xuất kinh doanh của năm tài chính. Khoản chênh lệch giữa số dự phòng phải trả đã lập ở năm tài chính trước chưa sử dụng hết lớn hơn số dự phòng phải trả lập ở năm báo cáo được hoàn nhập ghi giảm chi phí sản xuất, kinh doanh trong năm, trừ khoản chênh lệch lớn hơn của khoản dự phòng phải trả về bảo hành công trình xây lắp được hoàn nhập vào thu nhập khác trong năm tài chính.</t>
  </si>
  <si>
    <t>Provisions for payables are recorded in business and production costs of the fiscal year. In case provision set for the previous year but not used up exceeds the one set for the current year, the difference is recorded as decrease in production and operation expenditures. The bigger difference of the payables provision on insuring the construction is recorded into other revenue in the fiscal year.</t>
  </si>
  <si>
    <t>Doanh thu chưa thực hiện</t>
  </si>
  <si>
    <t xml:space="preserve">Unrealised revenues </t>
  </si>
  <si>
    <t>Doanh thu chưa thực hiện gồm doanh thu nhận trước như: số tiền của khách hàng đã trả trước cho một hoặc nhiều kỳ kế toán về cho thuê tài sản, khoản lãi nhận trước khi cho vay vốn hoặc mua các công cụ nợ và các khoản doanh thu chưa thực hiện khác như: chênh lệch giữa giá bán hàng trả chậm, trả góp theo cam kết với giá bán trả tiền ngay, khoản doanh thu tương ứng với giá trị hàng hóa, dịch vụ hoặc số phải chiết khấu giảm giá cho khách hàng trong chương trình khách hàng truyền thống...</t>
  </si>
  <si>
    <t>Unrealised revenues include: amounts of customers paid in advance for one or many accounting periods for asset lease; interests received in advance when lending or buying debt instruments; or the difference between selling prices under deferred and from instalment payment as committed and cash price; revenues corresponding to the value of goods, services or discounts to clients in the traditional client programs...</t>
  </si>
  <si>
    <r>
      <t xml:space="preserve">Doanh thu chưa thực hiện được kết chuyển vào Doanh thu bán hàng và cung cấp dịch vụ </t>
    </r>
    <r>
      <rPr>
        <i/>
        <sz val="10"/>
        <color rgb="FF00B050"/>
        <rFont val="Times New Roman"/>
        <family val="1"/>
      </rPr>
      <t>/hoặc</t>
    </r>
    <r>
      <rPr>
        <sz val="10"/>
        <rFont val="Times New Roman"/>
        <family val="1"/>
      </rPr>
      <t xml:space="preserve"> Doanh thu hoạt động tài chính theo số tiền được xác định phù hợp với từng kỳ kế toán.</t>
    </r>
  </si>
  <si>
    <r>
      <t>Unrealised revenues are transferred to revenue from sale of goods and service provisions</t>
    </r>
    <r>
      <rPr>
        <i/>
        <sz val="10"/>
        <color rgb="FF00B050"/>
        <rFont val="Times New Roman"/>
        <family val="1"/>
      </rPr>
      <t xml:space="preserve"> or</t>
    </r>
    <r>
      <rPr>
        <sz val="10"/>
        <rFont val="Times New Roman"/>
        <family val="1"/>
      </rPr>
      <t xml:space="preserve"> financial income according to the amount which is determined in accordance with each accounting period.</t>
    </r>
  </si>
  <si>
    <t>Trường hợp có phát sinh doanh thu bán hàng cho khách hàng truyền thống thì thuyết minh bổ sung thêm đoạn dưới đây:</t>
  </si>
  <si>
    <t>Unrealised revenues for sales activities for close customers (VIP / traditional ...) are the fair value of goods and services provided free (or discounted amount, rebate) for buyer when the buyer meets all the conditions of the close customers program (VIP / traditional / ....).</t>
  </si>
  <si>
    <t>Trái phiếu chuyển đổi</t>
  </si>
  <si>
    <t>Convertible bond</t>
  </si>
  <si>
    <t>Trái phiếu chuyển đổi là loại trái phiếu có thể chuyển đổi thành cổ phiếu phổ thông của cùng một tổ chức phát hành theo các điều kiện đã được xác định trong phương án phát hành.</t>
  </si>
  <si>
    <t>Convertible bonds are bonds that may be converted into common shares of the same issuer under the conditions identified in the released plan.</t>
  </si>
  <si>
    <r>
      <t>Tại thời điểm ghi nhận ban đầu, giá trị phần nợ gốc của trái phiếu chuyển đổi được xác định bằng cách chiết khấu giá trị danh nghĩa của khoản thanh toán trong tương lai (gồm cả gốc và lãi trái phiếu) về giá trị hiện tại theo lãi suất của trái phiếu tương tự trên thị trường nhưng không có quyền chuyển đổi thành cổ phiếu (</t>
    </r>
    <r>
      <rPr>
        <i/>
        <u/>
        <sz val="10"/>
        <color rgb="FF00B050"/>
        <rFont val="Times New Roman"/>
        <family val="1"/>
      </rPr>
      <t>hoặc</t>
    </r>
    <r>
      <rPr>
        <sz val="10"/>
        <rFont val="Times New Roman"/>
        <family val="1"/>
      </rPr>
      <t xml:space="preserve"> lãi suất đi vay phổ biến trên thị trường tại thời điểm tại thời điểm phát hành trái phiếu) và trừ đi chi phí phát hành trái phiếu chuyển đổi.</t>
    </r>
  </si>
  <si>
    <r>
      <t>At the time of initial record, the value of the principal of convertible bonds is determined by discounting the nominal value of future payments (including principal and interest of bonds) to the present value under interest rate of similar bonds in the market without the right to convert into shares (</t>
    </r>
    <r>
      <rPr>
        <i/>
        <sz val="10"/>
        <color rgb="FF00B050"/>
        <rFont val="Times New Roman"/>
        <family val="1"/>
      </rPr>
      <t>or</t>
    </r>
    <r>
      <rPr>
        <sz val="10"/>
        <rFont val="Times New Roman"/>
        <family val="1"/>
      </rPr>
      <t xml:space="preserve"> common borrowing interest rate in the market at the time of issuing bonds) and subtracting the cost of issuing convertible bonds.</t>
    </r>
  </si>
  <si>
    <t>Vốn chủ sở hữu</t>
  </si>
  <si>
    <r>
      <t xml:space="preserve">Owner’s equity </t>
    </r>
    <r>
      <rPr>
        <i/>
        <sz val="10"/>
        <color rgb="FF00B050"/>
        <rFont val="Times New Roman"/>
        <family val="1"/>
      </rPr>
      <t>[sửa đổi, xoá bỏ nếu không phù hợp]</t>
    </r>
  </si>
  <si>
    <t>Vốn đầu tư của chủ sở hữu được ghi nhận theo số vốn thực góp của chủ sở hữu.</t>
  </si>
  <si>
    <t>Owner’s equity is stated at actually contributed capital of owners.</t>
  </si>
  <si>
    <t>Thặng dư vốn cổ phần phản ánh chênh lệch giữa mệnh giá, chi phí trực tiếp liên quan đến việc phát hành cổ phiếu và giá phát hành cổ phiếu (kể cả các trường hợp tái phát hành cổ phiếu quỹ) và có thể là thặng dư dương (nếu giá phát hành cao hơn mệnh giá và chi phí trực tiếp liên quan đến việc phát hành cổ phiếu) hoặc thăng dư âm (nếu giá phát hành thấp hơn mệnh giá và chi phí trực tiếp liên quan đến việc phát hành cổ phiếu).</t>
  </si>
  <si>
    <t>Share premium shall record the difference between the par value, direct costs related to the issuing shares and issue price of shares (including the case of re-issuing stock fund) and can be a positive premium (if the issue price is higher than par value and direct costs related to the issuance of shares) or negative premium (if the issue price is lower than par value and direct costs related to the issuance of shares).</t>
  </si>
  <si>
    <t>Option of conversion of bonds into shares (the capital component of the convertible bond) arising when enterprises issue bonds that can be converted into a certain number of shares shall be prescribed in issuance plan. The value of the capital component of the convertible bond is defined as the difference between the total sums received from the issuance of convertible bonds and the value of the debt component of convertible bonds.</t>
  </si>
  <si>
    <t>Vốn khác thuộc Vốn chủ sở hữu phản ánh số vốn kinh doanh được hình thành do bổ sung từ kết quả hoạt động kinh doanh.</t>
  </si>
  <si>
    <t xml:space="preserve">Other capital shall record operating capital set up additionally from the result of business activities or given as gifts, presents, financing and asset revaluation (if these items are allowed to record a decrease or increase in investment capital). </t>
  </si>
  <si>
    <t>Chênh lệch đánh giá lại tài sản được phản ánh trong các trường hợp: khi có quyết định của Nhà nước về đánh giá lại tài sản, khi thực hiện cổ phần hóa doanh nghiệp Nhà nước, và các trường hợp khác theo quy định của pháp luật.</t>
  </si>
  <si>
    <t>Differences upon asset revaluation shall be recorded in this account in following cases: when having the decision of State on asset revaluation; when carrying out the equitization of State enterprises; other cases under provisions of the law.</t>
  </si>
  <si>
    <t>Lợi nhuận sau thuế chưa phân phối phản ánh kết quả kinh doanh (lãi, lỗ) sau thuế thu nhập doanh nghiệp và tình hình phân chia lợi nhuận hoặc xử lý lỗ của Công ty. Trường hợp trả cổ tức, lợi nhuận cho chủ sở hữu quá mức số lợi nhuận sau thuế chưa phân phối được ghi nhận như trường hợp giảm vốn góp. Lợi nhuận sau thuế chưa phân phối có thể được chia cho các nhà đầu tư dựa trên tỷ lệ góp vốn sau khi được Đại hội cổ đông phê duyệt và sau khi đã trích lập các quỹ theo Điều lệ Công ty và các quy định của pháp luật Việt Nam.</t>
  </si>
  <si>
    <r>
      <t xml:space="preserve">Dividends to be paid to shareholders are recognised as a payable in Statement of Financial position after declaration from the Board of Management </t>
    </r>
    <r>
      <rPr>
        <i/>
        <sz val="10"/>
        <color rgb="FF00B050"/>
        <rFont val="Times New Roman"/>
        <family val="1"/>
      </rPr>
      <t>[Nếu là đơn vị đã lưy ký chứng khoán thì bổ sung thêm ý sau]</t>
    </r>
    <r>
      <rPr>
        <sz val="10"/>
        <rFont val="Times New Roman"/>
        <family val="1"/>
      </rPr>
      <t xml:space="preserve"> and announcement closing date receipt dividends of Securities Depository Center of Vietnam.</t>
    </r>
  </si>
  <si>
    <t>[Trường hợp mức lợi nhuận sau thuế chưa phân phối trên BCTC hợp nhất cao hơn mức LNST chưa phân phối trên BCTC riêng của Công ty mẹ và nếu số lợi nhuận quyết định phân phối vượt quá số lợi nhuận sau thuế chưa phân phối trên BCTC riêng, Công ty mẹ chỉ thực hiện việc phân phối sau khi đã điều chuyển lợi nhuận từ các công ty con về công ty mẹ.]</t>
  </si>
  <si>
    <t>Áp dụng đối với các doanh nghiệp khác [sửa đổi phù hợp với đơn vị]:</t>
  </si>
  <si>
    <t>Vốn khác thuộc Vốn chủ sở hữu phản ánh số vốn kinh doanh được hình thành do bổ sung từ kết quả hoạt động kinh doanh hoặc do được tặng, biếu, tài trợ, đánh giá lại tài sản (nếu được phép ghi tăng giảm Vốn đầu tư của chủ sở hữu).</t>
  </si>
  <si>
    <t>Other capital record operating capital set up additionally from the result of business activities or given as gifts, presents, financing and asset revaluation (if these items are allowed to record a decrease or increase in investment capital).</t>
  </si>
  <si>
    <r>
      <rPr>
        <sz val="10"/>
        <rFont val="Times New Roman"/>
        <family val="1"/>
      </rPr>
      <t xml:space="preserve">Chênh lệch đánh giá lại tài sản phản ánh trên bảng cân đối kế toán là chênh lệch đánh giá lại tài sản phát sinh từ việc đánh giá lại tài sản theo </t>
    </r>
    <r>
      <rPr>
        <sz val="10"/>
        <color rgb="FF0000FF"/>
        <rFont val="Times New Roman"/>
        <family val="1"/>
      </rPr>
      <t>Quyết định số … ngày.….. của …</t>
    </r>
  </si>
  <si>
    <r>
      <t xml:space="preserve">Differences due to asset revaluation shall be recorded on the Balance sheet is the difference due to asset revaluation arising from the revaluation of assets according to the </t>
    </r>
    <r>
      <rPr>
        <sz val="10"/>
        <color rgb="FF0000FF"/>
        <rFont val="Times New Roman"/>
        <family val="1"/>
      </rPr>
      <t>Decision No. ... dated ... of ...</t>
    </r>
  </si>
  <si>
    <t>Lợi nhuận sau thuế chưa phân phối là số lợi nhuận từ các hoạt động của doanh nghiệp sau khi trừ (-) các khoản điều chỉnh do áp dụng hồi tố thay đổi chính sách kế toán và điều chỉnh hồi tố sai sót trọng yếu của các năm trước. Lợi nhuận sau thuế chưa phân phối được phân phối theo các quy định tại Thông tư số.... sau khi được cấp có thẩm quyền phê duyệt.</t>
  </si>
  <si>
    <r>
      <t xml:space="preserve">Undistributed profit after tax is the profit of business operations after deduction (-) regulated items due to applying a change in accounting retrospectively or to make a retrospective restatement to correct materiality in previous years. Undistributed profit after tax is distributed according to the provisions of </t>
    </r>
    <r>
      <rPr>
        <sz val="10"/>
        <color rgb="FF0000FF"/>
        <rFont val="Times New Roman"/>
        <family val="1"/>
      </rPr>
      <t>Circular No. ...</t>
    </r>
    <r>
      <rPr>
        <sz val="10"/>
        <rFont val="Times New Roman"/>
        <family val="1"/>
      </rPr>
      <t xml:space="preserve"> after being approved by competent authorities.</t>
    </r>
  </si>
  <si>
    <t xml:space="preserve">Doanh thu </t>
  </si>
  <si>
    <t>Revenues</t>
  </si>
  <si>
    <t>Doanh thu bán hàng</t>
  </si>
  <si>
    <t>Sales</t>
  </si>
  <si>
    <t>Doanh thu bán hàng được ghi nhận khi đồng thời thỏa mãn các điều kiện sau:</t>
  </si>
  <si>
    <t>Revenue from the sale of goods shall be recognised when all the following conditions have been satisfied:</t>
  </si>
  <si>
    <t>Phần lớn rủi ro và lợi ích gắn liền với quyền sở hữu sản phẩm hoặc hàng hóa đã được chuyển giao cho người mua;</t>
  </si>
  <si>
    <t>The entity has transferred to the buyer the significant risks and rewards of ownership of the goods;</t>
  </si>
  <si>
    <t>The entity retains neither continuing managerial involvement to the degree usually associated with ownership nor effective control over the goods sold;</t>
  </si>
  <si>
    <t>Doanh thu được xác định tương đối chắc chắn;</t>
  </si>
  <si>
    <t>The amount of revenue can be measured reliably;</t>
  </si>
  <si>
    <t>It is probable that the economic benefits associated with the transaction will flow to the entity; and</t>
  </si>
  <si>
    <t>Xác định được chi phí liên quan đến giao dịch bán hàng.</t>
  </si>
  <si>
    <t>The cost incurred or to be incurred in respect of the transaction can be measured reliable.</t>
  </si>
  <si>
    <t>Doanh thu cung cấp dịch vụ</t>
  </si>
  <si>
    <t>Services rendered</t>
  </si>
  <si>
    <t>Doanh  thu cung cấp dịch vụ được ghi nhận khi đồng thời thỏa mãn các điều kiện sau:</t>
  </si>
  <si>
    <t>Services rendered shall be recognised when all the following conditions have been satisfied:</t>
  </si>
  <si>
    <t>The amount of the revenue can be measured reliably;</t>
  </si>
  <si>
    <t>Có khả năng thu được lợi ích kinh tế từ giao dịch cung cấp dịch vụ đó;</t>
  </si>
  <si>
    <t>It is probable that the economic benefits associated with the transaction will flow to the entity;</t>
  </si>
  <si>
    <t>Xác định được phần công việc đã hoàn thành vào ngày lập Bảng cân đối kế toán;</t>
  </si>
  <si>
    <t>The stage of the completion of the transaction at the end of the reporting period can be measured reliably; and</t>
  </si>
  <si>
    <t>Xác định được chi phí phát sinh cho giao dịch và chi phí để hoàn thành giao dịch cung cấp dịch vụ đó.</t>
  </si>
  <si>
    <t>The costs incurred for the transaction and the costs to complete the transaction can be measured reliable.</t>
  </si>
  <si>
    <t>Phần công việc cung cấp dịch vụ đã hoàn thành được xác định theo phương pháp đánh giá công việc hoàn thành.</t>
  </si>
  <si>
    <t>The stage of the completion of the transaction may be determined by surveys of work completed methods.</t>
  </si>
  <si>
    <t>Doanh thu bán bất động sản</t>
  </si>
  <si>
    <t>Revenue from sales of real estate</t>
  </si>
  <si>
    <t>Doanh thu bán bất động sản được ghi nhận khi đồng thời thỏa mãn các điều kiện sau:</t>
  </si>
  <si>
    <t>Revenue from sales of real estate shall be recognised when all the following conditions have been satisfied:</t>
  </si>
  <si>
    <t>The real estate has completed and transferred to the buyers, Company have transferred risks and benefits associated with ownership of the real estate to the buyers;</t>
  </si>
  <si>
    <t>The turnover is determined reliably</t>
  </si>
  <si>
    <t>Xác định được chi phí liên quan đến giao dịch bán bất động sản.</t>
  </si>
  <si>
    <t>Costs related to sales of the real estate may be determined.</t>
  </si>
  <si>
    <t>Chuyển giao rủi ro và lợi ích gắn liền với quyền sử dụng đất cho người mua;</t>
  </si>
  <si>
    <t>Risks and benefits associated with the land use rights are transferred to the buyer;</t>
  </si>
  <si>
    <t>The turnover is determined reliably;</t>
  </si>
  <si>
    <t>Xác định được chi phí liên quan đến giao dịch bán nền đất;</t>
  </si>
  <si>
    <t>Costs related to sale of plots may be determined;</t>
  </si>
  <si>
    <r>
      <t xml:space="preserve">Doanh thu hợp đồng xây dựng </t>
    </r>
    <r>
      <rPr>
        <i/>
        <sz val="10"/>
        <color rgb="FF00B050"/>
        <rFont val="Times New Roman"/>
        <family val="1"/>
      </rPr>
      <t>[sửa đổi, xoá bỏ nếu không phù hợp, chỉ áp dụng đối với đơn vị là nhà thầu xây lắp]</t>
    </r>
  </si>
  <si>
    <t>Revenue from construction contract</t>
  </si>
  <si>
    <t>Trường hợp hợp đồng xây dựng quy định nhà thầu được thanh toán theo giá trị khối lượng thực hiện, khi kết quả thực hiện hợp đồng xây dựng được xác định một cách đáng tin cậy và được khách hàng xác nhận, thì doanh thu, chi phí liên quan đến hợp đồng được ghi nhận tương ứng với phần công việc đã hoàn thành được khách hàng xác nhận trong năm phản ánh trên hóa đơn đã lập.</t>
  </si>
  <si>
    <t>In case the construction contract defines that the contractor shall be entitled to payment basing on value of volume achieved, when achieved results of construction contract are estimated reliably and confirmed by customers, then revenues and expenditures related to the contract recorded in proportion to the completed work confirmed by the customer in period are recorded in the bills set up.</t>
  </si>
  <si>
    <t>Doanh thu hoạt động tài chính</t>
  </si>
  <si>
    <t>Financial income</t>
  </si>
  <si>
    <t>Doanh thu phát sinh từ tiền lãi, tiền bản quyền, cổ tức, lợi nhuận được chia và các khoản doanh thu hoạt động tài chính khác được ghi nhận khi thỏa mãn đồng thời hai (2) điều kiện sau:</t>
  </si>
  <si>
    <t>Revenue arising from the used by the others of entity assets yielding interest, royalties and dividends shall be recognised when:</t>
  </si>
  <si>
    <t>Có khả năng thu được lợi ích kinh tế từ giao dịch đó;</t>
  </si>
  <si>
    <t>Doanh thu được xác định tương đối chắc chắn.</t>
  </si>
  <si>
    <t>The amount of the revenue can be measured reliably.</t>
  </si>
  <si>
    <t>Dividends shall be recognised when the shareholder’s right to receive payment is established.</t>
  </si>
  <si>
    <t>Các khoản giảm trừ doanh thu</t>
  </si>
  <si>
    <t>Revenue deductions</t>
  </si>
  <si>
    <t>[sửa đổi, xóa bỏ nếu không phù hợp]</t>
  </si>
  <si>
    <t>Các khoản giảm trừ doanh thu bán hàng, cung cấp dịch vụ phát sinh trong năm gồm: Chiết khấu thương mại, giảm giá hàng bán và hàng bán bị trả lại.</t>
  </si>
  <si>
    <t>Revenue deductions from sales and service provisions arising in the period include: Trade discounts, sales allowances and sales return.</t>
  </si>
  <si>
    <t>Giá vốn hàng bán</t>
  </si>
  <si>
    <t>Costs of good sold</t>
  </si>
  <si>
    <t xml:space="preserve">Giá vốn hàng bán trong năm được ghi nhận phù hợp với doanh thu phát sinh trong năm và đảm bảo tuân thủ nguyên tắc thận trọng. Các trường hợp hao hụt vật tư hàng hóa vượt định mức, chi phí vượt định mức bình thường, hàng tồn kho bị mất mát sau khi đã trừ đi phần trách nhiệm của tập thể, cá nhân có liên quan,… được ghi nhận đầy đủ, kịp thời vào giá vốn hàng bán trong năm. </t>
  </si>
  <si>
    <t>Cost of goods sold is recognized in accordance with revenue arising and ensure compliance with the prudence principle. Cases of loss of materials and goods exceeded the norm, abnormal expenses and losses of inventories after deducting the responsibility of collective and individuals concerned,… are recognized fully and promptly into cost of goods sold in the year.</t>
  </si>
  <si>
    <t xml:space="preserve">Các khoản ghi giảm giá vốn hàng bán phát sinh trong năm bao gồm: … (nếu có). </t>
  </si>
  <si>
    <r>
      <t xml:space="preserve">The cost of goods sold deductions arises during the year include: … </t>
    </r>
    <r>
      <rPr>
        <i/>
        <sz val="10"/>
        <color rgb="FF00B050"/>
        <rFont val="Times New Roman"/>
        <family val="1"/>
      </rPr>
      <t>(nếu có).</t>
    </r>
  </si>
  <si>
    <t>[Giá vốn hàng bán đối với trường hợp Công ty là chủ đầu tư kinh doanh bất động sản thuyết minh theo đoạn sau:]</t>
  </si>
  <si>
    <t xml:space="preserve">Việc trích trước chi phí để tạm tính giá vốn bất động sản nếu có đảm bảo các nguyên tắc sau: </t>
  </si>
  <si>
    <t>Advancing cost to calculate the price cost of real estate must comply with the following principles:</t>
  </si>
  <si>
    <t xml:space="preserve">Chỉ trích trước đối với các khoản chi phí đã có trong dự toán đầu tư, xây dựng nhưng chưa có đủ hồ sơ, tài liệu để nghiệm thu khối lượng; </t>
  </si>
  <si>
    <t>Only advance from the cost price of goods sold for costs which have been in estimates of investment, construction, but have not had enough dossiers and documents for volume acceptance;</t>
  </si>
  <si>
    <t>Chỉ trích trước chi phí để tạm tính giá vốn hàng bán cho phần bất động sản đã hoàn thành bán trong năm và đủ điều kiện ghi nhận doanh thu;</t>
  </si>
  <si>
    <t>Only advance cost to calculate the cost price of goods sold for real estate that is completed in period and meet all revenue recording criteria;</t>
  </si>
  <si>
    <t>Số chi phí trích trước và chi phí thực tế được ghi nhận vào giá vốn hàng bán phải đảm bảo tương ứng với định mức giá vốn tính theo tổng chi phí dự toán của phần hàng hóa bất động sản đã bán (được xác định theo diện tích).</t>
  </si>
  <si>
    <t>The accrued expenses and actual expenses incurred recorded in cost price of goods sold corresponding to the norm of cost price calculated on total cost estimate of the real estate determined to be sold (determined by area).</t>
  </si>
  <si>
    <t>Chi phí tài chính</t>
  </si>
  <si>
    <t>Financial expenses</t>
  </si>
  <si>
    <t>Các khoản chi phí được ghi nhận vào chi phí tài chính gồm:</t>
  </si>
  <si>
    <t>Items recorded into financial expenses consist of:</t>
  </si>
  <si>
    <t xml:space="preserve">Chi phí hoặc các khoản lỗ liên quan đến các hoạt động đầu tư tài chính; </t>
  </si>
  <si>
    <t xml:space="preserve">Expenses or losses relating to financial investment activity; </t>
  </si>
  <si>
    <t>Chi phí đi vay vốn;</t>
  </si>
  <si>
    <t>Expenses of capital borrowing;</t>
  </si>
  <si>
    <t>Các khoản lỗ do thanh lý, chuyển nhượng chứng khoán ngắn hạn, chi phí giao dịch bán chứng khoán;</t>
  </si>
  <si>
    <t>Losses from short-term security transfer, expenses of security selling transaction;</t>
  </si>
  <si>
    <t>Dự phòng tổn thất đầu tư vào đơn vị khác.</t>
  </si>
  <si>
    <t>Provision for business security decrease, provision for losses from investment in other units, losses incurred when selling foreign currency, losses from exchange rate...</t>
  </si>
  <si>
    <t>Các khoản trên được ghi nhận theo tổng số phát sinh trong năm, không bù trừ với doanh thu hoạt động tài chính.</t>
  </si>
  <si>
    <t>The above items are recorded by the total amount arising within the period without compensation to financial revenue.</t>
  </si>
  <si>
    <t xml:space="preserve">Thuế thu nhập doanh nghiệp </t>
  </si>
  <si>
    <t>Corporate income tax</t>
  </si>
  <si>
    <t>a) Tài sản thuế thu nhập hoãn lại và Thuế thu nhập hoãn lại phải trả</t>
  </si>
  <si>
    <t xml:space="preserve">a) Deferred income tax assets and Deferred income tax payable </t>
  </si>
  <si>
    <t>Tài sản thuế thu nhập hoãn lại được xác định dựa trên tổng chênh lệch tạm thời được khấu trừ và giá trị được khấu trừ chuyển sang năm sau của các khoản lỗ tính thuế và ưu đãi thuế chưa sử dụng. Thuế thu nhập hoãn lại phải trả được xác định dựa trên các khoản chênh lệch tạm thời chịu thuế.</t>
  </si>
  <si>
    <t>Deferred income tax assets is determined based on total deductible temporary difference and deductible value transferred to subsequent year of unused taxable losses or preferred taxes. Deferred income tax payable is determined based on taxable temporary difference amount.</t>
  </si>
  <si>
    <t>Tài sản thuế TNDN hoãn lại và Thuế thu nhập hoãn lại phải trả được xác định theo thuế suất thuế TNDN hiện hành (hoặc thuế suất dự tính thay đổi trong tương lai nếu việc hoàn nhập tài sản thuế thu nhập hoãn lại hoặc thuế thu nhập hoãn lại phải trả nằm trong thời gian thuế suất mới có hiệu lực), dựa trên các mức thuế suất và luật thuế có hiệu lực vào ngày kết thúc năm tài chính.</t>
  </si>
  <si>
    <r>
      <t>Deferred income tax assets and Deferred income tax payable are determined based on corporate income tax rate (</t>
    </r>
    <r>
      <rPr>
        <sz val="10"/>
        <color rgb="FF0000FF"/>
        <rFont val="Times New Roman"/>
        <family val="1"/>
      </rPr>
      <t xml:space="preserve">or </t>
    </r>
    <r>
      <rPr>
        <sz val="10"/>
        <rFont val="Times New Roman"/>
        <family val="1"/>
      </rPr>
      <t>corporate income tax rate estimates to change in the future if the deferred income tax asset or deferred income tax payable are reverted when the new tax rates have been taken effect), based on tax rates and tax laws in effect at end of the fiscal year.</t>
    </r>
  </si>
  <si>
    <r>
      <rPr>
        <i/>
        <sz val="10"/>
        <color rgb="FF00B050"/>
        <rFont val="Times New Roman"/>
        <family val="1"/>
      </rPr>
      <t>[TM đoạn sau nếu các khoản chênh lệch tạm thời chịu thuế và chênh lệch tạm thời được khấu trừ liên quan đến cùng một đối tượng nộp thuế và được quyết toán với cùng một cơ quan thuế.]</t>
    </r>
    <r>
      <rPr>
        <sz val="10"/>
        <rFont val="Times New Roman"/>
        <family val="1"/>
      </rPr>
      <t>Tài sản thuế thu nhập hoãn lại và thuế thu nhập hoãn lại phải trả được bù trừ khi lập Bảng cân đối kế toán.</t>
    </r>
  </si>
  <si>
    <r>
      <rPr>
        <i/>
        <sz val="10"/>
        <color rgb="FF00B050"/>
        <rFont val="Times New Roman"/>
        <family val="1"/>
      </rPr>
      <t>[TM đoạn sau nếu các khoản chênh lệch tạm thời chịu thuế và chênh lệch tạm thời được khấu trừ liên quan đến cùng một đối tượng nộp thuế và được quyết toán với cùng một cơ quan thuế.]</t>
    </r>
    <r>
      <rPr>
        <sz val="10"/>
        <rFont val="Times New Roman"/>
        <family val="1"/>
      </rPr>
      <t xml:space="preserve"> Deferred income tax assets and Deferred income tax payable shall be offset when setting up the Balance sheet.</t>
    </r>
  </si>
  <si>
    <t>b) Chi phí thuế TNDN hiện hành và Chi phí thuế TNDN hoãn lại</t>
  </si>
  <si>
    <t>b) Current corporate income tax expenses and Deferred corporate income tax expenses</t>
  </si>
  <si>
    <t>Chi phí thuế TNDN hiện hành được xác định trên cơ sở thu nhập chịu thuế trong năm và thuế suất thuế TNDN trong năm tài chính hiện hành.</t>
  </si>
  <si>
    <t>Current corporate income tax expenses are determined based on taxable income during year, and current corporate income tax rate.</t>
  </si>
  <si>
    <t>Chi phí thuế TNDN hoãn lại được xác định trên cơ sở số chênh lệch tạm thời được khấu trừ, số chênh lệch tạm thời chịu thuế và thuế suất thuế TNDN.</t>
  </si>
  <si>
    <t>Deferred corporate income tax expenses are determined based on deductible temporary difference, the taxable temporary differences and income tax rate.</t>
  </si>
  <si>
    <t>Không bù trừ chi phí thuế TNDN hiện hành với chi phí thuế TNDN hoãn lại.</t>
  </si>
  <si>
    <t>Do not offsetting current corporate income tax expenses and deferred corporate income tax expenses.</t>
  </si>
  <si>
    <t>c) Ưu đãi thuế</t>
  </si>
  <si>
    <t xml:space="preserve">c) Tax incentives </t>
  </si>
  <si>
    <r>
      <t>Accordance to Decision No.. … dated (or written documents permitting related tax incentives), the</t>
    </r>
    <r>
      <rPr>
        <sz val="10"/>
        <color rgb="FF0000FF"/>
        <rFont val="Times New Roman"/>
        <family val="1"/>
      </rPr>
      <t xml:space="preserve"> Company</t>
    </r>
    <r>
      <rPr>
        <sz val="10"/>
        <rFont val="Times New Roman"/>
        <family val="1"/>
      </rPr>
      <t xml:space="preserve"> is subjected to corporate income tax at ...% from year…... to year ... ... and ...% for the following years.
These tax incentives do not apply to other income. This other income is subjected to tax rate of …%. </t>
    </r>
    <r>
      <rPr>
        <i/>
        <sz val="10"/>
        <color rgb="FF00B050"/>
        <rFont val="Times New Roman"/>
        <family val="1"/>
      </rPr>
      <t>[xoá bỏ nếu không có]</t>
    </r>
    <r>
      <rPr>
        <sz val="10"/>
        <rFont val="Times New Roman"/>
        <family val="1"/>
      </rPr>
      <t xml:space="preserve">
</t>
    </r>
  </si>
  <si>
    <t>Các bên liên quan</t>
  </si>
  <si>
    <t xml:space="preserve">Related Parties </t>
  </si>
  <si>
    <t xml:space="preserve">Các nguyên tắc và phương pháp kế toán khác </t>
  </si>
  <si>
    <t>Other accounting principles and methods</t>
  </si>
  <si>
    <t>[xoá bỏ nếu không có]</t>
  </si>
  <si>
    <t>xxxx</t>
  </si>
  <si>
    <t>TIỀN VÀ CÁC KHOẢN TƯƠNG ĐƯƠNG TIỀN</t>
  </si>
  <si>
    <t>CASH AND CASH EQUIVALENTS</t>
  </si>
  <si>
    <t>Tiền mặt</t>
  </si>
  <si>
    <t>Cash on hand</t>
  </si>
  <si>
    <t>Tiền gửi ngân hàng không kỳ hạn</t>
  </si>
  <si>
    <t>Demand deposits</t>
  </si>
  <si>
    <t>Tiền đang chuyển</t>
  </si>
  <si>
    <t>Cash in transit</t>
  </si>
  <si>
    <t>Các khoản tương đương tiền</t>
  </si>
  <si>
    <t>Cash equivalents</t>
  </si>
  <si>
    <t>Tổng</t>
  </si>
  <si>
    <t>Total</t>
  </si>
  <si>
    <t>Tại ngày 31/12/2017, các khoản tương đương tiền là tiền gửi có kỳ hạn 02 tháng có giá trị 2.000.000.000 VND được gửi tại Ngân hàng TMCP Đầu tư và Phát triển Việt Nam với lãi suất 4,3%/năm.</t>
  </si>
  <si>
    <r>
      <rPr>
        <sz val="10"/>
        <rFont val="Times New Roman"/>
        <family val="1"/>
      </rPr>
      <t xml:space="preserve">At 31 December 2015, the cash equivalents are term deposits from ... to … valued at VND … are deposited in commercial banks with interest of ...% / year to ...% / year. </t>
    </r>
    <r>
      <rPr>
        <i/>
        <sz val="10"/>
        <color rgb="FF00B050"/>
        <rFont val="Times New Roman"/>
        <family val="1"/>
      </rPr>
      <t xml:space="preserve"> [nếu số dư là trọng yếu]</t>
    </r>
  </si>
  <si>
    <r>
      <t xml:space="preserve">Tại ngày 31/12/2016, các khoản tương đương tiền có giá trị ...VND đã được dùng làm tài sản thế chấp cho các khoản vay ngắn/dài hạn từ ngân hàng </t>
    </r>
    <r>
      <rPr>
        <sz val="10"/>
        <color rgb="FF0000FF"/>
        <rFont val="Times New Roman"/>
        <family val="1"/>
      </rPr>
      <t>(xem chi tiết tại Thuyết minh 18)</t>
    </r>
    <r>
      <rPr>
        <sz val="10"/>
        <rFont val="Times New Roman"/>
        <family val="1"/>
      </rPr>
      <t xml:space="preserve"> </t>
    </r>
    <r>
      <rPr>
        <i/>
        <sz val="10"/>
        <color rgb="FF00B050"/>
        <rFont val="Times New Roman"/>
        <family val="1"/>
      </rPr>
      <t>[nếu đc sử dụng làm tài sản thế chấp]</t>
    </r>
  </si>
  <si>
    <r>
      <t>At 31 December 2015, the cash equivalents valued at VND ... was used as collateral for short-term/long-term loans from the bank</t>
    </r>
    <r>
      <rPr>
        <sz val="10"/>
        <color rgb="FF0000FF"/>
        <rFont val="Times New Roman"/>
        <family val="1"/>
      </rPr>
      <t xml:space="preserve"> (details as in Notes 18)</t>
    </r>
    <r>
      <rPr>
        <sz val="10"/>
        <rFont val="Times New Roman"/>
        <family val="1"/>
      </rPr>
      <t xml:space="preserve"> </t>
    </r>
    <r>
      <rPr>
        <i/>
        <sz val="10"/>
        <color rgb="FF00B050"/>
        <rFont val="Times New Roman"/>
        <family val="1"/>
      </rPr>
      <t>[nếu đc sử dụng làm tài sản thế chấp]</t>
    </r>
  </si>
  <si>
    <t>CÁC KHOẢN ĐẦU TƯ TÀI CHÍNH</t>
  </si>
  <si>
    <t>FINANCIAL INVESTMENTS</t>
  </si>
  <si>
    <t>a) Đầu tư nắm giữ đến ngày đáo hạn</t>
  </si>
  <si>
    <t xml:space="preserve">a) Held-to-maturity investments </t>
  </si>
  <si>
    <t>Giá gốc</t>
  </si>
  <si>
    <t>Giá trị ghi sổ</t>
  </si>
  <si>
    <t>Original cost</t>
  </si>
  <si>
    <t>Book value</t>
  </si>
  <si>
    <t>Đầu tư ngắn hạn</t>
  </si>
  <si>
    <t>Short-term investments</t>
  </si>
  <si>
    <t>Tiền gửi có kỳ hạn</t>
  </si>
  <si>
    <t>Term deposits</t>
  </si>
  <si>
    <t>Trái phiếu</t>
  </si>
  <si>
    <t>Bonds</t>
  </si>
  <si>
    <t>Các khoản đầu tư khác</t>
  </si>
  <si>
    <t>Other investments</t>
  </si>
  <si>
    <t>Đầu tư dài hạn</t>
  </si>
  <si>
    <t>Long-term investments</t>
  </si>
  <si>
    <t>Tại ngày 31/12/2017, các khoản tiền gửi có kỳ hạn từ 05 đến 13 tháng tại Ngân hàng Đầu tư Phát triển Việt Nam, chi nhánh Từ Sơn và chi nhánh Hải Dương với lãi suất từ 5,3%/năm đến 6,7%/năm.</t>
  </si>
  <si>
    <t>b) Chứng khoán kinh doanh</t>
  </si>
  <si>
    <t xml:space="preserve">b) Trading securities </t>
  </si>
  <si>
    <t>Link theo sheet TM_DTTC</t>
  </si>
  <si>
    <t>b) Đầu tư góp vốn vào đơn vị khác</t>
  </si>
  <si>
    <t xml:space="preserve">c) Equity investments in other entities </t>
  </si>
  <si>
    <t>Dự phòng</t>
  </si>
  <si>
    <t>Công ty Cổ phần Bê tông khí Viglacera</t>
  </si>
  <si>
    <t>Công ty chưa xác định giá trị hợp lý của các khoản đầu tư tài chính này do Chuẩn mực Kế toán Việt Nam, Chế độ Kế toán doanh nghiệp Việt Nam chưa có hướng dẫn cụ thể về việc xác định giá trị hợp lý.</t>
  </si>
  <si>
    <t>Thông tin chi tiết về khoản đầu tư của Công ty vào ngày 31/12/2017 như sau:</t>
  </si>
  <si>
    <t>Tên công ty nhận đầu tư</t>
  </si>
  <si>
    <t>Nơi thành lập và hoạt động</t>
  </si>
  <si>
    <t>Tỷ lệ lợi ích</t>
  </si>
  <si>
    <t>Tỷ lệ quyền biểu quyết</t>
  </si>
  <si>
    <t>Bắc Ninh</t>
  </si>
  <si>
    <t>Sản xuất bê tông khí</t>
  </si>
  <si>
    <t>Công ty XYZ</t>
  </si>
  <si>
    <t>Lí do thay đổi đối với từng khoản đầu tư vào công ty con:</t>
  </si>
  <si>
    <t>The reason for each change of investment in subsidiaries:</t>
  </si>
  <si>
    <t>- Về số lượng</t>
  </si>
  <si>
    <t>- Quantity</t>
  </si>
  <si>
    <t>- Về giá trị</t>
  </si>
  <si>
    <t>- Value</t>
  </si>
  <si>
    <t>Đầu tư vào công ty liên doanh, liên kết</t>
  </si>
  <si>
    <t>Investments in joint ventures, associates</t>
  </si>
  <si>
    <t>Tên công ty liên doanh, liên kết</t>
  </si>
  <si>
    <t>Name of joint ventures, associates</t>
  </si>
  <si>
    <t>Place of establishment and operation</t>
  </si>
  <si>
    <t>Rate of interest</t>
  </si>
  <si>
    <t>Rate of voting rights</t>
  </si>
  <si>
    <t>Hà Nội</t>
  </si>
  <si>
    <t>Chứng khoán</t>
  </si>
  <si>
    <t>Lí do thay đổi đối với từng khoản đầu tư vào công ty liên doanh, liên kết:</t>
  </si>
  <si>
    <t>The reason for each change of investment in joint ventures, associates:</t>
  </si>
  <si>
    <t>[Thuyết minh bổ sung những thay đổi lớn hoặc hoạt động kinh doanh bất thường của các công ty con, công ty liên doanh liên kết trong kỳ]</t>
  </si>
  <si>
    <t>Đầu tư vào đơn vị khác</t>
  </si>
  <si>
    <t>Name</t>
  </si>
  <si>
    <r>
      <t xml:space="preserve">Lí do thay đổi đối với từng khoản đầu tư khác: </t>
    </r>
    <r>
      <rPr>
        <i/>
        <sz val="10"/>
        <color rgb="FF00B050"/>
        <rFont val="Times New Roman"/>
        <family val="1"/>
      </rPr>
      <t>[Trình bày bằng lời]</t>
    </r>
  </si>
  <si>
    <t>The reason for each change of other investments:</t>
  </si>
  <si>
    <t xml:space="preserve"> - Về số lượng (đối với cổ phiếu, trái phiếu)</t>
  </si>
  <si>
    <t xml:space="preserve"> - Về giá trị </t>
  </si>
  <si>
    <t>[Trong trường hợp cần thiết có thể bổ sung thuyết minh chi tiết về tỷ lệ đầu tư cổ phiếu/tỷ lệ quyền biểu quyết tại đơn vị khác hoặc thuyết minh bằng đoạn văn thay cho cách trình bày bằng bảng theo mẫu trên]
[Nêu bổ sung thông tin về nguyên nhân của sự sụt giảm giá trên thị trường và các lý do dẫn đến việc lập dự phòng .]</t>
  </si>
  <si>
    <t xml:space="preserve">PHẢI THU NGẮN HẠN CỦA KHÁCH HÀNG </t>
  </si>
  <si>
    <t xml:space="preserve">TRADE RECEIVABLES </t>
  </si>
  <si>
    <r>
      <t>Phải thu khách hàng chi tiết theo khách hàng có số dư lớn</t>
    </r>
    <r>
      <rPr>
        <b/>
        <i/>
        <sz val="10"/>
        <rFont val="Times New Roman"/>
        <family val="1"/>
      </rPr>
      <t/>
    </r>
  </si>
  <si>
    <r>
      <t>Trade receivables detailed by large account balances</t>
    </r>
    <r>
      <rPr>
        <b/>
        <i/>
        <sz val="10"/>
        <rFont val="Times New Roman"/>
        <family val="1"/>
      </rPr>
      <t xml:space="preserve"> </t>
    </r>
    <r>
      <rPr>
        <i/>
        <sz val="10"/>
        <color rgb="FF00B050"/>
        <rFont val="Times New Roman"/>
        <family val="1"/>
      </rPr>
      <t>(Chi tiết các khoản phải thu của khách hàng chiếm từ 10% trở lên trên tổng phải thu khách hàng)</t>
    </r>
  </si>
  <si>
    <t>Công ty Cổ phần Đầu tư và Xây dựng số 4.2</t>
  </si>
  <si>
    <t>Công ty A</t>
  </si>
  <si>
    <t>Công ty Cổ phần Đầu tư và Xây dựng số 4</t>
  </si>
  <si>
    <t>Công ty B</t>
  </si>
  <si>
    <t>Công ty Cổ phần Đầu tư và Xây dựng số 4 - Chi nhánh Tổng Công ty Xây dựng Hà Nội</t>
  </si>
  <si>
    <t>Các khoản phải thu khách hàng khác</t>
  </si>
  <si>
    <t>b) Phải thu khách hàng phân loại theo kỳ hạn thanh toán</t>
  </si>
  <si>
    <t>Trade receivables detailed by terms of payment</t>
  </si>
  <si>
    <t>Các khoản phải thu khách hàng ngắn hạn</t>
  </si>
  <si>
    <t>Short-term trade receivables</t>
  </si>
  <si>
    <t>Các khoản phải thu khách hàng dài hạn</t>
  </si>
  <si>
    <t>Long-term trade receivables</t>
  </si>
  <si>
    <t>c) Phải thu của khách hàng là các bên liên quan</t>
  </si>
  <si>
    <t>Trade receivables from related parties</t>
  </si>
  <si>
    <t>[Mục c – Phải thu khách hàng là các bên liên quan chỉ trình bày số dư tổng giao dịch với các bên liên quan. Chi tiết tham chiếu xuống Thuyết minh số 54 và trình bày chi tiết tại Thuyết minh 54.]</t>
  </si>
  <si>
    <t>[Mục c – Phải thu khách hàng là các bên liên quan chỉ trình bày số dư tổng giao dịch với các bên liên quan. Chi tiết tham chiếu xuống Thuyết minh số 52 và trình bày chi tiết tại Thuyết minh 52.]</t>
  </si>
  <si>
    <t>TRẢ TRƯỚC CHO NGƯỜI BÁN NGẮN HẠN</t>
  </si>
  <si>
    <t>OTHER RECEIVABLES</t>
  </si>
  <si>
    <t>Giá trị</t>
  </si>
  <si>
    <t>Value</t>
  </si>
  <si>
    <t>Provision</t>
  </si>
  <si>
    <t>Công ty TNHH MTV Vận tải và Dịch vụ Hoàng Quân</t>
  </si>
  <si>
    <t xml:space="preserve">Equitization receivables </t>
  </si>
  <si>
    <t>Công ty Cổ phần Cơ khí và Vật liệu Xây dựng Thanh Phúc</t>
  </si>
  <si>
    <t>Công ty cổ phần cơ khí và Xây dựng Viglacera</t>
  </si>
  <si>
    <t>Ông Trần Văn Nghĩa</t>
  </si>
  <si>
    <t>Các khoản trả trước cho người bán khác</t>
  </si>
  <si>
    <t xml:space="preserve">Dividends, and profits receivables </t>
  </si>
  <si>
    <t>b) Dài hạn</t>
  </si>
  <si>
    <t xml:space="preserve">Receivables from dividends and profits </t>
  </si>
  <si>
    <t>Trả trước cho người bán là bên liên quan</t>
  </si>
  <si>
    <t>PHẢI THU VỀ CHO VAY</t>
  </si>
  <si>
    <t>INTRA-COMPANY RECEIVABLES</t>
  </si>
  <si>
    <t>a) Ngắn hạn</t>
  </si>
  <si>
    <t>Ông Đinh Văn Thụ (i)</t>
  </si>
  <si>
    <t>Receivable on foreign exchange differences</t>
  </si>
  <si>
    <t>Ông Nguyễn Quý Ngọc (ii)</t>
  </si>
  <si>
    <t>Các khoản phải thu về cho vay khác (ii)</t>
  </si>
  <si>
    <t>Others</t>
  </si>
  <si>
    <t>b) Dài hạn (ii)</t>
  </si>
  <si>
    <t>Ông Nguyễn Quý Ngọc</t>
  </si>
  <si>
    <t>Ông Trần Hoàng Anh</t>
  </si>
  <si>
    <t xml:space="preserve">Receivable of borrowing cost qualified for equitization </t>
  </si>
  <si>
    <t>Phải thu khác</t>
  </si>
  <si>
    <t>(i): Khoản phải thu về cho vay đối với cá nhân Đinh Văn Thụ để phục vụ việc mua nguyên vật liệu cung cấp cho nhà máy Vigalacera Từ Sơn - Chi nhánh Hải Dương với lãi suất 0,7%/tháng.</t>
  </si>
  <si>
    <t>(ii): Các khoản phải thu về cho vay đối với cá nhân đã và đang làm việc tại Công ty để mua xe phục vụ hoạt động vận chuyển gạch; mua đất, nhà chung cư;... với lãi suất từ 0,7%/tháng đến 0,8%/tháng.</t>
  </si>
  <si>
    <t>c) Phải thu về cho vay là bên liên quan</t>
  </si>
  <si>
    <t>PHẢI THU KHÁC NGẮN HẠN</t>
  </si>
  <si>
    <t>Phải thu về lãi cho vay</t>
  </si>
  <si>
    <t>Phải thu về lãi tiền gửi</t>
  </si>
  <si>
    <t>Phải thu tiền bán gạch cho CBCNV</t>
  </si>
  <si>
    <t>Employees receivables</t>
  </si>
  <si>
    <t>Phải thu tiền thuê đất của khu tập thể</t>
  </si>
  <si>
    <t>Mortgages</t>
  </si>
  <si>
    <t>Tạm ứng của CBCNV</t>
  </si>
  <si>
    <t>Lending</t>
  </si>
  <si>
    <t>Các khoản chi hộ</t>
  </si>
  <si>
    <t>Paid on behalf</t>
  </si>
  <si>
    <t>Other receivables</t>
  </si>
  <si>
    <t>Phải thu về cổ tức và lợi nhuận được chia</t>
  </si>
  <si>
    <t>Phải thu người lao động</t>
  </si>
  <si>
    <t>Ký cược, ký quỹ</t>
  </si>
  <si>
    <t>Cho mượn</t>
  </si>
  <si>
    <t>Phải thu khác là bên liên quan</t>
  </si>
  <si>
    <t>Receivables from dividends and profit</t>
  </si>
  <si>
    <r>
      <t>TÀI SẢN THIẾU CHỜ XỬ LÝ</t>
    </r>
    <r>
      <rPr>
        <i/>
        <sz val="10"/>
        <color rgb="FF00B050"/>
        <rFont val="Times New Roman"/>
        <family val="1"/>
      </rPr>
      <t xml:space="preserve"> (Chi tiết từng loại tài sản thiếu)</t>
    </r>
  </si>
  <si>
    <r>
      <t>SHORTAGE OF ASSETS AWAITING SOLUTION</t>
    </r>
    <r>
      <rPr>
        <i/>
        <sz val="10"/>
        <color rgb="FF00B050"/>
        <rFont val="Times New Roman"/>
        <family val="1"/>
      </rPr>
      <t xml:space="preserve"> (Chi tiết từng loại tài sản thiếu)</t>
    </r>
  </si>
  <si>
    <t>Số lượng</t>
  </si>
  <si>
    <t>Quantity</t>
  </si>
  <si>
    <t>Tiền</t>
  </si>
  <si>
    <t>Cash</t>
  </si>
  <si>
    <t>Hàng tồn kho</t>
  </si>
  <si>
    <t>Fixed assets</t>
  </si>
  <si>
    <t>Tài sản khác</t>
  </si>
  <si>
    <t>Other assets</t>
  </si>
  <si>
    <t xml:space="preserve">[Nếu không thể thuyết minh rõ số lượng của tài sản thiếu chờ xử lý thì bỏ các cột số lượng đi] </t>
  </si>
  <si>
    <t>Sử dụng thuyết minh dưới đây</t>
  </si>
  <si>
    <t>NỢ XẤU</t>
  </si>
  <si>
    <t>BAD DEBTS</t>
  </si>
  <si>
    <t>Link theo sheet TM_NX</t>
  </si>
  <si>
    <t xml:space="preserve">Giá trị có 
thể thu hồi
</t>
  </si>
  <si>
    <t>Recoverable amount</t>
  </si>
  <si>
    <t>Phải thu khách hàng</t>
  </si>
  <si>
    <r>
      <t xml:space="preserve">Total value of receivables, overdue debts or not due but irrecoverable debts 
</t>
    </r>
    <r>
      <rPr>
        <b/>
        <i/>
        <sz val="10"/>
        <color rgb="FF00B050"/>
        <rFont val="Times New Roman"/>
        <family val="1"/>
      </rPr>
      <t xml:space="preserve">(chi tiết các đối tượng chiếm từ 10% trở lên trên tổng số nợ quá hạn hoặc chưa quá hạn nhưng khó có khả năng thu hồi)
</t>
    </r>
  </si>
  <si>
    <t>dự phòng 131</t>
  </si>
  <si>
    <t>ok</t>
  </si>
  <si>
    <t>- Công ty Cổ phần Đầu tư và Xây dựng Số 4 - Tổng Công ty Xây dựng Hà Nội</t>
  </si>
  <si>
    <t>- Công ty ABC</t>
  </si>
  <si>
    <t>- Chi nhánh Công ty Cổ phần Đầu tư và Xây dựng Số 4 - Xí nghiệp Xây dựng số 1</t>
  </si>
  <si>
    <t>- Các khoản phải thu khách hàng khác</t>
  </si>
  <si>
    <t>Phải thu về cho vay</t>
  </si>
  <si>
    <t>dự phòng 128</t>
  </si>
  <si>
    <t>- Các đồi tượng khác</t>
  </si>
  <si>
    <t xml:space="preserve">Phải thu khác </t>
  </si>
  <si>
    <t>dự phòng 138</t>
  </si>
  <si>
    <t>- Các đối tượng khác</t>
  </si>
  <si>
    <t>- Công ty B</t>
  </si>
  <si>
    <t>- Các công ty khác</t>
  </si>
  <si>
    <t>Khả năng thu hồi nợ phải thu quá hạn</t>
  </si>
  <si>
    <t>Recoverability of overdue debts</t>
  </si>
  <si>
    <t xml:space="preserve">[Lưu ý: Việc xác định Giá trị có thể thu hồi có thể được thực hiện theo cách sau: chênh lệch giữa giá trị nợ gốc trừ đi giá trị trích lập dự phòng của các khoản phải thu, cho vay quá hạn thanh toán hoặc chưa quá hạn nhưng khó có khả năng thu hồi]
Nếu việc xác định Giá trị có thể thu hồi được thực hiện theo cách khác thì phải thuyết minh bổ sung cách xác định Giá trị có thể thu hồi của các khoản nợ quá hạn.
</t>
  </si>
  <si>
    <t xml:space="preserve">[Lưu ý: Giá trị có thể thu hồi được xác định là chênh lệch giữa giá trị nợ gốc trừ đi giá trị trích lập dự phòng của các khoản phải thu, cho vay quá hạn thanh toán hoặc chưa quá hạn nhưng khó có khả năng thu hồi]
</t>
  </si>
  <si>
    <t>HÀNG TỒN KHO</t>
  </si>
  <si>
    <t>INVENTORIES</t>
  </si>
  <si>
    <t>Hàng mua đang đi đường</t>
  </si>
  <si>
    <t>Goods in transit</t>
  </si>
  <si>
    <t>Nguyên liệu, vật liệu</t>
  </si>
  <si>
    <t>Raw materials</t>
  </si>
  <si>
    <t>Công cụ, dụng cụ</t>
  </si>
  <si>
    <t>Tools, supplies</t>
  </si>
  <si>
    <t>Chi phí sản xuất kinh doanh dở dang</t>
  </si>
  <si>
    <t>Work in progress</t>
  </si>
  <si>
    <t>Thành phẩm</t>
  </si>
  <si>
    <t>Finished goods</t>
  </si>
  <si>
    <t>Hàng hóa</t>
  </si>
  <si>
    <t>Goods</t>
  </si>
  <si>
    <t>Hàng gửi đi bán</t>
  </si>
  <si>
    <t xml:space="preserve">Consignments </t>
  </si>
  <si>
    <t>Hàng hóa kho bảo thuế</t>
  </si>
  <si>
    <t>Goods at bonded warehouse</t>
  </si>
  <si>
    <t>Giá trị hàng tồn kho ứ đọng, kém mất phẩm chất không có khả năng tiêu thụ tại thời điểm cuối năm:</t>
  </si>
  <si>
    <t>The value of inventories degraded, deteriorates unable to consume at the end of the year:</t>
  </si>
  <si>
    <t>Nguyên nhân và hướng xử lý đối với hàng tồn kho ứng đọng, kém, mất phẩm chất:</t>
  </si>
  <si>
    <t>Reasons and resolutions for inventories degraded, deteriorates:</t>
  </si>
  <si>
    <t>Giá trị ghi sổ của hàng tồn kho dùng để thế chấp, cầm cố, đảm bảo các khoản nợ phải trả tại thời điểm cuối năm:</t>
  </si>
  <si>
    <t>Amount of inventories pledged for borrowings at the end of the year:</t>
  </si>
  <si>
    <t>Các lý do dẫn đến phải trích thêm hoặc hoàn nhập dự phòng giảm giá hàng tồn kho:</t>
  </si>
  <si>
    <t>Reasons for additional provision for obsolete inventories or reversal of provisions for obsolete inventories:</t>
  </si>
  <si>
    <t>[Lưu ý: Bổ sung thuyết minh bằng lời đối với một số giao dịch đặc biệt, hoặc biến động lớn liên quan đến các khoản mục Hàng tồn kho]</t>
  </si>
  <si>
    <t>TÀI SẢN DỞ DANG DÀI HẠN</t>
  </si>
  <si>
    <t xml:space="preserve">LONG-TERM ASSETS IN PROGRESS </t>
  </si>
  <si>
    <t>a) Chi phí sản xuất, kinh doanh dở dang dài hạn</t>
  </si>
  <si>
    <t>a) Long-term work in progress</t>
  </si>
  <si>
    <t>Giá trị có 
thể thu hồi</t>
  </si>
  <si>
    <t>(Chi tiết cho từng loại, nêu lí do vì sao không hoàn thành trong một chu kỳ sản xuất, kinh doanh thông thường)</t>
  </si>
  <si>
    <t>Công trình A ..</t>
  </si>
  <si>
    <t>Công trình B. .</t>
  </si>
  <si>
    <t>[Lưu ý: Việc xác định Giá trị có thể thu hồi có thể được thực hiện theo cách sau: chênh lệch giữa giá gốc trừ đi giá trị trích lập dự phòng của dự án, công trình xây dựng chậm trễ, gián đoạn, tạm ngừng vượt quá một chu kỳ kinh doanh thông thường. Nếu việc xác định Giá trị có thể thu hồi được thực hiện theo cách khác thì phải thuyết minh bổ sung cách xác định Giá trị có thể thu hồi của các dự án, công trình xây dựng dở dang.]</t>
  </si>
  <si>
    <t>[Lưu ý: Việc xác định Giá trị có thể thu hồi có thể được thực hiện theo cách sau: chênh lệch giữa giá gốc trừ đi giá trị trích lập dự phòng đối với dịch vụ cung cấp dở dang. Nếu việc xác định Giá trị có thể thu hồi được thực hiện theo cách khác thì phải thuyết minh bổ sung cách xác định Giá trị có thể thu hồi của các khoản nợ quá hạn.]</t>
  </si>
  <si>
    <t>Xây dựng cơ bản dở dang</t>
  </si>
  <si>
    <t>b) Construction in progress</t>
  </si>
  <si>
    <t>Chi tiết cho các công trình chiếm từ 10% trên tổng giá trị XDCB)</t>
  </si>
  <si>
    <t>Mua sắm</t>
  </si>
  <si>
    <t>Procurement of fixed assets</t>
  </si>
  <si>
    <t>Dây chuyền ngói TP3000 (i)</t>
  </si>
  <si>
    <t>Tài sản A</t>
  </si>
  <si>
    <t>Tài sản B</t>
  </si>
  <si>
    <t>Xây dựng cơ bản</t>
  </si>
  <si>
    <t>Construction in progress</t>
  </si>
  <si>
    <t>Công trình A</t>
  </si>
  <si>
    <t>Công trình B</t>
  </si>
  <si>
    <t>Sửa chữa lớn</t>
  </si>
  <si>
    <t>Major repairs of fixed assets</t>
  </si>
  <si>
    <t>(i): Đầu tư dây chuyền ngói không nung có công suất tương đương 100.000 m2/năm với giá trị đầu tư khoảng 2 tỷ đồng tại Nhà máy Hải Dương. Dây chuyền sản xuất đang trong giai đoạn chạy thử và dự kiến hoàn thành trong quý 1/2018.</t>
  </si>
  <si>
    <t>nghị quyết đại hội đồng cổ đông năm 2017</t>
  </si>
  <si>
    <t>TÀI SẢN CỐ ĐỊNH HỮU HÌNH</t>
  </si>
  <si>
    <t>TANGIBLE FIXED ASSETS</t>
  </si>
  <si>
    <t>Chọn mã cột chỉ tiêu--&gt;</t>
  </si>
  <si>
    <t>2111</t>
  </si>
  <si>
    <t>2112</t>
  </si>
  <si>
    <t>2114</t>
  </si>
  <si>
    <t>Cong</t>
  </si>
  <si>
    <t>Select item code --&gt;</t>
  </si>
  <si>
    <t>Nguyên giá</t>
  </si>
  <si>
    <t xml:space="preserve">Original cost </t>
  </si>
  <si>
    <t>Số dư đầu năm</t>
  </si>
  <si>
    <t>Beginning balance</t>
  </si>
  <si>
    <t>- Mua trong năm</t>
  </si>
  <si>
    <t>- Purchase in the year</t>
  </si>
  <si>
    <t>- Đầu tư xây dựng cơ bản hoàn thành</t>
  </si>
  <si>
    <t>- Finished construction investment</t>
  </si>
  <si>
    <t>- Tăng khác</t>
  </si>
  <si>
    <t>- Other increase</t>
  </si>
  <si>
    <t>- Chuyển sang bất động sản đầu tư</t>
  </si>
  <si>
    <t>- Transferring to investment properties</t>
  </si>
  <si>
    <t>- Thanh lý, nhượng bán</t>
  </si>
  <si>
    <t>- Liquidation, disposal</t>
  </si>
  <si>
    <t>- Giảm khác</t>
  </si>
  <si>
    <t>- Other decrease</t>
  </si>
  <si>
    <t>Số dư cuối năm</t>
  </si>
  <si>
    <t xml:space="preserve">Ending balance of the year </t>
  </si>
  <si>
    <t>Giá trị hao mòn lũy kế</t>
  </si>
  <si>
    <t>Accumulated depreciation</t>
  </si>
  <si>
    <t>- Khấu hao trong năm</t>
  </si>
  <si>
    <t>- Depreciation for the year</t>
  </si>
  <si>
    <t>Ending balance of the year</t>
  </si>
  <si>
    <t>Giá trị còn lại</t>
  </si>
  <si>
    <t>Net carrying amount</t>
  </si>
  <si>
    <t>Tại ngày đầu năm</t>
  </si>
  <si>
    <t>Beginning of the year</t>
  </si>
  <si>
    <t>Tại ngày cuối năm</t>
  </si>
  <si>
    <t>Ending of the year</t>
  </si>
  <si>
    <t>(*) [Các số giảm được ghi là số âm và trình bày trong ngoặc đơn]</t>
  </si>
  <si>
    <t>Giá trị còn lại cuối năm của TSCĐ hữu hình đã dùng để thế chấp, cầm cố đảm bảo các khoản vay: XXX VND.</t>
  </si>
  <si>
    <t>Ending net book value of tangible fixed assets at the end of the year pledged as loan securities:</t>
  </si>
  <si>
    <t>Nguyên giá TSCĐ cuối năm đã khấu hao hết nhưng vẫn còn sử dụng: XXX VND.</t>
  </si>
  <si>
    <t>Cost of fully depreciated tangible fixed assets at the end of the year but still in use:</t>
  </si>
  <si>
    <t>Nguyên giá TSCĐ cuối năm chờ thanh lý: XXX VND.</t>
  </si>
  <si>
    <t>Cost of tangible fixed assets at the end of the year waiting for liquidation:</t>
  </si>
  <si>
    <t>Các cam kết về việc mua, bán TSCĐ hữu hình có giá trị lớn trong tương lai: XXX VND.</t>
  </si>
  <si>
    <t>Significant commitments in buying, selling valuable tangible fixed assets:</t>
  </si>
  <si>
    <t>Các thay đổi khác về TSCĐ hữu hình: XXX VND.</t>
  </si>
  <si>
    <t>Other changes in tangible fixed assets:</t>
  </si>
  <si>
    <t>TÀI SẢN CỐ ĐỊNH THUÊ TÀI CHÍNH</t>
  </si>
  <si>
    <t>FINANCE LEASE FIXED ASSETS</t>
  </si>
  <si>
    <t>21211</t>
  </si>
  <si>
    <t>21212</t>
  </si>
  <si>
    <t>2122</t>
  </si>
  <si>
    <t>- Thuê tài chính trong năm</t>
  </si>
  <si>
    <t>- Finance lease in the year</t>
  </si>
  <si>
    <t>- Mua lại TSCĐ thuê tài chính</t>
  </si>
  <si>
    <t>- Repurchase of finance lease fixed assets</t>
  </si>
  <si>
    <t>- Trả lại TSCĐ thuê tài chính</t>
  </si>
  <si>
    <t>- Return of finance lease fixed assets</t>
  </si>
  <si>
    <t xml:space="preserve">Net carrying amount </t>
  </si>
  <si>
    <t>Tiền thuê phát sinh thêm được ghi nhận là chi phí trong năm:</t>
  </si>
  <si>
    <t>Contingent rent subsequently recognized as expenses during the year:</t>
  </si>
  <si>
    <t xml:space="preserve">Căn cứ để ghi nhận tiền thuê phát sinh thêm: </t>
  </si>
  <si>
    <t>The basis on which contingent rent payments are determined:</t>
  </si>
  <si>
    <t>Điều khoản gia hạn thuê hoặc quyền được mua tài sản:</t>
  </si>
  <si>
    <t>Provisions for further leasing or right to purchase the leased assets:</t>
  </si>
  <si>
    <t>TÀI SẢN CỐ ĐỊNH VÔ HÌNH</t>
  </si>
  <si>
    <t>INTANGIBLE FIXED ASSETS</t>
  </si>
  <si>
    <t>2131</t>
  </si>
  <si>
    <t>2135</t>
  </si>
  <si>
    <t>2138</t>
  </si>
  <si>
    <t>Nguyên giá TSCĐ</t>
  </si>
  <si>
    <t xml:space="preserve"> - Purchase in the year</t>
  </si>
  <si>
    <t>- Tạo ra từ nội bộ doanh nghiệp</t>
  </si>
  <si>
    <t>- Internally generated assets</t>
  </si>
  <si>
    <t>- Tăng do hợp nhất kinh doanh</t>
  </si>
  <si>
    <t>- Increase due to mergers</t>
  </si>
  <si>
    <t>Accumulated amortisation</t>
  </si>
  <si>
    <t xml:space="preserve"> - Amortisation in the year</t>
  </si>
  <si>
    <t>Giá trị còn lại cuối năm của TSCĐ vô hình đã dùng thế chấp, cầm cố đảm bảo các khoản vay:</t>
  </si>
  <si>
    <t>Ending net book value of intangible fixed assets at the end of the year pledged as loan securities:</t>
  </si>
  <si>
    <t>Nguyên giá TSCĐ vô hình cuối năm đã khấu hao hết nhưng vẫn còn sử dụng:</t>
  </si>
  <si>
    <t>Cost of fully depreciated intangible fixed assets at the end of the period but still in use:</t>
  </si>
  <si>
    <t>Tài sản cố định vô hình là Phần mềm kế toán, nguyên giá và giá trị còn lại tại thời điểm 31/12/2017 lần lượt là 118.000.000 VND và 66.375.007 VND.</t>
  </si>
  <si>
    <t>Thuyết minh số liệu và giải trình khác</t>
  </si>
  <si>
    <t>BẤT ĐỘNG SẢN ĐẦU TƯ</t>
  </si>
  <si>
    <t>INVESTMENT PROPERTIES</t>
  </si>
  <si>
    <t>a) Bất động sản đầu tư cho thuê</t>
  </si>
  <si>
    <t>a) Investment property held for lease</t>
  </si>
  <si>
    <t>Nhà</t>
  </si>
  <si>
    <t>Cơ sở hạ tầng</t>
  </si>
  <si>
    <t>Cộng</t>
  </si>
  <si>
    <t>Infrastructure</t>
  </si>
  <si>
    <t>- Liquidating, disposed</t>
  </si>
  <si>
    <t>- Depreciation in the year</t>
  </si>
  <si>
    <t>b) Bất động sản đầu tư nắm giữ chờ tăng giá</t>
  </si>
  <si>
    <t>b) Investment property held for capital appreciation</t>
  </si>
  <si>
    <t>Tổn thất do suy giảm giá trị</t>
  </si>
  <si>
    <t>Losses due to devaluation</t>
  </si>
  <si>
    <t>[Các số giảm được ghi là số âm và trình bày trong ngoặc đơn]</t>
  </si>
  <si>
    <t>Giá trị còn lại cuối năm của bất động sản đầu tư đã dùng thế chấp, cầm cố đảm bảo các khoản vay:</t>
  </si>
  <si>
    <t>Ending net book value of investment properties at the end of the year pledged as loan securities:</t>
  </si>
  <si>
    <t>Nguyên giá bất động sản đầu tư cuối năm đã khấu hao hết nhưng vẫn cho thuê hoặc nắm giữ chờ tăng giá:</t>
  </si>
  <si>
    <t>Cost of fully depreciated investment properties but still in lease or held for capital appreciation:</t>
  </si>
  <si>
    <t>[ĐỐI VỚI CÁC THUYẾT MINH 13, 14, 15, 16: Nếu đơn vị chỉ có một loại tài sản có thể thuyết minh bằng lời thì đề nghị thuyết minh bằng lời bao gồm các thông tin : tên tài sản, nguyên giá, giá trị hao mòn lũy kế tại thời điểm 31/12/2016 trong đó khấu hao trong năm là bao nhiêu.]</t>
  </si>
  <si>
    <t>[ĐỐI VỚI CÁC THUYẾT MINH 11, 12, 13, 14: Nếu đơn vị chỉ có một loại tài sản có thể thuyết minh bằng lời thì đề nghị thuyết minh bằng lời bao gồm các thông tin : tên tài sản, nguyên giá, giá trị hao mòn lũy kế tại thời điểm 30/06/2015 trong đó khấu hao trong kỳ là bao nhiêu.]</t>
  </si>
  <si>
    <t>CHI PHÍ TRẢ TRƯỚC DÀI HẠN</t>
  </si>
  <si>
    <t>PREPAID EXPENSES</t>
  </si>
  <si>
    <t>Chi phí đền bù giải phóng mặt bằng mở rộng Nhà máy Hải Dương</t>
  </si>
  <si>
    <t>Prepaid expenses incurred from fixed asset operating lease</t>
  </si>
  <si>
    <t>Chi phí xây dựng nhà máy vật liệu không nung Viglacera Từ Sơn đã dừng đầu tư</t>
  </si>
  <si>
    <t>Dispatched tools and supplies</t>
  </si>
  <si>
    <t>Chi phí đại tu máy móc, thiết bị</t>
  </si>
  <si>
    <t>Borrowing expenses</t>
  </si>
  <si>
    <t>Chi phí trả trước khác</t>
  </si>
  <si>
    <r>
      <t xml:space="preserve">Others </t>
    </r>
    <r>
      <rPr>
        <sz val="10"/>
        <color rgb="FF00B050"/>
        <rFont val="Times New Roman"/>
        <family val="1"/>
      </rPr>
      <t>(nêu chi tiết nếu có thể)</t>
    </r>
  </si>
  <si>
    <t>Enterprise establishment expenses</t>
  </si>
  <si>
    <t>Insurance premiums</t>
  </si>
  <si>
    <t>Chi phí thuê xe</t>
  </si>
  <si>
    <t>TÀI SẢN KHÁC</t>
  </si>
  <si>
    <t>OTHER ASSETS</t>
  </si>
  <si>
    <r>
      <t xml:space="preserve">a) Ngắn hạn </t>
    </r>
    <r>
      <rPr>
        <i/>
        <sz val="10"/>
        <color rgb="FF00B050"/>
        <rFont val="Times New Roman"/>
        <family val="1"/>
      </rPr>
      <t>(Chi tiết từng khoản mục)</t>
    </r>
  </si>
  <si>
    <t>…</t>
  </si>
  <si>
    <r>
      <t xml:space="preserve">b) Dài hạn </t>
    </r>
    <r>
      <rPr>
        <i/>
        <sz val="10"/>
        <color rgb="FF00B050"/>
        <rFont val="Times New Roman"/>
        <family val="1"/>
      </rPr>
      <t>(Chi tiết từng khoản mục)</t>
    </r>
  </si>
  <si>
    <t>VAY VÀ NỢ THUÊ TÀI CHÍNH</t>
  </si>
  <si>
    <t>LOANS AND FINANCE LEASE LIABILITIES</t>
  </si>
  <si>
    <t>Link theo sheet TM_VAY</t>
  </si>
  <si>
    <r>
      <t xml:space="preserve">Thông tin chi tiết liên quan đến các khoản vay ngắn hạn: </t>
    </r>
    <r>
      <rPr>
        <i/>
        <sz val="10"/>
        <color rgb="FF00B050"/>
        <rFont val="Times New Roman"/>
        <family val="1"/>
      </rPr>
      <t>[Chọn một trong hai cách thuyết minh sau]</t>
    </r>
  </si>
  <si>
    <r>
      <t xml:space="preserve">Detail information on Short-term loans: </t>
    </r>
    <r>
      <rPr>
        <i/>
        <sz val="10"/>
        <color rgb="FF00B050"/>
        <rFont val="Times New Roman"/>
        <family val="1"/>
      </rPr>
      <t>[Chọn một trong hai cách thuyết minh sau]</t>
    </r>
  </si>
  <si>
    <r>
      <t>[Cách 1: Trình bày tóm tắt các thông tin liên quan đến các khoản vay trên bằng lời. Các thông tin liên quan bao gồm: S</t>
    </r>
    <r>
      <rPr>
        <b/>
        <i/>
        <sz val="10"/>
        <color rgb="FF00B050"/>
        <rFont val="Times New Roman"/>
        <family val="1"/>
      </rPr>
      <t>ố hợp đồng vay, bên cho vay, lãi suất vay, thời hạn vay, tổng giá trị khoản vay (hoặc hạn mức tín dụng)và số dư nợ gốc,</t>
    </r>
    <r>
      <rPr>
        <i/>
        <sz val="10"/>
        <color rgb="FF00B050"/>
        <rFont val="Times New Roman"/>
        <family val="1"/>
      </rPr>
      <t>. Nếu chỉ có 1 hợp đồng vay với 1 ngân hàng nhưng có tổng hạn mức tín dụng, nhiều giấy nhận nợ với lãi suất khác nhau hoặc có quá nhiều hợp đồng vay với nhiều ngân hàng thì tóm tắt các nội dung trên theo từng nhóm hợp đồng hoặc bên cho vay]</t>
    </r>
  </si>
  <si>
    <r>
      <t xml:space="preserve">[Trình bày tóm tắt các thông tin liên quan đến các khoản vay trên bằng lời. Các thông tin liên quan bao gồm: </t>
    </r>
    <r>
      <rPr>
        <b/>
        <i/>
        <sz val="10"/>
        <color rgb="FF00B050"/>
        <rFont val="Times New Roman"/>
        <family val="1"/>
      </rPr>
      <t>Số hợp đồng vay, bên cho vay, lãi suất vay, thời hạn vay, tổng giá trị khoản vay (hoặc hạn mức tín dụng)và số dư nợ gốc, phương thức bảo đảm khoản vay</t>
    </r>
    <r>
      <rPr>
        <i/>
        <sz val="10"/>
        <color rgb="FF00B050"/>
        <rFont val="Times New Roman"/>
        <family val="1"/>
      </rPr>
      <t>. Nếu chỉ có 1 hợp đồng vay với 1 ngân hàng nhưng có tổng hạn mức tín dụng, nhiều giấy nhận nợ với lãi suất khác nhau hoặc có quá nhiều hợp đồng vay với nhiều ngân hàng thì tóm tắt các nội dung trên theo từng nhóm hợp đồng hoặc bên cho vay]</t>
    </r>
  </si>
  <si>
    <r>
      <rPr>
        <i/>
        <sz val="10"/>
        <color rgb="FF00B050"/>
        <rFont val="Times New Roman"/>
        <family val="1"/>
      </rPr>
      <t>[Cách 2:</t>
    </r>
    <r>
      <rPr>
        <sz val="10"/>
        <rFont val="Times New Roman"/>
        <family val="1"/>
      </rPr>
      <t xml:space="preserve"> Chi tiết các khoản vay ngắn hạn từ ngân hàng và các tổ chức tín dụng khác của </t>
    </r>
    <r>
      <rPr>
        <sz val="10"/>
        <color rgb="FF0000FF"/>
        <rFont val="Times New Roman"/>
        <family val="1"/>
      </rPr>
      <t xml:space="preserve">Công ty/Tổng Công ty </t>
    </r>
    <r>
      <rPr>
        <sz val="10"/>
        <rFont val="Times New Roman"/>
        <family val="1"/>
      </rPr>
      <t>như sau:</t>
    </r>
  </si>
  <si>
    <r>
      <rPr>
        <i/>
        <sz val="10"/>
        <color rgb="FF00B050"/>
        <rFont val="Times New Roman"/>
        <family val="1"/>
      </rPr>
      <t>[Cách 2:</t>
    </r>
    <r>
      <rPr>
        <sz val="10"/>
        <rFont val="Times New Roman"/>
        <family val="1"/>
      </rPr>
      <t xml:space="preserve"> Detail information on Short–term loans from banks and credit institutions is as follows:</t>
    </r>
  </si>
  <si>
    <t>Loại tiền</t>
  </si>
  <si>
    <t>Lãi suất năm</t>
  </si>
  <si>
    <t>Hình thức 
đảm bảo</t>
  </si>
  <si>
    <t>Currency</t>
  </si>
  <si>
    <t>Interest
rate</t>
  </si>
  <si>
    <t>Guarantee</t>
  </si>
  <si>
    <t>%</t>
  </si>
  <si>
    <t>Ngân hàng ABC</t>
  </si>
  <si>
    <t>USD</t>
  </si>
  <si>
    <t>Tín chấp</t>
  </si>
  <si>
    <t>Bank ABC</t>
  </si>
  <si>
    <t>Pledge of trust</t>
  </si>
  <si>
    <t>Ngân hàng XYZ</t>
  </si>
  <si>
    <t>Bank XYZ</t>
  </si>
  <si>
    <r>
      <rPr>
        <i/>
        <sz val="10"/>
        <color rgb="FF00B050"/>
        <rFont val="Times New Roman"/>
        <family val="1"/>
      </rPr>
      <t>Phần tài sản đảm bảo nếu không phải là tín chấp thì thuyết minh bằng lời nhưng chỉ cần viết ngắn gọn, ví dụ như:</t>
    </r>
    <r>
      <rPr>
        <sz val="10"/>
        <rFont val="Times New Roman"/>
        <family val="1"/>
      </rPr>
      <t xml:space="preserve">
Các khoản vay từ ngân hàng và các tổ chức tín dụng khác được bảo đảm bằng các hợp đồng thế chấp/cầm cố/bảo lãnh tại với bên cho vay vốn và đã được đăng ký giao dịch đảm bảo đầy đủ </t>
    </r>
    <r>
      <rPr>
        <i/>
        <sz val="10"/>
        <color rgb="FF00B050"/>
        <rFont val="Times New Roman"/>
        <family val="1"/>
      </rPr>
      <t xml:space="preserve">[Lưu ý kiểm tra thông tin được thuyết minh]. </t>
    </r>
    <r>
      <rPr>
        <sz val="10"/>
        <rFont val="Times New Roman"/>
        <family val="1"/>
      </rPr>
      <t xml:space="preserve">
</t>
    </r>
  </si>
  <si>
    <r>
      <rPr>
        <i/>
        <sz val="10"/>
        <color rgb="FF00B050"/>
        <rFont val="Times New Roman"/>
        <family val="1"/>
      </rPr>
      <t>Phần tài sản đảm bảo nếu không phải là tín chấp thì thuyết minh bằng lời nhưng chỉ cần viết ngắn gọn, ví dụ như:</t>
    </r>
    <r>
      <rPr>
        <sz val="10"/>
        <rFont val="Times New Roman"/>
        <family val="1"/>
      </rPr>
      <t xml:space="preserve">
Loans from banks and other credit institutions are secured by the mortgage contract/ pledging/ guarantee with the lender and registered fully secured transactions.  </t>
    </r>
    <r>
      <rPr>
        <i/>
        <sz val="10"/>
        <color rgb="FF00B050"/>
        <rFont val="Times New Roman"/>
        <family val="1"/>
      </rPr>
      <t xml:space="preserve">[Lưu ý kiểm tra thông tin được thuyết minh]. </t>
    </r>
  </si>
  <si>
    <r>
      <t xml:space="preserve">Thông tin chi tiết liên quan đến các khoản vay dài hạn:  </t>
    </r>
    <r>
      <rPr>
        <i/>
        <sz val="10"/>
        <color rgb="FF00B050"/>
        <rFont val="Times New Roman"/>
        <family val="1"/>
      </rPr>
      <t>[Chọn một trong hai cách thuyết minh sau]</t>
    </r>
  </si>
  <si>
    <r>
      <rPr>
        <b/>
        <sz val="10"/>
        <rFont val="Times New Roman"/>
        <family val="1"/>
      </rPr>
      <t>Detail information on Long-term loans:</t>
    </r>
    <r>
      <rPr>
        <sz val="10"/>
        <rFont val="Times New Roman"/>
        <family val="1"/>
      </rPr>
      <t xml:space="preserve">  </t>
    </r>
    <r>
      <rPr>
        <i/>
        <sz val="10"/>
        <color rgb="FF00B050"/>
        <rFont val="Times New Roman"/>
        <family val="1"/>
      </rPr>
      <t>[Chọn một trong hai cách thuyết minh sau]</t>
    </r>
  </si>
  <si>
    <r>
      <t xml:space="preserve">[Cách 1: Nên trình bày tóm tắt các thông tin liên quan đến các khoản vay trên bằng lời. Các thông tin liên quan bao gồm: </t>
    </r>
    <r>
      <rPr>
        <b/>
        <i/>
        <sz val="10"/>
        <color rgb="FF00B050"/>
        <rFont val="Times New Roman"/>
        <family val="1"/>
      </rPr>
      <t>Số hợp đồng vay, bên cho vay, lãi suất vay, thời hạn vay, tổng giá trị khoản vay, phương thức bảo đảm khoản vay</t>
    </r>
    <r>
      <rPr>
        <i/>
        <sz val="10"/>
        <color rgb="FF00B050"/>
        <rFont val="Times New Roman"/>
        <family val="1"/>
      </rPr>
      <t>. Nếu chỉ có 1 hợp đồng vay với 1 ngân hàng nhưng có tổng giá trị khoản vay, nhiều giấy nhận nợ với lãi suất khác nhau hoặc có quá nhiều hợp đồng vay với nhiều ngân hàng thì tóm tắt các nội dung trên theo từng nhóm hợp đồng hoặc bên cho vay</t>
    </r>
  </si>
  <si>
    <r>
      <t xml:space="preserve">[Nên trình bày tóm tắt các thông tin liên quan đến các khoản vay trên bằng lời. Các thông tin liên quan bao gồm: </t>
    </r>
    <r>
      <rPr>
        <b/>
        <i/>
        <sz val="10"/>
        <color rgb="FF00B050"/>
        <rFont val="Times New Roman"/>
        <family val="1"/>
      </rPr>
      <t>Số hợp đồng vay, bên cho vay, lãi suất vay, thời hạn vay, tổng giá trị khoản vay, phương thức bảo đảm khoản vay</t>
    </r>
    <r>
      <rPr>
        <i/>
        <sz val="10"/>
        <color rgb="FF00B050"/>
        <rFont val="Times New Roman"/>
        <family val="1"/>
      </rPr>
      <t>. Nếu chỉ có 1 hợp đồng vay với 1 ngân hàng nhưng có tổng giá trị khoản vay, nhiều giấy nhận nợ với lãi suất khác nhau hoặc có quá nhiều hợp đồng vay với nhiều ngân hàng thì tóm tắt các nội dung trên theo từng nhóm hợp đồng hoặc bên cho vay</t>
    </r>
  </si>
  <si>
    <r>
      <rPr>
        <i/>
        <sz val="10"/>
        <color rgb="FF00B050"/>
        <rFont val="Times New Roman"/>
        <family val="1"/>
      </rPr>
      <t>[Cách 2:</t>
    </r>
    <r>
      <rPr>
        <sz val="10"/>
        <rFont val="Times New Roman"/>
        <family val="1"/>
      </rPr>
      <t xml:space="preserve"> Điều khoản và điều kiện của khoản vay dài hạn hiện còn số dư như sau:</t>
    </r>
  </si>
  <si>
    <r>
      <rPr>
        <i/>
        <sz val="10"/>
        <color rgb="FF00B050"/>
        <rFont val="Times New Roman"/>
        <family val="1"/>
      </rPr>
      <t>[Cách 2:</t>
    </r>
    <r>
      <rPr>
        <sz val="10"/>
        <rFont val="Times New Roman"/>
        <family val="1"/>
      </rPr>
      <t xml:space="preserve"> Terms and conditions of long-term loans is as follows:</t>
    </r>
  </si>
  <si>
    <t>Năm đáo hạn</t>
  </si>
  <si>
    <t>Year maturity</t>
  </si>
  <si>
    <t>Khoản đến hạn trả trong vòng 12 tháng</t>
  </si>
  <si>
    <t>Amounts come due within 12 months</t>
  </si>
  <si>
    <t>Khoản đến hạn trả sau 12 tháng</t>
  </si>
  <si>
    <t>Amounts come due after 12 months</t>
  </si>
  <si>
    <r>
      <rPr>
        <i/>
        <sz val="10"/>
        <color rgb="FF00B050"/>
        <rFont val="Times New Roman"/>
        <family val="1"/>
      </rPr>
      <t>Phần tài sản đảm bảo nếu không phải là tín chấp thì thuyết minh bằng lời nhưng chỉ cần viết ngắn gọn, ví dụ như:</t>
    </r>
    <r>
      <rPr>
        <sz val="10"/>
        <rFont val="Times New Roman"/>
        <family val="1"/>
      </rPr>
      <t xml:space="preserve">
Khoản vay Ngân hàng ..., Ngân hàng ... được bảo lãnh bởi....
Các khoản vay từ ngân hàng và các tổ chức tín dụng khác được bảo đảm bằng các hợp đồng thế chấp/cầm cố tại với bên cho vay vốn và đã được đăng ký giao dịch đảm bảo đầy đủ </t>
    </r>
    <r>
      <rPr>
        <i/>
        <sz val="10"/>
        <color rgb="FF00B050"/>
        <rFont val="Times New Roman"/>
        <family val="1"/>
      </rPr>
      <t>[Lưu ý kiểm tra thông tin được thuyết minh].</t>
    </r>
  </si>
  <si>
    <r>
      <rPr>
        <i/>
        <sz val="10"/>
        <color rgb="FF00B050"/>
        <rFont val="Times New Roman"/>
        <family val="1"/>
      </rPr>
      <t>Phần tài sản đảm bảo nếu không phải là tín chấp thì thuyết minh bằng lời nhưng chỉ cần viết ngắn gọn, ví dụ như:</t>
    </r>
    <r>
      <rPr>
        <sz val="10"/>
        <rFont val="Times New Roman"/>
        <family val="1"/>
      </rPr>
      <t xml:space="preserve">
Loans from Bank, Bank.... is guaranteed by....
Loans from banks and other credit institutions are secured by the mortgage contract/ pledging/ guarantee with the lender and registered fully secured transactions.  </t>
    </r>
    <r>
      <rPr>
        <i/>
        <sz val="10"/>
        <color rgb="FF00B050"/>
        <rFont val="Times New Roman"/>
        <family val="1"/>
      </rPr>
      <t>[Lưu ý kiểm tra thông tin được thuyết minh].</t>
    </r>
  </si>
  <si>
    <r>
      <t xml:space="preserve">Thông tin chi tiết liên quan đến các khoản nợ thuê tài chính: </t>
    </r>
    <r>
      <rPr>
        <i/>
        <sz val="10"/>
        <color rgb="FF00B050"/>
        <rFont val="Times New Roman"/>
        <family val="1"/>
      </rPr>
      <t>[Chọn một trong hai cách thuyết minh sau]</t>
    </r>
  </si>
  <si>
    <r>
      <rPr>
        <b/>
        <sz val="10"/>
        <rFont val="Times New Roman"/>
        <family val="1"/>
      </rPr>
      <t xml:space="preserve">Detail information on debts from finance: </t>
    </r>
    <r>
      <rPr>
        <i/>
        <sz val="10"/>
        <color rgb="FF00B050"/>
        <rFont val="Times New Roman"/>
        <family val="1"/>
      </rPr>
      <t>[Chọn một trong hai cách thuyết minh sau]</t>
    </r>
  </si>
  <si>
    <t>[Cách 1: Nêu Trình bày bằng lời bao gồm các thông tin về hợp đồng thuê tài chính, bên cho thuê, tài sản thuê và tổng giá trị hợp đồng thuê bao gồm nợ gốc và lãi phải trả, thời hạn thanh toán, số dư nợ gốc còn phải trả]</t>
  </si>
  <si>
    <t>[Nêu Trình bày bằng lời bao gồm các thông tin về hợp đồng thuê tài chính, bên cho thuê, tài sản thuê và tổng giá trị hợp đồng thuê bao gồm nợ gốc và lãi phải trả, thời hạn thanh toán, số dư nợ gốc còn phải trả]</t>
  </si>
  <si>
    <t>[Hoặc Nợ thuê tài chính còn có thể được thuyết minh theo bảng số liệu xem TM_VAY]</t>
  </si>
  <si>
    <t>c) Số vay và nợ thuê tài chính quá hạn chưa thanh toán</t>
  </si>
  <si>
    <t>Overdue loans and finance lease liabilities</t>
  </si>
  <si>
    <t>Gốc</t>
  </si>
  <si>
    <t>Lãi</t>
  </si>
  <si>
    <t>Principal</t>
  </si>
  <si>
    <t>Interest</t>
  </si>
  <si>
    <t>Loans</t>
  </si>
  <si>
    <t>Nợ thuê tài chính</t>
  </si>
  <si>
    <t>Finance lease liabilities</t>
  </si>
  <si>
    <t>[Bổ sung lý do chưa thanh toán]</t>
  </si>
  <si>
    <t>Các khoản vay và nợ thuê tài chính đối với các bên liên quan</t>
  </si>
  <si>
    <t>Loans and finance lease liabilities from relevant entities are as follows:</t>
  </si>
  <si>
    <t>[Trình bày theo bên dưới hoặc số liệu lớn thì Link từ sheet TM_VAY]</t>
  </si>
  <si>
    <t>PHẢI TRẢ NGƯỜI BÁN NGẮN HẠN</t>
  </si>
  <si>
    <t>TRADE PAYABLES</t>
  </si>
  <si>
    <t>Số có khả năng trả nợ</t>
  </si>
  <si>
    <t>Outstanding 
balance</t>
  </si>
  <si>
    <t>Amount can 
be paid</t>
  </si>
  <si>
    <t>Phải trả người bán chi tiết theo nhà cung cấp có số dư lớn</t>
  </si>
  <si>
    <t>Trade payables detailed by large account balances</t>
  </si>
  <si>
    <t>Công ty TNHH Tất Thắng</t>
  </si>
  <si>
    <t>Công ty Cổ phần Thương mại và Dịch vụ Bắc Sơn</t>
  </si>
  <si>
    <t>Công ty TNHH Sản xuất và Thương mại Hưng Yến</t>
  </si>
  <si>
    <t>Doanh nghiệp tư nhân Hưng Yến</t>
  </si>
  <si>
    <t>Các khoản phải trả người bán khác</t>
  </si>
  <si>
    <t>Công ty cổ phần Tuấn Thắng</t>
  </si>
  <si>
    <t>Công ty TNHH Chí Tín</t>
  </si>
  <si>
    <t>b) Phải trả người bán chi tiết theo kỳ hạn thanh toán</t>
  </si>
  <si>
    <t>Trade payables detailed by term of payment</t>
  </si>
  <si>
    <t>Phải trả người bán ngắn hạn</t>
  </si>
  <si>
    <t>Short-term trade payables</t>
  </si>
  <si>
    <t>Phải trả người bán dài hạn</t>
  </si>
  <si>
    <t>Long-term trade payables</t>
  </si>
  <si>
    <r>
      <t xml:space="preserve">c) Số nợ quá hạn chưa thanh toán </t>
    </r>
    <r>
      <rPr>
        <sz val="10"/>
        <color rgb="FF00B050"/>
        <rFont val="Times New Roman"/>
        <family val="1"/>
      </rPr>
      <t>(Chi tiết từng đối tượng chiếm 10% trở lên trên tổng số nợ quá hạn)</t>
    </r>
  </si>
  <si>
    <r>
      <t xml:space="preserve">Unpaid overdue payables </t>
    </r>
    <r>
      <rPr>
        <sz val="10"/>
        <color rgb="FF00B050"/>
        <rFont val="Times New Roman"/>
        <family val="1"/>
      </rPr>
      <t>(Chi tiết từng đối tượng chiếm 10% trở lên trên tổng số nợ quá hạn)</t>
    </r>
  </si>
  <si>
    <t>Công ty Z</t>
  </si>
  <si>
    <t>….</t>
  </si>
  <si>
    <t>Các đối tượng khác</t>
  </si>
  <si>
    <t>Other</t>
  </si>
  <si>
    <t>d) Phải trả người bán là các bên liên quan</t>
  </si>
  <si>
    <t>Trade payables to related parties</t>
  </si>
  <si>
    <t>(Dùng bảng ngang)</t>
  </si>
  <si>
    <t>NGƯỜI MUA TRẢ TIỀN TRƯỚC NGẮN HẠN</t>
  </si>
  <si>
    <t>ACCRUED EXPENSES</t>
  </si>
  <si>
    <t>Công ty TNHH Phát triển Ngọc Trang</t>
  </si>
  <si>
    <t xml:space="preserve">Accrued interest </t>
  </si>
  <si>
    <t>Công ty TNHH Thương mại và Dịch vụ Nhất Dương Nguyên</t>
  </si>
  <si>
    <t xml:space="preserve">Accrued annual leave salary </t>
  </si>
  <si>
    <t>Công ty TNHH Thương mại, truyền thông và xây dựng ANPHAN</t>
  </si>
  <si>
    <t>Công ty TNHH Đức Giang</t>
  </si>
  <si>
    <t>Công ty TNHH Sản xuất và Xây dựng Thịnh Phát</t>
  </si>
  <si>
    <t>…..</t>
  </si>
  <si>
    <r>
      <t xml:space="preserve">Other accrued expenses  </t>
    </r>
    <r>
      <rPr>
        <i/>
        <sz val="10"/>
        <color rgb="FF00B050"/>
        <rFont val="Times New Roman"/>
        <family val="1"/>
      </rPr>
      <t>(Chi tiết từng khoản)</t>
    </r>
  </si>
  <si>
    <t>THUẾ VÀ CÁC KHOẢN PHẢI NỘP NHÀ NƯỚC</t>
  </si>
  <si>
    <r>
      <t xml:space="preserve">TAXES AND AMOUNTS PAYABLE TO THE STATE BUDGET </t>
    </r>
    <r>
      <rPr>
        <i/>
        <sz val="10"/>
        <color rgb="FF00B050"/>
        <rFont val="Times New Roman"/>
        <family val="1"/>
      </rPr>
      <t>(Dùng bảng ngang)</t>
    </r>
  </si>
  <si>
    <t>phải nộp</t>
  </si>
  <si>
    <t>đã nộp</t>
  </si>
  <si>
    <t>Giảm VAT được khấu trừ</t>
  </si>
  <si>
    <t>Đầu năm</t>
  </si>
  <si>
    <t>Số phải nộp trong năm</t>
  </si>
  <si>
    <t>Số đã thực nộp trong năm</t>
  </si>
  <si>
    <t>Cuối năm</t>
  </si>
  <si>
    <t>Thuế giá trị gia tăng</t>
  </si>
  <si>
    <t>Thuế tiêu thụ đặc biệt</t>
  </si>
  <si>
    <t>Thuế xuất, nhập khẩu</t>
  </si>
  <si>
    <t>Thuế thu nhập doanh nghiệp</t>
  </si>
  <si>
    <t>Thuế thu nhập cá nhân</t>
  </si>
  <si>
    <t>Thuế tài nguyên</t>
  </si>
  <si>
    <t>Thuế nhà đất và tiền thuê đất</t>
  </si>
  <si>
    <t>Thuế bảo vệ môi trường</t>
  </si>
  <si>
    <t>Các khoản phải nộp khác</t>
  </si>
  <si>
    <t>The Company’s tax settlements are subject to examination by the tax authorities. Because the application of tax laws and regulations on many types of transactions is susceptible to varying interpretations, amounts reported in the financial statements could be changed at a later date upon final determination by the tax authorities</t>
  </si>
  <si>
    <t>CHI PHÍ PHẢI TRẢ NGẮN HẠN</t>
  </si>
  <si>
    <t>Chi phí lãi vay</t>
  </si>
  <si>
    <t>Trích trước chi phí tiền lương trong thời gian nghỉ phép</t>
  </si>
  <si>
    <t>Chi phí trong thời gian ngừng kinh doanh</t>
  </si>
  <si>
    <t>Accrued suspension of business and production</t>
  </si>
  <si>
    <t>Chi phí trích trước tạm tính giá vốn hàng hóa, thành phẩm bất động sản đã bán</t>
  </si>
  <si>
    <t xml:space="preserve">Accrued costs of properties or finished products sold                                      </t>
  </si>
  <si>
    <t>Chi phí phải trả khác</t>
  </si>
  <si>
    <t>Other accrued expenses</t>
  </si>
  <si>
    <r>
      <t xml:space="preserve">Chi phí phải trả khác </t>
    </r>
    <r>
      <rPr>
        <i/>
        <sz val="10"/>
        <color rgb="FF00B050"/>
        <rFont val="Times New Roman"/>
        <family val="1"/>
      </rPr>
      <t>(Chi tiết từng khoản)</t>
    </r>
  </si>
  <si>
    <t>PHẢI TRẢ NỘI BỘ</t>
  </si>
  <si>
    <t>INTRA-COMPANY PAYABLES</t>
  </si>
  <si>
    <t>Phải trả về chênh lệch tỷ giá</t>
  </si>
  <si>
    <t>Payables from exchange rate difference</t>
  </si>
  <si>
    <t>Phải trả về chi phí đi vay đủ điều kiện được vốn hóa</t>
  </si>
  <si>
    <t>Payables of borrowing cost qualified for equitization</t>
  </si>
  <si>
    <t>Phải trả khác</t>
  </si>
  <si>
    <t>Other payables</t>
  </si>
  <si>
    <t>[Bổ sung thuyết minh chi tiết theo nội dung nếu cần thiết]</t>
  </si>
  <si>
    <t>PHẢI TRẢ KHÁC NGẮN HẠN</t>
  </si>
  <si>
    <t>OTHER PAYABLES</t>
  </si>
  <si>
    <t>Tài sản thừa chờ giải quyết</t>
  </si>
  <si>
    <t>Surplus of assets awaiting resolution</t>
  </si>
  <si>
    <t>Kinh phí công đoàn</t>
  </si>
  <si>
    <t>Funding of trade union</t>
  </si>
  <si>
    <t>Bảo hiểm xã hội</t>
  </si>
  <si>
    <t>Social insurance</t>
  </si>
  <si>
    <t>Bảo hiểm y tế</t>
  </si>
  <si>
    <t>Health insurance</t>
  </si>
  <si>
    <t>Bảo hiểm thất nghiệp</t>
  </si>
  <si>
    <t>Unemployment insurance</t>
  </si>
  <si>
    <t>Phải trả về cổ phần hóa</t>
  </si>
  <si>
    <t>Payables on equitization</t>
  </si>
  <si>
    <t>Nhận ký quỹ, ký cược ngắn hạn</t>
  </si>
  <si>
    <t>Short-term deposits, collateral received</t>
  </si>
  <si>
    <t>Cổ tức, lợi nhuận phải trả</t>
  </si>
  <si>
    <t>Dividends or profits payables</t>
  </si>
  <si>
    <t>Các khoản phải trả, phải nộp khác</t>
  </si>
  <si>
    <t>Bảo lãnh thực hiện hợp đồng</t>
  </si>
  <si>
    <t>Đoàn phí công đoàn</t>
  </si>
  <si>
    <t>Tiền ủng hộ</t>
  </si>
  <si>
    <t>Phải trả Tổng Công ty Viglacera - CTCP</t>
  </si>
  <si>
    <r>
      <rPr>
        <b/>
        <sz val="10"/>
        <rFont val="Times New Roman"/>
        <family val="1"/>
      </rPr>
      <t>b) Dài hạn</t>
    </r>
    <r>
      <rPr>
        <sz val="10"/>
        <rFont val="Times New Roman"/>
        <family val="1"/>
      </rPr>
      <t xml:space="preserve"> </t>
    </r>
    <r>
      <rPr>
        <i/>
        <sz val="10"/>
        <color rgb="FF00B050"/>
        <rFont val="Times New Roman"/>
        <family val="1"/>
      </rPr>
      <t>(Chi tiết từng khoản mục)</t>
    </r>
  </si>
  <si>
    <t>Nhận ký quỹ, ký cược dài hạn</t>
  </si>
  <si>
    <t>Long-term deposits, collateral received</t>
  </si>
  <si>
    <t>Phải trả khác là bên liên quan</t>
  </si>
  <si>
    <t>[Thuyết minh bằng lời lý do chưa thanh toán nợ quá hạn]</t>
  </si>
  <si>
    <t>DOANH THU CHƯA THỰC HIỆN</t>
  </si>
  <si>
    <t>UNREALISED REVENUES</t>
  </si>
  <si>
    <t>Doanh thu nhận trước</t>
  </si>
  <si>
    <t>Revenues received in advance</t>
  </si>
  <si>
    <t>Doanh thu từ chương trình khách hàng truyền thống</t>
  </si>
  <si>
    <t>Revenues from traditional client programs</t>
  </si>
  <si>
    <t>Các khoản doanh thu chưa thực hiện khác</t>
  </si>
  <si>
    <t>Other unrealised revenues</t>
  </si>
  <si>
    <t>c) Khả năng không thực hiện được hợp đồng với khách hàng</t>
  </si>
  <si>
    <t xml:space="preserve">Impossibility of performance of contractual obligations  </t>
  </si>
  <si>
    <t xml:space="preserve"> (Chi tiết từng khoản mục, lý do không có khả năng thực hiện)</t>
  </si>
  <si>
    <t>- ….</t>
  </si>
  <si>
    <t>TRÁI PHIẾU PHÁT HÀNH</t>
  </si>
  <si>
    <t>ISSUED BONDS</t>
  </si>
  <si>
    <t>Trái phiếu thường</t>
  </si>
  <si>
    <t xml:space="preserve">Common bond </t>
  </si>
  <si>
    <t>Link theo sheet TM_TP</t>
  </si>
  <si>
    <t xml:space="preserve">Convertible bonds </t>
  </si>
  <si>
    <t>a) Trái phiếu chuyển đổi tại thời điểm đầu năm</t>
  </si>
  <si>
    <t>a) Convertible bonds at beginning of the year</t>
  </si>
  <si>
    <t>Thời điểm phát hành, kỳ hạn gốc và kỳ hạn còn lại từng loại trái phiếu chuyển đổi;</t>
  </si>
  <si>
    <t>Issuing time, principal term and remaining term of each type of convertible bond;</t>
  </si>
  <si>
    <t>Số lượng từng loại trái phiếu chuyển đổi;</t>
  </si>
  <si>
    <t>Quantity of each type of convertible bonds;</t>
  </si>
  <si>
    <t>Mệnh giá, lãi suất từng loại trái phiếu chuyển đổi</t>
  </si>
  <si>
    <t>Par value, interest rate for each type of convertible bond;</t>
  </si>
  <si>
    <t>Tỷ lệ chuyển đổi thành cổ phiếu từng loại trái phiếu chuyển đổi;</t>
  </si>
  <si>
    <t>Conversion ratio of each type of convertible bonds;</t>
  </si>
  <si>
    <t>Lãi suất chiết khấu dùng để xác định giá trị phần nợ gốc của từng loại trái phiếu chuyển đổi;</t>
  </si>
  <si>
    <t>Discount rate used for determination of value of principal of each type of convertible bonds;</t>
  </si>
  <si>
    <t>Giá trị phần nợ gốc và phần quyền chọn cổ phiếu của từng loại trái phiếu chuyển đổi.</t>
  </si>
  <si>
    <t>Value of principal and conversion option of each type of convertible bonds.</t>
  </si>
  <si>
    <t>b) Trái phiếu chuyển đổi phát hành thêm trong năm</t>
  </si>
  <si>
    <t>b) Convertible bonds issue additional during the year</t>
  </si>
  <si>
    <t>c) Trái phiếu chuyển đổi được chuyển thành cổ phiếu trong năm</t>
  </si>
  <si>
    <t xml:space="preserve">c) Convertible bonds convert into shares during the year </t>
  </si>
  <si>
    <t>Số lượng từng loại trái phiếu đã chuyển đổi thành cổ phiếu trong năm;</t>
  </si>
  <si>
    <t>Quantity of each type of convertible bonds converting into shares during the year;</t>
  </si>
  <si>
    <t>Số lượng cổ phiếu phát hành thêm trong năm để chuyển đổi trái phiếu;</t>
  </si>
  <si>
    <t>Quantity of shares additionally issued to be converted into bonds during the year;</t>
  </si>
  <si>
    <t>Giá trị phần nợ gốc của trái phiếu chuyển đổi được ghi tăng vốn chủ sở hữu.</t>
  </si>
  <si>
    <t>Value of principal of convertible bonds which are recorded to increase in owner’s equity.</t>
  </si>
  <si>
    <t>d) Trái phiếu chuyển đổi đã đáo hạn không được chuyển thành cổ phiếu trong năm</t>
  </si>
  <si>
    <t>d) Mature convertible bonds not converting into shares during the year</t>
  </si>
  <si>
    <t>Số lượng từng loại trái phiếu đã đáo hạn không chuyển đổi thành cổ phiếu trong năm;</t>
  </si>
  <si>
    <t>Quantity of mature convertible bonds not converting into shares during the period;</t>
  </si>
  <si>
    <t>Giá trị phần nợ gốc của trái phiếu chuyển đổi được hoàn trả cho nhà đầu tư.</t>
  </si>
  <si>
    <t>Value of principal of convertible bonds which are redeemed to investors.</t>
  </si>
  <si>
    <t>e) Trái phiếu chuyển đổi tại thời điểm cuối năm</t>
  </si>
  <si>
    <t>e) Convertible bonds at the end of the year</t>
  </si>
  <si>
    <t>Principal term and remaining term of each type of convertible bonds;</t>
  </si>
  <si>
    <t xml:space="preserve">Par value, interests of each type of convertible bonds; </t>
  </si>
  <si>
    <r>
      <t xml:space="preserve">f) Trái phiếu các bên liên quan nắm giữ </t>
    </r>
    <r>
      <rPr>
        <i/>
        <sz val="10"/>
        <color rgb="FF00B050"/>
        <rFont val="Times New Roman"/>
        <family val="1"/>
      </rPr>
      <t>[chi tiết theo từng loại trái phiếu]</t>
    </r>
  </si>
  <si>
    <r>
      <t>f) Bonds held by relevant entities</t>
    </r>
    <r>
      <rPr>
        <i/>
        <sz val="10"/>
        <color rgb="FF00B050"/>
        <rFont val="Times New Roman"/>
        <family val="1"/>
      </rPr>
      <t xml:space="preserve"> [chi tiết theo từng loại trái phiếu]</t>
    </r>
  </si>
  <si>
    <t>CỔ PHIẾU ƯU ĐÃI PHÂN LOẠI LÀ NỢ PHẢI TRẢ</t>
  </si>
  <si>
    <t>PREFERENCE SHARES CLASSIFIED AS LIABILITIES</t>
  </si>
  <si>
    <t xml:space="preserve"> - Mệnh giá;</t>
  </si>
  <si>
    <t xml:space="preserve"> - Par value;</t>
  </si>
  <si>
    <t xml:space="preserve"> - Đối tượng được phát hành;</t>
  </si>
  <si>
    <t xml:space="preserve"> - Entities issued</t>
  </si>
  <si>
    <t xml:space="preserve"> - Điều khoản mua lại;</t>
  </si>
  <si>
    <t xml:space="preserve"> - Repurchase term </t>
  </si>
  <si>
    <t xml:space="preserve"> - Giá trị đã mua lại trong năm;</t>
  </si>
  <si>
    <t xml:space="preserve"> - Value of preference shares repurchased during the year</t>
  </si>
  <si>
    <t xml:space="preserve"> - Các thuyết minh khác</t>
  </si>
  <si>
    <t xml:space="preserve"> - Other notes.</t>
  </si>
  <si>
    <t>DỰ PHÒNG PHẢI TRẢ</t>
  </si>
  <si>
    <t>PROVISIONS FOR PAYABLES</t>
  </si>
  <si>
    <t>Dự phòng bảo hành sản phẩm, hàng hóa</t>
  </si>
  <si>
    <t>Provision for product warranty</t>
  </si>
  <si>
    <t>Dự phòng bảo hành công trình xây dựng</t>
  </si>
  <si>
    <t>Provision for construction warranty</t>
  </si>
  <si>
    <t>Dự phòng tái cơ cấu</t>
  </si>
  <si>
    <t>Provision for enterprise restructuring</t>
  </si>
  <si>
    <t>Dự phòng phải trả khác (Chi phí sửa chữa TSCĐ định kỳ, chi phí hoàn nguyên môi trường...)</t>
  </si>
  <si>
    <t>Other provision payables (periodical fixed asset repair expenses, environmental restoration expenses, etc.)</t>
  </si>
  <si>
    <t xml:space="preserve">VỐN CHỦ SỞ HỮU </t>
  </si>
  <si>
    <t>OWNER’S EQUITY</t>
  </si>
  <si>
    <t>[ Tùy loại công ty để xem xét vận dụng cho phù hợp; như công ty cp….]</t>
  </si>
  <si>
    <t>a) Bảng đối chiếu biến động của Vốn chủ sở hữu</t>
  </si>
  <si>
    <t>a) Changes in owner’s equity</t>
  </si>
  <si>
    <t>Chọn Mã cột chỉ tiêu --&gt;</t>
  </si>
  <si>
    <t>4111</t>
  </si>
  <si>
    <t>4112</t>
  </si>
  <si>
    <t>4113</t>
  </si>
  <si>
    <t>Số dư đầu năm trước</t>
  </si>
  <si>
    <t>Beginning balance of previous year</t>
  </si>
  <si>
    <t>Tăng vốn trong năm trước</t>
  </si>
  <si>
    <t>Increase in capital of previous year</t>
  </si>
  <si>
    <r>
      <rPr>
        <sz val="10"/>
        <color rgb="FF0000FF"/>
        <rFont val="Times New Roman"/>
        <family val="1"/>
      </rPr>
      <t>Lãi</t>
    </r>
    <r>
      <rPr>
        <sz val="10"/>
        <color indexed="8"/>
        <rFont val="Times New Roman"/>
        <family val="1"/>
      </rPr>
      <t xml:space="preserve"> trong năm trước</t>
    </r>
  </si>
  <si>
    <t>Profit/(loss) of previous year</t>
  </si>
  <si>
    <t>Tăng khác</t>
  </si>
  <si>
    <t>Other increase</t>
  </si>
  <si>
    <t>Giảm vốn trong năm trước</t>
  </si>
  <si>
    <t>Decrease in capital of previous year</t>
  </si>
  <si>
    <t>Phân phối lợi nhuận</t>
  </si>
  <si>
    <t>Earnings distribution</t>
  </si>
  <si>
    <t>Giảm khác</t>
  </si>
  <si>
    <t>Other decrease</t>
  </si>
  <si>
    <t>Số dư cuối năm trước</t>
  </si>
  <si>
    <t>Ending balance of previous year</t>
  </si>
  <si>
    <t>Tăng vốn trong năm nay</t>
  </si>
  <si>
    <t>Increase in capital of this year</t>
  </si>
  <si>
    <r>
      <rPr>
        <sz val="10"/>
        <color rgb="FF0000FF"/>
        <rFont val="Times New Roman"/>
        <family val="1"/>
      </rPr>
      <t>Lãi/(lỗ)</t>
    </r>
    <r>
      <rPr>
        <sz val="10"/>
        <color indexed="8"/>
        <rFont val="Times New Roman"/>
        <family val="1"/>
      </rPr>
      <t xml:space="preserve"> trong năm nay</t>
    </r>
  </si>
  <si>
    <t>Profit/(loss) of this year</t>
  </si>
  <si>
    <t>Giảm vốn trong năm nay</t>
  </si>
  <si>
    <t>Decrease in capital of this year</t>
  </si>
  <si>
    <t>Ending balance of this year</t>
  </si>
  <si>
    <t>4 Ending balance</t>
  </si>
  <si>
    <r>
      <t xml:space="preserve">Theo Nghị quyết của </t>
    </r>
    <r>
      <rPr>
        <sz val="10"/>
        <color rgb="FF0000FF"/>
        <rFont val="Times New Roman"/>
        <family val="1"/>
      </rPr>
      <t>Đại hội đồng cổ đông/Hội đồng quản trị</t>
    </r>
    <r>
      <rPr>
        <sz val="10"/>
        <color indexed="8"/>
        <rFont val="Times New Roman"/>
        <family val="1"/>
      </rPr>
      <t xml:space="preserve"> số …. ngày ... tháng ... năm 2016, </t>
    </r>
    <r>
      <rPr>
        <sz val="10"/>
        <color rgb="FF0000FF"/>
        <rFont val="Times New Roman"/>
        <family val="1"/>
      </rPr>
      <t>Tổng Công ty/Công ty</t>
    </r>
    <r>
      <rPr>
        <sz val="10"/>
        <color indexed="8"/>
        <rFont val="Times New Roman"/>
        <family val="1"/>
      </rPr>
      <t xml:space="preserve"> công bố việc phân phối lợi nhuận năm 2015 như sau </t>
    </r>
    <r>
      <rPr>
        <i/>
        <sz val="10"/>
        <color rgb="FF00B050"/>
        <rFont val="Times New Roman"/>
        <family val="1"/>
      </rPr>
      <t>(sửa đổi hoặc xóa bỏ cho phù hợp)</t>
    </r>
    <r>
      <rPr>
        <sz val="10"/>
        <color indexed="8"/>
        <rFont val="Times New Roman"/>
        <family val="1"/>
      </rPr>
      <t xml:space="preserve">: </t>
    </r>
  </si>
  <si>
    <r>
      <t>According to Resolution No….dated 2015 issued by</t>
    </r>
    <r>
      <rPr>
        <sz val="10"/>
        <color rgb="FF0000FF"/>
        <rFont val="Times New Roman"/>
        <family val="1"/>
      </rPr>
      <t xml:space="preserve"> General Meeting of shareholders/Announcement issued by Board of Management</t>
    </r>
    <r>
      <rPr>
        <sz val="10"/>
        <color indexed="8"/>
        <rFont val="Times New Roman"/>
        <family val="1"/>
      </rPr>
      <t xml:space="preserve">, the </t>
    </r>
    <r>
      <rPr>
        <sz val="10"/>
        <color rgb="FF0000FF"/>
        <rFont val="Times New Roman"/>
        <family val="1"/>
      </rPr>
      <t>Company/Corporation</t>
    </r>
    <r>
      <rPr>
        <sz val="10"/>
        <color indexed="8"/>
        <rFont val="Times New Roman"/>
        <family val="1"/>
      </rPr>
      <t xml:space="preserve"> announced its profit distribution plan as follows: </t>
    </r>
    <r>
      <rPr>
        <i/>
        <sz val="10"/>
        <color rgb="FF00B050"/>
        <rFont val="Times New Roman"/>
        <family val="1"/>
      </rPr>
      <t>(sửa đổi hoặc xóa bỏ cho phù hợp)</t>
    </r>
  </si>
  <si>
    <t>Tỷ lệ</t>
  </si>
  <si>
    <t>Số tiền</t>
  </si>
  <si>
    <t>Rate</t>
  </si>
  <si>
    <t>Amount</t>
  </si>
  <si>
    <t>Kết quả kinh doanh sau thuế</t>
  </si>
  <si>
    <t>Profit after tax</t>
  </si>
  <si>
    <t>Trích quỹ đầu tư phát triển</t>
  </si>
  <si>
    <t>Investment and development fund</t>
  </si>
  <si>
    <t xml:space="preserve">Chi trả cổ tức
</t>
  </si>
  <si>
    <t>Dividend payment</t>
  </si>
  <si>
    <t>(tương ứng mỗi cổ phần nhận ......VND)</t>
  </si>
  <si>
    <t>(equivalent to VND …. per share)</t>
  </si>
  <si>
    <r>
      <t>b) Chi tiết vốn góp của chủ sở hữu</t>
    </r>
    <r>
      <rPr>
        <i/>
        <sz val="10"/>
        <color rgb="FF0000FF"/>
        <rFont val="Times New Roman"/>
        <family val="1"/>
      </rPr>
      <t/>
    </r>
  </si>
  <si>
    <t>b) Details of Contributed capital</t>
  </si>
  <si>
    <t>Công ty mẹ</t>
  </si>
  <si>
    <t>Invested capital of Parent company</t>
  </si>
  <si>
    <r>
      <t xml:space="preserve">Cổ đông lớn A </t>
    </r>
    <r>
      <rPr>
        <sz val="10"/>
        <color rgb="FF00B050"/>
        <rFont val="Times New Roman"/>
        <family val="1"/>
      </rPr>
      <t>[từ 5% cổ phần trở lên]</t>
    </r>
  </si>
  <si>
    <t>- Nguyen Van A</t>
  </si>
  <si>
    <t>Các cổ đông khác</t>
  </si>
  <si>
    <t>- Others</t>
  </si>
  <si>
    <t>[nêu rõ tên Công ty mẹ nếu có]</t>
  </si>
  <si>
    <r>
      <t xml:space="preserve">b) Chi tiết vốn góp của chủ sở hữu </t>
    </r>
    <r>
      <rPr>
        <i/>
        <sz val="10"/>
        <color rgb="FF00B050"/>
        <rFont val="Times New Roman"/>
        <family val="1"/>
      </rPr>
      <t>(Áp dụng đối với doanh nghiệp khác)</t>
    </r>
  </si>
  <si>
    <t>b) Details of owner’s invested capital</t>
  </si>
  <si>
    <t>Vốn góp của Nhà nước (hoặc Công ty mẹ)</t>
  </si>
  <si>
    <t>Invested capital of State (or Parent company)</t>
  </si>
  <si>
    <t>Vốn góp của các đối tượng khác</t>
  </si>
  <si>
    <t>Invested capital of others</t>
  </si>
  <si>
    <t>Do pháp nhân nắm giữ</t>
  </si>
  <si>
    <t>- Legal entity</t>
  </si>
  <si>
    <t>Do thể nhân nắm giữ</t>
  </si>
  <si>
    <t xml:space="preserve">- Natural person </t>
  </si>
  <si>
    <t>Đối với Doanh nghiệp Nhà nước, không phải trình bày biểu b/ nhưng phải thuyết minh rõ lý do của việc tăng giảm vốn đầu tư của chủ sở hữu trong năm, chính sách phân phối lợi nhuận căn cứ theo văn bản/Quyết định nào.</t>
  </si>
  <si>
    <t>Đối với Doanh nghiệp Nhà nước, không phải trình bày biểu b/ nhưng phải thuyết minh rõ lý do của việc tăng giảm vốn đầu tư của chủ sở hữu trong năm, chính sách phân phối lợi nhuận căn cứ theo văn bản/Quyết định nào.
Đối với Công ty cổ phần: nêu rõ tên Công ty mẹ nắm giữ cổ phần nếu có. Đối với công ty cổ phần niêm yết: TM bổ sung đối tượng/pháp nhân nắm giữ trên 5% vốn chủ sở hữu nếu có thể.</t>
  </si>
  <si>
    <t>Đối với Doanh nghiệp có vốn đầu tư nước ngoài phải trình bày thêm những nội dung sau:</t>
  </si>
  <si>
    <t>Vốn pháp định</t>
  </si>
  <si>
    <t>Vốn pháp định đã góp</t>
  </si>
  <si>
    <t>Vốn pháp định chưa góp</t>
  </si>
  <si>
    <t>Legal Capital</t>
  </si>
  <si>
    <t>Contributed Legal Capital</t>
  </si>
  <si>
    <t>Uncontributed Legal Capital</t>
  </si>
  <si>
    <t>Bên góp vốn</t>
  </si>
  <si>
    <t>Số tiền theo Giấy phép đầu tư</t>
  </si>
  <si>
    <t>Parties</t>
  </si>
  <si>
    <t>Amounts as per Investment License</t>
  </si>
  <si>
    <t>Phía Việt Nam</t>
  </si>
  <si>
    <t>Vietnamese party</t>
  </si>
  <si>
    <t>Phía nước ngoài</t>
  </si>
  <si>
    <t>Foreign party</t>
  </si>
  <si>
    <t>c) Các giao dịch về vốn với các chủ sở hữu và phân phối cổ tức, chia lợi nhuận</t>
  </si>
  <si>
    <t>c) Capital transactions with owners and distribution of dividends and profits</t>
  </si>
  <si>
    <t>Vốn đầu tư của chủ sở hữu</t>
  </si>
  <si>
    <t>Owner's invested capital</t>
  </si>
  <si>
    <t xml:space="preserve"> - Vốn góp đầu năm</t>
  </si>
  <si>
    <t xml:space="preserve"> - At the beginning of the year</t>
  </si>
  <si>
    <t xml:space="preserve"> - Vốn góp tăng trong năm</t>
  </si>
  <si>
    <t xml:space="preserve"> - Increase in the year</t>
  </si>
  <si>
    <t xml:space="preserve"> - Vốn góp giảm trong năm</t>
  </si>
  <si>
    <t xml:space="preserve"> - Decrease in the year</t>
  </si>
  <si>
    <t xml:space="preserve"> - Vốn góp cuối năm</t>
  </si>
  <si>
    <t xml:space="preserve"> - At the end of the year  </t>
  </si>
  <si>
    <t>Cổ tức, lợi nhuận đã chia</t>
  </si>
  <si>
    <t>Distributed dividends and profit</t>
  </si>
  <si>
    <t>- Cổ tức, lợi nhuận chia trên lợi nhuận năm trước</t>
  </si>
  <si>
    <t xml:space="preserve"> - Dividends distributed on last year profit</t>
  </si>
  <si>
    <t>- Cổ tức, lợi nhuận tạm chia trên lợi nhuận năm nay</t>
  </si>
  <si>
    <t xml:space="preserve"> - Estimated dividends distributed on this year profit</t>
  </si>
  <si>
    <t>d) Cổ phiếu</t>
  </si>
  <si>
    <t>d) Share</t>
  </si>
  <si>
    <t>Số lượng cổ phiếu đăng ký phát hành</t>
  </si>
  <si>
    <t>Quantity of authorized issuing shares</t>
  </si>
  <si>
    <t>Số lượng cổ phiếu đã bán ra công chúng</t>
  </si>
  <si>
    <t>Quantity of issued shares</t>
  </si>
  <si>
    <t xml:space="preserve"> - Cổ phiếu phổ thông</t>
  </si>
  <si>
    <t xml:space="preserve"> - Common shares</t>
  </si>
  <si>
    <r>
      <t xml:space="preserve"> - Cổ phiếu ưu đãi </t>
    </r>
    <r>
      <rPr>
        <i/>
        <sz val="10"/>
        <color rgb="FF00B050"/>
        <rFont val="Times New Roman"/>
        <family val="1"/>
      </rPr>
      <t>(loại được phân loại là vốn chủ sở hữu)</t>
    </r>
  </si>
  <si>
    <t xml:space="preserve"> - Preference shares </t>
  </si>
  <si>
    <t>Số lượng cổ phiếu được mua lại</t>
  </si>
  <si>
    <t>Quantity of repurchased shares</t>
  </si>
  <si>
    <t>Số lượng cổ phiếu đang lưu hành</t>
  </si>
  <si>
    <t>Quantity of circulated shares</t>
  </si>
  <si>
    <t>e) Cổ tức</t>
  </si>
  <si>
    <t>e) Dividends</t>
  </si>
  <si>
    <t>(chỉ áp dụng với Công ty Cổ phần)</t>
  </si>
  <si>
    <t>Cổ tức đã công bố sau ngày kết thúc kỳ kế toán năm</t>
  </si>
  <si>
    <t>Dividends declared after balance sheet date:</t>
  </si>
  <si>
    <t>- Cổ tức đã công bố trên cổ phiếu phổ thông</t>
  </si>
  <si>
    <t xml:space="preserve"> - Dividends declared on common shares</t>
  </si>
  <si>
    <t>- Cổ tức đã công bố trên cổ phiếu ưu đãi</t>
  </si>
  <si>
    <t xml:space="preserve"> - Dividends declared on preference shares</t>
  </si>
  <si>
    <t>Cổ tức của cổ phiếu ưu đãi lũy kế chưa được ghi nhận</t>
  </si>
  <si>
    <t>Dividends on accumulated preference shares not recorded</t>
  </si>
  <si>
    <t>(Theo mẫu Công ty, chỉ áp dụng với Công ty Cổ phần)</t>
  </si>
  <si>
    <t>Quỹ đầu tư phát triển</t>
  </si>
  <si>
    <t>Development investment funds</t>
  </si>
  <si>
    <t>Quỹ khác thuộc vốn chủ sở hữu</t>
  </si>
  <si>
    <t>Other equity fund</t>
  </si>
  <si>
    <r>
      <rPr>
        <b/>
        <sz val="10"/>
        <color rgb="FF00FF00"/>
        <rFont val="Times New Roman"/>
        <family val="1"/>
      </rPr>
      <t xml:space="preserve">g) or c) </t>
    </r>
    <r>
      <rPr>
        <b/>
        <sz val="10"/>
        <rFont val="Times New Roman"/>
        <family val="1"/>
      </rPr>
      <t xml:space="preserve">Thu nhập và chi phí, lãi hoặc lỗ được ghi nhận trực tiếp vào vốn chủ sở hữu theo quy định của các chuẩn mực kế toán cụ thể </t>
    </r>
    <r>
      <rPr>
        <i/>
        <sz val="10"/>
        <color rgb="FF00FF00"/>
        <rFont val="Times New Roman"/>
        <family val="1"/>
      </rPr>
      <t xml:space="preserve"> [sửa đổi cho phù hợp]</t>
    </r>
  </si>
  <si>
    <r>
      <rPr>
        <b/>
        <sz val="10"/>
        <color rgb="FF00FF00"/>
        <rFont val="Times New Roman"/>
        <family val="1"/>
      </rPr>
      <t xml:space="preserve">g) or c) </t>
    </r>
    <r>
      <rPr>
        <b/>
        <sz val="10"/>
        <rFont val="Times New Roman"/>
        <family val="1"/>
      </rPr>
      <t xml:space="preserve">g) Income and expenses, profits and losses directly recorded to owner’s equity prescribed in specific Accounting standards </t>
    </r>
    <r>
      <rPr>
        <i/>
        <sz val="10"/>
        <color rgb="FF00FF00"/>
        <rFont val="Times New Roman"/>
        <family val="1"/>
      </rPr>
      <t xml:space="preserve"> [sửa đổi cho phù hợp]</t>
    </r>
  </si>
  <si>
    <t>CHÊNH LỆCH ĐÁNH GIÁ LẠI TÀI SẢN</t>
  </si>
  <si>
    <t>DIFFERENCES UPON ASSET REVALUATION</t>
  </si>
  <si>
    <t>Số tăng trong năm</t>
  </si>
  <si>
    <t>Increases in the year</t>
  </si>
  <si>
    <t>Số giảm trong năm</t>
  </si>
  <si>
    <t>Decrease in the year</t>
  </si>
  <si>
    <t>Lí do thay đổi giữa số đầu năm và cuối năm (đánh giá lại trong trường hợp nào, tài sản nào được đánh giá lại, theo quyết định nào?...).</t>
  </si>
  <si>
    <r>
      <rPr>
        <sz val="10"/>
        <rFont val="Times New Roman"/>
        <family val="1"/>
      </rPr>
      <t xml:space="preserve">Reasons for change between beginning of the year and ending of the year </t>
    </r>
    <r>
      <rPr>
        <i/>
        <sz val="10"/>
        <color rgb="FF00B050"/>
        <rFont val="Times New Roman"/>
        <family val="1"/>
      </rPr>
      <t>(đánh giá lại trong trường hợp nào, tài sản nào được đánh giá lại, theo quyết định nào?...).</t>
    </r>
  </si>
  <si>
    <t>CHÊNH LỆCH TỶ GIÁ</t>
  </si>
  <si>
    <t xml:space="preserve">EXCHANGE DIFFERENCES </t>
  </si>
  <si>
    <t>Do chuyển đổi BCTC lập bằng ngoại tệ sang VND</t>
  </si>
  <si>
    <t>Due to transferring from financial statement prepared in foreign currency to VND</t>
  </si>
  <si>
    <t xml:space="preserve">- </t>
  </si>
  <si>
    <r>
      <t xml:space="preserve">Do nguyên nhân khác </t>
    </r>
    <r>
      <rPr>
        <i/>
        <sz val="10"/>
        <color rgb="FF00B050"/>
        <rFont val="Times New Roman"/>
        <family val="1"/>
      </rPr>
      <t>(nói rõ nguyên nhân)</t>
    </r>
  </si>
  <si>
    <r>
      <t xml:space="preserve">Due to other reasons </t>
    </r>
    <r>
      <rPr>
        <i/>
        <sz val="10"/>
        <color rgb="FF00B050"/>
        <rFont val="Times New Roman"/>
        <family val="1"/>
      </rPr>
      <t>(nói rõ nguyên nhân)</t>
    </r>
  </si>
  <si>
    <t>Do nguyên nhân khác (nói rõ nguyên nhân)</t>
  </si>
  <si>
    <t>NGUỒN KINH PHÍ</t>
  </si>
  <si>
    <t>SUBSIDISED FUNDS</t>
  </si>
  <si>
    <t>Nguồn kinh phí còn lại đầu năm</t>
  </si>
  <si>
    <t>Nguồn kinh phí được cấp trong năm</t>
  </si>
  <si>
    <t>Amount granted during the year</t>
  </si>
  <si>
    <t>Chi sự nghiệp</t>
  </si>
  <si>
    <t>Non-business expenditures</t>
  </si>
  <si>
    <t>Nguồn kinh phí còn lại cuối năm</t>
  </si>
  <si>
    <t>Ending balance</t>
  </si>
  <si>
    <t>Cần Thuyết minh bằng lời các nội dung của hoạt động sự nghiệp mà đơn vị đang thực hiện như: mục đích của hoạt động hoặc dự án, tổng dự toán, số kinh phí đã được cấp, tiến độ thực hiện công việc...] 
[Số chi sự nghiệp trình bày dưới dạng số âm trong ngoặc đơn]</t>
  </si>
  <si>
    <t>Nêu nội dung của hoạt động sự nghiệp mà đơn vị đang thực hiện.
[Số chi sự nghiệp trình bày dưới dạng số âm trong ngoặc đơn]</t>
  </si>
  <si>
    <t>CÁC KHOẢN MỤC NGOÀI BẢNG CÂN ĐỐI KẾ TOÁN</t>
  </si>
  <si>
    <t>OFF STATEMENT OF FINANCIAL POSITION ITEMS</t>
  </si>
  <si>
    <t>a) Tài sản thuê ngoài</t>
  </si>
  <si>
    <t>a) Operating leased assets</t>
  </si>
  <si>
    <t>Tổng số tiền thuê tối thiểu trong tương lai của hợp đồng thuê hoạt động tài sản không hủy ngang theo các thời hạn</t>
  </si>
  <si>
    <t>Total minimum lease payments in the future of non-cancellable operating lease under following terms:</t>
  </si>
  <si>
    <t xml:space="preserve"> - Từ 1 năm trở xuống</t>
  </si>
  <si>
    <t xml:space="preserve"> - Not later than 1 year</t>
  </si>
  <si>
    <t xml:space="preserve"> - Trên 1 năm đến 5 năm</t>
  </si>
  <si>
    <t xml:space="preserve"> - Later than 1 year and not later than 5 years</t>
  </si>
  <si>
    <t xml:space="preserve"> - Trên 5 năm</t>
  </si>
  <si>
    <t xml:space="preserve"> - Later than 5 years</t>
  </si>
  <si>
    <t>b) Tài sản nhận giữ hộ</t>
  </si>
  <si>
    <t xml:space="preserve">b) Assets held under trust </t>
  </si>
  <si>
    <t xml:space="preserve"> - Vật tư hàng hóa nhận giữ hộ, gia công, nhận ủy thác:</t>
  </si>
  <si>
    <t xml:space="preserve"> - Materials and goods held under trust or for processing, entrusting </t>
  </si>
  <si>
    <t xml:space="preserve"> - Hàng hóa nhận bán hộ, nhận ký gửi, nhận cầm cố, thế chấp:</t>
  </si>
  <si>
    <t xml:space="preserve"> - Consignments goods for sales</t>
  </si>
  <si>
    <t>[Thuyết minh chi tiết số lượng, chủng loại, quy cách, phẩm chất của từng loại tài sản tại thời điểm cuối năm;</t>
  </si>
  <si>
    <t>[Thuyết minh chi tiết số lượng, chủng loại, quy cách, phẩm chất của từng loại tài sản tại thời điểm cuối kỳ;</t>
  </si>
  <si>
    <t>a) Ngoại tệ các loại</t>
  </si>
  <si>
    <t>c) Foreign currencies</t>
  </si>
  <si>
    <t>[Thuyết minh chi tiết số lượng từng loại ngoại tệ tính theo nguyên tệ. Vàng tiền tệ trình bày theo số lượng theo đơn vị tính trong nước và quốc tế Ounce, thuyết minh giá trị tính theo USD]</t>
  </si>
  <si>
    <t>Doanh nghiệp phải thuyết minh chi tiết số lượng từng loại ngoại tệ tính theo nguyên tệ. Vàng tiền tệ phải trình bày khối lượng theo đơn vị tính trong nước và quốc tế Ounce, thuyết minh giá trị tính theo USD</t>
  </si>
  <si>
    <t xml:space="preserve">   - USD</t>
  </si>
  <si>
    <t xml:space="preserve">   - EUR</t>
  </si>
  <si>
    <t xml:space="preserve">   - SGD</t>
  </si>
  <si>
    <t xml:space="preserve">   - JPY</t>
  </si>
  <si>
    <t xml:space="preserve">   - BGP</t>
  </si>
  <si>
    <t xml:space="preserve">   - AUD</t>
  </si>
  <si>
    <t>d) Vàng ngoại tệ</t>
  </si>
  <si>
    <t>d) Precious metal, jewels</t>
  </si>
  <si>
    <t>[Thuyết minh chi tiết giá gốc, số lượng theo đơn vị tính quốc tế và chủng loại kim khí quý, đá quý]</t>
  </si>
  <si>
    <t>b) Nợ khó đòi đã xử lý</t>
  </si>
  <si>
    <t xml:space="preserve">e) Doubtful debts written-offs </t>
  </si>
  <si>
    <t>f) Các thông tin khác</t>
  </si>
  <si>
    <t>f) Other information</t>
  </si>
  <si>
    <t>Các thông tin khác về các khoản mục ngoài Bảng cân đối kế toán</t>
  </si>
  <si>
    <t>TỔNG DOANH THU BÁN HÀNG VÀ CUNG CẤP DỊCH VỤ</t>
  </si>
  <si>
    <t>TOTAL REVENUE FROM SALES AND SERVICE  RENDERED</t>
  </si>
  <si>
    <t>Revenue from sale of goods</t>
  </si>
  <si>
    <t>Revenue from services rendered</t>
  </si>
  <si>
    <t>Doanh thu hợp đồng xây dựng</t>
  </si>
  <si>
    <t>Revenue from construction contracts</t>
  </si>
  <si>
    <t>- Doanh thu của hợp đồng xây dựng được ghi nhận trong năm</t>
  </si>
  <si>
    <t xml:space="preserve"> - Revenue from Construction contract recognized in the period</t>
  </si>
  <si>
    <t>- Tổng doanh thu luỹ kế của hợp đồng xây dựng được ghi nhận đến thời điểm lập Báo cáo tài chính</t>
  </si>
  <si>
    <t xml:space="preserve"> - Accumulated revenue from construction contract recognized up to the reporting time</t>
  </si>
  <si>
    <t>Doanh thu kinh doanh bất động sản đầu tư</t>
  </si>
  <si>
    <t>Revenue from business of investment properties</t>
  </si>
  <si>
    <t>Doanh thu khác</t>
  </si>
  <si>
    <t>Other revenues</t>
  </si>
  <si>
    <t>Doanh thu đối với các bên liên quan</t>
  </si>
  <si>
    <t xml:space="preserve">Revenue from relevant parties </t>
  </si>
  <si>
    <t>Trường hợp ghi nhận doanh thu cho thuê tài sản là tổng số tiền nhận trước, doanh nghiệp phải thuyết minh thêm để so sánh sự khác biệt giữa việc ghi nhận doanh thu theo phương pháp phân bổ dần theo thời gian cho thuê; Khả năng suy giảm lợi nhuận và luồng tiền trong tương lai do đã ghi nhận doanh thu đối với toàn bộ số tiền nhận trước</t>
  </si>
  <si>
    <t>CÁC KHOẢN GIẢM TRỪ DOANH THU</t>
  </si>
  <si>
    <t>REVENUE DEDUCTIBLE ITEMS</t>
  </si>
  <si>
    <t>Chiết khấu thương mại</t>
  </si>
  <si>
    <t>Trade discount</t>
  </si>
  <si>
    <t>Giảm giá hàng bán</t>
  </si>
  <si>
    <t>Sale allowances</t>
  </si>
  <si>
    <t>Hàng bán bị trả lại</t>
  </si>
  <si>
    <t>Sale returns</t>
  </si>
  <si>
    <t>GIÁ VỐN HÀNG BÁN</t>
  </si>
  <si>
    <t>COST OF GOODS SOLD</t>
  </si>
  <si>
    <t>Giá vốn của hàng hóa đã bán</t>
  </si>
  <si>
    <t>Cost of goods sold</t>
  </si>
  <si>
    <t>Giá vốn của thành phẩm đã bán</t>
  </si>
  <si>
    <t>Cost of finished goods sold</t>
  </si>
  <si>
    <t>test dự phòng</t>
  </si>
  <si>
    <t>Trong đó: Giá vốn trích trước của hàng hoá, thành phẩm bất động sản bao gồm:</t>
  </si>
  <si>
    <t>In which: Accrued cost of investment properties sold include:</t>
  </si>
  <si>
    <t>- Hạng mục chi phí trích trước</t>
  </si>
  <si>
    <t xml:space="preserve"> - Accrued expense items</t>
  </si>
  <si>
    <t>- Giá trị trích trước vào chi phí của từng hạng mục</t>
  </si>
  <si>
    <t xml:space="preserve"> - Accrued amount of each item</t>
  </si>
  <si>
    <t>- Thời gian chi phí dự kiến phát sinh</t>
  </si>
  <si>
    <t xml:space="preserve"> - Estimated time that costs incurred</t>
  </si>
  <si>
    <t>Giá vốn của dịch vụ đã cung cấp</t>
  </si>
  <si>
    <t>Cost of services rendered</t>
  </si>
  <si>
    <t>Giá trị còn lại, chi phí nhượng bán, thanh lý của BĐS đầu tư</t>
  </si>
  <si>
    <t>Net carrying amount, liquidating and disposing expenses of sold investment properties</t>
  </si>
  <si>
    <t>Chi phí kinh doanh Bất động sản đầu tư</t>
  </si>
  <si>
    <t>Operating cost of investment properties</t>
  </si>
  <si>
    <t>Giá trị hàng tồn kho mất mát trong năm</t>
  </si>
  <si>
    <t xml:space="preserve">Cost of inventories lost </t>
  </si>
  <si>
    <t>Giá trị từng loại hàng tồn kho hao hụt ngoài định mức trong năm</t>
  </si>
  <si>
    <t>Inventory expenses exceeding the ordinary standard in the year</t>
  </si>
  <si>
    <t>Các khoản chi phí vượt mức bình thường khác được tính trực tiếp vào giá vốn</t>
  </si>
  <si>
    <t>Other expenses exceeding ordinary standards which are included in cost price</t>
  </si>
  <si>
    <t>Dự phòng giảm giá hàng tồn kho</t>
  </si>
  <si>
    <t>Provision against devaluation of inventories</t>
  </si>
  <si>
    <t>Các khoản ghi giảm giá vốn hàng bán</t>
  </si>
  <si>
    <t>Other decreases in cost of goods sold</t>
  </si>
  <si>
    <t>DOANH THU HOẠT ĐỘNG TÀI CHÍNH</t>
  </si>
  <si>
    <t>FINANCIAL INCOME</t>
  </si>
  <si>
    <t>Lãi tiền gửi, tiền cho vay</t>
  </si>
  <si>
    <t>Interest income</t>
  </si>
  <si>
    <t>Lãi bán các khoản đầu tư</t>
  </si>
  <si>
    <t>Gain from disposal of financial investments</t>
  </si>
  <si>
    <t>Cổ tức, lợi nhuận được chia</t>
  </si>
  <si>
    <t>Dividends or distributed profits</t>
  </si>
  <si>
    <t>Lãi chênh lệch tỷ giá phát sinh trong năm</t>
  </si>
  <si>
    <t>Realised and unrealised gain from foreign exchange differences</t>
  </si>
  <si>
    <t>Lãi chênh lệch tỷ giá do đánh giá lại số dư cuối năm</t>
  </si>
  <si>
    <t>Lãi bán hàng trả chậm, chiết khấu thanh toán</t>
  </si>
  <si>
    <t>Interest from deferred payment or payment discounts</t>
  </si>
  <si>
    <t>Doanh thu hoạt động tài chính khác</t>
  </si>
  <si>
    <t>Other financial incomes</t>
  </si>
  <si>
    <t>CHI PHÍ TÀI CHÍNH</t>
  </si>
  <si>
    <t>FINANCIAL EXPENSES</t>
  </si>
  <si>
    <t>Lãi tiền vay</t>
  </si>
  <si>
    <t>Interest expenses</t>
  </si>
  <si>
    <t>Chiết khấu thanh toán, lãi bán hàng trả chậm</t>
  </si>
  <si>
    <t>Payment discounts or interests from deferred payment</t>
  </si>
  <si>
    <t>Lỗ do thanh lý các khoản đầu tư tài chính</t>
  </si>
  <si>
    <t>Losses due to disposal of financial investments</t>
  </si>
  <si>
    <t>Lỗ chênh lệch tỷ giá phát sinh trong năm</t>
  </si>
  <si>
    <t>Realised and unrealised losses from foreign exchange difference</t>
  </si>
  <si>
    <t>Lỗ chênh lệch tỷ giá do đánh giá lại số dư cuối năm</t>
  </si>
  <si>
    <t>Dự phòng/Hoàn nhập dự phòng giảm giá tổn thất đầu tư</t>
  </si>
  <si>
    <t>Provision for diminution in value of trading securities and impairment loss from investment</t>
  </si>
  <si>
    <t>Chi phí tài chính khác</t>
  </si>
  <si>
    <t>Other financial expenses</t>
  </si>
  <si>
    <t>Các khoản ghi giảm chi phí tài chính</t>
  </si>
  <si>
    <t>Decreases in financial expenses</t>
  </si>
  <si>
    <t>CHI PHÍ BÁN HÀNG</t>
  </si>
  <si>
    <t xml:space="preserve">SELLING EXPENSES </t>
  </si>
  <si>
    <t>Chi phí nguyên liệu, vật liệu</t>
  </si>
  <si>
    <t>Chi phí nhân công</t>
  </si>
  <si>
    <t>Labour expenses</t>
  </si>
  <si>
    <t>Chi phí khấu hao tài sản cố định</t>
  </si>
  <si>
    <t>Depreciation and amortisation expenses</t>
  </si>
  <si>
    <t>Chi phí dịch vụ mua ngoài</t>
  </si>
  <si>
    <t>Expenses from external services</t>
  </si>
  <si>
    <t>Chi phí khác bằng tiền</t>
  </si>
  <si>
    <t>Other expenses by cash</t>
  </si>
  <si>
    <r>
      <t>Chi phí bảo hành sản phẩm</t>
    </r>
    <r>
      <rPr>
        <sz val="10"/>
        <color rgb="FF0000FF"/>
        <rFont val="Times New Roman"/>
        <family val="1"/>
      </rPr>
      <t>/(Hoàn nhập dự phòng bảo hành sản phẩm)</t>
    </r>
  </si>
  <si>
    <t>Product warraty expenses/Reversal of provision for product warranty</t>
  </si>
  <si>
    <t>Chi phí/(Hoàn nhập dự phòng) khác</t>
  </si>
  <si>
    <t>Các khoản ghi giảm khác</t>
  </si>
  <si>
    <t>Other reductions</t>
  </si>
  <si>
    <r>
      <rPr>
        <b/>
        <sz val="10"/>
        <rFont val="Times New Roman"/>
        <family val="1"/>
      </rPr>
      <t>CHI PHÍ QUẢN LÝ DOANH NGHIỆP</t>
    </r>
    <r>
      <rPr>
        <sz val="10"/>
        <rFont val="Times New Roman"/>
        <family val="1"/>
      </rPr>
      <t/>
    </r>
  </si>
  <si>
    <t xml:space="preserve">ENTERPRISE ADMINISTRATIVE EXPENSES </t>
  </si>
  <si>
    <t xml:space="preserve">Thuế, phí và lệ phí </t>
  </si>
  <si>
    <t>Tax, Charge, Fee</t>
  </si>
  <si>
    <r>
      <t>Chi phí</t>
    </r>
    <r>
      <rPr>
        <sz val="10"/>
        <color rgb="FF0000FF"/>
        <rFont val="Times New Roman"/>
        <family val="1"/>
      </rPr>
      <t>/(Hoàn nhập)</t>
    </r>
    <r>
      <rPr>
        <sz val="10"/>
        <rFont val="Times New Roman"/>
        <family val="1"/>
      </rPr>
      <t xml:space="preserve"> dự phòng</t>
    </r>
  </si>
  <si>
    <t>Provision expenses</t>
  </si>
  <si>
    <t>xử lý công nợ khó đòi trong năm</t>
  </si>
  <si>
    <t>THU NHẬP KHÁC</t>
  </si>
  <si>
    <t>OTHER INCOME</t>
  </si>
  <si>
    <t>Thu nhập từ thanh lý, nhượng bán tài sản cố định</t>
  </si>
  <si>
    <t>Gain from liquidating, disposing fixed assets</t>
  </si>
  <si>
    <t>Thu tiền thuê nhà, tiền điện</t>
  </si>
  <si>
    <t>Gains from revaluation of assets</t>
  </si>
  <si>
    <t>Xử lý các khoản công nợ phải trả</t>
  </si>
  <si>
    <t>Collected fines</t>
  </si>
  <si>
    <t>Thu tiền phạt không hoàn thành nhiệm vụ, bồi thường kinh phí đào tạo</t>
  </si>
  <si>
    <t>Deductible taxes</t>
  </si>
  <si>
    <t>Thu nhập từ hoa hồng đại lý không phải trả</t>
  </si>
  <si>
    <t>Income from commission not payback</t>
  </si>
  <si>
    <t>Các khoản khác</t>
  </si>
  <si>
    <t>CHI PHÍ KHÁC</t>
  </si>
  <si>
    <t xml:space="preserve"> OTHER EXPENSES</t>
  </si>
  <si>
    <t>Chi phí khấu hao TSCĐ không phục vụ SXKD</t>
  </si>
  <si>
    <t>Losses from liquidating, disposing fixed assets</t>
  </si>
  <si>
    <t>Chi phí XDCB dở dang đã dừng đầu tư phân bổ vào chi phí trong kỳ</t>
  </si>
  <si>
    <t>Losses due to revaluation of assets</t>
  </si>
  <si>
    <t>Chi phí xuất hủy thành phẩm hỏng</t>
  </si>
  <si>
    <t>Phạt chậm nộp thuế, bảo hiểm</t>
  </si>
  <si>
    <t>[Riêng đối với giao dịch thanh lý, nhượng bán TSCĐ, BĐSĐT chỉ thực hiện bù trừ trình bày chênh lệch giữa thu nhập từ thanh lý, nhượng bán TSCĐ và Chi phí thanh lý, giá trị còn lại của TSCĐ thanh lý, nhượng bán của cùng một loại tài sản; và trình bày ở TM 42 (nếu chênh lệch &gt;0) hoặc TM 43 (nếu chênh lệch &lt;0)]</t>
  </si>
  <si>
    <t>[Riêng đối với giao dịch thanh lý, nhượng bán TSCĐ, BĐSĐT chỉ trình bày chênh lệch giữa thu nhập từ thanh lý, nhượng bán TSCĐ và Chi phí thanh lý, giá trị còn lại của TSCĐ thanh lý, nhượng bán ở TM 42 (nếu chênh lệch &gt;0) hoặc TM 43 (nếu chênh lệch &lt;0)]</t>
  </si>
  <si>
    <t>CHI PHÍ THUẾ THU NHẬP DOANH NGHIỆP HIỆN HÀNH</t>
  </si>
  <si>
    <t xml:space="preserve">CURRENT CORPORATE INCOME TAX EXPENSES </t>
  </si>
  <si>
    <t>Tổng lợi nhuận kế toán trước thuế TNDN</t>
  </si>
  <si>
    <t>Total profit before tax</t>
  </si>
  <si>
    <t>Các khoản điều chỉnh tăng</t>
  </si>
  <si>
    <t>Increase</t>
  </si>
  <si>
    <t>06 tháng đầu</t>
  </si>
  <si>
    <t>06 tháng cuối</t>
  </si>
  <si>
    <t>- Thù lao HĐQT không trực tiếp tham gia điều hành sản xuất, kinh doanh</t>
  </si>
  <si>
    <t>- Unreasonable expenses</t>
  </si>
  <si>
    <t>- Chi phí xây dựng cơ bản dở dang đã dừng đầu tư</t>
  </si>
  <si>
    <t>- Dividend</t>
  </si>
  <si>
    <t>- Chi phí xuất hủy thành phẩm hỏng</t>
  </si>
  <si>
    <t>- Chi phí khấu hao TSCĐ không dùng cho HĐ SXKD</t>
  </si>
  <si>
    <t>- Chi phí khác không hợp lệ</t>
  </si>
  <si>
    <t>- …</t>
  </si>
  <si>
    <t>Các khoản điều chỉnh giảm</t>
  </si>
  <si>
    <t>Decrease</t>
  </si>
  <si>
    <t>- Cổ tức, lợi nhuận được chia</t>
  </si>
  <si>
    <t>Thu nhập chịu thuế TNDN</t>
  </si>
  <si>
    <t>Taxable income</t>
  </si>
  <si>
    <t>Kết chuyển lỗ</t>
  </si>
  <si>
    <t>Thu nhập tính thuế TNDN</t>
  </si>
  <si>
    <t>Thuế suất thuế TNDN</t>
  </si>
  <si>
    <t>Tax rate</t>
  </si>
  <si>
    <t>Chi phí thuế TNDN hiện hành</t>
  </si>
  <si>
    <t>Current corporate income tax expense</t>
  </si>
  <si>
    <t>Các khoản điều chỉnh chi phí thuế TNDN của các năm trước vào chi phí thuế TNDN hiện hành năm nay</t>
  </si>
  <si>
    <t>Adjustment of tax expenses in previous years into current year</t>
  </si>
  <si>
    <t>Thuế TNDN phải nộp đầu năm</t>
  </si>
  <si>
    <t>Tax payable at the beginning of year</t>
  </si>
  <si>
    <t>Thuế TNDN đã nộp trong năm</t>
  </si>
  <si>
    <t>Tax paid in the year</t>
  </si>
  <si>
    <t>Thuế TNDN phải nộp cuối năm</t>
  </si>
  <si>
    <t>Corporate income tax payable at the end of the year from main business activities</t>
  </si>
  <si>
    <t>Thuế TNDN từ hoạt động kinh doanh bất động sản</t>
  </si>
  <si>
    <t>Corporate income tax from properties business activity</t>
  </si>
  <si>
    <t>Tổng lợi nhuận kế toán từ hoạt động kinh doanh bất động sản</t>
  </si>
  <si>
    <t>Total profit from properties business activity</t>
  </si>
  <si>
    <t>- Chi phí không hợp lệ</t>
  </si>
  <si>
    <r>
      <t xml:space="preserve">Thuế suất thuế TNDN </t>
    </r>
    <r>
      <rPr>
        <i/>
        <sz val="10"/>
        <color rgb="FFFF0000"/>
        <rFont val="Times New Roman"/>
        <family val="1"/>
      </rPr>
      <t>[Nếu cả 2 năm đều cùng một mức thuế suất thì thuyết minh mức thuế suất trong dấu ngoặc đơn ở dòng Chi phí thuế TNDN hiện hành]</t>
    </r>
  </si>
  <si>
    <r>
      <t xml:space="preserve">Chi phí thuế TNDN hiện hành </t>
    </r>
    <r>
      <rPr>
        <i/>
        <sz val="10"/>
        <color rgb="FF00B050"/>
        <rFont val="Times New Roman"/>
        <family val="1"/>
      </rPr>
      <t>(sửa đối mức thuế suất cho phù hợp)</t>
    </r>
  </si>
  <si>
    <t>Current corporate income tax expense (Rate…</t>
  </si>
  <si>
    <t>Các khoản tạm nộp trên số tiền thu trước của HĐKD bất động sản</t>
  </si>
  <si>
    <t>Advances paid tax of properties business activity</t>
  </si>
  <si>
    <t>Thuế TNDN phải nộp đầu năm của HĐKD bất động sản</t>
  </si>
  <si>
    <t>Thuế TNDN đã nộp trong năm của HĐKD bất động sản</t>
  </si>
  <si>
    <t>Thuế TNDN phải nộp cuối năm của HĐKD bất động sản</t>
  </si>
  <si>
    <t>Corporate income tax payable at the end of the year from properties business activity</t>
  </si>
  <si>
    <t>Tổng chi phí thuế TNDN hiện hành</t>
  </si>
  <si>
    <t>Corporate income tax expenses</t>
  </si>
  <si>
    <t>Tổng thuế TNDN phải nộp cuối năm</t>
  </si>
  <si>
    <t>Corporate income tax payable at the end of the year</t>
  </si>
  <si>
    <t>THUẾ THU NHẬP DOANH NGHIỆP HOÃN LẠI</t>
  </si>
  <si>
    <t>DEFERRED INCOME TAX</t>
  </si>
  <si>
    <t>a) Tài sản thuế thu nhập hoãn lại</t>
  </si>
  <si>
    <t>a) Deferred income tax assets</t>
  </si>
  <si>
    <t>Thuế suất thuế TNDN sử dụng để xác định giá trị tài sản thuế thu nhập hoãn lại</t>
  </si>
  <si>
    <t>Corporate income tax rate used to determine the value of Deferred income tax assets</t>
  </si>
  <si>
    <t>Tài sản thuế thu nhập hoãn lại liên quan đến khoản chênh lệch tạm thời được khấu trừ</t>
  </si>
  <si>
    <t>Deferred income tax assets related to deductible temporary differences</t>
  </si>
  <si>
    <t>Tài sản thuế thu nhập hoãn lại liên quan đến khoản lỗ tính thuể chưa sử dụng</t>
  </si>
  <si>
    <t>Deferred income tax assets related to unused taxable loss</t>
  </si>
  <si>
    <t>Tài sản thuế thu nhập hoãn lại liên quan đến khoản ưu đãi tính thuế chưa sử dụng</t>
  </si>
  <si>
    <t>Deferred income tax assets related to unused taxable incentives</t>
  </si>
  <si>
    <t>Số bù trừ với thuế thu nhập hoãn lại phải trả</t>
  </si>
  <si>
    <t>Offsetting with deferred income tax payable</t>
  </si>
  <si>
    <t>Tài sản thuế thu nhập hoãn lại</t>
  </si>
  <si>
    <t>Deferred income tax assets</t>
  </si>
  <si>
    <t>b) Thuế thu nhập hoãn lại phải trả</t>
  </si>
  <si>
    <t>b) Deferred income tax payable</t>
  </si>
  <si>
    <t>Thuế suất thuế TNDN sử dụng để xác định giá trị thuế thu nhập hoãn lại phải trả</t>
  </si>
  <si>
    <t>Corporate income tax rate used to determine the value of Deferred income tax payable</t>
  </si>
  <si>
    <t>Thuế thu nhập hoãn lại phải trả phát sinh từ các khoản chênh lệch tạm thời chịu thuế</t>
  </si>
  <si>
    <t>Deferred income tax payable raised from taxable temporary difference</t>
  </si>
  <si>
    <t>Số bù trừ với tài sản thuế thu nhập hoãn lại</t>
  </si>
  <si>
    <t>Offsetting with deferred income tax assets</t>
  </si>
  <si>
    <t>Thuế thu nhập hoãn lại phải trả</t>
  </si>
  <si>
    <t>Deferred income tax payable</t>
  </si>
  <si>
    <t>c) Chi phí thuế TNDN hoãn lại</t>
  </si>
  <si>
    <t>c) Deferred corporate income tax expenses</t>
  </si>
  <si>
    <t>Chênh lệch tạm thời phải chịu thuế</t>
  </si>
  <si>
    <t>Taxable temporary difference</t>
  </si>
  <si>
    <t>Hoàn nhập tài sản thuế thu nhập hoãn lại</t>
  </si>
  <si>
    <t>Returned of deferred income tax assets</t>
  </si>
  <si>
    <t>Chênh lệch tạm thời được khấu trừ</t>
  </si>
  <si>
    <t>Deductible temporary differences</t>
  </si>
  <si>
    <t>Lỗ tính thuế và ưu đãi thuế chưa sử dụng</t>
  </si>
  <si>
    <t>Taxable loss and unused taxable incentives</t>
  </si>
  <si>
    <t>Hoàn nhập thuế thu nhập hoãn lại phải trả</t>
  </si>
  <si>
    <t>Returned of deferred income tax payable</t>
  </si>
  <si>
    <t>LÃI CƠ BẢN TRÊN CỔ PHIẾU</t>
  </si>
  <si>
    <r>
      <t xml:space="preserve">BASIC EARNING PER SHARE </t>
    </r>
    <r>
      <rPr>
        <b/>
        <i/>
        <sz val="10"/>
        <color rgb="FF00B050"/>
        <rFont val="Times New Roman"/>
        <family val="1"/>
      </rPr>
      <t>[chỉ áp dụng với công ty cổ phần hoặc báo cáo hợp nhất của công ty mẹ]</t>
    </r>
  </si>
  <si>
    <t>Lợi nhuận thuần sau thuế</t>
  </si>
  <si>
    <t>Undistributed earnings</t>
  </si>
  <si>
    <t>Các khoản điều chỉnh:</t>
  </si>
  <si>
    <t>Adjustments:</t>
  </si>
  <si>
    <t>- Cổ tức của cổ phiếu ưu đãi</t>
  </si>
  <si>
    <t xml:space="preserve"> - Dividends of common shares</t>
  </si>
  <si>
    <t>- Quỹ khen thưởng, phúc lợi được trích từ lợi nhuận sau thuế</t>
  </si>
  <si>
    <t xml:space="preserve"> - Bonus and welfare fund is distributed from the profit after tax </t>
  </si>
  <si>
    <t xml:space="preserve"> - ...</t>
  </si>
  <si>
    <t>Lợi nhuận phân bổ cho cổ phiếu phổ thông</t>
  </si>
  <si>
    <t>Profit distributed for common shares</t>
  </si>
  <si>
    <t>Cổ phiếu phổ thông đang lưu hành bình quân trong năm</t>
  </si>
  <si>
    <t>Average circulated common shares in the year</t>
  </si>
  <si>
    <t>Lãi cơ bản trên cổ phiếu</t>
  </si>
  <si>
    <t>Basic earnings per share</t>
  </si>
  <si>
    <t>[Lưu ý: Quỹ Khen thưởng phúc lợi của năm nào thì phải trích từ Lợi nhuận sau thuế của năm đó, không tính lân kỳ]</t>
  </si>
  <si>
    <t xml:space="preserve">Nếu đơn vị không dự tính trích Quỹ Khen thưởng, phúc lợi trên Lợi nhuận sau thuế kỳ này thì thuyết minh thêm đoạn sau: </t>
  </si>
  <si>
    <t xml:space="preserve">Đối với cổ phiếu phổ thông lưu hành bình quân trong kỳ theo Chuẩn mực kế toán Việt Nam số 30 và Thông tư số 21/2006/TT-BTC ngày 20/3/2006 của Bộ Tài chính: thực hiện điều chỉnh hồi tố Lãi cơ bản trên cổ phiếu cho tất cả các kỳ báo cáo nếu số lượng cổ phiếu phổ thông đang lưu hành tăng lên do các trường hợp tăng vốn mà không có sự thay đổi tương ứng về tổng nguồn vốn hoặc không thu về bất cứ một khoản tiền nào, hoặc phát hành cổ phiếu thưởng, tách cổ phiếu hoặc giảm đi do gộp cổ phiếu. Nếu những thay đổi đó xảy ra sau ngày kết thúc kỳ kế toán năm nhưng trước ngày phát hành báo cáo tài chính, số liệu được tính trên mỗi cổ phiếu của kỳ báo cáo hiện tại và mỗi kỳ báo cáo trước đó trên báo cáo tài chính được tính dựa trên số lượng cổ phiếu mới. </t>
  </si>
  <si>
    <t>Nếu có hồi tố lãi cơ bản trên cổ phiếu thì thuyết minh thêm đoạn sau:</t>
  </si>
  <si>
    <t>Lãi cơ bản trên cổ phiếu đã được điều chỉnh hồi tồ theo quy định tại Chuẩn mực kế toán Việt Nam số 30 – Lãi trên cổ phiếu.</t>
  </si>
  <si>
    <t>Basic earnings per share have been adjusted retroactively as defined in Vietnamese Accounting Standards No. 30 – Basic earnings per share.</t>
  </si>
  <si>
    <r>
      <t>LÃI SUY GIẢM TRÊN CỔ PHIẾU</t>
    </r>
    <r>
      <rPr>
        <i/>
        <sz val="10"/>
        <color rgb="FF00B050"/>
        <rFont val="Times New Roman"/>
        <family val="1"/>
      </rPr>
      <t xml:space="preserve"> (chỉ áp dụng với công ty cổ phần không thuộc diện phải lập báo cáo hợp nhất)</t>
    </r>
  </si>
  <si>
    <t>DILUTED EARINGS PER SHARE</t>
  </si>
  <si>
    <t xml:space="preserve"> - Dividends of common shares </t>
  </si>
  <si>
    <t>Weighted number of common shares circulated in the year</t>
  </si>
  <si>
    <t>Cổ phiếu phổ thông dự kiến được phát hành thêm</t>
  </si>
  <si>
    <t>Weighted number of common shares expected to be released more</t>
  </si>
  <si>
    <t>Lãi suy giảm trên cổ phiếu</t>
  </si>
  <si>
    <t>Diluted earnings per share</t>
  </si>
  <si>
    <t>[Lưu ý: Chỉ tính và trình bày chỉ tiêu này khi trong năm có dự kiến phát hành thêm cổ phiếu phổ thông được coi là cổ phiếu phổ thông tiềm năng có tác động làm suy giảm lãi trên cổ phiếu. Các cổ phiếu phổ thông tiềm năng bao gồm các loại:
- Quyền chọn mua chứng quyền và các công cụ tương đương;
- Công cụ tài chính có thể chuyển đổi
- Cổ phiếu phổ thông phát hành có điều kiện
- Hợp đồng được thanh toán bằng cổ phiếu phổ thông hoặc bằng tiền
- Các quyền chọn đã được mua
- Quyền chọn bán đã phát hành;
&gt;&gt; Như vậy việc phát hành thêm cổ phiếu trong năm tới phải thỏa mãn các điều kiện và trường hợp là cổ phiếu phổ thông tiềm năng có tác động làm pha loãng giá trị cổ phiếu trong tương lai thì mới tính Lãi suy giảm trên cổ phiếu]</t>
  </si>
  <si>
    <t>[Lưu ý: Chỉ tính và trình bày chỉ tiêu này khi trong năm có dự kiến phát hành thêm cổ phiếu phổ thông được coi là cổ phiếu phổ thông tiềm năng có tác động làm suy giảm lãi trên cổ phiếu. 
Các cổ phiếu phổ thông tiềm năng bao gồm các loại:
- Quyền chọn mua chứng quyền và các công cụ tương đương;
- Công cụ tài chính có thể chuyển đổi
- Cổ phiếu phổ thông phát hành có điều kiện
- Hợp đồng được thanh toán bằng cổ phiếu phổ thông hoặc bằng tiền
- Các quyền chọn đã được mua
- Quyền chọn bán đã phát hành;
&gt;&gt; Như vậy việc phát hành thêm cổ phiếu trong năm tới phải thỏa mãn các điều kiện và trường hợp là cổ phiếu phổ thông tiềm năng có tác động làm pha loãng giá trị cổ phiếu trong tương lai thì mới tính Lãi suy giảm trên cổ phiếu]</t>
  </si>
  <si>
    <t>CHI PHÍ SẢN XUẤT KINH DOANH THEO YẾU TỐ</t>
  </si>
  <si>
    <t>BUSINESS AND PRODUCTIONS COST BY ITEMS</t>
  </si>
  <si>
    <t>CP khấu hao ht811</t>
  </si>
  <si>
    <t>CP khấu hao vô hình</t>
  </si>
  <si>
    <t>Chi phí dự phòng/Hoàn nhập dự phòng</t>
  </si>
  <si>
    <t>CP khấu hao 811</t>
  </si>
  <si>
    <t>CP hủy TP 811</t>
  </si>
  <si>
    <t>Xử lý công nợ khó đòi (Nợ 229/Có CP)</t>
  </si>
  <si>
    <t xml:space="preserve">Ghi chú: Chỉ tiêu “Chi phí sản xuất kinh doanh theo yếu tố” là các chi phí phát sinh trong kỳ được phản ánh trong Bảng Cân đối số phát sinh tài khoản và Báo cáo kết quả kinh doanh
- Đối với doanh nghiệp sản xuất, thuyết minh căn cứ vào số phát sinh thực tế (đã loại trừ các bút toán ảo, trùng, kết chuyển,…) của các tài khoản 621, 622, 623, 627, 641, 642;
- Đối với các doanh nghiệp thương mại, thuyết minh căn cứ vào số phát sinh thực tế (đã loại trừ các bút toán ảo, trùng, kết chuyển,…) của các tài khoản (không bao gồm giá mua hàng hóa): 156, 632, 641, 642 
</t>
  </si>
  <si>
    <t>CÔNG CỤ TÀI CHÍNH</t>
  </si>
  <si>
    <t>FINANCIAL INSTRUMENTS</t>
  </si>
  <si>
    <t>Giá trị sổ kế toán</t>
  </si>
  <si>
    <t>Carrying amount</t>
  </si>
  <si>
    <t>Original Cost</t>
  </si>
  <si>
    <t>Financial Assets</t>
  </si>
  <si>
    <t>Cash and cash equivalents</t>
  </si>
  <si>
    <t>Phải thu khách hàng, phải thu khác</t>
  </si>
  <si>
    <t>Trade and other receivables</t>
  </si>
  <si>
    <t>Các khoản cho vay</t>
  </si>
  <si>
    <t>Financial Liabilities</t>
  </si>
  <si>
    <t>Vay và nợ</t>
  </si>
  <si>
    <t>Loans and debts</t>
  </si>
  <si>
    <t>Phải trả người bán, phải trả khác</t>
  </si>
  <si>
    <t>Trade and other payables</t>
  </si>
  <si>
    <t>Chi phí phải trả</t>
  </si>
  <si>
    <t>Accrued expenses</t>
  </si>
  <si>
    <t>Tài sản tài chính và nợ phải trả tài chính chưa được đánh giá lại theo giá trị hợp lý tại ngày kết thúc kỳ kế toán năm do Thông tư số 210/2009/TT-BTC và các quy định hiện hành yêu cầu trình bày báo cáo tài chính và thuyết minh thông tin đối với công cụ tài chính nhưng không đưa ra các hướng dẫn tương đương cho việc đánh giá và ghi nhận giá trị hợp lý của các tài sản tài chính và nợ phải trả tài chính, ngoại trừ các khoản trích lập dự phòng nợ phải thu khó đòi và dự phòng giảm giá các khoản đầu tư chứng khoán đã được nêu chi tiết tại các Thuyết minh liên quan.</t>
  </si>
  <si>
    <t>Financial assets and financial liabilities are not revalued according to fair value at the year ended because Circular No. 210/2009/TT-BTC and prevailing statutory regulations require to present Financial Statements and additional note for financial instruments but do not provide any relevant instructions for assessment and recognition of fair value of financial assets and liabilities, excluding provisions for bad debts and provision for devaluation of securities investments which are presented in relevant notes.</t>
  </si>
  <si>
    <t>Ghi chú nội dung các chỉ tiêu:
- Chỉ tiêu “Tiền và các khoản tương đương tiền“ được lấy từ mã số 110 trên Bảng cân đối kế toán.
- Chỉ tiêu “Phải thu khách hàng, phải thu khác“ được cộng tổng khoản mục Phải thu khách hàng - mã số 131, Phải thu dài hạn của khách hàng – mã số 211 và khoản mục Các khoản phải thu khác – mã số 136, Phải thu dài hạn khác – mã số 216.  Chỉ tiêu Dự phòng phải thu ngắn hạn khó đòi - mã số 137 và Dự phòng phải thu dài hạn khó đòi – mã số 219 trên Bảng cân đối kế toán được bổ sung vào cột Dự phòng chi tiết tương ứng với các khoản Phải thu khách hàng và Phải thu khác. Chỉ tiêu này không bao gồm số liệu ở mã số 132, 212 – Trả trước cho người bán hoặc trừ đi số liệu ở mã số 312, 332 – Người mua trả tiền trước
- Chỉ tiêu “Các khoản cho vay“ được lấy từ mã số 135-Phải thu về cho vay ngắn hạn, mã số 123 chi tiết tiền gửi có kỳ hạn dưới 12 tháng và mã số 215-Phải thu về cho vay dài hạn, mã số 255 chi tiết tiền gửi có kỳ hạn trên 12 tháng trên Bảng Cân đối kế toán -  chi tiết các khoản tiền gửi có kỳ hạn và các khoản cho đối tượng khác vay, không bao gồm các khoản tương đương tiền
- Chỉ tiêu “Các khoản đầu tư ngắn hạn“ được lấy từ mã số 121, 123 (không bao gồm tiền gửi có kỳ hạn dưới 12 tháng) trên Bảng cân đối kế toán. Cột Dự phòng được lấy từ chỉ tiêu 122 trên Bảng cân đối kế toán.
- Chỉ tiêu “Các khoản đầu tư dài hạn“ được lấy từ mã số 253 và mã số 255(không bao gồm tiền gửi có kỳ hạn trên 12 tháng) trên Bảng cân đối kế toán. Cột Dự phòng được lấy từ chỉ tiêu 254 (không bao gồm dự phòng đầu tư tài chính đối với khoản đầu tư Công ty con và Công ty liên doanh, liên kết) trên Bảng cân đối kế toán.
- Chỉ tiêu “Vay và nợ“ được lấy từ khoản mục “Vay và nợ thuê tài chính ngắn hạn“ – mã số 320 trên Bảng cân đối kế toán và khoản mục “Vay và nợ thuê tài chính dài hạn“ – mã số 338 trên Bảng cân đối kế toán.
- Chỉ tiêu “Phải trả người bán, phải trả khác“ được lấy từ khoản mục “Phải trả người bán“ – mã số 311, 331 và “Phải trả, phải nộp khác“ – mã số 319, 337 trên Bảng cân đối kế toán. Chỉ tiêu này không bao gồm số liệu ở mã số 312, 332 – Người mua trả tiền trước hoặc trừ đi số liệu ở mã số 132, 212 – Trả trước cho người bán.
- Chỉ tiêu “Chi phí phải trả“ được lấy từ khoản mục “Chi phí phải trả“ - mã số 315 và 333 trên Bảng cân đối kế toán.</t>
  </si>
  <si>
    <t xml:space="preserve">Ghi chú nội dung các chỉ tiêu:
- Chỉ tiêu “Tiền và các khoản tương đương tiền“ được lấy từ mã số 110 trên Bảng cân đối kế toán.
- Chỉ tiêu “Phải thu khách hàng, phải thu khác“ được cộng tổng khoản mục Phải thu khách hàng - mã số 131, Phải thu dài hạn của khách hàng – mã số 211 và khoản mục Các khoản phải thu khác – mã số 136, Phải thu dài hạn khác – mã số 216.  Chỉ tiêu Dự phòng phải thu ngắn hạn khó đòi - mã số 137 và Dự phòng phải thu dài hạn khó đòi – mã số 219 trên Bảng cân đối kế toán được bổ sung vào cột Dự phòng chi tiết tương ứng với các khoản Phải thu khách hàng và Phải thu khác. Chỉ tiêu này không bao gồm số liệu ở mã số 132, 212 – Trả trước cho người bán hoặc trừ đi số liệu ở mã số 312, 332 – Người mua trả tiền trước
- Chỉ tiêu “Các khoản cho vay“ được lấy từ mã số 135-Phải thu về cho vay ngắn hạn, mã số 123 chi tiết tiền gửi có kỳ hạn dưới 12 tháng và mã số 215-Phải thu về cho vay dài hạn, mã số 255 chi tiết tiền gửi có kỳ hạn trên 12 tháng trên Bảng Cân đối kế toán -  chi tiết các khoản tiền gửi có kỳ hạn và các khoản cho đối tượng khác vay, không bao gồm các khoản tương đương tiền
- Chỉ tiêu “Các khoản đầu tư ngắn hạn“ được lấy từ mã số 121, 123 (không bao gồm tiền gửi có kỳ hạn dưới 12 tháng) trên Bảng cân đối kế toán. Cột Dự phòng được lấy từ chỉ tiêu 122 trên Bảng cân đối kế toán.
- Chỉ tiêu “Các khoản đầu tư dài hạn“ được lấy từ mã số 253 và mã số 255(không bao gồm tiền gửi có kỳ hạn trên 12 tháng) trên Bảng cân đối kế toán. Cột Dự phòng được lấy từ chỉ tiêu 254 (không bao gồm dự phòng đầu tư tài chính đối với khoản đầu tư Công ty con và Công ty liên doanh, liên kết) trên Bảng cân đối kế toán.
- Chỉ tiêu “Vay và nợ“ được lấy từ khoản mục “Vay và nợ thuê tài chính ngắn hạn“ – mã số 320 trên Bảng cân đối kế toán và khoản mục “Vay và nợ thuê tài chính dài hạn“ – mã số 338 trên Bảng cân đối kế toán.
- Chỉ tiêu “Phải trả người bán, phải trả khác“ được lấy từ khoản mục “Phải trả người bán“ – mã số 311, 331 và “Phải trả, phải nộp khác“ – mã số 319, 337 trên Bảng cân đối kế toán. Chỉ tiêu này không bao gồm số liệu ở mã số 312, 332 – Người mua trả tiền trước hoặc trừ đi số liệu ở mã số 132, 212 – Trả trước cho người bán.
- Chỉ tiêu “Chi phí phải trả“ được lấy từ khoản mục “Chi phí phải trả“ - mã số 315 và 333 trên Bảng cân đối kế toán.
</t>
  </si>
  <si>
    <t>Quản lý rủi ro tài chính</t>
  </si>
  <si>
    <r>
      <t>Financial risk management</t>
    </r>
    <r>
      <rPr>
        <i/>
        <sz val="10"/>
        <color rgb="FF00B0F0"/>
        <rFont val="Times New Roman"/>
        <family val="1"/>
      </rPr>
      <t xml:space="preserve"> [sửa đổi nếu KTV đánh giá là đơn vị không xây dựng hệ thống kiểm soát rủi ro phù hợp]</t>
    </r>
  </si>
  <si>
    <t>Rủi ro thị trường</t>
  </si>
  <si>
    <r>
      <t xml:space="preserve">Market risk </t>
    </r>
    <r>
      <rPr>
        <i/>
        <sz val="10"/>
        <color rgb="FF00B0F0"/>
        <rFont val="Times New Roman"/>
        <family val="1"/>
      </rPr>
      <t>[sửa đổi hoặc xóa bỏ nếu không phù hợp]</t>
    </r>
  </si>
  <si>
    <t xml:space="preserve">Rủi ro về giá: </t>
  </si>
  <si>
    <t>Price Risk:</t>
  </si>
  <si>
    <t>Rủi ro về tỷ giá hối đoái:</t>
  </si>
  <si>
    <t>Exchange rate risk:</t>
  </si>
  <si>
    <t>Rủi ro về lãi suất:</t>
  </si>
  <si>
    <t>Interest rate risk:</t>
  </si>
  <si>
    <t>Rủi ro tín dụng</t>
  </si>
  <si>
    <t>Credit Risk</t>
  </si>
  <si>
    <t>Từ 1 năm 
trở xuống</t>
  </si>
  <si>
    <t>Trên 1 năm 
đến 5 năm</t>
  </si>
  <si>
    <t>Trên 5 năm</t>
  </si>
  <si>
    <t>Up to 1 year</t>
  </si>
  <si>
    <t>From 1 to 5 years</t>
  </si>
  <si>
    <t>More than 
5 years</t>
  </si>
  <si>
    <t>Tiền và tương đương tiền</t>
  </si>
  <si>
    <t>Rủi ro thanh khoản</t>
  </si>
  <si>
    <t>Liquidity Risk</t>
  </si>
  <si>
    <t>Thời hạn thanh toán của các khoản nợ phải trả tài chính dựa trên các khoản thanh toán dự kiến theo hợp đồng (trên cơ sở dòng tiền của các khoản gốc) như sau:</t>
  </si>
  <si>
    <t>Due date for payment of financial liabilities based on expected payment under the contracts (based on cash flow of the original debts) as follows:</t>
  </si>
  <si>
    <t>Loans and borrowings</t>
  </si>
  <si>
    <t>THÔNG TIN BỔ SUNG CHO CÁC KHOẢN MỤC TRÌNH BÀY TRONG BÁO CÁO LƯU CHUYỂN TIỀN TỆ</t>
  </si>
  <si>
    <t xml:space="preserve">ADDITIONAL INFORMATION FOR THE ITEMS OF THE STATEMENT OF CASH FLOWS </t>
  </si>
  <si>
    <t>a) Các giao dịch không bằng tiền ảnh hưởng đến báo cáo lưu chuyển tiền tệ riêng trong tương lai</t>
  </si>
  <si>
    <t xml:space="preserve">a) Non-cash transactions affecting the statement of cash flow in the future </t>
  </si>
  <si>
    <t>Mua tài sản bằng cách nhận các khoản nợ liên quan trực tiếp hoặc thông qua nghiệp vụ cho thuê tài chính</t>
  </si>
  <si>
    <t>Purchasing assets by receiving direct debts or finance lease</t>
  </si>
  <si>
    <t>Mua doanh nghiệp thông qua phát hành cổ phiếu</t>
  </si>
  <si>
    <t>Purchasing enterprises by issuing shares</t>
  </si>
  <si>
    <t>Chuyển nợ thành vốn chủ sở hữu</t>
  </si>
  <si>
    <t>Converting debts into owner’s equity</t>
  </si>
  <si>
    <t>Các giao dịch phi tiền tệ khác</t>
  </si>
  <si>
    <t>Other non-monetary transactions</t>
  </si>
  <si>
    <t>[Trình bày lý do các khoản tiền và tương đương tiền lớn do doanh nghiệp nắm giữ nhưng không được sử dụng do có sự hạn chế của pháp luật hoặc các ràng buộc khác mà doanh nghiệp phải thực hiện]</t>
  </si>
  <si>
    <t>a) Số tiền đi vay thực thu trong năm</t>
  </si>
  <si>
    <t xml:space="preserve">c) Proceeds from borrowings during the period </t>
  </si>
  <si>
    <t>Tiền thu từ đi vay theo khế ước thông thường</t>
  </si>
  <si>
    <t>Proceeds from ordinary contracts</t>
  </si>
  <si>
    <t>Tiền thu từ pháp hành trái phiếu thường</t>
  </si>
  <si>
    <t>Proceeds from issuance of common bonds</t>
  </si>
  <si>
    <t>Tiền thu từ phát hành trái phiếu chuyển đổi</t>
  </si>
  <si>
    <t>Proceeds from issuance of convertible bonds</t>
  </si>
  <si>
    <t>Tiền thu từ phát hành cổ phiếu ưu đãi phân loại là nợ phải trả</t>
  </si>
  <si>
    <t>Proceeds from issuance of preferred shares classified as liabilities</t>
  </si>
  <si>
    <t>Tiền thu từ giao dịch mua bán lại trái phiếu Chính phủ và REPO chứng khoán</t>
  </si>
  <si>
    <t>Proceeds from government bond REPO and security REPO</t>
  </si>
  <si>
    <t>Tiền thu từ đi vay dưới hình thức khác</t>
  </si>
  <si>
    <t>Proceeds from borrowings under other forms</t>
  </si>
  <si>
    <t>b) Số tiền đã thực trả gốc vay trong năm</t>
  </si>
  <si>
    <t xml:space="preserve">d) Actual repayments on principal during the period </t>
  </si>
  <si>
    <t>Tiền trả nợ gốc vay theo khế ước thông thường</t>
  </si>
  <si>
    <t>Repayment on principal from ordinary contracts</t>
  </si>
  <si>
    <t>Tiền trả nợ gốc trái phiếu thường</t>
  </si>
  <si>
    <t>Repayment on principal of common bonds</t>
  </si>
  <si>
    <t>Tiền trả nợ gốc trái phiếu chuyển đổi</t>
  </si>
  <si>
    <t>Repayment on principal of convertible bonds</t>
  </si>
  <si>
    <t>Tiền trả nợ gốc cổ phiếu ưu đãi phân loại là nợ phải trả</t>
  </si>
  <si>
    <t>Repayment on principal of preference shares classified as liabilities</t>
  </si>
  <si>
    <t>Tiền chi trả cho giao dịch mua bán lại trái phiếu Chính phủ và REPO chứng khoán</t>
  </si>
  <si>
    <t>Repayment on government bond REPO and security REPO</t>
  </si>
  <si>
    <t>Tiền trả nợ vay dưới hình thức khác</t>
  </si>
  <si>
    <t>Repayments on borrowings under other forms</t>
  </si>
  <si>
    <t>THÔNG TIN KHÁC</t>
  </si>
  <si>
    <t>OTHER INFORMATION</t>
  </si>
  <si>
    <r>
      <rPr>
        <sz val="10"/>
        <rFont val="Times New Roman"/>
        <family val="1"/>
      </rPr>
      <t xml:space="preserve">Tại thời điểm 31 tháng 12 năm 2016, </t>
    </r>
    <r>
      <rPr>
        <sz val="10"/>
        <color rgb="FF0000FF"/>
        <rFont val="Times New Roman"/>
        <family val="1"/>
      </rPr>
      <t>Công ty/ Tổng Công ty</t>
    </r>
    <r>
      <rPr>
        <sz val="10"/>
        <rFont val="Times New Roman"/>
        <family val="1"/>
      </rPr>
      <t xml:space="preserve"> có khoản cam kết _______ ngàn đồng Việt Nam /USD (Năm 2015 là _____ ngàn đồng Việt Nam/USD) chủ yếu liên quan đến dự án “…” về việc mua sắm các máy móc mới phục vụ hoạt động của </t>
    </r>
    <r>
      <rPr>
        <sz val="10"/>
        <color rgb="FF0000FF"/>
        <rFont val="Times New Roman"/>
        <family val="1"/>
      </rPr>
      <t>Công ty/ Tổng Công ty</t>
    </r>
    <r>
      <rPr>
        <sz val="10"/>
        <rFont val="Times New Roman"/>
        <family val="1"/>
      </rPr>
      <t xml:space="preserve">. 
</t>
    </r>
    <r>
      <rPr>
        <sz val="10"/>
        <color rgb="FF00B050"/>
        <rFont val="Times New Roman"/>
        <family val="1"/>
      </rPr>
      <t>Mô tả những thông tin cơ bản về</t>
    </r>
    <r>
      <rPr>
        <b/>
        <sz val="10"/>
        <color rgb="FF00B050"/>
        <rFont val="Times New Roman"/>
        <family val="1"/>
      </rPr>
      <t xml:space="preserve"> các dự án </t>
    </r>
    <r>
      <rPr>
        <sz val="10"/>
        <color rgb="FF00B050"/>
        <rFont val="Times New Roman"/>
        <family val="1"/>
      </rPr>
      <t>mà công ty đã và đang chuẩn bị tham gia, quy mô dự án, tiến độ thực hiện.</t>
    </r>
  </si>
  <si>
    <r>
      <rPr>
        <sz val="10"/>
        <rFont val="Times New Roman"/>
        <family val="1"/>
      </rPr>
      <t xml:space="preserve">At 31 December 2015, the </t>
    </r>
    <r>
      <rPr>
        <sz val="10"/>
        <color rgb="FF0000FF"/>
        <rFont val="Times New Roman"/>
        <family val="1"/>
      </rPr>
      <t>Company/ Corporation</t>
    </r>
    <r>
      <rPr>
        <sz val="10"/>
        <rFont val="Times New Roman"/>
        <family val="1"/>
      </rPr>
      <t xml:space="preserve"> has commitment of _______ thousand VND/USD (2014 is: ___ thousand VND/USD) principally related to the project of acquisition of new machineries for its operation.</t>
    </r>
    <r>
      <rPr>
        <sz val="10"/>
        <color rgb="FF00B050"/>
        <rFont val="Times New Roman"/>
        <family val="1"/>
      </rPr>
      <t xml:space="preserve">
Presenting principally information about the projects that the Company participated or prepared to participate, volume and progress of the projects,</t>
    </r>
  </si>
  <si>
    <t>NHỮNG SỰ KIỆN PHÁT SINH SAU NGÀY KẾT THÚC NĂM TÀI CHÍNH</t>
  </si>
  <si>
    <t xml:space="preserve">EVENTS AFTER THE REPORTING PERIOD </t>
  </si>
  <si>
    <t>Lưu ý:
Nêu các sự kiện phát sinh sau niên độ đã được điều chỉnh trên báo cáo tài chính kỳ này thì nêu các ảnh hưởng của sự kiện đến Báo cáo tài chính ở trong phần thuyết minh các chỉ tiêu tương ứng
Trình bày các thông tin sau ngày kết thúc kỳ kế toán năm liên quan đến điều kiện tồn tại vào ngày kết thúc kỳ kế toán năm trên cơ sở xem xét những thông tin mới.
Trình bày thông tin nhận được sau ngày kết thúc kỳ kế toán năm, ngay cả khi thông tin này không ảnh hưởng đến các số liệu đã được ghi nhận và trình bày trong Báo cáo tài chính nếu các sự kiện đó là trọng yếu, sự không trình bày có thể ảnh hưởng tới các quyết định kinh tế của người sử dụng khi dựa trên các thông tin của Báo cáo tài chính.
(a) Bản chất, nội dung của sự kiện
(b) Các ước tính ảnh hưởng tài chính, hoặc giải thích về việc không thể ước tính các ảnh hưởng này</t>
  </si>
  <si>
    <t xml:space="preserve"> [If events since the Balance sheet date are adjusted into present year’s financial statements, describe effects on financial statements in appropriate notes]
Reporting and analysing all information gained after balance sheet date relating to the operating status of enterprise.
All information gained after balance sheet date must be presented, even when it has no influence on data recorded and presented on the Financial Statements if these events are material. Decisions made by person and entities using information on the financial statements may be impacted if the arising information is not presented.  
(a) Nature and content of events
(b) Estimates of financial influences or explaining the reason why the influences could not be estimated.
</t>
  </si>
  <si>
    <t>BÁO CÁO BỘ PHẬN</t>
  </si>
  <si>
    <t>SEGMENT REPORTING</t>
  </si>
  <si>
    <t>Theo lĩnh vực kinh doanh:</t>
  </si>
  <si>
    <t>Under business fields:</t>
  </si>
  <si>
    <t>Do hoạt động kinh doanh chính của Công ty là sản xuất gạch, ngói và diễn ra trên lãnh thổ Việt Nam nên Công ty không trình bày báo cáo bộ phận theo lĩnh vực kinh doanh và khu vực địa lý.</t>
  </si>
  <si>
    <t>Link theo sheet TM_BCBPKD</t>
  </si>
  <si>
    <t>Theo khu vực địa lý:</t>
  </si>
  <si>
    <t>Under geographical areas:</t>
  </si>
  <si>
    <t>Link theo sheet TM_BCBPDL</t>
  </si>
  <si>
    <r>
      <t xml:space="preserve">Các bộ phận được lựa chọn để thuyết minh: 
- Doanh thu của bộ phận từ việc bán hàng ra bên ngoài và từ giao dịch với các bộ phận khác chiếm từ 10% trở lên tổng doanh thu của tất cả các bộ phận; hoặc
- Kết quả kinh doanh của bộ phận chiếm từ 10% trở lên trên tổng lãi/lỗ của tất cả các bộ phận có lãi/lỗ; hoặc
- Tài sản của bộ phận chiếm từ 10% trở lên trên tổng tài sản của tất cả các bộ phận.
Nếu tổng doanh thu bán hàng ra ngoài phân bổ cho các bộ phận thấp hơn 75% tổng số doanh thu của doanh nghiệp thì phải xác định thêm bộ phận cần báo cáo, kể cả khi bộ phận đó không đáp ứng được tiêu chuẩn 10% cho tới khi đạt được ít nhất 75% tổng số doanh thu của doanh nghiệp tính cho các bộ phận báo cáo được.
</t>
    </r>
    <r>
      <rPr>
        <i/>
        <u/>
        <sz val="10"/>
        <color rgb="FF00B050"/>
        <rFont val="Times New Roman"/>
        <family val="1"/>
      </rPr>
      <t>Hướng dẫn lập Báo cáo Bộ phận:</t>
    </r>
    <r>
      <rPr>
        <i/>
        <sz val="10"/>
        <color rgb="FF00B050"/>
        <rFont val="Times New Roman"/>
        <family val="1"/>
      </rPr>
      <t xml:space="preserve">
- Lợi nhuận từ Hoạt động kinh doanh: là lợi nhuận gộp từ Hoạt động kinh doanh
- Tổng chi phí mua TSCĐ: bao gồm cả chi phí đầu tư Xây dựng cơ bản dở dang 
- Tài sản bộ phận và Nợ phải trả bộ phận: không tính Tài sản thuế thu nhập hoãn lại và Thuế thu nhập hoãn lại phải trả.
- Tài sản bộ phận + Tài sản không phân bổ = Tổng tài sản trên BCĐKT – Tài sản thuế thu nhập hoãn lại</t>
    </r>
  </si>
  <si>
    <r>
      <t xml:space="preserve">Các bộ phận được lựa chọn để thuyết minh: 
- Doanh thu của bộ phận từ việc bán hàng ra bên ngoài và từ giao dịch với các bộ phận khác chiếm từ 10% trở lên tổng doanh thu của tất cả các bộ phận; hoặc
- Kết quả kinh doanh của bộ phận chiếm từ 10% trở lên trên tổng lãi/lỗ của tất cả các bộ phận có lãi/lỗ; hoặc
- Tài sản của bộ phận chiếm từ 10% trở lên trên tổng tài sản của tất cả các bộ phận.
Trong đó tổng số liệu của các bộ phận được báo cáo riêng phải chiếm thấp nhất 75% tổng số liệu của toàn doanh nghiệp đối với tiêu chí được lựa chọn để lập báo cáo bộ phận.
</t>
    </r>
    <r>
      <rPr>
        <i/>
        <u/>
        <sz val="10"/>
        <color rgb="FF00B050"/>
        <rFont val="Times New Roman"/>
        <family val="1"/>
      </rPr>
      <t>Hướng dẫn lập Báo cáo Bộ phận:</t>
    </r>
    <r>
      <rPr>
        <i/>
        <sz val="10"/>
        <color rgb="FF00B050"/>
        <rFont val="Times New Roman"/>
        <family val="1"/>
      </rPr>
      <t xml:space="preserve">
- Lợi nhuận từ Hoạt động kinh doanh: là lợi nhuận gộp từ Hoạt động kinh doanh
- Tổng chi phí mua TSCĐ: bao gồm cả chi phí đầu tư Xây dựng cơ bản dở dang 
- Tài sản bộ phận và Nợ phải trả bộ phận: không tính Tài sản thuế thu nhập hoãn lại và Thuế thu nhập hoãn lại phải trả.
</t>
    </r>
  </si>
  <si>
    <t>NGHIỆP VỤ VÀ SỐ DƯ VỚI CÁC BÊN LIÊN QUAN</t>
  </si>
  <si>
    <t>TRANSACTION AND BALANCES WITH RELATED PARTIES</t>
  </si>
  <si>
    <t>Giao dịch phát sinh trong năm:</t>
  </si>
  <si>
    <t>Transactions during the year:</t>
  </si>
  <si>
    <t>Mối quan hệ</t>
  </si>
  <si>
    <t>Relationship</t>
  </si>
  <si>
    <t>Tổng Công ty Viglacera</t>
  </si>
  <si>
    <t>Cổ đông lớn</t>
  </si>
  <si>
    <t>…[Transaction name]</t>
  </si>
  <si>
    <t>- Chi phí in lịch</t>
  </si>
  <si>
    <t>- Công ty A</t>
  </si>
  <si>
    <t>Parent company</t>
  </si>
  <si>
    <t>- Phí duy trì thương hiệu</t>
  </si>
  <si>
    <t>Ông Trần Xuân Hùng</t>
  </si>
  <si>
    <t>Thành viên HĐQT</t>
  </si>
  <si>
    <t>- Chi phí thuê xe</t>
  </si>
  <si>
    <t>Subsidiary</t>
  </si>
  <si>
    <t>…[Tên giao dịch]</t>
  </si>
  <si>
    <t>Associate</t>
  </si>
  <si>
    <t>- Bà Nguyễn Thị B</t>
  </si>
  <si>
    <t>Vợ Giám đốc</t>
  </si>
  <si>
    <t>Director’s wife</t>
  </si>
  <si>
    <t>- Ông …</t>
  </si>
  <si>
    <t>Con Giám đốc</t>
  </si>
  <si>
    <t>Director’s son</t>
  </si>
  <si>
    <t>- Bà Nguyễn Thị C</t>
  </si>
  <si>
    <t>Bồ Giám đốc</t>
  </si>
  <si>
    <t>- Bà …</t>
  </si>
  <si>
    <t>Số dư tại ngày kết thúc kỳ kế toán năm:</t>
  </si>
  <si>
    <t>Outstanding balances up to the reporting date are as follows:</t>
  </si>
  <si>
    <t>trade receivables</t>
  </si>
  <si>
    <t>- Phải trả khác</t>
  </si>
  <si>
    <t>Prepayments to suppliers</t>
  </si>
  <si>
    <t>- Phải thu về cho vay</t>
  </si>
  <si>
    <t>- Trả trước cho người bán</t>
  </si>
  <si>
    <t>- Phải thu khác</t>
  </si>
  <si>
    <t>Phải trả cho người bán</t>
  </si>
  <si>
    <t>Trade payables</t>
  </si>
  <si>
    <t>Người mua trả tiền trước</t>
  </si>
  <si>
    <t>Prepayments from customers</t>
  </si>
  <si>
    <t>Other payments</t>
  </si>
  <si>
    <t>[…]</t>
  </si>
  <si>
    <t xml:space="preserve">[…] </t>
  </si>
  <si>
    <t>Giao dịch với các bên liên quan khác như sau:</t>
  </si>
  <si>
    <t>Transactions with other related parties:</t>
  </si>
  <si>
    <t>2017</t>
  </si>
  <si>
    <t>2016</t>
  </si>
  <si>
    <t>SỐ LIỆU SO SÁNH</t>
  </si>
  <si>
    <t>CORRESPONDING FIGURES</t>
  </si>
  <si>
    <r>
      <t xml:space="preserve">Một số chỉ tiêu đã được phân loại lại cho phù hợp để so sánh với số liệu năm nay </t>
    </r>
    <r>
      <rPr>
        <sz val="10"/>
        <color rgb="FF00B050"/>
        <rFont val="Times New Roman"/>
        <family val="1"/>
      </rPr>
      <t>[nếu có sự phân loại lại].</t>
    </r>
  </si>
  <si>
    <r>
      <t xml:space="preserve">Those figures were reclassified in order to compare with figures of this year </t>
    </r>
    <r>
      <rPr>
        <sz val="10"/>
        <color rgb="FF00B050"/>
        <rFont val="Times New Roman"/>
        <family val="1"/>
      </rPr>
      <t>(if any).</t>
    </r>
  </si>
  <si>
    <t>Phân loại lại</t>
  </si>
  <si>
    <t>Đã trình bày trên báo cáo năm trước</t>
  </si>
  <si>
    <t>Reclassified</t>
  </si>
  <si>
    <t xml:space="preserve">Presented on the last year financial statements </t>
  </si>
  <si>
    <t>a) Statement of Financial position</t>
  </si>
  <si>
    <t>- Các khoản phải trả, phải nộp khác</t>
  </si>
  <si>
    <t>- Other payables</t>
  </si>
  <si>
    <t>- Người mua trả tiền trước</t>
  </si>
  <si>
    <t>- Advances from customers</t>
  </si>
  <si>
    <t>b) Statement of Comprehensive income</t>
  </si>
  <si>
    <t>-…</t>
  </si>
  <si>
    <t>c) Statement of Cash flow</t>
  </si>
  <si>
    <t>d) Notes to Financial Statements</t>
  </si>
  <si>
    <t>[Trong trường hợp điều chỉnh hồi tố năm trước là trọng yếu, cần thuyết minh rõ: Các chỉ tiêu được điều chỉnh hồi tố, số liệu điều chỉnh, nguyên nhân điều chỉnh]
[Trong trường hợp không thể so sánh số liệu năm trước với số liệu năm nay hoặc không có số liệu năm trước thì cần giải thích rõ lý do của việc không thể so sánh]</t>
  </si>
  <si>
    <t>Mã cột chỉ tiêu --&gt;</t>
  </si>
  <si>
    <t>2113</t>
  </si>
  <si>
    <t>2115</t>
  </si>
  <si>
    <t>2118</t>
  </si>
  <si>
    <t>Item column code --&gt;</t>
  </si>
  <si>
    <t>Nhà cửa, 
vật kiến trúc</t>
  </si>
  <si>
    <t>Máy móc, thiết bị</t>
  </si>
  <si>
    <t>Phương tiện vận tải, truyền dẫn</t>
  </si>
  <si>
    <t>Thiết bị, dụng cụ quản lý</t>
  </si>
  <si>
    <t>Cây lâu năm, súc vật làm việc và cho sản phẩm</t>
  </si>
  <si>
    <t>TSCĐ hữu hình khác</t>
  </si>
  <si>
    <t>Machine, equipment</t>
  </si>
  <si>
    <t>Transportation equipment</t>
  </si>
  <si>
    <t>Management equipment</t>
  </si>
  <si>
    <t xml:space="preserve"> Perennial and cattle</t>
  </si>
  <si>
    <t xml:space="preserve"> - Mua trong năm</t>
  </si>
  <si>
    <t xml:space="preserve"> - Thanh lý, nhượng bán</t>
  </si>
  <si>
    <t xml:space="preserve"> - Finished construction investment</t>
  </si>
  <si>
    <t xml:space="preserve"> - Tăng khác</t>
  </si>
  <si>
    <t xml:space="preserve"> - Other increase</t>
  </si>
  <si>
    <t xml:space="preserve"> - Chuyển sang bất động sản đầu tư</t>
  </si>
  <si>
    <t xml:space="preserve"> - Transferring to investment properties</t>
  </si>
  <si>
    <t xml:space="preserve"> - Phân loại lại</t>
  </si>
  <si>
    <t xml:space="preserve"> - Liquidation, disposal</t>
  </si>
  <si>
    <t xml:space="preserve"> - Giảm khác (i)</t>
  </si>
  <si>
    <t xml:space="preserve"> - Other decrease</t>
  </si>
  <si>
    <t xml:space="preserve"> - Khấu hao trong năm</t>
  </si>
  <si>
    <t xml:space="preserve"> - Depreciation for the year</t>
  </si>
  <si>
    <t>21411</t>
  </si>
  <si>
    <t>21412</t>
  </si>
  <si>
    <t>21413</t>
  </si>
  <si>
    <t>21414</t>
  </si>
  <si>
    <t>21415</t>
  </si>
  <si>
    <t>21418</t>
  </si>
  <si>
    <t>(i): Điều chỉnh giảm tài sản cố định không đủ tiêu chuẩn về nguyên giá theo Thông tư số 45/2013/TT-BTC ngày 25/04/2013 hướng dẫn chế độ quản lý, sử dụng và trích khấu hao tài sản cố định.</t>
  </si>
  <si>
    <t>- Giá trị còn lại cuối năm của TSCĐ hữu hình đã dùng thế chấp, cầm cố đảm bảo các khoản vay: 11.600.380.715 VND.</t>
  </si>
  <si>
    <t>- Ending net book value of tangible fixed assets at the end of the year pledged as loan securities:</t>
  </si>
  <si>
    <t>- Nguyên giá TSCĐ cuối năm đã khấu hao hết còn sử dụng: 40.115.393.399 VND.</t>
  </si>
  <si>
    <t>- Cost of fully depreciated tangible fixed assets at the end of the year but still in use:</t>
  </si>
  <si>
    <t>- Nguyên giá TSCĐ cuối năm chờ thanh lý:</t>
  </si>
  <si>
    <t>- Cost of tangible fixed assets at the end of the year waiting for liquidation:</t>
  </si>
  <si>
    <t>- Các cam kết về việc mua, bán TSCĐ hữu hình có giá trị lớn trong tương lai:</t>
  </si>
  <si>
    <t>- Significant commitments in buying, selling valuable tangible fixed assets:</t>
  </si>
  <si>
    <t>- Các thay đổi khác về TSCĐ hữu hình:</t>
  </si>
  <si>
    <t>- Other changes in tangible fixed assets:</t>
  </si>
  <si>
    <t>VAY</t>
  </si>
  <si>
    <t>Trong năm</t>
  </si>
  <si>
    <t>During the year</t>
  </si>
  <si>
    <t>Số có khả năng
trả nợ</t>
  </si>
  <si>
    <t>Tăng</t>
  </si>
  <si>
    <t>Giảm</t>
  </si>
  <si>
    <t>Outstanding balance</t>
  </si>
  <si>
    <t>Amount can be paid</t>
  </si>
  <si>
    <t>Vay ngắn hạn</t>
  </si>
  <si>
    <t>Short-term loans</t>
  </si>
  <si>
    <t>Ngân hàng TMCP Đầu tư và Phát triển Việt Nam - Chi nhánh Từ Sơn</t>
  </si>
  <si>
    <t>Ngân hàng TMCP Đầu tư và Phát triển Việt Nam - Chi nhánh Hải Dương</t>
  </si>
  <si>
    <t>Vay đối tượng khác</t>
  </si>
  <si>
    <t>Current portion of long-term loans</t>
  </si>
  <si>
    <t xml:space="preserve">b) Vay dài hạn </t>
  </si>
  <si>
    <t>Long-term loans</t>
  </si>
  <si>
    <t>Vay dài hạn</t>
  </si>
  <si>
    <t xml:space="preserve">Long-term loans </t>
  </si>
  <si>
    <t>Common bond</t>
  </si>
  <si>
    <t>Nợ thuê tài chính dài hạn</t>
  </si>
  <si>
    <t>Long-term finance lease liabilities</t>
  </si>
  <si>
    <r>
      <t>[</t>
    </r>
    <r>
      <rPr>
        <b/>
        <i/>
        <sz val="10"/>
        <color rgb="FF00B050"/>
        <rFont val="Times New Roman"/>
        <family val="1"/>
      </rPr>
      <t>Vay ngắn hạn bao gồm:</t>
    </r>
    <r>
      <rPr>
        <i/>
        <sz val="10"/>
        <color rgb="FF00B050"/>
        <rFont val="Times New Roman"/>
        <family val="1"/>
        <charset val="163"/>
      </rPr>
      <t xml:space="preserve"> vay ngắn hạn, vay dài hạn đến hạn trả và nợ thuê tài chính đến hạn trả. 
Tổng số dư vay ngắn hạn khớp với số tổng số dư vay ngắn hạn tại mã số 320 trên Bảng cân đối kế toán]. 
Dòng Vay dài hạn đến hạn trả là nghiệp vụ phân loại lại trên báo cáo tài chính (không xuất hiện trên sổ kế toán). Trong đó: Số phát sinh tăng là số phân loại lại nợ phải trả đến hạn trong 12 tháng tiếp theo, phát sinh tại thời điểm lập BCTC; số phát sinh giảm là số thực trả cho số dư đầu năm. Các trường hợp trả nợ dài hạn trước hạn thì phản ánh ở phần Vay dài hạn.</t>
    </r>
  </si>
  <si>
    <t>[Vay ngắn hạn bao gồm: vay ngắn hạn, vay dài hạn đến hạn trả và nợ thuê tài chính đến hạn trả. Tổng vay ngắn hạn (XXX) khớp với số tổng vay ngắn hạn tại mã số 320 trên Bảng cân đối kế toán].</t>
  </si>
  <si>
    <r>
      <rPr>
        <b/>
        <i/>
        <sz val="10"/>
        <color rgb="FF00B050"/>
        <rFont val="Times New Roman"/>
        <family val="1"/>
      </rPr>
      <t xml:space="preserve">Vay dài hạn: </t>
    </r>
    <r>
      <rPr>
        <i/>
        <sz val="10"/>
        <color rgb="FF00B050"/>
        <rFont val="Times New Roman"/>
        <family val="1"/>
        <charset val="163"/>
      </rPr>
      <t xml:space="preserve">
Các dòng ở mục phần vay dài hạn thể hiện các số liệu thực tế theo từng hợp đồng/khế ước vay dài hạn, không phân biệt kỳ hạn ngắn hay dài hạn. Trong đó: số dư đầu kỳ, cuối kỳ bao gồm cả số liệu đã phân loại lại ở dòng Vay và nợ dài hạn đến hạn trả; số phát sinh tăng là số thực vay, không bao gồm số phân loại sang nợ ngắn hạn ở dòng Vay và nợ dài hạn đến hạn trả; Số phát sinh giảm là số thực trả trong năm/kỳ, bao gồm cả số trình bày trên dòng Vay và nợ dài hạn đến hạn trả và số trả nợ trước hạn. 
Dòng “Khoản đến hạn trả trong vòng 12 tháng”: ghi số âm và tương ứng với dòng Vay và nợ dài hạn đến hạn trả ở mục a:
Dòng “Khoản đến hạn trả sau 12 tháng”: chỉ trình bày số dư đầu kỳ và cuối kỳ. Số liệu được xác định bằng dòng tổng vay dài hạn trừ đi dòng Vay và nợ dài hạn đến hạn trả và khớp với Mã số 338 trên Bảng cân đối kế toán.</t>
    </r>
  </si>
  <si>
    <t>[Dòng XXX ở phần vay dài hạn thể hiện Tổng vay dài hạn bao gồm cả khoản nợ đến hạn trả trong năm. Dòng liền sau: “Khoản đến hạn trả trong vòng 12 tháng” ghi số âm và tương ứng với dòng Vay và nợ dài hạn đến hạn trả ở mục a), Dòng tiếp theo “Khoản đến hạn trả sau 12 tháng” bằng dòng tổng vay dài hạn (dòng XXX) trừ “Khoản đến hạn trả trong vòng 12 tháng” và khớp với Mã số 338 trên Bảng cân đối kế toán].</t>
  </si>
  <si>
    <t xml:space="preserve">Các số liệu phát sinh tăng, giảm bao gồm cả chênh lệch tỷ giá phát sinh và chênh lệch tỷ giá do đánh giá lại số dư (nếu có). </t>
  </si>
  <si>
    <t>Thông tin chi tiết liên quan đến các khoản vay ngắn hạn:</t>
  </si>
  <si>
    <t xml:space="preserve">Detail information on Short-term loans: </t>
  </si>
  <si>
    <r>
      <t xml:space="preserve">[Cách 1: Trình bày tóm tắt các thông tin liên quan đến các khoản vay trên bằng lời. Các thông tin liên quan bao gồm: </t>
    </r>
    <r>
      <rPr>
        <b/>
        <i/>
        <sz val="10"/>
        <color rgb="FF00B050"/>
        <rFont val="Times New Roman"/>
        <family val="1"/>
      </rPr>
      <t>Số hợp đồng vay, bên cho vay, lãi suất vay, thời hạn vay, tổng giá trị khoản vay (hoặc hạn mức tín dụng) và số dư nợ gốc,</t>
    </r>
    <r>
      <rPr>
        <i/>
        <sz val="10"/>
        <color rgb="FF00B050"/>
        <rFont val="Times New Roman"/>
        <family val="1"/>
        <charset val="163"/>
      </rPr>
      <t>. Nếu chỉ có 1 hợp đồng vay với 1 ngân hàng nhưng có tổng hạn mức tín dụng, nhiều giấy nhận nợ với lãi suất khác nhau hoặc có quá nhiều hợp đồng vay với nhiều ngân hàng thì tóm tắt các nội dung trên theo từng nhóm hợp đồng hoặc bên cho vay]</t>
    </r>
  </si>
  <si>
    <r>
      <t xml:space="preserve">Trình bày tóm tắt các thông tin liên quan đến các khoản vay trên bằng lời. Các thông tin liên quan bao gồm: </t>
    </r>
    <r>
      <rPr>
        <b/>
        <i/>
        <sz val="10"/>
        <color rgb="FF00B050"/>
        <rFont val="Times New Roman"/>
        <family val="1"/>
        <charset val="163"/>
      </rPr>
      <t>Số hợp đồng vay, bên cho vay, lãi suất vay, thời hạn vay, tổng giá trị khoản vay (hoặc hạn mức tín dụng)và số dư nợ gốc, phương thức bảo đảm khoản vay.</t>
    </r>
    <r>
      <rPr>
        <i/>
        <sz val="10"/>
        <color rgb="FF00B050"/>
        <rFont val="Times New Roman"/>
        <family val="1"/>
        <charset val="163"/>
      </rPr>
      <t xml:space="preserve"> Nếu chỉ có 1 hợp đồng vay với 1 ngân hàng nhưng có tổng hạn mức tín dụng, nhiều giấy nhận nợ với lãi suất khác nhau hoặc có quá nhiều hợp đồng vay với nhiều ngân hàng thì tóm tắt các nội dung trên theo từng nhóm hợp đồng hoặc bên cho vay]</t>
    </r>
  </si>
  <si>
    <r>
      <t xml:space="preserve">[Cách 2: </t>
    </r>
    <r>
      <rPr>
        <sz val="10"/>
        <rFont val="Times New Roman"/>
        <family val="1"/>
      </rPr>
      <t>Chi tiết các khoản vay ngắn hạn từ ngân hàng và các tổ chức tín dụng khác của Công ty như sau:</t>
    </r>
  </si>
  <si>
    <r>
      <t xml:space="preserve">[Cách 2: </t>
    </r>
    <r>
      <rPr>
        <sz val="10"/>
        <rFont val="Times New Roman"/>
        <family val="1"/>
      </rPr>
      <t>Detail information on Short–term loans from banks and credit institutions is as follows:</t>
    </r>
  </si>
  <si>
    <t>Hình thức đảm bảo</t>
  </si>
  <si>
    <t>Interest rate</t>
  </si>
  <si>
    <t>VND</t>
  </si>
  <si>
    <t>Thế chấp: Tài sản gắn liền với đất của Công ty Cổ phần Viglacera Từ Sơn.</t>
  </si>
  <si>
    <t>Ngân hàng A</t>
  </si>
  <si>
    <t>Không có tài sản bảo đảm</t>
  </si>
  <si>
    <t>Ngân hàng B</t>
  </si>
  <si>
    <t>Phần tài sản đảm bảo nếu không phải là tín chấp thì thuyết minh bằng lời nhưng chỉ cần viết ngắn gọn, ví dụ như:</t>
  </si>
  <si>
    <r>
      <rPr>
        <sz val="10"/>
        <rFont val="Times New Roman"/>
        <family val="1"/>
      </rPr>
      <t>Các khoản vay từ ngân hàng được bảo đảm bằng các hợp đồng thế chấp với bên cho vay vốn và đã được đăng ký giao dịch đảm bảo đầy đủ</t>
    </r>
    <r>
      <rPr>
        <i/>
        <sz val="10"/>
        <color rgb="FF00B050"/>
        <rFont val="Times New Roman"/>
        <family val="1"/>
        <charset val="163"/>
      </rPr>
      <t>.</t>
    </r>
  </si>
  <si>
    <r>
      <rPr>
        <sz val="10"/>
        <rFont val="Times New Roman"/>
        <family val="1"/>
      </rPr>
      <t xml:space="preserve">Loans from banks and other credit institutions are secured by the mortgage contract/ pledging/ guarantee with the lender and registered fully secured transactions. </t>
    </r>
    <r>
      <rPr>
        <i/>
        <sz val="10"/>
        <color rgb="FF00B050"/>
        <rFont val="Times New Roman"/>
        <family val="1"/>
        <charset val="163"/>
      </rPr>
      <t xml:space="preserve"> [Lưu ý kiểm tra thông tin được thuyết minh]. </t>
    </r>
  </si>
  <si>
    <r>
      <t xml:space="preserve">Thông tin chi tiết liên quan đến các khoản vay dài hạn: </t>
    </r>
    <r>
      <rPr>
        <b/>
        <i/>
        <sz val="10"/>
        <color rgb="FF00B050"/>
        <rFont val="Times New Roman"/>
        <family val="1"/>
      </rPr>
      <t>[Chọn một trong hai cách thuyết minh sau]</t>
    </r>
  </si>
  <si>
    <t>Detail information on Long-term loans</t>
  </si>
  <si>
    <r>
      <t xml:space="preserve">[Cách 1: Trình bày tóm tắt các thông tin liên quan đến các khoản vay trên bằng lời. Các thông tin liên quan bao gồm: </t>
    </r>
    <r>
      <rPr>
        <b/>
        <i/>
        <sz val="10"/>
        <color rgb="FF00B050"/>
        <rFont val="Times New Roman"/>
        <family val="1"/>
      </rPr>
      <t>Số hợp đồng vay, bên cho vay, lãi suất vay, thời hạn vay, tổng giá trị khoản vay,</t>
    </r>
    <r>
      <rPr>
        <i/>
        <sz val="10"/>
        <color rgb="FF00B050"/>
        <rFont val="Times New Roman"/>
        <family val="1"/>
        <charset val="163"/>
      </rPr>
      <t>. Nếu chỉ có 1 hợp đồng vay với 1 ngân hàng nhưng có tổng giá trị khoản vay, nhiều giấy nhận nợ với lãi suất khác nhau hoặc có quá nhiều hợp đồng vay với nhiều ngân hàng thì tóm tắt các nội dung trên theo từng nhóm hợp đồng hoặc bên cho vay]</t>
    </r>
  </si>
  <si>
    <r>
      <t xml:space="preserve">Khoản vay Ngân hàng ..., Ngân hàng ... được bảo lãnh bởi....
Các khoản vay từ ngân hàng và các tổ chức tín dụng khác được bảo đảm bằng các hợp đồng thế chấp/cầm cố với bên cho vay vốn và đã được đăng ký giao dịch đảm bảo đầy đủ </t>
    </r>
    <r>
      <rPr>
        <i/>
        <sz val="10"/>
        <color rgb="FF00B050"/>
        <rFont val="Times New Roman"/>
        <family val="1"/>
      </rPr>
      <t>[Lưu ý kiểm tra thông tin được thuyết minh].</t>
    </r>
  </si>
  <si>
    <r>
      <t xml:space="preserve">Loans from Bank, Bank.... is guaranteed by....
Loans from banks and other credit institutions are secured by the mortgage contract/ pledging/ guarantee with the lender and registered fully secured transactions.
 </t>
    </r>
    <r>
      <rPr>
        <i/>
        <sz val="10"/>
        <color rgb="FF00B050"/>
        <rFont val="Times New Roman"/>
        <family val="1"/>
      </rPr>
      <t>[Lưu ý kiểm tra thông tin được thuyết minh].</t>
    </r>
    <r>
      <rPr>
        <sz val="10"/>
        <rFont val="Times New Roman"/>
        <family val="1"/>
      </rPr>
      <t xml:space="preserve">
</t>
    </r>
  </si>
  <si>
    <r>
      <t>Thông tin chi tiết liên quan đến các khoản nợ thuê tài chính:</t>
    </r>
    <r>
      <rPr>
        <i/>
        <sz val="10"/>
        <color rgb="FF00B050"/>
        <rFont val="Times New Roman"/>
        <family val="1"/>
      </rPr>
      <t xml:space="preserve"> [Chọn một trong hai cách thuyết minh sau]</t>
    </r>
  </si>
  <si>
    <r>
      <t>Detail information on debts from finance:</t>
    </r>
    <r>
      <rPr>
        <i/>
        <sz val="10"/>
        <color rgb="FF00B050"/>
        <rFont val="Times New Roman"/>
        <family val="1"/>
      </rPr>
      <t xml:space="preserve"> [Chọn một trong hai cách thuyết minh sau]</t>
    </r>
  </si>
  <si>
    <t>[Cách 1: Trình bày bằng lời bao gồm các thông tin về hợp đồng thuê tài chính, bên cho thuê, tài sản thuê và tổng giá trị hợp đồng thuê bao gồm nợ gốc và lãi phải trả, thời hạn thanh toán, số dư nợ gốc còn phải trả]</t>
  </si>
  <si>
    <t xml:space="preserve">[Cách 2: Trường hợp có quá nhiều khoản vay và phần thuyết minh bằng lời dài thì bỏ phần thuyết minh bằng lời và trình bày tóm tắt theo mẫu tham khảo sau: </t>
  </si>
  <si>
    <t>Thời hạn</t>
  </si>
  <si>
    <t>Tổng khoản thanh toán tiền  thuê tài chính</t>
  </si>
  <si>
    <t>Trả tiền lãi thuê</t>
  </si>
  <si>
    <t>Trả nợ gốc</t>
  </si>
  <si>
    <t>Total payment of finance lease liabilities</t>
  </si>
  <si>
    <t>Payment 
of interest</t>
  </si>
  <si>
    <t>Payment of principal</t>
  </si>
  <si>
    <t>Từ 01 năm trở xuống</t>
  </si>
  <si>
    <t>Under 1 year</t>
  </si>
  <si>
    <t>Trên 01 năm đến 05 năm</t>
  </si>
  <si>
    <t>From 1 year to 5 years</t>
  </si>
  <si>
    <t>Trên 05 năm</t>
  </si>
  <si>
    <t>Over 5 years</t>
  </si>
  <si>
    <t xml:space="preserve">Overdue loans and finance lease liabilities </t>
  </si>
  <si>
    <t>d) Các khoản vay và nợ thuê tài chính đối với các bên liên quan</t>
  </si>
  <si>
    <t>Relation</t>
  </si>
  <si>
    <t>Công ty con</t>
  </si>
  <si>
    <t>Công ty X</t>
  </si>
  <si>
    <t>Công ty liên kết</t>
  </si>
  <si>
    <t xml:space="preserve">Associate </t>
  </si>
  <si>
    <t>Công ty Y</t>
  </si>
  <si>
    <t>INCREASE AND DECREASE IN OWNER'S EQUITY</t>
  </si>
  <si>
    <t>Mã cột chỉ tiêu ---&gt;</t>
  </si>
  <si>
    <t>4118</t>
  </si>
  <si>
    <t>441</t>
  </si>
  <si>
    <t>Item code ---&gt;</t>
  </si>
  <si>
    <t>Vốn đầu tư của CSH</t>
  </si>
  <si>
    <t>Thặng dư vốn cổ phần</t>
  </si>
  <si>
    <t>Quyền chọn chuyển đổi trái phiếu</t>
  </si>
  <si>
    <t>Vốn khác của CSH</t>
  </si>
  <si>
    <t>Cổ phiếu quỹ</t>
  </si>
  <si>
    <t>Chênh lệch đánh giá lại tài sản</t>
  </si>
  <si>
    <t>Chênh lệch tỷ giá hối đoái</t>
  </si>
  <si>
    <t>Quỹ đầu tư 
phát triển</t>
  </si>
  <si>
    <t>Quỹ hỗ trợ sắp xếp doanh nghiệp</t>
  </si>
  <si>
    <t>Quỹ khác thuộc vốn CSH</t>
  </si>
  <si>
    <t>Lợi nhuận 
sau thuế 
chưa phân phối</t>
  </si>
  <si>
    <t>Nguồn vốn đầu tư XDCB</t>
  </si>
  <si>
    <t>Contributed capital</t>
  </si>
  <si>
    <t>Share premium</t>
  </si>
  <si>
    <t>Conversion options on convertible bonds</t>
  </si>
  <si>
    <t>Other capital</t>
  </si>
  <si>
    <t>Treasury stocks</t>
  </si>
  <si>
    <t>Asset revaluation differences</t>
  </si>
  <si>
    <t>Foreign exchange differences</t>
  </si>
  <si>
    <t>Enterprise reorganization assistance fund</t>
  </si>
  <si>
    <t>Other entity fund</t>
  </si>
  <si>
    <t>Undistribuited profit after tax</t>
  </si>
  <si>
    <t>Capital expenditure fund</t>
  </si>
  <si>
    <t>Increase in capital</t>
  </si>
  <si>
    <t>Lãi trong năm trước</t>
  </si>
  <si>
    <t>Profit/(loss) of the previous year</t>
  </si>
  <si>
    <t xml:space="preserve">Decrease in capital </t>
  </si>
  <si>
    <t>Lãi trong năm nay</t>
  </si>
  <si>
    <t>Profit/(loss) of the current year</t>
  </si>
  <si>
    <t>Số dư cuối năm nay</t>
  </si>
  <si>
    <t>Ending balance of current year</t>
  </si>
  <si>
    <t>b) Chi tiết vốn góp của chủ sở hữu</t>
  </si>
  <si>
    <t>31/12/2017</t>
  </si>
  <si>
    <t>01/01/2017</t>
  </si>
  <si>
    <t>[Các số giảm được ghi là số âm và trình bày trong ngoặc đơn, các số tăng khác và giảm khác cần được giải thích rõ nội dung và nguyên nhân tăng giảm]</t>
  </si>
  <si>
    <t>Check SD chi tiết đầu năm</t>
  </si>
  <si>
    <t>Check SD chi tiết cuối năm</t>
  </si>
  <si>
    <t>Lưu ý: [Các số giảm được ghi là số âm và trình bày trong ngoặc đơn, các số tăng khác và giảm khác cần được giải thích rõ nội dung và nguyên nhân tăng giảm]</t>
  </si>
  <si>
    <t>Bắc Ninh, ngày …. Tháng 01 năm 2018</t>
  </si>
  <si>
    <t>Phường Đình Bảng - thị xã Từ Sơn - tỉnh Bắc Ninh</t>
  </si>
  <si>
    <t>Phường Cẩm Thượng - TP. Hải Dương - T. Hải Dương</t>
  </si>
  <si>
    <t>Thu nhập của Ban Giám đốc, HĐQT</t>
  </si>
  <si>
    <t>Bắc Ninh, ngày 19 tháng 01 năm 2018</t>
  </si>
  <si>
    <t>Lập ngày 19  Tháng 01 năm 2018</t>
  </si>
  <si>
    <t>Bắc Ninh, ngày  19 tháng 01 năm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</si>
</sst>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3" formatCode="_(* #,##0.00_);_(* \(#,##0.00\);_(* &quot;-&quot;??_);_(@_)"/>
    <numFmt numFmtId="164" formatCode="[$-1010000]d/m/yyyy;@"/>
    <numFmt numFmtId="165" formatCode="###,###;\(###,###\);&quot;-&quot;"/>
    <numFmt numFmtId="166" formatCode="_(* #,##0_);_(* \(#,##0\);_(* &quot;-&quot;??_);_(@_)"/>
    <numFmt numFmtId="167" formatCode="###,###,###,###,###"/>
    <numFmt numFmtId="168" formatCode="###,###;\(###,###\)"/>
    <numFmt numFmtId="169" formatCode="_(* #,##0.0_);_(* \(#,##0.0\);_(* &quot;-&quot;??_);_(@_)"/>
    <numFmt numFmtId="170" formatCode="###,###.00;\(###,###.00\);&quot;-&quot;"/>
  </numFmts>
  <fonts count="79" x14ac:knownFonts="1">
    <font>
      <sz val="11"/>
      <color theme="1"/>
      <name val="Calibri"/>
      <family val="2"/>
      <scheme val="minor"/>
    </font>
    <font>
      <sz val="10"/>
      <name val="Arial"/>
      <family val="2"/>
    </font>
    <font>
      <sz val="10"/>
      <name val="Times New Roman"/>
      <family val="1"/>
    </font>
    <font>
      <u/>
      <sz val="11"/>
      <color indexed="12"/>
      <name val="Times New Roman"/>
      <family val="1"/>
    </font>
    <font>
      <sz val="11"/>
      <name val="Times New Roman"/>
      <family val="1"/>
    </font>
    <font>
      <b/>
      <sz val="10"/>
      <name val="Times New Roman"/>
      <family val="1"/>
    </font>
    <font>
      <b/>
      <sz val="11"/>
      <name val="Times New Roman"/>
      <family val="1"/>
    </font>
    <font>
      <sz val="10"/>
      <color rgb="FF0000FF"/>
      <name val="Times New Roman"/>
      <family val="1"/>
    </font>
    <font>
      <b/>
      <sz val="14"/>
      <name val="Times New Roman"/>
      <family val="1"/>
    </font>
    <font>
      <b/>
      <i/>
      <sz val="10"/>
      <color rgb="FF0000FF"/>
      <name val="Times New Roman"/>
      <family val="1"/>
    </font>
    <font>
      <b/>
      <i/>
      <sz val="10"/>
      <name val="Times New Roman"/>
      <family val="1"/>
    </font>
    <font>
      <b/>
      <sz val="11"/>
      <color rgb="FFFF0000"/>
      <name val="Times New Roman"/>
      <family val="1"/>
    </font>
    <font>
      <i/>
      <sz val="10"/>
      <name val="Times New Roman"/>
      <family val="1"/>
    </font>
    <font>
      <b/>
      <sz val="10"/>
      <color rgb="FF0000FF"/>
      <name val="Times New Roman"/>
      <family val="1"/>
    </font>
    <font>
      <i/>
      <sz val="10"/>
      <color rgb="FF0000FF"/>
      <name val="Times New Roman"/>
      <family val="1"/>
    </font>
    <font>
      <sz val="12"/>
      <name val=".VnTime"/>
      <family val="2"/>
    </font>
    <font>
      <b/>
      <sz val="10"/>
      <color rgb="FFFF0000"/>
      <name val="Times New Roman"/>
      <family val="1"/>
    </font>
    <font>
      <b/>
      <sz val="9"/>
      <color indexed="81"/>
      <name val="Tahoma"/>
      <family val="2"/>
    </font>
    <font>
      <sz val="9"/>
      <color indexed="81"/>
      <name val="Tahoma"/>
      <family val="2"/>
    </font>
    <font>
      <sz val="10"/>
      <color indexed="10"/>
      <name val="Times New Roman"/>
      <family val="1"/>
    </font>
    <font>
      <sz val="10"/>
      <color rgb="FFFF0000"/>
      <name val="Times New Roman"/>
      <family val="1"/>
    </font>
    <font>
      <sz val="10"/>
      <color indexed="8"/>
      <name val="Arial"/>
      <family val="2"/>
    </font>
    <font>
      <sz val="10"/>
      <color indexed="8"/>
      <name val="Times New Roman"/>
      <family val="1"/>
    </font>
    <font>
      <sz val="12"/>
      <color indexed="8"/>
      <name val="Times New Roman"/>
      <family val="1"/>
    </font>
    <font>
      <b/>
      <i/>
      <sz val="12"/>
      <color indexed="8"/>
      <name val="Times New Roman"/>
      <family val="1"/>
    </font>
    <font>
      <b/>
      <sz val="12"/>
      <color indexed="8"/>
      <name val="Times New Roman"/>
      <family val="1"/>
    </font>
    <font>
      <i/>
      <sz val="10"/>
      <color indexed="8"/>
      <name val="ARIAL"/>
      <family val="2"/>
    </font>
    <font>
      <i/>
      <sz val="12"/>
      <color indexed="8"/>
      <name val="Times New Roman"/>
      <family val="1"/>
    </font>
    <font>
      <b/>
      <sz val="10"/>
      <color indexed="8"/>
      <name val="Times New Roman"/>
      <family val="1"/>
    </font>
    <font>
      <sz val="10"/>
      <color indexed="8"/>
      <name val="Calibri"/>
      <family val="2"/>
    </font>
    <font>
      <b/>
      <i/>
      <sz val="10"/>
      <color indexed="8"/>
      <name val="Arial"/>
      <family val="2"/>
    </font>
    <font>
      <b/>
      <sz val="12"/>
      <color indexed="8"/>
      <name val="Arial"/>
      <family val="2"/>
    </font>
    <font>
      <b/>
      <sz val="10"/>
      <color indexed="8"/>
      <name val="ARIAL"/>
      <family val="2"/>
    </font>
    <font>
      <u/>
      <sz val="10"/>
      <color indexed="12"/>
      <name val="Times New Roman"/>
      <family val="1"/>
    </font>
    <font>
      <sz val="14"/>
      <name val="Times New Roman"/>
      <family val="1"/>
    </font>
    <font>
      <i/>
      <sz val="10"/>
      <color rgb="FF00B050"/>
      <name val="Times New Roman"/>
      <family val="1"/>
    </font>
    <font>
      <sz val="10"/>
      <color rgb="FF00B050"/>
      <name val="Times New Roman"/>
      <family val="1"/>
    </font>
    <font>
      <sz val="10"/>
      <name val="Times New Roman"/>
      <family val="1"/>
      <charset val="163"/>
    </font>
    <font>
      <i/>
      <u/>
      <sz val="10"/>
      <color rgb="FF00B050"/>
      <name val="Times New Roman"/>
      <family val="1"/>
    </font>
    <font>
      <vertAlign val="superscript"/>
      <sz val="10"/>
      <name val="Times New Roman"/>
      <family val="1"/>
    </font>
    <font>
      <b/>
      <sz val="10"/>
      <color theme="0"/>
      <name val="Times New Roman"/>
      <family val="1"/>
    </font>
    <font>
      <b/>
      <sz val="10"/>
      <color indexed="9"/>
      <name val="Times New Roman"/>
      <family val="1"/>
    </font>
    <font>
      <sz val="10"/>
      <name val=".VnArial"/>
      <family val="2"/>
    </font>
    <font>
      <b/>
      <i/>
      <sz val="10"/>
      <color rgb="FF00B050"/>
      <name val="Times New Roman"/>
      <family val="1"/>
    </font>
    <font>
      <i/>
      <sz val="10"/>
      <name val="Times New Roman"/>
      <family val="1"/>
      <charset val="163"/>
    </font>
    <font>
      <b/>
      <sz val="10"/>
      <color indexed="10"/>
      <name val="Times New Roman"/>
      <family val="1"/>
    </font>
    <font>
      <b/>
      <i/>
      <sz val="10"/>
      <color rgb="FFFF0000"/>
      <name val="Times New Roman"/>
      <family val="1"/>
    </font>
    <font>
      <b/>
      <sz val="10"/>
      <color theme="1"/>
      <name val="Times New Roman"/>
      <family val="1"/>
    </font>
    <font>
      <sz val="10"/>
      <color theme="1"/>
      <name val="Times New Roman"/>
      <family val="1"/>
    </font>
    <font>
      <i/>
      <u/>
      <sz val="10"/>
      <color rgb="FF008000"/>
      <name val="Times New Roman"/>
      <family val="1"/>
    </font>
    <font>
      <b/>
      <sz val="10"/>
      <name val="Times New Roman"/>
      <family val="1"/>
      <charset val="163"/>
    </font>
    <font>
      <i/>
      <sz val="10"/>
      <color rgb="FF00B050"/>
      <name val="Times New Roman"/>
      <family val="1"/>
      <charset val="163"/>
    </font>
    <font>
      <sz val="10"/>
      <color indexed="9"/>
      <name val="Times New Roman"/>
      <family val="1"/>
    </font>
    <font>
      <i/>
      <sz val="10"/>
      <color theme="3" tint="0.39997558519241921"/>
      <name val="Times New Roman"/>
      <family val="1"/>
    </font>
    <font>
      <b/>
      <sz val="10"/>
      <color rgb="FF00FF00"/>
      <name val="Times New Roman"/>
      <family val="1"/>
    </font>
    <font>
      <i/>
      <sz val="10"/>
      <color rgb="FF00FF00"/>
      <name val="Times New Roman"/>
      <family val="1"/>
    </font>
    <font>
      <sz val="10"/>
      <color rgb="FF0000CC"/>
      <name val="Times New Roman"/>
      <family val="1"/>
    </font>
    <font>
      <i/>
      <u/>
      <sz val="10"/>
      <color rgb="FF008000"/>
      <name val="Times New Roman"/>
      <family val="1"/>
      <charset val="163"/>
    </font>
    <font>
      <i/>
      <sz val="10"/>
      <color rgb="FFFF0000"/>
      <name val="Times New Roman"/>
      <family val="1"/>
    </font>
    <font>
      <i/>
      <sz val="10"/>
      <color rgb="FF00B0F0"/>
      <name val="Times New Roman"/>
      <family val="1"/>
    </font>
    <font>
      <b/>
      <sz val="10"/>
      <color rgb="FF00B050"/>
      <name val="Times New Roman"/>
      <family val="1"/>
    </font>
    <font>
      <b/>
      <sz val="8"/>
      <color indexed="81"/>
      <name val="Tahoma"/>
      <family val="2"/>
    </font>
    <font>
      <sz val="8"/>
      <color indexed="81"/>
      <name val="Tahoma"/>
      <family val="2"/>
    </font>
    <font>
      <sz val="11"/>
      <color rgb="FF0000FF"/>
      <name val="Times New Roman"/>
      <family val="1"/>
    </font>
    <font>
      <sz val="11"/>
      <color theme="1"/>
      <name val="Times New Roman"/>
      <family val="1"/>
    </font>
    <font>
      <b/>
      <sz val="11"/>
      <name val="Times New Roman"/>
      <family val="1"/>
      <charset val="163"/>
    </font>
    <font>
      <sz val="11"/>
      <name val="Times New Roman"/>
      <family val="1"/>
      <charset val="163"/>
    </font>
    <font>
      <sz val="10"/>
      <color theme="0"/>
      <name val="Times New Roman"/>
      <family val="1"/>
    </font>
    <font>
      <b/>
      <sz val="11"/>
      <color rgb="FF00B050"/>
      <name val="Times New Roman"/>
      <family val="1"/>
    </font>
    <font>
      <i/>
      <sz val="11"/>
      <name val="Times New Roman"/>
      <family val="1"/>
      <charset val="163"/>
    </font>
    <font>
      <b/>
      <i/>
      <sz val="11"/>
      <name val="Times New Roman"/>
      <family val="1"/>
    </font>
    <font>
      <b/>
      <i/>
      <sz val="10"/>
      <color rgb="FF00B050"/>
      <name val="Times New Roman"/>
      <family val="1"/>
      <charset val="163"/>
    </font>
    <font>
      <b/>
      <sz val="10"/>
      <color rgb="FF00B050"/>
      <name val="Times New Roman"/>
      <family val="1"/>
      <charset val="163"/>
    </font>
    <font>
      <sz val="10"/>
      <color indexed="8"/>
      <name val="Times New Roman"/>
      <family val="1"/>
      <charset val="163"/>
    </font>
    <font>
      <b/>
      <sz val="10"/>
      <color theme="0"/>
      <name val="Times New Roman"/>
      <family val="1"/>
      <charset val="163"/>
    </font>
    <font>
      <b/>
      <sz val="10"/>
      <color indexed="8"/>
      <name val="Times New Roman"/>
      <family val="1"/>
      <charset val="163"/>
    </font>
    <font>
      <i/>
      <sz val="10"/>
      <color indexed="8"/>
      <name val="Times New Roman"/>
      <family val="1"/>
    </font>
    <font>
      <sz val="11"/>
      <color theme="1"/>
      <name val="Times New Roman"/>
      <family val="2"/>
    </font>
    <font>
      <b/>
      <i/>
      <sz val="10"/>
      <color indexed="8"/>
      <name val="Times New Roman"/>
      <family val="1"/>
    </font>
  </fonts>
  <fills count="13">
    <fill>
      <patternFill patternType="none"/>
    </fill>
    <fill>
      <patternFill patternType="gray125"/>
    </fill>
    <fill>
      <patternFill patternType="solid">
        <fgColor rgb="FFFFFF00"/>
        <bgColor indexed="64"/>
      </patternFill>
    </fill>
    <fill>
      <patternFill patternType="solid">
        <fgColor rgb="FFCCFFFF"/>
        <bgColor indexed="64"/>
      </patternFill>
    </fill>
    <fill>
      <patternFill patternType="solid">
        <fgColor indexed="40"/>
        <bgColor indexed="64"/>
      </patternFill>
    </fill>
    <fill>
      <patternFill patternType="solid">
        <fgColor indexed="13"/>
        <bgColor indexed="64"/>
      </patternFill>
    </fill>
    <fill>
      <patternFill patternType="solid">
        <fgColor theme="6" tint="0.79998168889431442"/>
        <bgColor indexed="64"/>
      </patternFill>
    </fill>
    <fill>
      <patternFill patternType="solid">
        <fgColor indexed="12"/>
        <bgColor indexed="64"/>
      </patternFill>
    </fill>
    <fill>
      <patternFill patternType="solid">
        <fgColor indexed="9"/>
        <bgColor indexed="64"/>
      </patternFill>
    </fill>
    <fill>
      <patternFill patternType="solid">
        <fgColor indexed="42"/>
        <bgColor indexed="64"/>
      </patternFill>
    </fill>
    <fill>
      <patternFill patternType="solid">
        <fgColor rgb="FFFF0000"/>
        <bgColor indexed="64"/>
      </patternFill>
    </fill>
    <fill>
      <patternFill patternType="solid">
        <fgColor rgb="FF0000FF"/>
        <bgColor indexed="64"/>
      </patternFill>
    </fill>
    <fill>
      <patternFill patternType="solid">
        <fgColor rgb="FFFF6600"/>
        <bgColor indexed="64"/>
      </patternFill>
    </fill>
  </fills>
  <borders count="1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5">
    <xf numFmtId="0" fontId="0" fillId="0" borderId="0"/>
    <xf numFmtId="164" fontId="1" fillId="0" borderId="0"/>
    <xf numFmtId="164" fontId="3" fillId="0" borderId="0" applyNumberFormat="0" applyFill="0" applyBorder="0" applyAlignment="0" applyProtection="0">
      <alignment vertical="top"/>
      <protection locked="0"/>
    </xf>
    <xf numFmtId="164" fontId="15" fillId="0" borderId="0"/>
    <xf numFmtId="43" fontId="4" fillId="0" borderId="0" applyFont="0" applyFill="0" applyBorder="0" applyAlignment="0" applyProtection="0"/>
    <xf numFmtId="164" fontId="4" fillId="0" borderId="0"/>
    <xf numFmtId="0" fontId="21" fillId="0" borderId="0">
      <alignment vertical="top"/>
    </xf>
    <xf numFmtId="0" fontId="21" fillId="0" borderId="0">
      <alignment vertical="top"/>
    </xf>
    <xf numFmtId="0" fontId="1" fillId="0" borderId="0"/>
    <xf numFmtId="164" fontId="42" fillId="0" borderId="0"/>
    <xf numFmtId="164" fontId="15" fillId="0" borderId="0"/>
    <xf numFmtId="9" fontId="4" fillId="0" borderId="0" applyFont="0" applyFill="0" applyBorder="0" applyAlignment="0" applyProtection="0"/>
    <xf numFmtId="9" fontId="4" fillId="0" borderId="0" applyFont="0" applyFill="0" applyBorder="0" applyAlignment="0" applyProtection="0"/>
    <xf numFmtId="164" fontId="4" fillId="0" borderId="0"/>
    <xf numFmtId="164" fontId="77" fillId="0" borderId="0"/>
  </cellStyleXfs>
  <cellXfs count="1695">
    <xf numFmtId="0" fontId="0" fillId="0" borderId="0" xfId="0"/>
    <xf numFmtId="164" fontId="2" fillId="0" borderId="0" xfId="1" applyFont="1" applyFill="1" applyBorder="1" applyAlignment="1" applyProtection="1">
      <alignment vertical="top"/>
      <protection hidden="1"/>
    </xf>
    <xf numFmtId="164" fontId="3" fillId="0" borderId="0" xfId="2" applyFont="1" applyFill="1" applyBorder="1" applyAlignment="1" applyProtection="1">
      <alignment vertical="top"/>
      <protection hidden="1"/>
    </xf>
    <xf numFmtId="38" fontId="2" fillId="0" borderId="0" xfId="1" applyNumberFormat="1" applyFont="1" applyFill="1" applyBorder="1" applyAlignment="1" applyProtection="1">
      <alignment vertical="top"/>
      <protection hidden="1"/>
    </xf>
    <xf numFmtId="38" fontId="2" fillId="0" borderId="0" xfId="1" applyNumberFormat="1" applyFont="1" applyFill="1" applyBorder="1" applyAlignment="1" applyProtection="1">
      <alignment horizontal="right" vertical="top"/>
      <protection hidden="1"/>
    </xf>
    <xf numFmtId="3" fontId="2" fillId="0" borderId="0" xfId="1" applyNumberFormat="1" applyFont="1" applyFill="1" applyBorder="1" applyAlignment="1" applyProtection="1">
      <alignment vertical="top"/>
      <protection hidden="1"/>
    </xf>
    <xf numFmtId="38" fontId="4" fillId="0" borderId="0" xfId="1" applyNumberFormat="1" applyFont="1" applyFill="1" applyBorder="1" applyAlignment="1" applyProtection="1">
      <alignment horizontal="right" vertical="top"/>
      <protection hidden="1"/>
    </xf>
    <xf numFmtId="3" fontId="2" fillId="0" borderId="0" xfId="1" applyNumberFormat="1" applyFont="1" applyFill="1" applyBorder="1" applyAlignment="1" applyProtection="1">
      <alignment horizontal="centerContinuous" vertical="top"/>
      <protection hidden="1"/>
    </xf>
    <xf numFmtId="164" fontId="4" fillId="0" borderId="0" xfId="1" applyFont="1" applyBorder="1" applyAlignment="1" applyProtection="1">
      <alignment vertical="top"/>
      <protection hidden="1"/>
    </xf>
    <xf numFmtId="164" fontId="5" fillId="0" borderId="0" xfId="1" applyFont="1" applyFill="1" applyBorder="1" applyAlignment="1" applyProtection="1">
      <alignment vertical="top"/>
      <protection hidden="1"/>
    </xf>
    <xf numFmtId="164" fontId="3" fillId="0" borderId="0" xfId="2" applyFill="1" applyBorder="1" applyAlignment="1" applyProtection="1">
      <alignment vertical="top"/>
      <protection hidden="1"/>
    </xf>
    <xf numFmtId="38" fontId="5" fillId="0" borderId="0" xfId="1" applyNumberFormat="1" applyFont="1" applyFill="1" applyBorder="1" applyAlignment="1" applyProtection="1">
      <alignment horizontal="right" vertical="top"/>
      <protection hidden="1"/>
    </xf>
    <xf numFmtId="3" fontId="5" fillId="0" borderId="0" xfId="1" applyNumberFormat="1" applyFont="1" applyFill="1" applyBorder="1" applyAlignment="1" applyProtection="1">
      <alignment vertical="top"/>
      <protection hidden="1"/>
    </xf>
    <xf numFmtId="38" fontId="6" fillId="0" borderId="0" xfId="1" applyNumberFormat="1" applyFont="1" applyFill="1" applyBorder="1" applyAlignment="1" applyProtection="1">
      <alignment horizontal="right" vertical="top"/>
      <protection hidden="1"/>
    </xf>
    <xf numFmtId="3" fontId="4" fillId="0" borderId="0" xfId="1" applyNumberFormat="1" applyFont="1" applyBorder="1" applyAlignment="1" applyProtection="1">
      <alignment vertical="top"/>
      <protection hidden="1"/>
    </xf>
    <xf numFmtId="38" fontId="7" fillId="0" borderId="0" xfId="1" applyNumberFormat="1" applyFont="1" applyFill="1" applyBorder="1" applyAlignment="1" applyProtection="1">
      <alignment horizontal="right" vertical="top"/>
      <protection hidden="1"/>
    </xf>
    <xf numFmtId="3" fontId="5" fillId="0" borderId="0" xfId="1" applyNumberFormat="1" applyFont="1" applyFill="1" applyBorder="1" applyAlignment="1" applyProtection="1">
      <alignment horizontal="centerContinuous" vertical="top"/>
      <protection hidden="1"/>
    </xf>
    <xf numFmtId="164" fontId="2" fillId="0" borderId="1" xfId="1" applyFont="1" applyFill="1" applyBorder="1" applyAlignment="1" applyProtection="1">
      <alignment vertical="top"/>
      <protection hidden="1"/>
    </xf>
    <xf numFmtId="164" fontId="5" fillId="0" borderId="1" xfId="1" applyFont="1" applyFill="1" applyBorder="1" applyAlignment="1" applyProtection="1">
      <alignment vertical="top"/>
      <protection hidden="1"/>
    </xf>
    <xf numFmtId="38" fontId="2" fillId="0" borderId="1" xfId="1" applyNumberFormat="1" applyFont="1" applyFill="1" applyBorder="1" applyAlignment="1" applyProtection="1">
      <alignment vertical="top"/>
      <protection hidden="1"/>
    </xf>
    <xf numFmtId="164" fontId="2" fillId="0" borderId="1" xfId="1" applyFont="1" applyBorder="1" applyAlignment="1" applyProtection="1">
      <alignment vertical="top"/>
      <protection hidden="1"/>
    </xf>
    <xf numFmtId="164" fontId="4" fillId="0" borderId="0" xfId="1" applyFont="1" applyFill="1" applyBorder="1" applyAlignment="1" applyProtection="1">
      <alignment vertical="top"/>
      <protection hidden="1"/>
    </xf>
    <xf numFmtId="164" fontId="6" fillId="0" borderId="0" xfId="1" applyFont="1" applyFill="1" applyBorder="1" applyAlignment="1" applyProtection="1">
      <alignment vertical="top"/>
      <protection hidden="1"/>
    </xf>
    <xf numFmtId="3" fontId="8" fillId="0" borderId="0" xfId="1" applyNumberFormat="1" applyFont="1" applyFill="1" applyBorder="1" applyAlignment="1" applyProtection="1">
      <alignment horizontal="center" vertical="top"/>
      <protection hidden="1"/>
    </xf>
    <xf numFmtId="164" fontId="4" fillId="0" borderId="0" xfId="1" applyFont="1" applyFill="1" applyBorder="1" applyAlignment="1" applyProtection="1">
      <alignment horizontal="centerContinuous" vertical="top"/>
      <protection hidden="1"/>
    </xf>
    <xf numFmtId="164" fontId="10" fillId="0" borderId="0" xfId="1" applyFont="1" applyFill="1" applyBorder="1" applyAlignment="1" applyProtection="1">
      <alignment horizontal="center" vertical="top"/>
      <protection hidden="1"/>
    </xf>
    <xf numFmtId="164" fontId="2" fillId="0" borderId="0" xfId="1" applyFont="1" applyFill="1" applyBorder="1" applyAlignment="1" applyProtection="1">
      <alignment horizontal="centerContinuous" vertical="top"/>
      <protection hidden="1"/>
    </xf>
    <xf numFmtId="164" fontId="2" fillId="0" borderId="0" xfId="1" applyFont="1" applyBorder="1" applyAlignment="1" applyProtection="1">
      <alignment vertical="top"/>
      <protection hidden="1"/>
    </xf>
    <xf numFmtId="3" fontId="2" fillId="0" borderId="0" xfId="1" applyNumberFormat="1" applyFont="1" applyBorder="1" applyAlignment="1" applyProtection="1">
      <alignment vertical="top"/>
      <protection hidden="1"/>
    </xf>
    <xf numFmtId="164" fontId="2" fillId="2" borderId="0" xfId="1" applyFont="1" applyFill="1" applyBorder="1" applyAlignment="1" applyProtection="1">
      <alignment vertical="top"/>
      <protection hidden="1"/>
    </xf>
    <xf numFmtId="38" fontId="2" fillId="2" borderId="0" xfId="1" applyNumberFormat="1" applyFont="1" applyFill="1" applyBorder="1" applyAlignment="1" applyProtection="1">
      <alignment vertical="top"/>
      <protection hidden="1"/>
    </xf>
    <xf numFmtId="164" fontId="12" fillId="2" borderId="0" xfId="1" applyFont="1" applyFill="1" applyBorder="1" applyAlignment="1" applyProtection="1">
      <alignment vertical="top"/>
      <protection hidden="1"/>
    </xf>
    <xf numFmtId="164" fontId="12" fillId="2" borderId="0" xfId="1" applyFont="1" applyFill="1" applyBorder="1" applyAlignment="1" applyProtection="1">
      <alignment horizontal="right" vertical="top"/>
      <protection hidden="1"/>
    </xf>
    <xf numFmtId="164" fontId="12" fillId="0" borderId="0" xfId="1" applyFont="1" applyFill="1" applyBorder="1" applyAlignment="1" applyProtection="1">
      <alignment vertical="top"/>
      <protection hidden="1"/>
    </xf>
    <xf numFmtId="164" fontId="12" fillId="0" borderId="0" xfId="1" applyFont="1" applyBorder="1" applyAlignment="1" applyProtection="1">
      <alignment horizontal="right" vertical="top"/>
      <protection hidden="1"/>
    </xf>
    <xf numFmtId="164" fontId="12" fillId="0" borderId="0" xfId="1" applyFont="1" applyFill="1" applyBorder="1" applyAlignment="1" applyProtection="1">
      <alignment horizontal="right" vertical="top"/>
      <protection hidden="1"/>
    </xf>
    <xf numFmtId="164" fontId="2" fillId="0" borderId="0" xfId="1" applyFont="1" applyFill="1" applyBorder="1" applyAlignment="1" applyProtection="1">
      <alignment vertical="center"/>
      <protection hidden="1"/>
    </xf>
    <xf numFmtId="0" fontId="2" fillId="0" borderId="0" xfId="1" applyNumberFormat="1" applyFont="1" applyFill="1" applyBorder="1" applyAlignment="1" applyProtection="1">
      <alignment horizontal="right" vertical="top"/>
      <protection hidden="1"/>
    </xf>
    <xf numFmtId="38" fontId="5" fillId="0" borderId="0" xfId="1" applyNumberFormat="1" applyFont="1" applyFill="1" applyBorder="1" applyAlignment="1" applyProtection="1">
      <alignment horizontal="center" vertical="center" wrapText="1"/>
      <protection hidden="1"/>
    </xf>
    <xf numFmtId="38" fontId="5" fillId="0" borderId="0" xfId="1" applyNumberFormat="1" applyFont="1" applyFill="1" applyBorder="1" applyAlignment="1" applyProtection="1">
      <alignment horizontal="center" vertical="top"/>
      <protection hidden="1"/>
    </xf>
    <xf numFmtId="3" fontId="5" fillId="0" borderId="1" xfId="1" applyNumberFormat="1" applyFont="1" applyFill="1" applyBorder="1" applyAlignment="1" applyProtection="1">
      <alignment horizontal="right"/>
      <protection hidden="1"/>
    </xf>
    <xf numFmtId="164" fontId="5" fillId="0" borderId="1" xfId="1" applyFont="1" applyBorder="1" applyAlignment="1" applyProtection="1">
      <alignment horizontal="center" vertical="center"/>
      <protection hidden="1"/>
    </xf>
    <xf numFmtId="0" fontId="2" fillId="0" borderId="0" xfId="1" applyNumberFormat="1" applyFont="1" applyFill="1" applyBorder="1" applyAlignment="1" applyProtection="1">
      <alignment horizontal="right" vertical="center"/>
      <protection hidden="1"/>
    </xf>
    <xf numFmtId="0" fontId="5" fillId="0" borderId="0" xfId="1" applyNumberFormat="1" applyFont="1" applyFill="1" applyBorder="1" applyAlignment="1" applyProtection="1">
      <alignment horizontal="right" vertical="top"/>
      <protection hidden="1"/>
    </xf>
    <xf numFmtId="41" fontId="2" fillId="0" borderId="0" xfId="1" applyNumberFormat="1" applyFont="1" applyFill="1" applyBorder="1" applyAlignment="1" applyProtection="1">
      <alignment vertical="top"/>
      <protection hidden="1"/>
    </xf>
    <xf numFmtId="40" fontId="2" fillId="5" borderId="0" xfId="1" applyNumberFormat="1" applyFont="1" applyFill="1" applyBorder="1" applyAlignment="1" applyProtection="1">
      <alignment vertical="top"/>
      <protection hidden="1"/>
    </xf>
    <xf numFmtId="49" fontId="2" fillId="0" borderId="0" xfId="1" applyNumberFormat="1" applyFont="1" applyFill="1" applyBorder="1" applyAlignment="1" applyProtection="1">
      <alignment vertical="top"/>
      <protection hidden="1"/>
    </xf>
    <xf numFmtId="164" fontId="2" fillId="0" borderId="0" xfId="1" applyFont="1" applyFill="1" applyBorder="1" applyAlignment="1" applyProtection="1">
      <alignment vertical="top"/>
      <protection locked="0"/>
    </xf>
    <xf numFmtId="37" fontId="2" fillId="0" borderId="0" xfId="1" applyNumberFormat="1" applyFont="1" applyFill="1" applyBorder="1" applyAlignment="1" applyProtection="1">
      <alignment horizontal="right" vertical="top"/>
      <protection hidden="1"/>
    </xf>
    <xf numFmtId="37" fontId="2" fillId="0" borderId="0" xfId="1" applyNumberFormat="1" applyFont="1" applyFill="1" applyBorder="1" applyAlignment="1" applyProtection="1">
      <alignment vertical="top"/>
      <protection hidden="1"/>
    </xf>
    <xf numFmtId="49" fontId="5" fillId="0" borderId="0" xfId="1" applyNumberFormat="1" applyFont="1" applyFill="1" applyBorder="1" applyAlignment="1" applyProtection="1">
      <alignment horizontal="center" vertical="top"/>
      <protection hidden="1"/>
    </xf>
    <xf numFmtId="165" fontId="2" fillId="0" borderId="0" xfId="1" applyNumberFormat="1" applyFont="1" applyFill="1" applyBorder="1" applyAlignment="1" applyProtection="1">
      <alignment horizontal="right" vertical="top"/>
      <protection hidden="1"/>
    </xf>
    <xf numFmtId="49" fontId="2" fillId="0" borderId="0" xfId="1" applyNumberFormat="1" applyFont="1" applyFill="1" applyBorder="1" applyAlignment="1" applyProtection="1">
      <alignment horizontal="center" vertical="top"/>
      <protection hidden="1"/>
    </xf>
    <xf numFmtId="164" fontId="2" fillId="0" borderId="0" xfId="1" applyFont="1" applyFill="1" applyBorder="1" applyAlignment="1" applyProtection="1">
      <alignment horizontal="left" vertical="top"/>
      <protection hidden="1"/>
    </xf>
    <xf numFmtId="165" fontId="2" fillId="0" borderId="0" xfId="1" applyNumberFormat="1" applyFont="1" applyFill="1" applyBorder="1" applyAlignment="1" applyProtection="1">
      <alignment horizontal="right" vertical="top"/>
      <protection hidden="1"/>
    </xf>
    <xf numFmtId="3" fontId="5" fillId="0" borderId="0" xfId="1" applyNumberFormat="1" applyFont="1" applyFill="1" applyBorder="1" applyAlignment="1" applyProtection="1">
      <alignment horizontal="left" vertical="top"/>
      <protection hidden="1"/>
    </xf>
    <xf numFmtId="3" fontId="2" fillId="0" borderId="0" xfId="1" applyNumberFormat="1" applyFont="1" applyFill="1" applyBorder="1" applyAlignment="1" applyProtection="1">
      <alignment horizontal="left" vertical="top"/>
      <protection hidden="1"/>
    </xf>
    <xf numFmtId="0" fontId="7" fillId="0" borderId="0" xfId="1" applyNumberFormat="1" applyFont="1" applyFill="1" applyBorder="1" applyAlignment="1" applyProtection="1">
      <alignment vertical="top"/>
      <protection hidden="1"/>
    </xf>
    <xf numFmtId="0" fontId="7" fillId="0" borderId="0" xfId="1" applyNumberFormat="1" applyFont="1" applyFill="1" applyBorder="1" applyAlignment="1" applyProtection="1">
      <alignment horizontal="center" vertical="top"/>
      <protection hidden="1"/>
    </xf>
    <xf numFmtId="164" fontId="5" fillId="0" borderId="0" xfId="1" applyNumberFormat="1" applyFont="1" applyFill="1" applyBorder="1" applyAlignment="1" applyProtection="1">
      <alignment horizontal="left" vertical="top"/>
      <protection hidden="1"/>
    </xf>
    <xf numFmtId="164" fontId="2" fillId="0" borderId="0" xfId="1" applyNumberFormat="1" applyFont="1" applyFill="1" applyBorder="1" applyAlignment="1" applyProtection="1">
      <alignment horizontal="left" vertical="top"/>
      <protection hidden="1"/>
    </xf>
    <xf numFmtId="164" fontId="5" fillId="0" borderId="0" xfId="1" applyNumberFormat="1" applyFont="1" applyFill="1" applyBorder="1" applyAlignment="1" applyProtection="1">
      <alignment vertical="top"/>
      <protection hidden="1"/>
    </xf>
    <xf numFmtId="49" fontId="2" fillId="0" borderId="0" xfId="1" applyNumberFormat="1" applyFont="1" applyFill="1" applyBorder="1" applyAlignment="1" applyProtection="1">
      <alignment horizontal="center" vertical="top"/>
      <protection locked="0"/>
    </xf>
    <xf numFmtId="38" fontId="2" fillId="0" borderId="0" xfId="1" applyNumberFormat="1" applyFont="1" applyFill="1" applyBorder="1" applyAlignment="1" applyProtection="1">
      <alignment vertical="top"/>
      <protection locked="0"/>
    </xf>
    <xf numFmtId="165" fontId="2" fillId="0" borderId="0" xfId="1" applyNumberFormat="1" applyFont="1" applyFill="1" applyBorder="1" applyAlignment="1" applyProtection="1">
      <alignment horizontal="right" vertical="top"/>
      <protection locked="0"/>
    </xf>
    <xf numFmtId="49" fontId="12" fillId="0" borderId="0" xfId="1" applyNumberFormat="1" applyFont="1" applyFill="1" applyBorder="1" applyAlignment="1" applyProtection="1">
      <alignment horizontal="center" vertical="top"/>
      <protection hidden="1"/>
    </xf>
    <xf numFmtId="164" fontId="12" fillId="0" borderId="0" xfId="1" applyNumberFormat="1" applyFont="1" applyFill="1" applyBorder="1" applyAlignment="1" applyProtection="1">
      <alignment horizontal="left" vertical="top"/>
      <protection hidden="1"/>
    </xf>
    <xf numFmtId="165" fontId="12" fillId="0" borderId="0" xfId="1" applyNumberFormat="1" applyFont="1" applyFill="1" applyBorder="1" applyAlignment="1" applyProtection="1">
      <alignment horizontal="right" vertical="top"/>
      <protection hidden="1"/>
    </xf>
    <xf numFmtId="38" fontId="12" fillId="0" borderId="0" xfId="1" applyNumberFormat="1" applyFont="1" applyFill="1" applyBorder="1" applyAlignment="1" applyProtection="1">
      <alignment horizontal="right" vertical="top"/>
      <protection hidden="1"/>
    </xf>
    <xf numFmtId="164" fontId="2" fillId="0" borderId="0" xfId="1" applyNumberFormat="1" applyFont="1" applyFill="1" applyBorder="1" applyAlignment="1" applyProtection="1">
      <alignment horizontal="left" vertical="top"/>
      <protection locked="0"/>
    </xf>
    <xf numFmtId="165" fontId="2" fillId="0" borderId="0" xfId="1" applyNumberFormat="1" applyFont="1" applyFill="1" applyBorder="1" applyAlignment="1" applyProtection="1">
      <alignment horizontal="right" vertical="top"/>
      <protection locked="0"/>
    </xf>
    <xf numFmtId="49" fontId="5" fillId="0" borderId="0" xfId="1" applyNumberFormat="1" applyFont="1" applyFill="1" applyBorder="1" applyAlignment="1" applyProtection="1">
      <alignment horizontal="center" vertical="top"/>
      <protection locked="0"/>
    </xf>
    <xf numFmtId="164" fontId="5" fillId="0" borderId="0" xfId="1" applyNumberFormat="1" applyFont="1" applyFill="1" applyBorder="1" applyAlignment="1" applyProtection="1">
      <alignment horizontal="left" vertical="top"/>
      <protection locked="0"/>
    </xf>
    <xf numFmtId="164" fontId="5" fillId="0" borderId="0" xfId="1" applyFont="1" applyFill="1" applyBorder="1" applyAlignment="1" applyProtection="1">
      <alignment vertical="top"/>
      <protection locked="0"/>
    </xf>
    <xf numFmtId="38" fontId="5" fillId="0" borderId="0" xfId="1" applyNumberFormat="1" applyFont="1" applyFill="1" applyBorder="1" applyAlignment="1" applyProtection="1">
      <alignment vertical="top"/>
      <protection locked="0"/>
    </xf>
    <xf numFmtId="165" fontId="5" fillId="0" borderId="0" xfId="1" applyNumberFormat="1" applyFont="1" applyFill="1" applyBorder="1" applyAlignment="1" applyProtection="1">
      <alignment horizontal="right" vertical="top"/>
      <protection locked="0"/>
    </xf>
    <xf numFmtId="38" fontId="5" fillId="0" borderId="0" xfId="1" applyNumberFormat="1" applyFont="1" applyFill="1" applyBorder="1" applyAlignment="1" applyProtection="1">
      <alignment vertical="top"/>
      <protection hidden="1"/>
    </xf>
    <xf numFmtId="164" fontId="5" fillId="0" borderId="0" xfId="1" applyFont="1" applyBorder="1" applyAlignment="1" applyProtection="1">
      <alignment vertical="top"/>
      <protection hidden="1"/>
    </xf>
    <xf numFmtId="3" fontId="5" fillId="0" borderId="0" xfId="1" applyNumberFormat="1" applyFont="1" applyBorder="1" applyAlignment="1" applyProtection="1">
      <alignment vertical="top"/>
      <protection hidden="1"/>
    </xf>
    <xf numFmtId="40" fontId="2" fillId="0" borderId="0" xfId="1" applyNumberFormat="1" applyFont="1" applyFill="1" applyBorder="1" applyAlignment="1" applyProtection="1">
      <alignment vertical="top"/>
      <protection hidden="1"/>
    </xf>
    <xf numFmtId="0" fontId="7" fillId="0" borderId="0" xfId="1" applyNumberFormat="1" applyFont="1" applyFill="1" applyBorder="1" applyAlignment="1" applyProtection="1">
      <alignment vertical="top"/>
      <protection locked="0"/>
    </xf>
    <xf numFmtId="164" fontId="2" fillId="0" borderId="0" xfId="1" applyNumberFormat="1" applyFont="1" applyFill="1" applyBorder="1" applyAlignment="1" applyProtection="1">
      <alignment vertical="top"/>
      <protection hidden="1"/>
    </xf>
    <xf numFmtId="164" fontId="2" fillId="0" borderId="0" xfId="1" applyNumberFormat="1" applyFont="1" applyFill="1" applyBorder="1" applyAlignment="1" applyProtection="1">
      <alignment vertical="top"/>
      <protection locked="0"/>
    </xf>
    <xf numFmtId="0" fontId="7" fillId="0" borderId="0" xfId="1" applyNumberFormat="1" applyFont="1" applyFill="1" applyBorder="1" applyAlignment="1" applyProtection="1">
      <alignment vertical="top" wrapText="1"/>
      <protection locked="0"/>
    </xf>
    <xf numFmtId="49" fontId="4" fillId="0" borderId="0" xfId="1" applyNumberFormat="1" applyFont="1" applyBorder="1" applyAlignment="1" applyProtection="1">
      <alignment vertical="top"/>
      <protection hidden="1"/>
    </xf>
    <xf numFmtId="38" fontId="8" fillId="0" borderId="0" xfId="1" applyNumberFormat="1" applyFont="1" applyFill="1" applyBorder="1" applyAlignment="1" applyProtection="1">
      <alignment horizontal="center" vertical="center"/>
      <protection hidden="1"/>
    </xf>
    <xf numFmtId="164" fontId="4" fillId="0" borderId="0" xfId="1" applyFont="1" applyFill="1" applyBorder="1" applyAlignment="1" applyProtection="1">
      <alignment horizontal="centerContinuous" vertical="center"/>
      <protection hidden="1"/>
    </xf>
    <xf numFmtId="41" fontId="2" fillId="0" borderId="0" xfId="1" applyNumberFormat="1" applyFont="1" applyFill="1" applyBorder="1" applyAlignment="1" applyProtection="1">
      <alignment vertical="center"/>
      <protection hidden="1"/>
    </xf>
    <xf numFmtId="164" fontId="4" fillId="0" borderId="0" xfId="1" applyFont="1" applyBorder="1" applyAlignment="1" applyProtection="1">
      <alignment vertical="center"/>
      <protection hidden="1"/>
    </xf>
    <xf numFmtId="3" fontId="4" fillId="0" borderId="0" xfId="1" applyNumberFormat="1" applyFont="1" applyBorder="1" applyAlignment="1" applyProtection="1">
      <alignment vertical="center"/>
      <protection hidden="1"/>
    </xf>
    <xf numFmtId="49" fontId="2" fillId="0" borderId="0" xfId="1" applyNumberFormat="1" applyFont="1" applyBorder="1" applyAlignment="1" applyProtection="1">
      <alignment vertical="top"/>
      <protection hidden="1"/>
    </xf>
    <xf numFmtId="164" fontId="2" fillId="0" borderId="0" xfId="1" applyNumberFormat="1" applyFont="1" applyFill="1" applyBorder="1" applyAlignment="1" applyProtection="1">
      <alignment vertical="top" wrapText="1"/>
      <protection hidden="1"/>
    </xf>
    <xf numFmtId="0" fontId="7" fillId="0" borderId="0" xfId="1" applyNumberFormat="1" applyFont="1" applyFill="1" applyBorder="1" applyAlignment="1" applyProtection="1">
      <alignment vertical="top" wrapText="1"/>
      <protection hidden="1"/>
    </xf>
    <xf numFmtId="49" fontId="12" fillId="0" borderId="0" xfId="1" applyNumberFormat="1" applyFont="1" applyFill="1" applyBorder="1" applyAlignment="1" applyProtection="1">
      <alignment horizontal="center" vertical="top"/>
      <protection locked="0"/>
    </xf>
    <xf numFmtId="164" fontId="12" fillId="0" borderId="0" xfId="1" quotePrefix="1" applyNumberFormat="1" applyFont="1" applyFill="1" applyBorder="1" applyAlignment="1" applyProtection="1">
      <alignment horizontal="left" vertical="top"/>
      <protection locked="0"/>
    </xf>
    <xf numFmtId="164" fontId="12" fillId="0" borderId="0" xfId="1" applyFont="1" applyFill="1" applyBorder="1" applyAlignment="1" applyProtection="1">
      <alignment vertical="top"/>
      <protection locked="0"/>
    </xf>
    <xf numFmtId="38" fontId="12" fillId="0" borderId="0" xfId="1" applyNumberFormat="1" applyFont="1" applyFill="1" applyBorder="1" applyAlignment="1" applyProtection="1">
      <alignment vertical="top"/>
      <protection locked="0"/>
    </xf>
    <xf numFmtId="165" fontId="12" fillId="0" borderId="0" xfId="1" applyNumberFormat="1" applyFont="1" applyFill="1" applyBorder="1" applyAlignment="1" applyProtection="1">
      <alignment horizontal="right" vertical="top"/>
      <protection locked="0"/>
    </xf>
    <xf numFmtId="164" fontId="12" fillId="0" borderId="0" xfId="1" applyNumberFormat="1" applyFont="1" applyFill="1" applyBorder="1" applyAlignment="1" applyProtection="1">
      <alignment horizontal="left" vertical="top"/>
      <protection locked="0"/>
    </xf>
    <xf numFmtId="38" fontId="12" fillId="0" borderId="0" xfId="1" applyNumberFormat="1" applyFont="1" applyFill="1" applyBorder="1" applyAlignment="1" applyProtection="1">
      <alignment vertical="top"/>
      <protection hidden="1"/>
    </xf>
    <xf numFmtId="41" fontId="12" fillId="0" borderId="0" xfId="1" applyNumberFormat="1" applyFont="1" applyFill="1" applyBorder="1" applyAlignment="1" applyProtection="1">
      <alignment vertical="top"/>
      <protection hidden="1"/>
    </xf>
    <xf numFmtId="164" fontId="12" fillId="0" borderId="0" xfId="1" applyFont="1" applyBorder="1" applyAlignment="1" applyProtection="1">
      <alignment vertical="top"/>
      <protection hidden="1"/>
    </xf>
    <xf numFmtId="3" fontId="12" fillId="0" borderId="0" xfId="1" applyNumberFormat="1" applyFont="1" applyBorder="1" applyAlignment="1" applyProtection="1">
      <alignment vertical="top"/>
      <protection hidden="1"/>
    </xf>
    <xf numFmtId="0" fontId="14" fillId="0" borderId="0" xfId="1" applyNumberFormat="1" applyFont="1" applyFill="1" applyBorder="1" applyAlignment="1" applyProtection="1">
      <alignment vertical="top" wrapText="1"/>
      <protection locked="0"/>
    </xf>
    <xf numFmtId="3" fontId="12" fillId="0" borderId="0" xfId="1" applyNumberFormat="1" applyFont="1" applyFill="1" applyBorder="1" applyAlignment="1" applyProtection="1">
      <alignment vertical="top"/>
      <protection hidden="1"/>
    </xf>
    <xf numFmtId="41" fontId="5" fillId="0" borderId="0" xfId="1" applyNumberFormat="1" applyFont="1" applyFill="1" applyBorder="1" applyAlignment="1" applyProtection="1">
      <alignment vertical="top"/>
      <protection hidden="1"/>
    </xf>
    <xf numFmtId="49" fontId="6" fillId="0" borderId="0" xfId="1" applyNumberFormat="1" applyFont="1" applyFill="1" applyBorder="1" applyAlignment="1" applyProtection="1">
      <alignment vertical="top"/>
      <protection hidden="1"/>
    </xf>
    <xf numFmtId="164" fontId="6" fillId="0" borderId="0" xfId="1" applyFont="1" applyFill="1" applyBorder="1" applyAlignment="1" applyProtection="1">
      <alignment vertical="top"/>
      <protection locked="0"/>
    </xf>
    <xf numFmtId="164" fontId="4" fillId="0" borderId="0" xfId="1" applyFont="1" applyFill="1" applyBorder="1" applyAlignment="1" applyProtection="1">
      <alignment vertical="top"/>
      <protection locked="0"/>
    </xf>
    <xf numFmtId="38" fontId="6" fillId="0" borderId="0" xfId="1" applyNumberFormat="1" applyFont="1" applyFill="1" applyBorder="1" applyAlignment="1" applyProtection="1">
      <alignment vertical="top"/>
      <protection hidden="1"/>
    </xf>
    <xf numFmtId="40" fontId="6" fillId="5" borderId="0" xfId="1" applyNumberFormat="1" applyFont="1" applyFill="1" applyBorder="1" applyAlignment="1" applyProtection="1">
      <alignment vertical="top"/>
      <protection hidden="1"/>
    </xf>
    <xf numFmtId="164" fontId="2" fillId="0" borderId="0" xfId="3" applyNumberFormat="1" applyFont="1" applyFill="1" applyAlignment="1">
      <alignment horizontal="left" vertical="top"/>
    </xf>
    <xf numFmtId="164" fontId="5" fillId="0" borderId="0" xfId="3" applyNumberFormat="1" applyFont="1" applyFill="1" applyAlignment="1">
      <alignment horizontal="left" vertical="top"/>
    </xf>
    <xf numFmtId="2" fontId="2" fillId="0" borderId="0" xfId="3" applyNumberFormat="1" applyFont="1" applyFill="1" applyAlignment="1">
      <alignment vertical="top"/>
    </xf>
    <xf numFmtId="3" fontId="2" fillId="0" borderId="0" xfId="3" applyNumberFormat="1" applyFont="1" applyFill="1" applyAlignment="1">
      <alignment vertical="top"/>
    </xf>
    <xf numFmtId="3" fontId="2" fillId="0" borderId="0" xfId="3" applyNumberFormat="1" applyFont="1" applyFill="1" applyAlignment="1">
      <alignment horizontal="center" vertical="top"/>
    </xf>
    <xf numFmtId="2" fontId="5" fillId="0" borderId="0" xfId="3" applyNumberFormat="1" applyFont="1" applyFill="1" applyAlignment="1">
      <alignment horizontal="center" vertical="top"/>
    </xf>
    <xf numFmtId="3" fontId="5" fillId="0" borderId="0" xfId="3" applyNumberFormat="1" applyFont="1" applyFill="1" applyAlignment="1">
      <alignment horizontal="center" vertical="top"/>
    </xf>
    <xf numFmtId="2" fontId="2" fillId="0" borderId="0" xfId="3" applyNumberFormat="1" applyFont="1" applyFill="1" applyAlignment="1">
      <alignment horizontal="center" vertical="top"/>
    </xf>
    <xf numFmtId="2" fontId="2" fillId="0" borderId="0" xfId="3" applyNumberFormat="1" applyFont="1" applyFill="1" applyBorder="1" applyAlignment="1">
      <alignment vertical="top"/>
    </xf>
    <xf numFmtId="2" fontId="2" fillId="0" borderId="1" xfId="3" applyNumberFormat="1" applyFont="1" applyFill="1" applyBorder="1" applyAlignment="1">
      <alignment vertical="top"/>
    </xf>
    <xf numFmtId="3" fontId="2" fillId="0" borderId="1" xfId="3" applyNumberFormat="1" applyFont="1" applyFill="1" applyBorder="1" applyAlignment="1">
      <alignment vertical="top"/>
    </xf>
    <xf numFmtId="3" fontId="2" fillId="0" borderId="0" xfId="3" applyNumberFormat="1" applyFont="1" applyFill="1" applyBorder="1" applyAlignment="1">
      <alignment vertical="top"/>
    </xf>
    <xf numFmtId="164" fontId="5" fillId="0" borderId="6" xfId="1" applyNumberFormat="1" applyFont="1" applyFill="1" applyBorder="1" applyAlignment="1" applyProtection="1">
      <alignment horizontal="left" vertical="top"/>
      <protection hidden="1"/>
    </xf>
    <xf numFmtId="164" fontId="2" fillId="0" borderId="6" xfId="3" applyNumberFormat="1" applyFont="1" applyFill="1" applyBorder="1" applyAlignment="1">
      <alignment horizontal="left" vertical="top"/>
    </xf>
    <xf numFmtId="164" fontId="5" fillId="0" borderId="6" xfId="3" applyNumberFormat="1" applyFont="1" applyFill="1" applyBorder="1" applyAlignment="1">
      <alignment horizontal="left" vertical="top"/>
    </xf>
    <xf numFmtId="2" fontId="2" fillId="0" borderId="6" xfId="3" applyNumberFormat="1" applyFont="1" applyFill="1" applyBorder="1" applyAlignment="1">
      <alignment horizontal="center" vertical="top"/>
    </xf>
    <xf numFmtId="2" fontId="2" fillId="0" borderId="6" xfId="3" applyNumberFormat="1" applyFont="1" applyFill="1" applyBorder="1" applyAlignment="1">
      <alignment vertical="top"/>
    </xf>
    <xf numFmtId="164" fontId="2" fillId="0" borderId="6" xfId="1" applyFont="1" applyBorder="1" applyAlignment="1" applyProtection="1">
      <alignment vertical="top"/>
      <protection hidden="1"/>
    </xf>
    <xf numFmtId="2" fontId="5" fillId="0" borderId="0" xfId="3" applyNumberFormat="1" applyFont="1" applyFill="1" applyBorder="1" applyAlignment="1">
      <alignment horizontal="center" vertical="top"/>
    </xf>
    <xf numFmtId="0" fontId="5" fillId="0" borderId="0" xfId="3" applyNumberFormat="1" applyFont="1" applyFill="1" applyBorder="1" applyAlignment="1">
      <alignment vertical="top"/>
    </xf>
    <xf numFmtId="3" fontId="2" fillId="0" borderId="6" xfId="3" applyNumberFormat="1" applyFont="1" applyFill="1" applyBorder="1" applyAlignment="1">
      <alignment horizontal="center" vertical="top"/>
    </xf>
    <xf numFmtId="3" fontId="5" fillId="0" borderId="0" xfId="3" applyNumberFormat="1" applyFont="1" applyFill="1" applyBorder="1" applyAlignment="1">
      <alignment vertical="top"/>
    </xf>
    <xf numFmtId="0" fontId="2" fillId="0" borderId="0" xfId="3" applyNumberFormat="1" applyFont="1" applyFill="1" applyAlignment="1">
      <alignment vertical="top"/>
    </xf>
    <xf numFmtId="164" fontId="12" fillId="0" borderId="0" xfId="1" applyNumberFormat="1" applyFont="1" applyFill="1" applyBorder="1" applyAlignment="1" applyProtection="1">
      <alignment vertical="top"/>
      <protection hidden="1"/>
    </xf>
    <xf numFmtId="3" fontId="12" fillId="0" borderId="0" xfId="3" applyNumberFormat="1" applyFont="1" applyFill="1" applyAlignment="1">
      <alignment vertical="center"/>
    </xf>
    <xf numFmtId="2" fontId="4" fillId="0" borderId="0" xfId="3" applyNumberFormat="1" applyFont="1" applyFill="1" applyAlignment="1">
      <alignment vertical="top"/>
    </xf>
    <xf numFmtId="164" fontId="6" fillId="0" borderId="0" xfId="3" applyNumberFormat="1" applyFont="1" applyFill="1" applyAlignment="1">
      <alignment vertical="top"/>
    </xf>
    <xf numFmtId="3" fontId="4" fillId="0" borderId="0" xfId="3" applyNumberFormat="1" applyFont="1" applyFill="1" applyAlignment="1">
      <alignment vertical="top"/>
    </xf>
    <xf numFmtId="2" fontId="4" fillId="0" borderId="0" xfId="3" applyNumberFormat="1" applyFont="1" applyAlignment="1">
      <alignment vertical="top"/>
    </xf>
    <xf numFmtId="3" fontId="4" fillId="0" borderId="0" xfId="3" applyNumberFormat="1" applyFont="1" applyAlignment="1">
      <alignment vertical="top"/>
    </xf>
    <xf numFmtId="164" fontId="6" fillId="0" borderId="0" xfId="3" applyNumberFormat="1" applyFont="1" applyFill="1" applyAlignment="1">
      <alignment horizontal="left" vertical="top"/>
    </xf>
    <xf numFmtId="3" fontId="2" fillId="0" borderId="0" xfId="3" applyNumberFormat="1" applyFont="1" applyAlignment="1">
      <alignment vertical="top"/>
    </xf>
    <xf numFmtId="2" fontId="12" fillId="0" borderId="0" xfId="3" applyNumberFormat="1" applyFont="1" applyFill="1" applyAlignment="1">
      <alignment vertical="top"/>
    </xf>
    <xf numFmtId="0" fontId="5" fillId="0" borderId="6" xfId="3" applyNumberFormat="1" applyFont="1" applyFill="1" applyBorder="1" applyAlignment="1">
      <alignment vertical="top"/>
    </xf>
    <xf numFmtId="165" fontId="5" fillId="0" borderId="0" xfId="1" applyNumberFormat="1" applyFont="1" applyFill="1" applyBorder="1" applyAlignment="1" applyProtection="1">
      <alignment horizontal="right" vertical="top"/>
      <protection hidden="1"/>
    </xf>
    <xf numFmtId="41" fontId="5" fillId="0" borderId="0" xfId="1" applyNumberFormat="1" applyFont="1" applyFill="1" applyBorder="1" applyAlignment="1" applyProtection="1">
      <alignment horizontal="right" vertical="top"/>
      <protection hidden="1"/>
    </xf>
    <xf numFmtId="41" fontId="2" fillId="0" borderId="0" xfId="1" applyNumberFormat="1" applyFont="1" applyFill="1" applyBorder="1" applyAlignment="1" applyProtection="1">
      <alignment horizontal="right" vertical="top"/>
      <protection hidden="1"/>
    </xf>
    <xf numFmtId="165" fontId="2" fillId="0" borderId="0" xfId="1" applyNumberFormat="1" applyFont="1" applyFill="1" applyBorder="1" applyAlignment="1" applyProtection="1">
      <alignment vertical="top"/>
      <protection hidden="1"/>
    </xf>
    <xf numFmtId="165" fontId="5" fillId="0" borderId="0" xfId="1" applyNumberFormat="1" applyFont="1" applyFill="1" applyBorder="1" applyAlignment="1" applyProtection="1">
      <alignment vertical="top"/>
      <protection hidden="1"/>
    </xf>
    <xf numFmtId="38" fontId="5" fillId="0" borderId="0" xfId="1" applyNumberFormat="1" applyFont="1" applyFill="1" applyBorder="1" applyAlignment="1">
      <alignment horizontal="center" vertical="top"/>
    </xf>
    <xf numFmtId="3" fontId="5" fillId="0" borderId="0" xfId="1" applyNumberFormat="1" applyFont="1" applyBorder="1" applyAlignment="1" applyProtection="1">
      <alignment horizontal="centerContinuous" vertical="top"/>
      <protection hidden="1"/>
    </xf>
    <xf numFmtId="3" fontId="2" fillId="0" borderId="0" xfId="1" applyNumberFormat="1" applyFont="1" applyBorder="1" applyAlignment="1" applyProtection="1">
      <alignment horizontal="centerContinuous" vertical="top"/>
      <protection hidden="1"/>
    </xf>
    <xf numFmtId="164" fontId="5" fillId="0" borderId="0" xfId="3" applyNumberFormat="1" applyFont="1" applyFill="1" applyAlignment="1">
      <alignment vertical="top"/>
    </xf>
    <xf numFmtId="2" fontId="2" fillId="0" borderId="0" xfId="3" applyNumberFormat="1" applyFont="1" applyAlignment="1">
      <alignment vertical="top"/>
    </xf>
    <xf numFmtId="166" fontId="19" fillId="0" borderId="0" xfId="4" applyNumberFormat="1" applyFont="1" applyBorder="1" applyAlignment="1" applyProtection="1">
      <alignment vertical="top"/>
      <protection hidden="1"/>
    </xf>
    <xf numFmtId="49" fontId="2" fillId="0" borderId="0" xfId="3" applyNumberFormat="1" applyFont="1" applyAlignment="1">
      <alignment vertical="top"/>
    </xf>
    <xf numFmtId="164" fontId="2" fillId="0" borderId="0" xfId="1" applyFont="1" applyFill="1" applyAlignment="1">
      <alignment vertical="center"/>
    </xf>
    <xf numFmtId="49" fontId="2" fillId="0" borderId="0" xfId="3" applyNumberFormat="1" applyFont="1" applyFill="1" applyAlignment="1">
      <alignment vertical="top"/>
    </xf>
    <xf numFmtId="164" fontId="2" fillId="0" borderId="0" xfId="1" applyFont="1" applyAlignment="1">
      <alignment vertical="center"/>
    </xf>
    <xf numFmtId="40" fontId="4" fillId="5" borderId="0" xfId="5" applyNumberFormat="1" applyFill="1"/>
    <xf numFmtId="3" fontId="2" fillId="0" borderId="0" xfId="1" applyNumberFormat="1" applyFont="1" applyFill="1" applyAlignment="1">
      <alignment vertical="center"/>
    </xf>
    <xf numFmtId="3" fontId="5" fillId="0" borderId="0" xfId="1" applyNumberFormat="1" applyFont="1" applyFill="1" applyBorder="1" applyAlignment="1">
      <alignment vertical="center"/>
    </xf>
    <xf numFmtId="164" fontId="2" fillId="0" borderId="0" xfId="1" applyFont="1" applyFill="1" applyAlignment="1">
      <alignment vertical="top"/>
    </xf>
    <xf numFmtId="164" fontId="5" fillId="0" borderId="0" xfId="1" applyFont="1" applyFill="1" applyAlignment="1">
      <alignment vertical="top"/>
    </xf>
    <xf numFmtId="2" fontId="5" fillId="0" borderId="0" xfId="1" applyNumberFormat="1" applyFont="1" applyFill="1" applyAlignment="1">
      <alignment vertical="top"/>
    </xf>
    <xf numFmtId="37" fontId="5" fillId="0" borderId="0" xfId="1" applyNumberFormat="1" applyFont="1" applyFill="1" applyBorder="1" applyAlignment="1" applyProtection="1">
      <alignment horizontal="right" vertical="center"/>
      <protection locked="0"/>
    </xf>
    <xf numFmtId="165" fontId="2" fillId="0" borderId="0" xfId="1" applyNumberFormat="1" applyFont="1" applyFill="1" applyAlignment="1" applyProtection="1">
      <alignment vertical="center"/>
    </xf>
    <xf numFmtId="164" fontId="5" fillId="0" borderId="0" xfId="1" applyFont="1" applyFill="1" applyAlignment="1">
      <alignment vertical="center"/>
    </xf>
    <xf numFmtId="0" fontId="2" fillId="0" borderId="0" xfId="1" applyNumberFormat="1" applyFont="1" applyFill="1" applyAlignment="1">
      <alignment vertical="top"/>
    </xf>
    <xf numFmtId="49" fontId="2" fillId="0" borderId="0" xfId="1" applyNumberFormat="1" applyFont="1" applyFill="1" applyAlignment="1">
      <alignment horizontal="center" vertical="top"/>
    </xf>
    <xf numFmtId="165" fontId="2" fillId="0" borderId="0" xfId="1" applyNumberFormat="1" applyFont="1" applyFill="1" applyAlignment="1">
      <alignment vertical="center"/>
    </xf>
    <xf numFmtId="0" fontId="2" fillId="0" borderId="0" xfId="1" applyNumberFormat="1" applyFont="1" applyFill="1" applyAlignment="1">
      <alignment vertical="center"/>
    </xf>
    <xf numFmtId="49" fontId="2" fillId="0" borderId="0" xfId="1" applyNumberFormat="1" applyFont="1" applyFill="1" applyAlignment="1">
      <alignment horizontal="center" vertical="center"/>
    </xf>
    <xf numFmtId="37" fontId="5" fillId="0" borderId="0" xfId="1" applyNumberFormat="1" applyFont="1" applyFill="1" applyAlignment="1" applyProtection="1">
      <alignment horizontal="right" vertical="center"/>
      <protection locked="0"/>
    </xf>
    <xf numFmtId="3" fontId="2" fillId="0" borderId="0" xfId="1" applyNumberFormat="1" applyFont="1" applyAlignment="1">
      <alignment vertical="center"/>
    </xf>
    <xf numFmtId="0" fontId="10" fillId="0" borderId="0" xfId="1" applyNumberFormat="1" applyFont="1" applyFill="1" applyAlignment="1">
      <alignment vertical="top"/>
    </xf>
    <xf numFmtId="164" fontId="10" fillId="0" borderId="0" xfId="1" applyFont="1" applyFill="1" applyAlignment="1">
      <alignment vertical="top"/>
    </xf>
    <xf numFmtId="2" fontId="10" fillId="0" borderId="0" xfId="1" applyNumberFormat="1" applyFont="1" applyFill="1" applyAlignment="1">
      <alignment vertical="top"/>
    </xf>
    <xf numFmtId="37" fontId="10" fillId="0" borderId="0" xfId="1" applyNumberFormat="1" applyFont="1" applyFill="1" applyAlignment="1" applyProtection="1">
      <alignment horizontal="right" vertical="center"/>
      <protection locked="0"/>
    </xf>
    <xf numFmtId="165" fontId="10" fillId="0" borderId="0" xfId="1" applyNumberFormat="1" applyFont="1" applyFill="1" applyAlignment="1" applyProtection="1">
      <alignment vertical="center"/>
    </xf>
    <xf numFmtId="0" fontId="10" fillId="0" borderId="0" xfId="1" applyNumberFormat="1" applyFont="1" applyFill="1" applyAlignment="1">
      <alignment vertical="center"/>
    </xf>
    <xf numFmtId="164" fontId="10" fillId="0" borderId="0" xfId="1" applyFont="1" applyFill="1" applyAlignment="1">
      <alignment vertical="center"/>
    </xf>
    <xf numFmtId="3" fontId="10" fillId="0" borderId="0" xfId="1" applyNumberFormat="1" applyFont="1" applyFill="1" applyAlignment="1">
      <alignment vertical="center"/>
    </xf>
    <xf numFmtId="164" fontId="10" fillId="0" borderId="0" xfId="1" applyFont="1" applyFill="1" applyAlignment="1">
      <alignment horizontal="left" vertical="center"/>
    </xf>
    <xf numFmtId="164" fontId="2" fillId="0" borderId="0" xfId="1" applyFont="1" applyAlignment="1">
      <alignment vertical="top"/>
    </xf>
    <xf numFmtId="3" fontId="2" fillId="0" borderId="0" xfId="1" applyNumberFormat="1" applyFont="1" applyAlignment="1">
      <alignment vertical="top"/>
    </xf>
    <xf numFmtId="3" fontId="2" fillId="0" borderId="0" xfId="1" applyNumberFormat="1" applyFont="1" applyFill="1" applyAlignment="1">
      <alignment vertical="top"/>
    </xf>
    <xf numFmtId="2" fontId="2" fillId="0" borderId="0" xfId="1" applyNumberFormat="1" applyFont="1" applyFill="1" applyAlignment="1">
      <alignment vertical="top"/>
    </xf>
    <xf numFmtId="164" fontId="2" fillId="0" borderId="0" xfId="1" applyFont="1" applyFill="1" applyAlignment="1">
      <alignment horizontal="left" vertical="top"/>
    </xf>
    <xf numFmtId="37" fontId="2" fillId="0" borderId="0" xfId="1" applyNumberFormat="1" applyFont="1" applyFill="1" applyAlignment="1" applyProtection="1">
      <alignment horizontal="right" vertical="top"/>
      <protection locked="0"/>
    </xf>
    <xf numFmtId="165" fontId="2" fillId="0" borderId="0" xfId="1" applyNumberFormat="1" applyFont="1" applyFill="1" applyAlignment="1">
      <alignment vertical="top"/>
    </xf>
    <xf numFmtId="40" fontId="4" fillId="0" borderId="0" xfId="5" applyNumberFormat="1" applyFill="1"/>
    <xf numFmtId="3" fontId="5" fillId="0" borderId="0" xfId="1" applyNumberFormat="1" applyFont="1" applyFill="1" applyAlignment="1">
      <alignment vertical="top"/>
    </xf>
    <xf numFmtId="37" fontId="2" fillId="0" borderId="0" xfId="1" applyNumberFormat="1" applyFont="1" applyFill="1" applyAlignment="1" applyProtection="1">
      <alignment horizontal="right" vertical="center"/>
      <protection locked="0"/>
    </xf>
    <xf numFmtId="3" fontId="10" fillId="0" borderId="0" xfId="1" applyNumberFormat="1" applyFont="1" applyFill="1" applyAlignment="1">
      <alignment vertical="top"/>
    </xf>
    <xf numFmtId="165" fontId="10" fillId="0" borderId="0" xfId="1" applyNumberFormat="1" applyFont="1" applyFill="1" applyAlignment="1" applyProtection="1">
      <alignment vertical="center"/>
      <protection hidden="1"/>
    </xf>
    <xf numFmtId="164" fontId="2" fillId="0" borderId="0" xfId="1" applyFont="1" applyFill="1" applyAlignment="1">
      <alignment horizontal="right" vertical="top"/>
    </xf>
    <xf numFmtId="3" fontId="2" fillId="0" borderId="0" xfId="1" quotePrefix="1" applyNumberFormat="1" applyFont="1" applyFill="1" applyAlignment="1">
      <alignment vertical="center"/>
    </xf>
    <xf numFmtId="164" fontId="2" fillId="0" borderId="0" xfId="1" applyFont="1" applyFill="1" applyAlignment="1">
      <alignment horizontal="right" vertical="center"/>
    </xf>
    <xf numFmtId="3" fontId="5" fillId="0" borderId="0" xfId="1" applyNumberFormat="1" applyFont="1" applyAlignment="1">
      <alignment vertical="center"/>
    </xf>
    <xf numFmtId="164" fontId="12" fillId="0" borderId="0" xfId="1" applyFont="1" applyFill="1" applyAlignment="1">
      <alignment vertical="top"/>
    </xf>
    <xf numFmtId="164" fontId="12" fillId="0" borderId="0" xfId="1" applyFont="1" applyFill="1" applyAlignment="1">
      <alignment vertical="center"/>
    </xf>
    <xf numFmtId="49" fontId="2" fillId="0" borderId="0" xfId="1" applyNumberFormat="1" applyFont="1" applyFill="1" applyAlignment="1">
      <alignment vertical="top"/>
    </xf>
    <xf numFmtId="38" fontId="10" fillId="0" borderId="0" xfId="1" applyNumberFormat="1" applyFont="1" applyFill="1" applyAlignment="1">
      <alignment vertical="top"/>
    </xf>
    <xf numFmtId="38" fontId="10" fillId="0" borderId="0" xfId="1" applyNumberFormat="1" applyFont="1" applyFill="1" applyAlignment="1">
      <alignment vertical="center"/>
    </xf>
    <xf numFmtId="37" fontId="10" fillId="0" borderId="0" xfId="1" applyNumberFormat="1" applyFont="1" applyFill="1" applyAlignment="1" applyProtection="1">
      <alignment horizontal="right" vertical="center"/>
    </xf>
    <xf numFmtId="38" fontId="5" fillId="0" borderId="0" xfId="1" applyNumberFormat="1" applyFont="1" applyFill="1" applyAlignment="1">
      <alignment vertical="top"/>
    </xf>
    <xf numFmtId="38" fontId="5" fillId="0" borderId="0" xfId="1" applyNumberFormat="1" applyFont="1" applyFill="1" applyAlignment="1">
      <alignment vertical="center"/>
    </xf>
    <xf numFmtId="0" fontId="2" fillId="0" borderId="0" xfId="1" applyNumberFormat="1" applyFont="1" applyFill="1" applyBorder="1" applyAlignment="1">
      <alignment horizontal="right" vertical="center"/>
    </xf>
    <xf numFmtId="0" fontId="2" fillId="0" borderId="0" xfId="3" applyNumberFormat="1" applyFont="1" applyFill="1" applyAlignment="1">
      <alignment horizontal="right" vertical="top" wrapText="1"/>
    </xf>
    <xf numFmtId="38" fontId="5" fillId="0" borderId="0" xfId="1" applyNumberFormat="1" applyFont="1" applyFill="1" applyBorder="1" applyAlignment="1">
      <alignment horizontal="center" vertical="center"/>
    </xf>
    <xf numFmtId="40" fontId="2" fillId="5" borderId="0" xfId="3" applyNumberFormat="1" applyFont="1" applyFill="1" applyAlignment="1">
      <alignment vertical="top"/>
    </xf>
    <xf numFmtId="164" fontId="12" fillId="0" borderId="0" xfId="1" applyFont="1" applyFill="1" applyBorder="1" applyAlignment="1" applyProtection="1">
      <alignment horizontal="right"/>
      <protection hidden="1"/>
    </xf>
    <xf numFmtId="164" fontId="12" fillId="0" borderId="0" xfId="1" applyFont="1" applyBorder="1" applyAlignment="1" applyProtection="1">
      <alignment horizontal="right"/>
      <protection hidden="1"/>
    </xf>
    <xf numFmtId="3" fontId="5" fillId="0" borderId="0" xfId="1" applyNumberFormat="1" applyFont="1" applyFill="1" applyBorder="1" applyAlignment="1" applyProtection="1">
      <alignment horizontal="center" vertical="top"/>
      <protection hidden="1"/>
    </xf>
    <xf numFmtId="40" fontId="2" fillId="0" borderId="0" xfId="3" applyNumberFormat="1" applyFont="1" applyFill="1" applyAlignment="1">
      <alignment vertical="top"/>
    </xf>
    <xf numFmtId="2" fontId="2" fillId="0" borderId="0" xfId="3" applyNumberFormat="1" applyFont="1" applyFill="1" applyAlignment="1">
      <alignment horizontal="centerContinuous" vertical="top"/>
    </xf>
    <xf numFmtId="2" fontId="4" fillId="0" borderId="0" xfId="3" applyNumberFormat="1" applyFont="1" applyFill="1" applyAlignment="1">
      <alignment horizontal="centerContinuous" vertical="top"/>
    </xf>
    <xf numFmtId="0" fontId="22" fillId="0" borderId="0" xfId="6" applyFont="1">
      <alignment vertical="top"/>
    </xf>
    <xf numFmtId="0" fontId="22" fillId="0" borderId="0" xfId="6" applyFont="1" applyFill="1">
      <alignment vertical="top"/>
    </xf>
    <xf numFmtId="0" fontId="22" fillId="0" borderId="0" xfId="6" applyFont="1" applyAlignment="1">
      <alignment horizontal="center" vertical="top"/>
    </xf>
    <xf numFmtId="167" fontId="22" fillId="0" borderId="0" xfId="6" applyNumberFormat="1" applyFont="1" applyFill="1">
      <alignment vertical="top"/>
    </xf>
    <xf numFmtId="167" fontId="22" fillId="0" borderId="0" xfId="6" applyNumberFormat="1" applyFont="1">
      <alignment vertical="top"/>
    </xf>
    <xf numFmtId="0" fontId="23" fillId="0" borderId="0" xfId="6" applyFont="1">
      <alignment vertical="top"/>
    </xf>
    <xf numFmtId="0" fontId="23" fillId="0" borderId="0" xfId="6" applyFont="1" applyFill="1">
      <alignment vertical="top"/>
    </xf>
    <xf numFmtId="0" fontId="23" fillId="0" borderId="0" xfId="6" applyFont="1" applyAlignment="1">
      <alignment horizontal="center" vertical="top"/>
    </xf>
    <xf numFmtId="0" fontId="23" fillId="0" borderId="0" xfId="6" applyFont="1" applyFill="1" applyAlignment="1">
      <alignment horizontal="center" vertical="top"/>
    </xf>
    <xf numFmtId="0" fontId="24" fillId="0" borderId="0" xfId="6" applyFont="1" applyFill="1">
      <alignment vertical="top"/>
    </xf>
    <xf numFmtId="0" fontId="24" fillId="0" borderId="0" xfId="6" applyFont="1" applyFill="1" applyAlignment="1">
      <alignment vertical="top"/>
    </xf>
    <xf numFmtId="0" fontId="24" fillId="0" borderId="0" xfId="6" applyFont="1" applyFill="1" applyAlignment="1">
      <alignment horizontal="center" vertical="top"/>
    </xf>
    <xf numFmtId="167" fontId="23" fillId="0" borderId="0" xfId="6" applyNumberFormat="1" applyFont="1" applyFill="1">
      <alignment vertical="top"/>
    </xf>
    <xf numFmtId="37" fontId="23" fillId="0" borderId="0" xfId="6" applyNumberFormat="1" applyFont="1" applyFill="1">
      <alignment vertical="top"/>
    </xf>
    <xf numFmtId="0" fontId="25" fillId="0" borderId="0" xfId="6" applyFont="1" applyFill="1" applyAlignment="1">
      <alignment vertical="top"/>
    </xf>
    <xf numFmtId="0" fontId="27" fillId="0" borderId="0" xfId="6" applyFont="1" applyFill="1" applyAlignment="1">
      <alignment vertical="top"/>
    </xf>
    <xf numFmtId="167" fontId="2" fillId="0" borderId="8" xfId="6" applyNumberFormat="1" applyFont="1" applyFill="1" applyBorder="1" applyAlignment="1">
      <alignment vertical="top"/>
    </xf>
    <xf numFmtId="0" fontId="22" fillId="0" borderId="8" xfId="6" applyFont="1" applyBorder="1" applyAlignment="1">
      <alignment horizontal="center" vertical="top"/>
    </xf>
    <xf numFmtId="0" fontId="22" fillId="0" borderId="8" xfId="6" applyFont="1" applyBorder="1">
      <alignment vertical="top"/>
    </xf>
    <xf numFmtId="0" fontId="28" fillId="0" borderId="0" xfId="6" applyFont="1">
      <alignment vertical="top"/>
    </xf>
    <xf numFmtId="167" fontId="5" fillId="0" borderId="9" xfId="6" applyNumberFormat="1" applyFont="1" applyFill="1" applyBorder="1" applyAlignment="1">
      <alignment horizontal="right" vertical="top"/>
    </xf>
    <xf numFmtId="0" fontId="28" fillId="0" borderId="9" xfId="6" applyFont="1" applyBorder="1" applyAlignment="1">
      <alignment horizontal="right" vertical="top"/>
    </xf>
    <xf numFmtId="167" fontId="28" fillId="0" borderId="9" xfId="6" applyNumberFormat="1" applyFont="1" applyBorder="1" applyAlignment="1">
      <alignment horizontal="right" vertical="top"/>
    </xf>
    <xf numFmtId="0" fontId="28" fillId="0" borderId="9" xfId="6" applyFont="1" applyBorder="1" applyAlignment="1">
      <alignment horizontal="center" vertical="top"/>
    </xf>
    <xf numFmtId="0" fontId="28" fillId="0" borderId="9" xfId="6" applyFont="1" applyBorder="1">
      <alignment vertical="top"/>
    </xf>
    <xf numFmtId="167" fontId="5" fillId="0" borderId="10" xfId="6" applyNumberFormat="1" applyFont="1" applyFill="1" applyBorder="1" applyAlignment="1">
      <alignment horizontal="right" vertical="top"/>
    </xf>
    <xf numFmtId="0" fontId="28" fillId="0" borderId="10" xfId="6" applyFont="1" applyBorder="1" applyAlignment="1">
      <alignment horizontal="center" vertical="top"/>
    </xf>
    <xf numFmtId="0" fontId="28" fillId="0" borderId="10" xfId="6" applyFont="1" applyBorder="1" applyAlignment="1">
      <alignment horizontal="left" vertical="center" wrapText="1"/>
    </xf>
    <xf numFmtId="167" fontId="2" fillId="0" borderId="10" xfId="6" applyNumberFormat="1" applyFont="1" applyFill="1" applyBorder="1" applyAlignment="1">
      <alignment horizontal="right" vertical="top"/>
    </xf>
    <xf numFmtId="3" fontId="22" fillId="0" borderId="10" xfId="6" applyNumberFormat="1" applyFont="1" applyBorder="1" applyAlignment="1">
      <alignment horizontal="right" vertical="top"/>
    </xf>
    <xf numFmtId="0" fontId="22" fillId="0" borderId="10" xfId="6" applyFont="1" applyBorder="1" applyAlignment="1">
      <alignment horizontal="center" vertical="top"/>
    </xf>
    <xf numFmtId="0" fontId="22" fillId="0" borderId="10" xfId="6" applyFont="1" applyBorder="1">
      <alignment vertical="top"/>
    </xf>
    <xf numFmtId="37" fontId="28" fillId="0" borderId="10" xfId="6" applyNumberFormat="1" applyFont="1" applyFill="1" applyBorder="1" applyAlignment="1">
      <alignment horizontal="right" vertical="top"/>
    </xf>
    <xf numFmtId="37" fontId="28" fillId="0" borderId="10" xfId="6" applyNumberFormat="1" applyFont="1" applyBorder="1" applyAlignment="1">
      <alignment horizontal="right" vertical="top"/>
    </xf>
    <xf numFmtId="0" fontId="28" fillId="0" borderId="10" xfId="6" applyFont="1" applyBorder="1">
      <alignment vertical="top"/>
    </xf>
    <xf numFmtId="3" fontId="28" fillId="0" borderId="10" xfId="6" applyNumberFormat="1" applyFont="1" applyBorder="1" applyAlignment="1">
      <alignment horizontal="right" vertical="top"/>
    </xf>
    <xf numFmtId="167" fontId="2" fillId="0" borderId="11" xfId="6" applyNumberFormat="1" applyFont="1" applyFill="1" applyBorder="1" applyAlignment="1">
      <alignment horizontal="right" vertical="top"/>
    </xf>
    <xf numFmtId="3" fontId="22" fillId="0" borderId="11" xfId="6" applyNumberFormat="1" applyFont="1" applyBorder="1" applyAlignment="1">
      <alignment horizontal="right" vertical="top"/>
    </xf>
    <xf numFmtId="0" fontId="22" fillId="0" borderId="11" xfId="6" applyFont="1" applyBorder="1" applyAlignment="1">
      <alignment horizontal="center" vertical="top"/>
    </xf>
    <xf numFmtId="0" fontId="22" fillId="0" borderId="10" xfId="6" applyFont="1" applyBorder="1" applyAlignment="1">
      <alignment horizontal="left" vertical="center" wrapText="1"/>
    </xf>
    <xf numFmtId="0" fontId="22" fillId="0" borderId="12" xfId="6" applyFont="1" applyFill="1" applyBorder="1" applyAlignment="1">
      <alignment horizontal="center" vertical="top"/>
    </xf>
    <xf numFmtId="0" fontId="28" fillId="6" borderId="0" xfId="6" applyFont="1" applyFill="1">
      <alignment vertical="top"/>
    </xf>
    <xf numFmtId="14" fontId="28" fillId="6" borderId="12" xfId="6" applyNumberFormat="1" applyFont="1" applyFill="1" applyBorder="1" applyAlignment="1">
      <alignment horizontal="center" vertical="center" wrapText="1"/>
    </xf>
    <xf numFmtId="0" fontId="28" fillId="6" borderId="12" xfId="6" applyNumberFormat="1" applyFont="1" applyFill="1" applyBorder="1" applyAlignment="1">
      <alignment horizontal="center" vertical="center" wrapText="1"/>
    </xf>
    <xf numFmtId="0" fontId="29" fillId="0" borderId="0" xfId="6" applyFont="1" applyFill="1">
      <alignment vertical="top"/>
    </xf>
    <xf numFmtId="0" fontId="21" fillId="0" borderId="0" xfId="6" applyFont="1" applyFill="1" applyAlignment="1">
      <alignment horizontal="right" vertical="top"/>
    </xf>
    <xf numFmtId="0" fontId="21" fillId="0" borderId="0" xfId="6" applyFont="1" applyFill="1">
      <alignment vertical="top"/>
    </xf>
    <xf numFmtId="0" fontId="21" fillId="0" borderId="0" xfId="6" applyFont="1" applyFill="1" applyAlignment="1">
      <alignment horizontal="center" vertical="top"/>
    </xf>
    <xf numFmtId="0" fontId="21" fillId="0" borderId="0" xfId="6" applyFont="1" applyFill="1" applyAlignment="1">
      <alignment vertical="top"/>
    </xf>
    <xf numFmtId="0" fontId="32" fillId="0" borderId="0" xfId="6" applyFont="1" applyFill="1">
      <alignment vertical="top"/>
    </xf>
    <xf numFmtId="164" fontId="33" fillId="0" borderId="0" xfId="2" applyNumberFormat="1" applyFont="1" applyFill="1" applyBorder="1" applyAlignment="1" applyProtection="1">
      <alignment vertical="top"/>
      <protection locked="0"/>
    </xf>
    <xf numFmtId="41" fontId="2" fillId="0" borderId="0" xfId="1" applyNumberFormat="1" applyFont="1" applyFill="1" applyBorder="1" applyAlignment="1" applyProtection="1">
      <alignment vertical="top"/>
      <protection locked="0"/>
    </xf>
    <xf numFmtId="41" fontId="2" fillId="0" borderId="0" xfId="1" applyNumberFormat="1" applyFont="1" applyFill="1" applyBorder="1" applyAlignment="1" applyProtection="1">
      <alignment horizontal="right" vertical="top"/>
      <protection locked="0"/>
    </xf>
    <xf numFmtId="164" fontId="2" fillId="0" borderId="0" xfId="1" applyNumberFormat="1" applyFont="1" applyBorder="1" applyAlignment="1" applyProtection="1">
      <alignment vertical="top"/>
      <protection locked="0"/>
    </xf>
    <xf numFmtId="3" fontId="2" fillId="0" borderId="0" xfId="1" applyNumberFormat="1" applyFont="1" applyFill="1" applyBorder="1" applyAlignment="1" applyProtection="1">
      <alignment vertical="top"/>
      <protection locked="0"/>
    </xf>
    <xf numFmtId="38" fontId="2" fillId="0" borderId="0" xfId="1" applyNumberFormat="1" applyFont="1" applyFill="1" applyBorder="1" applyAlignment="1" applyProtection="1">
      <alignment horizontal="right" vertical="top"/>
      <protection locked="0"/>
    </xf>
    <xf numFmtId="164" fontId="2" fillId="0" borderId="0" xfId="1" applyNumberFormat="1" applyFont="1" applyFill="1" applyBorder="1" applyAlignment="1" applyProtection="1">
      <alignment horizontal="right" vertical="top"/>
      <protection locked="0"/>
    </xf>
    <xf numFmtId="0" fontId="2" fillId="0" borderId="0" xfId="1" applyNumberFormat="1" applyFont="1" applyFill="1" applyBorder="1" applyAlignment="1" applyProtection="1">
      <alignment horizontal="right" vertical="top"/>
      <protection locked="0"/>
    </xf>
    <xf numFmtId="165" fontId="2" fillId="5" borderId="0" xfId="1" applyNumberFormat="1" applyFont="1" applyFill="1" applyBorder="1" applyAlignment="1" applyProtection="1">
      <alignment horizontal="center" vertical="top"/>
      <protection locked="0"/>
    </xf>
    <xf numFmtId="165" fontId="2" fillId="7" borderId="0" xfId="1" applyNumberFormat="1" applyFont="1" applyFill="1" applyBorder="1" applyAlignment="1" applyProtection="1">
      <alignment horizontal="center" vertical="top"/>
      <protection locked="0"/>
    </xf>
    <xf numFmtId="3" fontId="2" fillId="0" borderId="0" xfId="1" applyNumberFormat="1" applyFont="1" applyBorder="1" applyAlignment="1" applyProtection="1">
      <alignment vertical="top"/>
      <protection locked="0"/>
    </xf>
    <xf numFmtId="3" fontId="2" fillId="0" borderId="0" xfId="1" applyNumberFormat="1" applyFont="1" applyBorder="1" applyAlignment="1" applyProtection="1">
      <alignment vertical="top"/>
    </xf>
    <xf numFmtId="164" fontId="2" fillId="0" borderId="0" xfId="1" applyNumberFormat="1" applyFont="1" applyBorder="1" applyAlignment="1" applyProtection="1">
      <alignment vertical="top"/>
    </xf>
    <xf numFmtId="164" fontId="5" fillId="0" borderId="0" xfId="1" applyNumberFormat="1" applyFont="1" applyFill="1" applyBorder="1" applyAlignment="1" applyProtection="1">
      <alignment vertical="top"/>
      <protection locked="0"/>
    </xf>
    <xf numFmtId="164" fontId="2" fillId="0" borderId="0" xfId="1" applyNumberFormat="1" applyFont="1" applyFill="1" applyBorder="1" applyAlignment="1" applyProtection="1">
      <alignment vertical="top" wrapText="1"/>
      <protection locked="0"/>
    </xf>
    <xf numFmtId="38" fontId="5" fillId="0" borderId="0" xfId="1" applyNumberFormat="1" applyFont="1" applyFill="1" applyBorder="1" applyAlignment="1" applyProtection="1">
      <alignment horizontal="right" vertical="top"/>
      <protection locked="0"/>
    </xf>
    <xf numFmtId="3" fontId="5" fillId="0" borderId="0" xfId="1" applyNumberFormat="1" applyFont="1" applyFill="1" applyBorder="1" applyAlignment="1" applyProtection="1">
      <alignment vertical="top"/>
      <protection locked="0"/>
    </xf>
    <xf numFmtId="164" fontId="5" fillId="0" borderId="0" xfId="1" applyNumberFormat="1" applyFont="1" applyFill="1" applyBorder="1" applyAlignment="1" applyProtection="1">
      <alignment horizontal="right" vertical="top"/>
      <protection locked="0"/>
    </xf>
    <xf numFmtId="0" fontId="5" fillId="0" borderId="0" xfId="1" applyNumberFormat="1" applyFont="1" applyFill="1" applyBorder="1" applyAlignment="1" applyProtection="1">
      <alignment horizontal="right" vertical="top"/>
      <protection locked="0"/>
    </xf>
    <xf numFmtId="165" fontId="5" fillId="5" borderId="0" xfId="1" applyNumberFormat="1" applyFont="1" applyFill="1" applyBorder="1" applyAlignment="1" applyProtection="1">
      <alignment horizontal="center" vertical="top"/>
      <protection locked="0"/>
    </xf>
    <xf numFmtId="165" fontId="5" fillId="7" borderId="0" xfId="1" applyNumberFormat="1" applyFont="1" applyFill="1" applyBorder="1" applyAlignment="1" applyProtection="1">
      <alignment horizontal="center" vertical="top"/>
      <protection locked="0"/>
    </xf>
    <xf numFmtId="165" fontId="5" fillId="5" borderId="0" xfId="1" applyNumberFormat="1" applyFont="1" applyFill="1" applyBorder="1" applyAlignment="1" applyProtection="1">
      <alignment vertical="top"/>
      <protection locked="0"/>
    </xf>
    <xf numFmtId="165" fontId="2" fillId="7" borderId="0" xfId="1" applyNumberFormat="1" applyFont="1" applyFill="1" applyBorder="1" applyAlignment="1" applyProtection="1">
      <alignment vertical="top"/>
      <protection locked="0"/>
    </xf>
    <xf numFmtId="164" fontId="5" fillId="0" borderId="1" xfId="1" applyNumberFormat="1" applyFont="1" applyFill="1" applyBorder="1" applyAlignment="1" applyProtection="1">
      <alignment vertical="top"/>
      <protection locked="0"/>
    </xf>
    <xf numFmtId="164" fontId="2" fillId="0" borderId="1" xfId="1" applyNumberFormat="1" applyFont="1" applyFill="1" applyBorder="1" applyAlignment="1" applyProtection="1">
      <alignment vertical="top"/>
      <protection locked="0"/>
    </xf>
    <xf numFmtId="41" fontId="2" fillId="0" borderId="1" xfId="1" applyNumberFormat="1" applyFont="1" applyFill="1" applyBorder="1" applyAlignment="1" applyProtection="1">
      <alignment vertical="top"/>
      <protection locked="0"/>
    </xf>
    <xf numFmtId="0" fontId="2" fillId="0" borderId="0" xfId="1" applyNumberFormat="1" applyFont="1" applyFill="1" applyBorder="1" applyAlignment="1" applyProtection="1">
      <alignment vertical="top"/>
      <protection locked="0"/>
    </xf>
    <xf numFmtId="165" fontId="2" fillId="5" borderId="0" xfId="1" applyNumberFormat="1" applyFont="1" applyFill="1" applyBorder="1" applyAlignment="1" applyProtection="1">
      <alignment vertical="top"/>
      <protection locked="0"/>
    </xf>
    <xf numFmtId="0" fontId="2" fillId="0" borderId="6" xfId="1" applyNumberFormat="1" applyFont="1" applyFill="1" applyBorder="1" applyAlignment="1" applyProtection="1">
      <alignment vertical="top"/>
      <protection locked="0"/>
    </xf>
    <xf numFmtId="0" fontId="5" fillId="0" borderId="6" xfId="1" applyNumberFormat="1" applyFont="1" applyFill="1" applyBorder="1" applyAlignment="1" applyProtection="1">
      <alignment vertical="top"/>
      <protection locked="0"/>
    </xf>
    <xf numFmtId="165" fontId="2" fillId="0" borderId="0" xfId="1" applyNumberFormat="1" applyFont="1" applyFill="1" applyBorder="1" applyAlignment="1" applyProtection="1">
      <alignment vertical="top" shrinkToFit="1"/>
      <protection locked="0"/>
    </xf>
    <xf numFmtId="165" fontId="2" fillId="0" borderId="0" xfId="1" applyNumberFormat="1" applyFont="1" applyFill="1" applyBorder="1" applyAlignment="1" applyProtection="1">
      <alignment vertical="top"/>
      <protection locked="0"/>
    </xf>
    <xf numFmtId="3" fontId="2" fillId="0" borderId="0" xfId="1" applyNumberFormat="1" applyFont="1" applyFill="1" applyBorder="1" applyAlignment="1" applyProtection="1">
      <alignment vertical="top"/>
    </xf>
    <xf numFmtId="164" fontId="2" fillId="0" borderId="0" xfId="1" applyNumberFormat="1" applyFont="1" applyFill="1" applyBorder="1" applyAlignment="1" applyProtection="1">
      <alignment vertical="top"/>
    </xf>
    <xf numFmtId="164" fontId="34" fillId="0" borderId="0" xfId="1" applyNumberFormat="1" applyFont="1" applyFill="1" applyBorder="1" applyAlignment="1" applyProtection="1">
      <alignment vertical="top"/>
      <protection locked="0"/>
    </xf>
    <xf numFmtId="0" fontId="34" fillId="0" borderId="0" xfId="1" applyNumberFormat="1" applyFont="1" applyFill="1" applyBorder="1" applyAlignment="1" applyProtection="1">
      <alignment vertical="top"/>
      <protection locked="0"/>
    </xf>
    <xf numFmtId="165" fontId="34" fillId="0" borderId="0" xfId="1" applyNumberFormat="1" applyFont="1" applyFill="1" applyBorder="1" applyAlignment="1" applyProtection="1">
      <alignment vertical="top" shrinkToFit="1"/>
      <protection locked="0"/>
    </xf>
    <xf numFmtId="165" fontId="34" fillId="0" borderId="0" xfId="1" applyNumberFormat="1" applyFont="1" applyFill="1" applyBorder="1" applyAlignment="1" applyProtection="1">
      <alignment vertical="top"/>
      <protection locked="0"/>
    </xf>
    <xf numFmtId="3" fontId="34" fillId="0" borderId="0" xfId="1" applyNumberFormat="1" applyFont="1" applyFill="1" applyBorder="1" applyAlignment="1" applyProtection="1">
      <alignment vertical="top"/>
      <protection locked="0"/>
    </xf>
    <xf numFmtId="3" fontId="34" fillId="0" borderId="0" xfId="1" applyNumberFormat="1" applyFont="1" applyFill="1" applyBorder="1" applyAlignment="1" applyProtection="1">
      <alignment vertical="top"/>
    </xf>
    <xf numFmtId="164" fontId="34" fillId="0" borderId="0" xfId="1" applyNumberFormat="1" applyFont="1" applyFill="1" applyBorder="1" applyAlignment="1" applyProtection="1">
      <alignment vertical="top"/>
    </xf>
    <xf numFmtId="165" fontId="2" fillId="5" borderId="0" xfId="1" applyNumberFormat="1" applyFont="1" applyFill="1" applyBorder="1" applyAlignment="1" applyProtection="1">
      <alignment vertical="top" shrinkToFit="1"/>
      <protection locked="0"/>
    </xf>
    <xf numFmtId="0" fontId="5" fillId="0" borderId="0" xfId="3" applyNumberFormat="1" applyFont="1" applyFill="1" applyAlignment="1" applyProtection="1">
      <alignment horizontal="left" vertical="top"/>
      <protection locked="0"/>
    </xf>
    <xf numFmtId="0" fontId="5" fillId="0" borderId="0" xfId="1" applyNumberFormat="1" applyFont="1" applyFill="1" applyBorder="1" applyAlignment="1" applyProtection="1">
      <alignment vertical="top"/>
      <protection locked="0"/>
    </xf>
    <xf numFmtId="1" fontId="5" fillId="0" borderId="0" xfId="3" applyNumberFormat="1" applyFont="1" applyFill="1" applyAlignment="1" applyProtection="1">
      <alignment horizontal="left" vertical="top"/>
      <protection locked="0"/>
    </xf>
    <xf numFmtId="0" fontId="2" fillId="0" borderId="0" xfId="1" applyNumberFormat="1" applyFont="1" applyFill="1" applyBorder="1" applyAlignment="1" applyProtection="1">
      <alignment horizontal="justify" vertical="top" wrapText="1"/>
      <protection locked="0"/>
    </xf>
    <xf numFmtId="164" fontId="2" fillId="0" borderId="0" xfId="1" applyNumberFormat="1" applyFont="1" applyFill="1" applyBorder="1" applyAlignment="1" applyProtection="1">
      <alignment horizontal="justify" vertical="top" wrapText="1"/>
      <protection locked="0"/>
    </xf>
    <xf numFmtId="0" fontId="36" fillId="0" borderId="0" xfId="1" quotePrefix="1" applyNumberFormat="1" applyFont="1" applyFill="1" applyBorder="1" applyAlignment="1" applyProtection="1">
      <alignment vertical="top"/>
      <protection locked="0"/>
    </xf>
    <xf numFmtId="0" fontId="2" fillId="0" borderId="0" xfId="1" quotePrefix="1" applyNumberFormat="1" applyFont="1" applyFill="1" applyBorder="1" applyAlignment="1" applyProtection="1">
      <alignment vertical="top"/>
      <protection locked="0"/>
    </xf>
    <xf numFmtId="0" fontId="2" fillId="0" borderId="0" xfId="1" applyNumberFormat="1" applyFont="1" applyFill="1" applyBorder="1" applyAlignment="1" applyProtection="1">
      <alignment horizontal="justify" vertical="top"/>
      <protection locked="0"/>
    </xf>
    <xf numFmtId="0" fontId="2" fillId="0" borderId="0" xfId="1" applyNumberFormat="1" applyFont="1" applyFill="1" applyBorder="1" applyAlignment="1" applyProtection="1">
      <alignment horizontal="center" vertical="top"/>
      <protection locked="0"/>
    </xf>
    <xf numFmtId="164" fontId="5" fillId="0" borderId="0" xfId="1" applyNumberFormat="1" applyFont="1" applyFill="1" applyBorder="1" applyAlignment="1" applyProtection="1">
      <alignment vertical="top" wrapText="1"/>
      <protection locked="0"/>
    </xf>
    <xf numFmtId="49" fontId="2" fillId="0" borderId="0" xfId="1" applyNumberFormat="1" applyFont="1" applyFill="1" applyBorder="1" applyAlignment="1" applyProtection="1">
      <alignment vertical="top"/>
      <protection locked="0"/>
    </xf>
    <xf numFmtId="0" fontId="5" fillId="0" borderId="0" xfId="3" applyNumberFormat="1" applyFont="1" applyFill="1" applyAlignment="1" applyProtection="1">
      <alignment horizontal="right" vertical="top"/>
      <protection locked="0"/>
    </xf>
    <xf numFmtId="0" fontId="2" fillId="0" borderId="0" xfId="1" applyNumberFormat="1" applyFont="1" applyBorder="1" applyAlignment="1" applyProtection="1">
      <alignment vertical="top"/>
      <protection locked="0"/>
    </xf>
    <xf numFmtId="0" fontId="35" fillId="0" borderId="0" xfId="1" applyNumberFormat="1" applyFont="1" applyFill="1" applyBorder="1" applyAlignment="1" applyProtection="1">
      <alignment vertical="top"/>
      <protection locked="0"/>
    </xf>
    <xf numFmtId="0" fontId="2" fillId="0" borderId="0" xfId="1" applyNumberFormat="1" applyFont="1" applyFill="1" applyBorder="1" applyAlignment="1" applyProtection="1">
      <alignment vertical="top" wrapText="1"/>
      <protection locked="0"/>
    </xf>
    <xf numFmtId="0" fontId="2" fillId="0" borderId="0" xfId="1" applyNumberFormat="1" applyFont="1" applyBorder="1" applyAlignment="1" applyProtection="1">
      <alignment vertical="top"/>
    </xf>
    <xf numFmtId="0" fontId="2" fillId="0" borderId="0" xfId="1" applyNumberFormat="1" applyFont="1" applyBorder="1" applyAlignment="1" applyProtection="1">
      <alignment horizontal="justify" vertical="top"/>
      <protection locked="0"/>
    </xf>
    <xf numFmtId="0" fontId="5" fillId="0" borderId="0" xfId="1" applyNumberFormat="1" applyFont="1" applyFill="1" applyBorder="1" applyAlignment="1" applyProtection="1">
      <alignment horizontal="justify" vertical="top"/>
      <protection locked="0"/>
    </xf>
    <xf numFmtId="0" fontId="2" fillId="0" borderId="0" xfId="1" applyNumberFormat="1" applyFont="1" applyFill="1" applyBorder="1" applyAlignment="1" applyProtection="1">
      <alignment vertical="top"/>
    </xf>
    <xf numFmtId="0" fontId="2" fillId="0" borderId="0" xfId="1" quotePrefix="1" applyNumberFormat="1" applyFont="1" applyFill="1" applyBorder="1" applyAlignment="1" applyProtection="1">
      <alignment vertical="top" wrapText="1"/>
      <protection locked="0"/>
    </xf>
    <xf numFmtId="0" fontId="2" fillId="0" borderId="0" xfId="1" quotePrefix="1" applyNumberFormat="1" applyFont="1" applyFill="1" applyBorder="1" applyAlignment="1" applyProtection="1">
      <alignment horizontal="justify" vertical="top" wrapText="1"/>
      <protection locked="0"/>
    </xf>
    <xf numFmtId="0" fontId="2" fillId="0" borderId="0" xfId="3" applyNumberFormat="1" applyFont="1" applyFill="1" applyAlignment="1" applyProtection="1">
      <alignment horizontal="right" vertical="top"/>
      <protection locked="0"/>
    </xf>
    <xf numFmtId="0" fontId="2" fillId="0" borderId="0" xfId="1" quotePrefix="1" applyNumberFormat="1" applyFont="1" applyFill="1" applyBorder="1" applyAlignment="1" applyProtection="1">
      <alignment horizontal="justify" vertical="top"/>
      <protection locked="0"/>
    </xf>
    <xf numFmtId="0" fontId="35" fillId="0" borderId="0" xfId="1" applyNumberFormat="1" applyFont="1" applyFill="1" applyBorder="1" applyAlignment="1" applyProtection="1">
      <alignment horizontal="left" vertical="top"/>
      <protection locked="0"/>
    </xf>
    <xf numFmtId="0" fontId="38" fillId="0" borderId="0" xfId="1" applyNumberFormat="1" applyFont="1" applyFill="1" applyBorder="1" applyAlignment="1" applyProtection="1">
      <alignment vertical="top"/>
      <protection locked="0"/>
    </xf>
    <xf numFmtId="0" fontId="12" fillId="0" borderId="0" xfId="1" applyNumberFormat="1" applyFont="1" applyFill="1" applyBorder="1" applyAlignment="1" applyProtection="1">
      <alignment vertical="top"/>
      <protection locked="0"/>
    </xf>
    <xf numFmtId="164" fontId="12" fillId="0" borderId="0" xfId="5" applyFont="1" applyAlignment="1" applyProtection="1">
      <alignment horizontal="left" vertical="top"/>
      <protection locked="0"/>
    </xf>
    <xf numFmtId="164" fontId="2" fillId="0" borderId="0" xfId="5" applyFont="1" applyAlignment="1">
      <alignment horizontal="justify" vertical="top" wrapText="1"/>
    </xf>
    <xf numFmtId="0" fontId="5" fillId="0" borderId="0" xfId="1" applyNumberFormat="1" applyFont="1" applyFill="1" applyBorder="1" applyAlignment="1" applyProtection="1">
      <alignment horizontal="left" vertical="top"/>
      <protection locked="0"/>
    </xf>
    <xf numFmtId="164" fontId="5" fillId="0" borderId="0" xfId="3" applyNumberFormat="1" applyFont="1" applyFill="1" applyAlignment="1" applyProtection="1">
      <alignment horizontal="left" vertical="top"/>
      <protection locked="0"/>
    </xf>
    <xf numFmtId="164" fontId="5" fillId="0" borderId="0" xfId="3" applyNumberFormat="1" applyFont="1" applyFill="1" applyAlignment="1" applyProtection="1">
      <alignment vertical="top"/>
      <protection locked="0"/>
    </xf>
    <xf numFmtId="164" fontId="2" fillId="0" borderId="0" xfId="3" applyNumberFormat="1" applyFont="1" applyFill="1" applyAlignment="1" applyProtection="1">
      <alignment vertical="top"/>
      <protection locked="0"/>
    </xf>
    <xf numFmtId="41" fontId="2" fillId="0" borderId="0" xfId="3" applyNumberFormat="1" applyFont="1" applyFill="1" applyBorder="1" applyAlignment="1" applyProtection="1">
      <alignment vertical="top"/>
      <protection locked="0"/>
    </xf>
    <xf numFmtId="164" fontId="2" fillId="0" borderId="0" xfId="3" applyNumberFormat="1" applyFont="1" applyAlignment="1" applyProtection="1">
      <alignment vertical="top"/>
      <protection locked="0"/>
    </xf>
    <xf numFmtId="168" fontId="5" fillId="0" borderId="0" xfId="3" applyNumberFormat="1" applyFont="1" applyFill="1" applyAlignment="1" applyProtection="1">
      <alignment horizontal="left" vertical="top"/>
      <protection locked="0"/>
    </xf>
    <xf numFmtId="0" fontId="2" fillId="0" borderId="0" xfId="3" applyNumberFormat="1" applyFont="1" applyFill="1" applyAlignment="1" applyProtection="1">
      <alignment vertical="top"/>
      <protection locked="0"/>
    </xf>
    <xf numFmtId="3" fontId="2" fillId="0" borderId="0" xfId="3" applyNumberFormat="1" applyFont="1" applyAlignment="1" applyProtection="1">
      <alignment vertical="top"/>
      <protection locked="0"/>
    </xf>
    <xf numFmtId="3" fontId="2" fillId="0" borderId="0" xfId="3" applyNumberFormat="1" applyFont="1" applyAlignment="1" applyProtection="1">
      <alignment vertical="top"/>
    </xf>
    <xf numFmtId="164" fontId="2" fillId="0" borderId="0" xfId="3" applyNumberFormat="1" applyFont="1" applyAlignment="1" applyProtection="1">
      <alignment vertical="top"/>
    </xf>
    <xf numFmtId="164" fontId="10" fillId="0" borderId="0" xfId="3" applyNumberFormat="1" applyFont="1" applyFill="1" applyAlignment="1" applyProtection="1">
      <alignment vertical="top"/>
      <protection locked="0"/>
    </xf>
    <xf numFmtId="0" fontId="2" fillId="0" borderId="0" xfId="3" applyNumberFormat="1" applyFont="1" applyFill="1" applyBorder="1" applyAlignment="1" applyProtection="1">
      <alignment horizontal="right" vertical="top"/>
      <protection locked="0"/>
    </xf>
    <xf numFmtId="164" fontId="2" fillId="0" borderId="0" xfId="3" quotePrefix="1" applyNumberFormat="1" applyFont="1" applyFill="1" applyAlignment="1" applyProtection="1">
      <alignment horizontal="center" vertical="top"/>
      <protection locked="0"/>
    </xf>
    <xf numFmtId="0" fontId="2" fillId="0" borderId="0" xfId="3" quotePrefix="1" applyNumberFormat="1" applyFont="1" applyFill="1" applyAlignment="1" applyProtection="1">
      <alignment horizontal="center" vertical="top"/>
      <protection locked="0"/>
    </xf>
    <xf numFmtId="164" fontId="2" fillId="0" borderId="0" xfId="3" applyNumberFormat="1" applyFont="1" applyFill="1" applyAlignment="1" applyProtection="1">
      <alignment horizontal="left" vertical="top"/>
      <protection locked="0"/>
    </xf>
    <xf numFmtId="165" fontId="2" fillId="0" borderId="0" xfId="3" applyNumberFormat="1" applyFont="1" applyFill="1" applyBorder="1" applyAlignment="1" applyProtection="1">
      <alignment vertical="top"/>
      <protection locked="0"/>
    </xf>
    <xf numFmtId="37" fontId="2" fillId="0" borderId="0" xfId="3" applyNumberFormat="1" applyFont="1" applyFill="1" applyBorder="1" applyAlignment="1" applyProtection="1">
      <alignment vertical="top"/>
      <protection locked="0"/>
    </xf>
    <xf numFmtId="0" fontId="2" fillId="0" borderId="0" xfId="3" applyNumberFormat="1" applyFont="1" applyFill="1" applyBorder="1" applyAlignment="1" applyProtection="1">
      <alignment vertical="top"/>
      <protection locked="0"/>
    </xf>
    <xf numFmtId="165" fontId="2" fillId="0" borderId="0" xfId="3" applyNumberFormat="1" applyFont="1" applyFill="1" applyAlignment="1" applyProtection="1">
      <alignment vertical="top"/>
      <protection locked="0"/>
    </xf>
    <xf numFmtId="37" fontId="2" fillId="0" borderId="0" xfId="3" applyNumberFormat="1" applyFont="1" applyFill="1" applyAlignment="1" applyProtection="1">
      <alignment vertical="top"/>
      <protection locked="0"/>
    </xf>
    <xf numFmtId="164" fontId="40" fillId="0" borderId="0" xfId="3" applyNumberFormat="1" applyFont="1" applyFill="1" applyAlignment="1" applyProtection="1">
      <alignment horizontal="left" vertical="top"/>
      <protection locked="0"/>
    </xf>
    <xf numFmtId="37" fontId="5" fillId="0" borderId="0" xfId="3" applyNumberFormat="1" applyFont="1" applyFill="1" applyBorder="1" applyAlignment="1" applyProtection="1">
      <alignment vertical="top"/>
      <protection locked="0"/>
    </xf>
    <xf numFmtId="0" fontId="5" fillId="0" borderId="0" xfId="3" applyNumberFormat="1" applyFont="1" applyFill="1" applyBorder="1" applyAlignment="1" applyProtection="1">
      <alignment vertical="top"/>
      <protection locked="0"/>
    </xf>
    <xf numFmtId="165" fontId="5" fillId="0" borderId="0" xfId="3" applyNumberFormat="1" applyFont="1" applyFill="1" applyBorder="1" applyAlignment="1" applyProtection="1">
      <alignment vertical="top"/>
      <protection locked="0"/>
    </xf>
    <xf numFmtId="164" fontId="41" fillId="8" borderId="0" xfId="3" applyNumberFormat="1" applyFont="1" applyFill="1" applyAlignment="1" applyProtection="1">
      <alignment horizontal="left" vertical="top"/>
      <protection locked="0"/>
    </xf>
    <xf numFmtId="164" fontId="35" fillId="0" borderId="0" xfId="3" applyNumberFormat="1" applyFont="1" applyFill="1" applyAlignment="1" applyProtection="1">
      <alignment horizontal="justify" vertical="top" wrapText="1"/>
      <protection locked="0"/>
    </xf>
    <xf numFmtId="164" fontId="35" fillId="0" borderId="0" xfId="3" applyNumberFormat="1" applyFont="1" applyFill="1" applyAlignment="1" applyProtection="1">
      <alignment vertical="top" wrapText="1"/>
      <protection locked="0"/>
    </xf>
    <xf numFmtId="164" fontId="2" fillId="0" borderId="0" xfId="3" applyNumberFormat="1" applyFont="1" applyFill="1" applyAlignment="1" applyProtection="1">
      <alignment horizontal="left" vertical="top" wrapText="1"/>
      <protection locked="0"/>
    </xf>
    <xf numFmtId="41" fontId="5" fillId="0" borderId="0" xfId="3" applyNumberFormat="1" applyFont="1" applyFill="1" applyBorder="1" applyAlignment="1" applyProtection="1">
      <alignment vertical="top"/>
      <protection locked="0"/>
    </xf>
    <xf numFmtId="1" fontId="2" fillId="0" borderId="0" xfId="3" applyNumberFormat="1" applyFont="1" applyFill="1" applyAlignment="1" applyProtection="1">
      <alignment horizontal="left" vertical="top"/>
      <protection locked="0"/>
    </xf>
    <xf numFmtId="0" fontId="2" fillId="0" borderId="0" xfId="3" quotePrefix="1" applyNumberFormat="1" applyFont="1" applyFill="1" applyBorder="1" applyAlignment="1" applyProtection="1">
      <alignment horizontal="center" vertical="top"/>
      <protection locked="0"/>
    </xf>
    <xf numFmtId="0" fontId="2" fillId="0" borderId="0" xfId="3" quotePrefix="1" applyNumberFormat="1" applyFont="1" applyFill="1" applyBorder="1" applyAlignment="1" applyProtection="1">
      <alignment vertical="top"/>
      <protection locked="0"/>
    </xf>
    <xf numFmtId="0" fontId="2" fillId="0" borderId="0" xfId="3" quotePrefix="1" applyNumberFormat="1" applyFont="1" applyFill="1" applyBorder="1" applyAlignment="1" applyProtection="1">
      <alignment horizontal="right" vertical="top"/>
      <protection locked="0"/>
    </xf>
    <xf numFmtId="164" fontId="5" fillId="0" borderId="0" xfId="3" applyNumberFormat="1" applyFont="1" applyFill="1" applyBorder="1" applyAlignment="1" applyProtection="1">
      <alignment horizontal="left" vertical="top"/>
      <protection locked="0"/>
    </xf>
    <xf numFmtId="164" fontId="5" fillId="0" borderId="0" xfId="3" applyNumberFormat="1" applyFont="1" applyAlignment="1" applyProtection="1">
      <alignment vertical="top"/>
      <protection locked="0"/>
    </xf>
    <xf numFmtId="164" fontId="5" fillId="0" borderId="0" xfId="3" applyNumberFormat="1" applyFont="1" applyFill="1" applyBorder="1" applyAlignment="1" applyProtection="1">
      <alignment vertical="top" wrapText="1"/>
      <protection locked="0"/>
    </xf>
    <xf numFmtId="165" fontId="5" fillId="0" borderId="0" xfId="3" applyNumberFormat="1" applyFont="1" applyFill="1" applyBorder="1" applyAlignment="1" applyProtection="1">
      <alignment vertical="top" wrapText="1"/>
      <protection locked="0"/>
    </xf>
    <xf numFmtId="165" fontId="5" fillId="0" borderId="0" xfId="3" applyNumberFormat="1" applyFont="1" applyFill="1" applyBorder="1" applyAlignment="1" applyProtection="1">
      <alignment horizontal="right" vertical="top" wrapText="1"/>
      <protection locked="0"/>
    </xf>
    <xf numFmtId="164" fontId="2" fillId="0" borderId="0" xfId="3" applyNumberFormat="1" applyFont="1" applyFill="1" applyBorder="1" applyAlignment="1" applyProtection="1">
      <alignment vertical="top" wrapText="1"/>
      <protection locked="0"/>
    </xf>
    <xf numFmtId="165" fontId="2" fillId="0" borderId="0" xfId="3" applyNumberFormat="1" applyFont="1" applyFill="1" applyBorder="1" applyAlignment="1" applyProtection="1">
      <alignment vertical="top" wrapText="1"/>
      <protection locked="0"/>
    </xf>
    <xf numFmtId="165" fontId="2" fillId="0" borderId="0" xfId="3" applyNumberFormat="1" applyFont="1" applyFill="1" applyBorder="1" applyAlignment="1" applyProtection="1">
      <alignment horizontal="right" vertical="top" wrapText="1"/>
      <protection locked="0"/>
    </xf>
    <xf numFmtId="166" fontId="2" fillId="0" borderId="0" xfId="4" applyNumberFormat="1" applyFont="1" applyFill="1" applyBorder="1" applyAlignment="1" applyProtection="1">
      <alignment vertical="top"/>
      <protection locked="0"/>
    </xf>
    <xf numFmtId="166" fontId="5" fillId="0" borderId="0" xfId="4" applyNumberFormat="1" applyFont="1" applyFill="1" applyBorder="1" applyAlignment="1" applyProtection="1">
      <alignment vertical="top"/>
      <protection locked="0"/>
    </xf>
    <xf numFmtId="3" fontId="5" fillId="0" borderId="0" xfId="3" applyNumberFormat="1" applyFont="1" applyAlignment="1" applyProtection="1">
      <alignment vertical="top"/>
      <protection locked="0"/>
    </xf>
    <xf numFmtId="3" fontId="5" fillId="0" borderId="0" xfId="3" applyNumberFormat="1" applyFont="1" applyAlignment="1" applyProtection="1">
      <alignment vertical="top"/>
    </xf>
    <xf numFmtId="164" fontId="5" fillId="0" borderId="0" xfId="3" applyNumberFormat="1" applyFont="1" applyAlignment="1" applyProtection="1">
      <alignment vertical="top"/>
    </xf>
    <xf numFmtId="164" fontId="2" fillId="0" borderId="0" xfId="3" applyNumberFormat="1" applyFont="1" applyFill="1" applyBorder="1" applyAlignment="1" applyProtection="1">
      <alignment horizontal="left" vertical="top"/>
      <protection locked="0"/>
    </xf>
    <xf numFmtId="166" fontId="2" fillId="0" borderId="0" xfId="4" applyNumberFormat="1" applyFont="1" applyFill="1" applyBorder="1" applyAlignment="1" applyProtection="1">
      <alignment vertical="top" wrapText="1"/>
      <protection locked="0"/>
    </xf>
    <xf numFmtId="164" fontId="40" fillId="0" borderId="0" xfId="3" applyNumberFormat="1" applyFont="1" applyFill="1" applyBorder="1" applyAlignment="1" applyProtection="1">
      <alignment horizontal="left" vertical="top"/>
      <protection locked="0"/>
    </xf>
    <xf numFmtId="164" fontId="2" fillId="0" borderId="0" xfId="3" applyNumberFormat="1" applyFont="1" applyFill="1" applyBorder="1" applyAlignment="1" applyProtection="1">
      <alignment vertical="top"/>
      <protection locked="0"/>
    </xf>
    <xf numFmtId="0" fontId="35" fillId="0" borderId="0" xfId="8" applyFont="1" applyAlignment="1">
      <alignment vertical="top"/>
    </xf>
    <xf numFmtId="0" fontId="37" fillId="0" borderId="0" xfId="8" applyFont="1" applyFill="1" applyAlignment="1">
      <alignment horizontal="justify" vertical="top"/>
    </xf>
    <xf numFmtId="164" fontId="2" fillId="0" borderId="0" xfId="9" applyNumberFormat="1" applyFont="1" applyFill="1" applyAlignment="1" applyProtection="1">
      <alignment vertical="top"/>
      <protection locked="0"/>
    </xf>
    <xf numFmtId="41" fontId="2" fillId="0" borderId="0" xfId="9" applyNumberFormat="1" applyFont="1" applyFill="1" applyBorder="1" applyAlignment="1" applyProtection="1">
      <alignment vertical="top"/>
      <protection locked="0"/>
    </xf>
    <xf numFmtId="164" fontId="2" fillId="0" borderId="0" xfId="9" applyNumberFormat="1" applyFont="1" applyFill="1" applyBorder="1" applyAlignment="1" applyProtection="1">
      <alignment wrapText="1"/>
      <protection locked="0"/>
    </xf>
    <xf numFmtId="41" fontId="2" fillId="0" borderId="0" xfId="9" applyNumberFormat="1" applyFont="1" applyFill="1" applyBorder="1" applyAlignment="1" applyProtection="1">
      <alignment wrapText="1"/>
      <protection locked="0"/>
    </xf>
    <xf numFmtId="164" fontId="2" fillId="0" borderId="1" xfId="9" applyNumberFormat="1" applyFont="1" applyFill="1" applyBorder="1" applyAlignment="1" applyProtection="1">
      <alignment horizontal="left" wrapText="1"/>
      <protection locked="0"/>
    </xf>
    <xf numFmtId="41" fontId="2" fillId="0" borderId="1" xfId="9" applyNumberFormat="1" applyFont="1" applyFill="1" applyBorder="1" applyAlignment="1" applyProtection="1">
      <alignment horizontal="center" wrapText="1"/>
      <protection locked="0"/>
    </xf>
    <xf numFmtId="0" fontId="2" fillId="0" borderId="1" xfId="9" applyNumberFormat="1" applyFont="1" applyFill="1" applyBorder="1" applyAlignment="1" applyProtection="1">
      <alignment horizontal="left" wrapText="1"/>
      <protection locked="0"/>
    </xf>
    <xf numFmtId="164" fontId="2" fillId="0" borderId="0" xfId="9" applyNumberFormat="1" applyFont="1" applyFill="1" applyBorder="1" applyAlignment="1" applyProtection="1">
      <alignment vertical="top" wrapText="1"/>
      <protection locked="0"/>
    </xf>
    <xf numFmtId="37" fontId="2" fillId="0" borderId="0" xfId="9" applyNumberFormat="1" applyFont="1" applyFill="1" applyBorder="1" applyAlignment="1" applyProtection="1">
      <alignment vertical="top" shrinkToFit="1"/>
      <protection locked="0"/>
    </xf>
    <xf numFmtId="164" fontId="2" fillId="0" borderId="0" xfId="9" applyNumberFormat="1" applyFont="1" applyFill="1" applyBorder="1" applyAlignment="1" applyProtection="1">
      <alignment horizontal="left" vertical="top" wrapText="1"/>
      <protection locked="0"/>
    </xf>
    <xf numFmtId="9" fontId="2" fillId="0" borderId="0" xfId="9" applyNumberFormat="1" applyFont="1" applyFill="1" applyBorder="1" applyAlignment="1" applyProtection="1">
      <alignment horizontal="center" vertical="top"/>
      <protection locked="0"/>
    </xf>
    <xf numFmtId="0" fontId="2" fillId="0" borderId="0" xfId="9" applyNumberFormat="1" applyFont="1" applyFill="1" applyBorder="1" applyAlignment="1" applyProtection="1">
      <alignment horizontal="left" vertical="top" wrapText="1"/>
      <protection locked="0"/>
    </xf>
    <xf numFmtId="0" fontId="12" fillId="0" borderId="0" xfId="8" applyFont="1" applyAlignment="1" applyProtection="1">
      <alignment vertical="top"/>
      <protection locked="0"/>
    </xf>
    <xf numFmtId="0" fontId="5" fillId="0" borderId="0" xfId="8" applyFont="1" applyAlignment="1" applyProtection="1">
      <alignment vertical="top"/>
      <protection locked="0"/>
    </xf>
    <xf numFmtId="0" fontId="5" fillId="0" borderId="0" xfId="8" quotePrefix="1" applyFont="1" applyAlignment="1" applyProtection="1">
      <alignment vertical="top"/>
      <protection locked="0"/>
    </xf>
    <xf numFmtId="164" fontId="2" fillId="0" borderId="0" xfId="9" applyNumberFormat="1" applyFont="1" applyFill="1" applyBorder="1" applyAlignment="1" applyProtection="1">
      <alignment vertical="top"/>
      <protection locked="0"/>
    </xf>
    <xf numFmtId="164" fontId="2" fillId="0" borderId="0" xfId="9" applyNumberFormat="1" applyFont="1" applyFill="1" applyBorder="1" applyAlignment="1" applyProtection="1">
      <alignment horizontal="left" vertical="top"/>
      <protection locked="0"/>
    </xf>
    <xf numFmtId="41" fontId="2" fillId="0" borderId="0" xfId="9" applyNumberFormat="1" applyFont="1" applyFill="1" applyBorder="1" applyAlignment="1" applyProtection="1">
      <alignment horizontal="left" vertical="top"/>
      <protection locked="0"/>
    </xf>
    <xf numFmtId="0" fontId="2" fillId="0" borderId="0" xfId="9" applyNumberFormat="1" applyFont="1" applyFill="1" applyBorder="1" applyAlignment="1" applyProtection="1">
      <alignment horizontal="left" vertical="top"/>
      <protection locked="0"/>
    </xf>
    <xf numFmtId="164" fontId="7" fillId="0" borderId="0" xfId="3" applyNumberFormat="1" applyFont="1" applyAlignment="1" applyProtection="1">
      <alignment vertical="top"/>
      <protection locked="0"/>
    </xf>
    <xf numFmtId="168" fontId="13" fillId="0" borderId="0" xfId="3" applyNumberFormat="1" applyFont="1" applyFill="1" applyAlignment="1" applyProtection="1">
      <alignment horizontal="left" vertical="top"/>
      <protection locked="0"/>
    </xf>
    <xf numFmtId="164" fontId="13" fillId="0" borderId="0" xfId="3" applyNumberFormat="1" applyFont="1" applyFill="1" applyAlignment="1" applyProtection="1">
      <alignment horizontal="left" vertical="top"/>
      <protection locked="0"/>
    </xf>
    <xf numFmtId="0" fontId="2" fillId="0" borderId="0" xfId="3" applyNumberFormat="1" applyFont="1" applyFill="1" applyAlignment="1" applyProtection="1">
      <alignment vertical="top" wrapText="1"/>
      <protection locked="0"/>
    </xf>
    <xf numFmtId="0" fontId="2" fillId="0" borderId="0" xfId="8" applyFont="1" applyAlignment="1" applyProtection="1">
      <alignment vertical="top"/>
      <protection locked="0"/>
    </xf>
    <xf numFmtId="164" fontId="37" fillId="0" borderId="0" xfId="5" applyFont="1"/>
    <xf numFmtId="0" fontId="2" fillId="0" borderId="0" xfId="8" applyNumberFormat="1" applyFont="1" applyAlignment="1" applyProtection="1">
      <alignment vertical="top"/>
      <protection locked="0"/>
    </xf>
    <xf numFmtId="165" fontId="2" fillId="0" borderId="0" xfId="3" applyNumberFormat="1" applyFont="1" applyFill="1" applyBorder="1" applyAlignment="1" applyProtection="1">
      <alignment horizontal="right" vertical="top"/>
      <protection locked="0"/>
    </xf>
    <xf numFmtId="168" fontId="2" fillId="0" borderId="0" xfId="3" applyNumberFormat="1" applyFont="1" applyFill="1" applyAlignment="1" applyProtection="1">
      <alignment horizontal="left" vertical="top"/>
      <protection locked="0"/>
    </xf>
    <xf numFmtId="165" fontId="5" fillId="0" borderId="0" xfId="3" applyNumberFormat="1" applyFont="1" applyFill="1" applyBorder="1" applyAlignment="1" applyProtection="1">
      <alignment horizontal="right" vertical="top"/>
      <protection locked="0"/>
    </xf>
    <xf numFmtId="164" fontId="2" fillId="0" borderId="0" xfId="3" applyNumberFormat="1" applyFont="1" applyAlignment="1" applyProtection="1">
      <alignment horizontal="right" vertical="top"/>
      <protection locked="0"/>
    </xf>
    <xf numFmtId="164" fontId="5" fillId="0" borderId="0" xfId="3" applyNumberFormat="1" applyFont="1" applyAlignment="1" applyProtection="1">
      <alignment horizontal="right" vertical="top"/>
      <protection locked="0"/>
    </xf>
    <xf numFmtId="164" fontId="2" fillId="0" borderId="0" xfId="3" applyNumberFormat="1" applyFont="1" applyFill="1" applyAlignment="1" applyProtection="1">
      <alignment vertical="top"/>
    </xf>
    <xf numFmtId="164" fontId="43" fillId="0" borderId="0" xfId="3" applyNumberFormat="1" applyFont="1" applyFill="1" applyAlignment="1" applyProtection="1">
      <alignment vertical="top"/>
      <protection locked="0"/>
    </xf>
    <xf numFmtId="165" fontId="5" fillId="5" borderId="0" xfId="1" applyNumberFormat="1" applyFont="1" applyFill="1" applyBorder="1" applyAlignment="1" applyProtection="1">
      <alignment vertical="top" shrinkToFit="1"/>
      <protection locked="0"/>
    </xf>
    <xf numFmtId="165" fontId="5" fillId="7" borderId="0" xfId="1" applyNumberFormat="1" applyFont="1" applyFill="1" applyBorder="1" applyAlignment="1" applyProtection="1">
      <alignment vertical="top"/>
      <protection locked="0"/>
    </xf>
    <xf numFmtId="164" fontId="35" fillId="0" borderId="0" xfId="3" applyNumberFormat="1" applyFont="1" applyFill="1" applyAlignment="1" applyProtection="1">
      <alignment vertical="top"/>
      <protection locked="0"/>
    </xf>
    <xf numFmtId="164" fontId="12" fillId="0" borderId="0" xfId="3" quotePrefix="1" applyNumberFormat="1" applyFont="1" applyFill="1" applyAlignment="1" applyProtection="1">
      <alignment horizontal="left" vertical="top"/>
      <protection locked="0"/>
    </xf>
    <xf numFmtId="164" fontId="12" fillId="0" borderId="0" xfId="3" applyNumberFormat="1" applyFont="1" applyFill="1" applyAlignment="1" applyProtection="1">
      <alignment vertical="top"/>
      <protection locked="0"/>
    </xf>
    <xf numFmtId="164" fontId="12" fillId="0" borderId="0" xfId="3" applyNumberFormat="1" applyFont="1" applyFill="1" applyAlignment="1" applyProtection="1">
      <alignment horizontal="right" vertical="top"/>
      <protection locked="0"/>
    </xf>
    <xf numFmtId="3" fontId="5" fillId="0" borderId="0" xfId="3" applyNumberFormat="1" applyFont="1" applyFill="1" applyAlignment="1" applyProtection="1">
      <alignment vertical="top"/>
      <protection locked="0"/>
    </xf>
    <xf numFmtId="165" fontId="2" fillId="0" borderId="0" xfId="4" applyNumberFormat="1" applyFont="1" applyFill="1" applyBorder="1" applyAlignment="1" applyProtection="1">
      <alignment vertical="top" wrapText="1"/>
      <protection locked="0"/>
    </xf>
    <xf numFmtId="165" fontId="2" fillId="0" borderId="0" xfId="4" applyNumberFormat="1" applyFont="1" applyFill="1" applyBorder="1" applyAlignment="1" applyProtection="1">
      <alignment vertical="top"/>
      <protection locked="0"/>
    </xf>
    <xf numFmtId="164" fontId="2" fillId="0" borderId="0" xfId="3" quotePrefix="1" applyNumberFormat="1" applyFont="1" applyFill="1" applyAlignment="1" applyProtection="1">
      <alignment vertical="top"/>
      <protection locked="0"/>
    </xf>
    <xf numFmtId="165" fontId="5" fillId="0" borderId="0" xfId="4" applyNumberFormat="1" applyFont="1" applyFill="1" applyBorder="1" applyAlignment="1" applyProtection="1">
      <alignment vertical="top" wrapText="1"/>
      <protection locked="0"/>
    </xf>
    <xf numFmtId="164" fontId="44" fillId="0" borderId="0" xfId="3" applyNumberFormat="1" applyFont="1" applyFill="1" applyAlignment="1" applyProtection="1">
      <alignment vertical="top"/>
      <protection locked="0"/>
    </xf>
    <xf numFmtId="41" fontId="2" fillId="0" borderId="0" xfId="3" applyNumberFormat="1" applyFont="1" applyFill="1" applyBorder="1" applyAlignment="1" applyProtection="1">
      <alignment horizontal="right" vertical="top"/>
      <protection locked="0"/>
    </xf>
    <xf numFmtId="3" fontId="2" fillId="0" borderId="0" xfId="3" applyNumberFormat="1" applyFont="1" applyFill="1" applyAlignment="1" applyProtection="1">
      <alignment vertical="top"/>
      <protection locked="0"/>
    </xf>
    <xf numFmtId="3" fontId="2" fillId="0" borderId="0" xfId="3" applyNumberFormat="1" applyFont="1" applyFill="1" applyAlignment="1" applyProtection="1">
      <alignment vertical="top"/>
    </xf>
    <xf numFmtId="0" fontId="2" fillId="0" borderId="0" xfId="3" applyNumberFormat="1" applyFont="1" applyFill="1" applyAlignment="1" applyProtection="1">
      <alignment horizontal="justify" vertical="top" wrapText="1"/>
      <protection locked="0"/>
    </xf>
    <xf numFmtId="41" fontId="2" fillId="0" borderId="0" xfId="3" applyNumberFormat="1" applyFont="1" applyFill="1" applyBorder="1" applyAlignment="1" applyProtection="1">
      <alignment vertical="top"/>
    </xf>
    <xf numFmtId="3" fontId="5" fillId="0" borderId="0" xfId="3" applyNumberFormat="1" applyFont="1" applyFill="1" applyAlignment="1" applyProtection="1">
      <alignment horizontal="left" vertical="top"/>
      <protection locked="0"/>
    </xf>
    <xf numFmtId="3" fontId="2" fillId="0" borderId="0" xfId="3" applyNumberFormat="1" applyFont="1" applyFill="1" applyAlignment="1" applyProtection="1">
      <alignment horizontal="left" vertical="top"/>
      <protection locked="0"/>
    </xf>
    <xf numFmtId="165" fontId="2" fillId="0" borderId="0" xfId="3" applyNumberFormat="1" applyFont="1" applyFill="1" applyBorder="1" applyAlignment="1" applyProtection="1">
      <alignment horizontal="left" vertical="top"/>
      <protection locked="0"/>
    </xf>
    <xf numFmtId="164" fontId="35" fillId="0" borderId="0" xfId="3" applyNumberFormat="1" applyFont="1" applyFill="1" applyBorder="1" applyAlignment="1" applyProtection="1">
      <alignment horizontal="left" vertical="top"/>
      <protection locked="0"/>
    </xf>
    <xf numFmtId="41" fontId="2" fillId="0" borderId="0" xfId="3" quotePrefix="1" applyNumberFormat="1" applyFont="1" applyFill="1" applyBorder="1" applyAlignment="1" applyProtection="1">
      <alignment vertical="top"/>
      <protection locked="0"/>
    </xf>
    <xf numFmtId="165" fontId="5" fillId="0" borderId="0" xfId="3" quotePrefix="1" applyNumberFormat="1" applyFont="1" applyFill="1" applyBorder="1" applyAlignment="1" applyProtection="1">
      <alignment vertical="top"/>
      <protection locked="0"/>
    </xf>
    <xf numFmtId="165" fontId="5" fillId="0" borderId="0" xfId="3" quotePrefix="1" applyNumberFormat="1" applyFont="1" applyFill="1" applyBorder="1" applyAlignment="1" applyProtection="1">
      <alignment horizontal="right" vertical="top"/>
      <protection locked="0"/>
    </xf>
    <xf numFmtId="165" fontId="5" fillId="0" borderId="0" xfId="1" applyNumberFormat="1" applyFont="1" applyFill="1" applyBorder="1" applyAlignment="1" applyProtection="1">
      <alignment vertical="top"/>
      <protection locked="0"/>
    </xf>
    <xf numFmtId="3" fontId="5" fillId="0" borderId="0" xfId="3" applyNumberFormat="1" applyFont="1" applyFill="1" applyAlignment="1" applyProtection="1">
      <alignment vertical="top"/>
    </xf>
    <xf numFmtId="164" fontId="5" fillId="0" borderId="0" xfId="3" applyNumberFormat="1" applyFont="1" applyFill="1" applyAlignment="1" applyProtection="1">
      <alignment vertical="top"/>
    </xf>
    <xf numFmtId="165" fontId="2" fillId="0" borderId="0" xfId="3" quotePrefix="1" applyNumberFormat="1" applyFont="1" applyFill="1" applyBorder="1" applyAlignment="1" applyProtection="1">
      <alignment vertical="top"/>
      <protection locked="0"/>
    </xf>
    <xf numFmtId="165" fontId="2" fillId="0" borderId="0" xfId="3" quotePrefix="1" applyNumberFormat="1" applyFont="1" applyFill="1" applyBorder="1" applyAlignment="1" applyProtection="1">
      <alignment horizontal="right" vertical="top"/>
      <protection locked="0"/>
    </xf>
    <xf numFmtId="164" fontId="41" fillId="0" borderId="0" xfId="3" applyNumberFormat="1" applyFont="1" applyFill="1" applyAlignment="1" applyProtection="1">
      <alignment horizontal="left" vertical="top"/>
      <protection locked="0"/>
    </xf>
    <xf numFmtId="165" fontId="5" fillId="0" borderId="1" xfId="3" applyNumberFormat="1" applyFont="1" applyFill="1" applyBorder="1" applyAlignment="1" applyProtection="1">
      <alignment vertical="top" wrapText="1"/>
      <protection locked="0"/>
    </xf>
    <xf numFmtId="164" fontId="2" fillId="0" borderId="0" xfId="9" quotePrefix="1" applyNumberFormat="1" applyFont="1" applyFill="1" applyAlignment="1" applyProtection="1">
      <alignment vertical="top"/>
      <protection locked="0"/>
    </xf>
    <xf numFmtId="164" fontId="2" fillId="0" borderId="0" xfId="9" applyNumberFormat="1" applyFont="1" applyFill="1" applyAlignment="1" applyProtection="1">
      <alignment vertical="top" wrapText="1"/>
      <protection locked="0"/>
    </xf>
    <xf numFmtId="164" fontId="2" fillId="0" borderId="0" xfId="9" quotePrefix="1" applyNumberFormat="1" applyFont="1" applyFill="1" applyAlignment="1" applyProtection="1">
      <alignment vertical="top" wrapText="1"/>
      <protection locked="0"/>
    </xf>
    <xf numFmtId="164" fontId="14" fillId="0" borderId="0" xfId="3" applyNumberFormat="1" applyFont="1" applyFill="1" applyAlignment="1" applyProtection="1">
      <alignment vertical="top"/>
      <protection locked="0"/>
    </xf>
    <xf numFmtId="0" fontId="2" fillId="0" borderId="6" xfId="3" quotePrefix="1" applyNumberFormat="1" applyFont="1" applyFill="1" applyBorder="1" applyAlignment="1" applyProtection="1">
      <alignment vertical="top" wrapText="1"/>
      <protection locked="0"/>
    </xf>
    <xf numFmtId="0" fontId="2" fillId="0" borderId="0" xfId="3" quotePrefix="1" applyNumberFormat="1" applyFont="1" applyFill="1" applyBorder="1" applyAlignment="1" applyProtection="1">
      <alignment vertical="top" wrapText="1"/>
      <protection locked="0"/>
    </xf>
    <xf numFmtId="164" fontId="35" fillId="0" borderId="0" xfId="3" applyNumberFormat="1" applyFont="1" applyFill="1" applyAlignment="1" applyProtection="1">
      <alignment horizontal="left" vertical="top"/>
      <protection locked="0"/>
    </xf>
    <xf numFmtId="164" fontId="36" fillId="0" borderId="0" xfId="3" applyNumberFormat="1" applyFont="1" applyFill="1" applyAlignment="1" applyProtection="1">
      <alignment horizontal="left" vertical="top"/>
      <protection locked="0"/>
    </xf>
    <xf numFmtId="165" fontId="2" fillId="0" borderId="0" xfId="4" applyNumberFormat="1" applyFont="1" applyFill="1" applyBorder="1" applyAlignment="1" applyProtection="1">
      <alignment horizontal="right" vertical="top"/>
      <protection locked="0"/>
    </xf>
    <xf numFmtId="165" fontId="5" fillId="0" borderId="0" xfId="4" applyNumberFormat="1" applyFont="1" applyFill="1" applyBorder="1" applyAlignment="1" applyProtection="1">
      <alignment vertical="top"/>
      <protection locked="0"/>
    </xf>
    <xf numFmtId="166" fontId="2" fillId="0" borderId="0" xfId="4" applyNumberFormat="1" applyFont="1" applyFill="1" applyAlignment="1" applyProtection="1">
      <alignment vertical="top"/>
      <protection locked="0"/>
    </xf>
    <xf numFmtId="169" fontId="2" fillId="0" borderId="0" xfId="4" applyNumberFormat="1" applyFont="1" applyFill="1" applyBorder="1" applyAlignment="1" applyProtection="1">
      <alignment vertical="top"/>
      <protection locked="0"/>
    </xf>
    <xf numFmtId="164" fontId="5" fillId="0" borderId="0" xfId="3" quotePrefix="1" applyNumberFormat="1" applyFont="1" applyFill="1" applyAlignment="1" applyProtection="1">
      <alignment vertical="top"/>
      <protection locked="0"/>
    </xf>
    <xf numFmtId="164" fontId="5" fillId="0" borderId="0" xfId="3" quotePrefix="1" applyNumberFormat="1" applyFont="1" applyFill="1" applyAlignment="1" applyProtection="1">
      <alignment horizontal="center" vertical="top"/>
      <protection locked="0"/>
    </xf>
    <xf numFmtId="0" fontId="5" fillId="0" borderId="0" xfId="3" quotePrefix="1" applyNumberFormat="1" applyFont="1" applyFill="1" applyAlignment="1" applyProtection="1">
      <alignment horizontal="center" vertical="top"/>
      <protection locked="0"/>
    </xf>
    <xf numFmtId="164" fontId="5" fillId="0" borderId="0" xfId="9" applyNumberFormat="1" applyFont="1" applyFill="1" applyAlignment="1" applyProtection="1">
      <alignment vertical="top"/>
      <protection locked="0"/>
    </xf>
    <xf numFmtId="164" fontId="45" fillId="9" borderId="0" xfId="9" applyNumberFormat="1" applyFont="1" applyFill="1" applyBorder="1" applyAlignment="1" applyProtection="1">
      <alignment vertical="center"/>
      <protection locked="0"/>
    </xf>
    <xf numFmtId="49" fontId="45" fillId="9" borderId="0" xfId="9" applyNumberFormat="1" applyFont="1" applyFill="1" applyBorder="1" applyAlignment="1" applyProtection="1">
      <alignment vertical="center" wrapText="1"/>
      <protection locked="0"/>
    </xf>
    <xf numFmtId="164" fontId="19" fillId="0" borderId="0" xfId="3" applyNumberFormat="1" applyFont="1" applyAlignment="1" applyProtection="1">
      <alignment vertical="top"/>
      <protection locked="0"/>
    </xf>
    <xf numFmtId="168" fontId="45" fillId="0" borderId="0" xfId="3" applyNumberFormat="1" applyFont="1" applyFill="1" applyAlignment="1" applyProtection="1">
      <alignment horizontal="left" vertical="top"/>
      <protection locked="0"/>
    </xf>
    <xf numFmtId="164" fontId="45" fillId="0" borderId="0" xfId="3" applyNumberFormat="1" applyFont="1" applyFill="1" applyAlignment="1" applyProtection="1">
      <alignment horizontal="left" vertical="top"/>
      <protection locked="0"/>
    </xf>
    <xf numFmtId="164" fontId="45" fillId="9" borderId="0" xfId="9" applyNumberFormat="1" applyFont="1" applyFill="1" applyBorder="1" applyAlignment="1" applyProtection="1">
      <alignment vertical="center" wrapText="1"/>
      <protection locked="0"/>
    </xf>
    <xf numFmtId="164" fontId="5" fillId="0" borderId="0" xfId="3" applyNumberFormat="1" applyFont="1" applyFill="1" applyBorder="1" applyAlignment="1" applyProtection="1">
      <alignment horizontal="center" vertical="top"/>
      <protection locked="0"/>
    </xf>
    <xf numFmtId="0" fontId="5" fillId="0" borderId="0" xfId="3" applyNumberFormat="1" applyFont="1" applyFill="1" applyBorder="1" applyAlignment="1" applyProtection="1">
      <alignment horizontal="center" vertical="top"/>
      <protection locked="0"/>
    </xf>
    <xf numFmtId="164" fontId="5" fillId="0" borderId="0" xfId="9" applyNumberFormat="1" applyFont="1" applyFill="1" applyBorder="1" applyAlignment="1" applyProtection="1">
      <alignment vertical="center"/>
      <protection locked="0"/>
    </xf>
    <xf numFmtId="164" fontId="2" fillId="0" borderId="0" xfId="9" applyNumberFormat="1" applyFont="1" applyFill="1" applyBorder="1" applyAlignment="1" applyProtection="1">
      <alignment horizontal="right" wrapText="1"/>
      <protection locked="0"/>
    </xf>
    <xf numFmtId="41" fontId="2" fillId="0" borderId="0" xfId="9" applyNumberFormat="1" applyFont="1" applyFill="1" applyBorder="1" applyAlignment="1" applyProtection="1">
      <alignment horizontal="right" wrapText="1"/>
      <protection locked="0"/>
    </xf>
    <xf numFmtId="164" fontId="5" fillId="0" borderId="0" xfId="9" applyNumberFormat="1" applyFont="1" applyFill="1" applyBorder="1" applyAlignment="1" applyProtection="1">
      <alignment horizontal="left" vertical="center"/>
      <protection locked="0"/>
    </xf>
    <xf numFmtId="165" fontId="2" fillId="0" borderId="0" xfId="9" applyNumberFormat="1" applyFont="1" applyFill="1" applyBorder="1" applyAlignment="1" applyProtection="1">
      <alignment vertical="top" shrinkToFit="1"/>
      <protection locked="0"/>
    </xf>
    <xf numFmtId="164" fontId="2" fillId="0" borderId="0" xfId="3" applyNumberFormat="1" applyFont="1" applyFill="1" applyBorder="1" applyAlignment="1" applyProtection="1">
      <alignment vertical="top" shrinkToFit="1"/>
      <protection locked="0"/>
    </xf>
    <xf numFmtId="0" fontId="2" fillId="0" borderId="0" xfId="3" applyNumberFormat="1" applyFont="1" applyFill="1" applyBorder="1" applyAlignment="1" applyProtection="1">
      <alignment vertical="top" shrinkToFit="1"/>
      <protection locked="0"/>
    </xf>
    <xf numFmtId="165" fontId="5" fillId="0" borderId="0" xfId="9" applyNumberFormat="1" applyFont="1" applyFill="1" applyBorder="1" applyAlignment="1" applyProtection="1">
      <alignment vertical="top"/>
      <protection locked="0"/>
    </xf>
    <xf numFmtId="3" fontId="5" fillId="0" borderId="0" xfId="3" applyNumberFormat="1" applyFont="1" applyFill="1" applyAlignment="1" applyProtection="1">
      <alignment vertical="top" shrinkToFit="1"/>
      <protection locked="0"/>
    </xf>
    <xf numFmtId="0" fontId="5" fillId="0" borderId="0" xfId="3" applyNumberFormat="1" applyFont="1" applyFill="1" applyAlignment="1" applyProtection="1">
      <alignment vertical="top" shrinkToFit="1"/>
      <protection locked="0"/>
    </xf>
    <xf numFmtId="165" fontId="2" fillId="0" borderId="0" xfId="9" applyNumberFormat="1" applyFont="1" applyFill="1" applyAlignment="1" applyProtection="1">
      <alignment vertical="top"/>
      <protection locked="0"/>
    </xf>
    <xf numFmtId="3" fontId="2" fillId="0" borderId="0" xfId="3" applyNumberFormat="1" applyFont="1" applyFill="1" applyAlignment="1" applyProtection="1">
      <alignment vertical="top" shrinkToFit="1"/>
      <protection locked="0"/>
    </xf>
    <xf numFmtId="0" fontId="2" fillId="0" borderId="0" xfId="3" applyNumberFormat="1" applyFont="1" applyFill="1" applyAlignment="1" applyProtection="1">
      <alignment vertical="top" shrinkToFit="1"/>
      <protection locked="0"/>
    </xf>
    <xf numFmtId="165" fontId="2" fillId="0" borderId="0" xfId="9" applyNumberFormat="1" applyFont="1" applyFill="1" applyBorder="1" applyAlignment="1" applyProtection="1">
      <alignment vertical="top"/>
      <protection locked="0"/>
    </xf>
    <xf numFmtId="3" fontId="5" fillId="0" borderId="0" xfId="9" applyNumberFormat="1" applyFont="1" applyFill="1" applyAlignment="1" applyProtection="1">
      <alignment vertical="top" shrinkToFit="1"/>
      <protection locked="0"/>
    </xf>
    <xf numFmtId="0" fontId="5" fillId="0" borderId="0" xfId="9" applyNumberFormat="1" applyFont="1" applyFill="1" applyAlignment="1" applyProtection="1">
      <alignment vertical="top" shrinkToFit="1"/>
      <protection locked="0"/>
    </xf>
    <xf numFmtId="3" fontId="5" fillId="0" borderId="0" xfId="3" applyNumberFormat="1" applyFont="1" applyFill="1" applyBorder="1" applyAlignment="1" applyProtection="1">
      <alignment vertical="top" shrinkToFit="1"/>
      <protection locked="0"/>
    </xf>
    <xf numFmtId="0" fontId="5" fillId="0" borderId="0" xfId="3" applyNumberFormat="1" applyFont="1" applyFill="1" applyBorder="1" applyAlignment="1" applyProtection="1">
      <alignment vertical="top" shrinkToFit="1"/>
      <protection locked="0"/>
    </xf>
    <xf numFmtId="0" fontId="28" fillId="0" borderId="0" xfId="10" applyNumberFormat="1" applyFont="1" applyFill="1" applyBorder="1" applyAlignment="1" applyProtection="1">
      <alignment vertical="top" wrapText="1"/>
      <protection locked="0"/>
    </xf>
    <xf numFmtId="165" fontId="5" fillId="0" borderId="0" xfId="9" applyNumberFormat="1" applyFont="1" applyFill="1" applyBorder="1" applyAlignment="1" applyProtection="1">
      <alignment vertical="top" shrinkToFit="1"/>
      <protection locked="0"/>
    </xf>
    <xf numFmtId="165" fontId="5" fillId="0" borderId="0" xfId="3" applyNumberFormat="1" applyFont="1" applyFill="1" applyBorder="1" applyAlignment="1" applyProtection="1">
      <alignment vertical="top" shrinkToFit="1"/>
      <protection locked="0"/>
    </xf>
    <xf numFmtId="164" fontId="16" fillId="0" borderId="0" xfId="10" applyNumberFormat="1" applyFont="1" applyFill="1" applyBorder="1" applyAlignment="1" applyProtection="1">
      <alignment horizontal="left" vertical="top" wrapText="1"/>
      <protection locked="0"/>
    </xf>
    <xf numFmtId="164" fontId="36" fillId="0" borderId="0" xfId="9" applyNumberFormat="1" applyFont="1" applyFill="1" applyAlignment="1" applyProtection="1">
      <alignment vertical="top"/>
      <protection locked="0"/>
    </xf>
    <xf numFmtId="164" fontId="2" fillId="0" borderId="0" xfId="9" applyNumberFormat="1" applyFont="1" applyFill="1" applyAlignment="1" applyProtection="1">
      <alignment vertical="top" shrinkToFit="1"/>
      <protection locked="0"/>
    </xf>
    <xf numFmtId="164" fontId="2" fillId="0" borderId="0" xfId="9" applyNumberFormat="1" applyFont="1" applyFill="1" applyBorder="1" applyAlignment="1" applyProtection="1">
      <alignment vertical="top" shrinkToFit="1"/>
      <protection locked="0"/>
    </xf>
    <xf numFmtId="41" fontId="2" fillId="0" borderId="0" xfId="9" applyNumberFormat="1" applyFont="1" applyFill="1" applyBorder="1" applyAlignment="1" applyProtection="1">
      <alignment vertical="top" shrinkToFit="1"/>
      <protection locked="0"/>
    </xf>
    <xf numFmtId="41" fontId="2" fillId="0" borderId="0" xfId="3" applyNumberFormat="1" applyFont="1" applyFill="1" applyBorder="1" applyAlignment="1" applyProtection="1">
      <alignment vertical="top" shrinkToFit="1"/>
      <protection locked="0"/>
    </xf>
    <xf numFmtId="164" fontId="2" fillId="0" borderId="0" xfId="3" applyNumberFormat="1" applyFont="1" applyFill="1" applyAlignment="1" applyProtection="1">
      <alignment vertical="top" shrinkToFit="1"/>
      <protection locked="0"/>
    </xf>
    <xf numFmtId="0" fontId="2" fillId="0" borderId="0" xfId="3" quotePrefix="1" applyNumberFormat="1" applyFont="1" applyFill="1" applyAlignment="1" applyProtection="1">
      <alignment vertical="top"/>
    </xf>
    <xf numFmtId="0" fontId="2" fillId="0" borderId="0" xfId="9" applyNumberFormat="1" applyFont="1" applyFill="1" applyAlignment="1" applyProtection="1">
      <alignment vertical="top"/>
      <protection locked="0"/>
    </xf>
    <xf numFmtId="0" fontId="2" fillId="0" borderId="0" xfId="3" applyNumberFormat="1" applyFont="1" applyFill="1" applyAlignment="1" applyProtection="1">
      <alignment vertical="top"/>
    </xf>
    <xf numFmtId="164" fontId="45" fillId="9" borderId="0" xfId="9" applyNumberFormat="1" applyFont="1" applyFill="1" applyBorder="1" applyAlignment="1" applyProtection="1">
      <alignment horizontal="center" vertical="center" wrapText="1"/>
      <protection locked="0"/>
    </xf>
    <xf numFmtId="164" fontId="2" fillId="0" borderId="0" xfId="9" applyNumberFormat="1" applyFont="1" applyFill="1" applyBorder="1" applyAlignment="1" applyProtection="1">
      <alignment horizontal="center" wrapText="1"/>
      <protection locked="0"/>
    </xf>
    <xf numFmtId="41" fontId="2" fillId="0" borderId="0" xfId="9" applyNumberFormat="1" applyFont="1" applyFill="1" applyBorder="1" applyAlignment="1" applyProtection="1">
      <alignment horizontal="center" wrapText="1"/>
      <protection locked="0"/>
    </xf>
    <xf numFmtId="164" fontId="2" fillId="0" borderId="0" xfId="9" applyNumberFormat="1" applyFont="1" applyFill="1" applyBorder="1" applyAlignment="1" applyProtection="1">
      <alignment horizontal="center" vertical="center" wrapText="1"/>
      <protection locked="0"/>
    </xf>
    <xf numFmtId="41" fontId="2" fillId="0" borderId="0" xfId="9" applyNumberFormat="1" applyFont="1" applyFill="1" applyBorder="1" applyAlignment="1" applyProtection="1">
      <alignment horizontal="center" vertical="center" wrapText="1"/>
      <protection locked="0"/>
    </xf>
    <xf numFmtId="164" fontId="2" fillId="0" borderId="0" xfId="3" applyNumberFormat="1" applyFont="1" applyBorder="1" applyAlignment="1" applyProtection="1">
      <alignment vertical="top"/>
      <protection locked="0"/>
    </xf>
    <xf numFmtId="1" fontId="5" fillId="0" borderId="0" xfId="3" applyNumberFormat="1" applyFont="1" applyFill="1" applyAlignment="1" applyProtection="1">
      <alignment horizontal="left" vertical="center"/>
      <protection locked="0"/>
    </xf>
    <xf numFmtId="164" fontId="5" fillId="0" borderId="0" xfId="3" applyNumberFormat="1" applyFont="1" applyFill="1" applyAlignment="1" applyProtection="1">
      <alignment horizontal="left" vertical="center"/>
      <protection locked="0"/>
    </xf>
    <xf numFmtId="165" fontId="2" fillId="0" borderId="0" xfId="9" applyNumberFormat="1" applyFont="1" applyFill="1" applyBorder="1" applyAlignment="1" applyProtection="1">
      <alignment vertical="center"/>
      <protection locked="0"/>
    </xf>
    <xf numFmtId="164" fontId="2" fillId="0" borderId="0" xfId="3" applyNumberFormat="1" applyFont="1" applyAlignment="1" applyProtection="1">
      <alignment vertical="center"/>
      <protection locked="0"/>
    </xf>
    <xf numFmtId="168" fontId="5" fillId="0" borderId="0" xfId="3" applyNumberFormat="1" applyFont="1" applyFill="1" applyAlignment="1" applyProtection="1">
      <alignment horizontal="left" vertical="center"/>
      <protection locked="0"/>
    </xf>
    <xf numFmtId="164" fontId="2" fillId="0" borderId="0" xfId="3" applyNumberFormat="1" applyFont="1" applyFill="1" applyBorder="1" applyAlignment="1" applyProtection="1">
      <alignment vertical="center" shrinkToFit="1"/>
      <protection locked="0"/>
    </xf>
    <xf numFmtId="0" fontId="2" fillId="0" borderId="0" xfId="3" applyNumberFormat="1" applyFont="1" applyFill="1" applyBorder="1" applyAlignment="1" applyProtection="1">
      <alignment vertical="center" shrinkToFit="1"/>
      <protection locked="0"/>
    </xf>
    <xf numFmtId="165" fontId="2" fillId="5" borderId="0" xfId="1" applyNumberFormat="1" applyFont="1" applyFill="1" applyBorder="1" applyAlignment="1" applyProtection="1">
      <alignment vertical="center" shrinkToFit="1"/>
      <protection locked="0"/>
    </xf>
    <xf numFmtId="165" fontId="2" fillId="7" borderId="0" xfId="1" applyNumberFormat="1" applyFont="1" applyFill="1" applyBorder="1" applyAlignment="1" applyProtection="1">
      <alignment vertical="center"/>
      <protection locked="0"/>
    </xf>
    <xf numFmtId="3" fontId="2" fillId="0" borderId="0" xfId="3" applyNumberFormat="1" applyFont="1" applyAlignment="1" applyProtection="1">
      <alignment vertical="center"/>
      <protection locked="0"/>
    </xf>
    <xf numFmtId="3" fontId="2" fillId="0" borderId="0" xfId="3" applyNumberFormat="1" applyFont="1" applyAlignment="1" applyProtection="1">
      <alignment vertical="center"/>
    </xf>
    <xf numFmtId="164" fontId="2" fillId="0" borderId="0" xfId="3" applyNumberFormat="1" applyFont="1" applyAlignment="1" applyProtection="1">
      <alignment vertical="center"/>
    </xf>
    <xf numFmtId="164" fontId="2" fillId="0" borderId="0" xfId="3" quotePrefix="1" applyNumberFormat="1" applyFont="1" applyFill="1" applyAlignment="1" applyProtection="1">
      <alignment vertical="top"/>
    </xf>
    <xf numFmtId="41" fontId="12" fillId="0" borderId="0" xfId="3" applyNumberFormat="1" applyFont="1" applyFill="1" applyBorder="1" applyAlignment="1" applyProtection="1">
      <alignment vertical="top"/>
      <protection locked="0"/>
    </xf>
    <xf numFmtId="41" fontId="12" fillId="0" borderId="0" xfId="3" applyNumberFormat="1" applyFont="1" applyFill="1" applyBorder="1" applyAlignment="1" applyProtection="1">
      <alignment horizontal="right" vertical="top"/>
      <protection locked="0"/>
    </xf>
    <xf numFmtId="164" fontId="5" fillId="0" borderId="0" xfId="9" applyNumberFormat="1" applyFont="1" applyFill="1" applyBorder="1" applyAlignment="1" applyProtection="1">
      <alignment vertical="top"/>
      <protection locked="0"/>
    </xf>
    <xf numFmtId="164" fontId="2" fillId="0" borderId="0" xfId="9" applyNumberFormat="1" applyFont="1" applyFill="1" applyBorder="1" applyAlignment="1" applyProtection="1">
      <alignment horizontal="right" vertical="top"/>
      <protection locked="0"/>
    </xf>
    <xf numFmtId="41" fontId="2" fillId="0" borderId="0" xfId="9" applyNumberFormat="1" applyFont="1" applyFill="1" applyBorder="1" applyAlignment="1" applyProtection="1">
      <alignment horizontal="right" vertical="top"/>
      <protection locked="0"/>
    </xf>
    <xf numFmtId="41" fontId="5" fillId="0" borderId="0" xfId="9" applyNumberFormat="1" applyFont="1" applyFill="1" applyBorder="1" applyAlignment="1" applyProtection="1">
      <alignment horizontal="right" vertical="top"/>
      <protection locked="0"/>
    </xf>
    <xf numFmtId="164" fontId="2" fillId="0" borderId="0" xfId="3" applyNumberFormat="1" applyFont="1" applyFill="1" applyBorder="1" applyAlignment="1" applyProtection="1">
      <alignment horizontal="center" vertical="top"/>
      <protection locked="0"/>
    </xf>
    <xf numFmtId="0" fontId="2" fillId="0" borderId="0" xfId="3" applyNumberFormat="1" applyFont="1" applyFill="1" applyBorder="1" applyAlignment="1" applyProtection="1">
      <alignment horizontal="center" vertical="top"/>
      <protection locked="0"/>
    </xf>
    <xf numFmtId="164" fontId="28" fillId="0" borderId="0" xfId="10" applyNumberFormat="1" applyFont="1" applyFill="1" applyBorder="1" applyAlignment="1" applyProtection="1">
      <alignment vertical="top"/>
      <protection locked="0"/>
    </xf>
    <xf numFmtId="164" fontId="5" fillId="0" borderId="0" xfId="10" applyNumberFormat="1" applyFont="1" applyFill="1" applyBorder="1" applyAlignment="1" applyProtection="1">
      <alignment vertical="top"/>
      <protection locked="0"/>
    </xf>
    <xf numFmtId="0" fontId="2" fillId="0" borderId="0" xfId="3" applyNumberFormat="1" applyFont="1" applyBorder="1" applyAlignment="1" applyProtection="1">
      <alignment vertical="top"/>
      <protection locked="0"/>
    </xf>
    <xf numFmtId="164" fontId="22" fillId="0" borderId="0" xfId="10" applyNumberFormat="1" applyFont="1" applyFill="1" applyBorder="1" applyAlignment="1" applyProtection="1">
      <alignment vertical="top"/>
      <protection locked="0"/>
    </xf>
    <xf numFmtId="164" fontId="2" fillId="0" borderId="0" xfId="10" applyNumberFormat="1" applyFont="1" applyFill="1" applyBorder="1" applyAlignment="1" applyProtection="1">
      <alignment vertical="top"/>
      <protection locked="0"/>
    </xf>
    <xf numFmtId="164" fontId="22" fillId="0" borderId="0" xfId="10" quotePrefix="1" applyNumberFormat="1" applyFont="1" applyFill="1" applyBorder="1" applyAlignment="1" applyProtection="1">
      <alignment vertical="top"/>
      <protection locked="0"/>
    </xf>
    <xf numFmtId="0" fontId="2" fillId="0" borderId="0" xfId="3" applyNumberFormat="1" applyFont="1" applyAlignment="1" applyProtection="1">
      <alignment vertical="top"/>
      <protection locked="0"/>
    </xf>
    <xf numFmtId="164" fontId="2" fillId="0" borderId="0" xfId="10" quotePrefix="1" applyNumberFormat="1" applyFont="1" applyFill="1" applyBorder="1" applyAlignment="1" applyProtection="1">
      <alignment vertical="top"/>
      <protection locked="0"/>
    </xf>
    <xf numFmtId="165" fontId="5" fillId="0" borderId="0" xfId="3" applyNumberFormat="1" applyFont="1" applyBorder="1" applyAlignment="1" applyProtection="1">
      <alignment vertical="top"/>
      <protection locked="0"/>
    </xf>
    <xf numFmtId="164" fontId="5" fillId="0" borderId="0" xfId="9" applyNumberFormat="1" applyFont="1" applyFill="1" applyAlignment="1" applyProtection="1">
      <alignment vertical="top" wrapText="1"/>
      <protection locked="0"/>
    </xf>
    <xf numFmtId="164" fontId="35" fillId="0" borderId="0" xfId="9" applyNumberFormat="1" applyFont="1" applyFill="1" applyAlignment="1" applyProtection="1">
      <alignment vertical="top"/>
      <protection locked="0"/>
    </xf>
    <xf numFmtId="37" fontId="5" fillId="0" borderId="0" xfId="3" applyNumberFormat="1" applyFont="1" applyFill="1" applyAlignment="1" applyProtection="1">
      <alignment vertical="top"/>
      <protection locked="0"/>
    </xf>
    <xf numFmtId="0" fontId="5" fillId="0" borderId="0" xfId="3" applyNumberFormat="1" applyFont="1" applyFill="1" applyAlignment="1" applyProtection="1">
      <alignment vertical="top"/>
      <protection locked="0"/>
    </xf>
    <xf numFmtId="164" fontId="5" fillId="0" borderId="0" xfId="3" applyNumberFormat="1" applyFont="1" applyFill="1" applyBorder="1" applyAlignment="1" applyProtection="1">
      <alignment vertical="top"/>
      <protection locked="0"/>
    </xf>
    <xf numFmtId="0" fontId="5" fillId="0" borderId="0" xfId="9" applyNumberFormat="1" applyFont="1" applyFill="1" applyBorder="1" applyAlignment="1" applyProtection="1">
      <alignment vertical="top"/>
      <protection locked="0"/>
    </xf>
    <xf numFmtId="0" fontId="2" fillId="0" borderId="0" xfId="9" applyNumberFormat="1" applyFont="1" applyFill="1" applyBorder="1" applyAlignment="1" applyProtection="1">
      <alignment vertical="top"/>
      <protection locked="0"/>
    </xf>
    <xf numFmtId="0" fontId="2" fillId="0" borderId="0" xfId="3" applyNumberFormat="1" applyFont="1" applyAlignment="1" applyProtection="1">
      <alignment vertical="top"/>
    </xf>
    <xf numFmtId="0" fontId="5" fillId="0" borderId="0" xfId="3" applyNumberFormat="1" applyFont="1" applyFill="1" applyAlignment="1" applyProtection="1">
      <alignment horizontal="left"/>
      <protection locked="0"/>
    </xf>
    <xf numFmtId="0" fontId="2" fillId="0" borderId="0" xfId="9" applyNumberFormat="1" applyFont="1" applyFill="1" applyBorder="1" applyAlignment="1" applyProtection="1">
      <protection locked="0"/>
    </xf>
    <xf numFmtId="0" fontId="2" fillId="0" borderId="0" xfId="9" applyNumberFormat="1" applyFont="1" applyFill="1" applyBorder="1" applyAlignment="1" applyProtection="1">
      <alignment horizontal="center"/>
      <protection locked="0"/>
    </xf>
    <xf numFmtId="0" fontId="2" fillId="0" borderId="0" xfId="9" applyNumberFormat="1" applyFont="1" applyFill="1" applyBorder="1" applyAlignment="1" applyProtection="1">
      <alignment wrapText="1"/>
      <protection locked="0"/>
    </xf>
    <xf numFmtId="0" fontId="2" fillId="0" borderId="0" xfId="3" applyNumberFormat="1" applyFont="1" applyFill="1" applyBorder="1" applyAlignment="1" applyProtection="1">
      <alignment horizontal="right"/>
      <protection locked="0"/>
    </xf>
    <xf numFmtId="0" fontId="2" fillId="0" borderId="0" xfId="3" applyNumberFormat="1" applyFont="1" applyAlignment="1" applyProtection="1">
      <protection locked="0"/>
    </xf>
    <xf numFmtId="0" fontId="2" fillId="0" borderId="0" xfId="3" quotePrefix="1" applyNumberFormat="1" applyFont="1" applyFill="1" applyAlignment="1" applyProtection="1">
      <alignment horizontal="center"/>
      <protection locked="0"/>
    </xf>
    <xf numFmtId="165" fontId="2" fillId="7" borderId="0" xfId="1" applyNumberFormat="1" applyFont="1" applyFill="1" applyBorder="1" applyAlignment="1" applyProtection="1">
      <protection locked="0"/>
    </xf>
    <xf numFmtId="3" fontId="2" fillId="0" borderId="0" xfId="3" applyNumberFormat="1" applyFont="1" applyAlignment="1" applyProtection="1">
      <protection locked="0"/>
    </xf>
    <xf numFmtId="3" fontId="2" fillId="0" borderId="0" xfId="3" applyNumberFormat="1" applyFont="1" applyAlignment="1" applyProtection="1"/>
    <xf numFmtId="0" fontId="2" fillId="0" borderId="0" xfId="3" applyNumberFormat="1" applyFont="1" applyAlignment="1" applyProtection="1"/>
    <xf numFmtId="0" fontId="2" fillId="0" borderId="0" xfId="9" quotePrefix="1" applyNumberFormat="1" applyFont="1" applyFill="1" applyBorder="1" applyAlignment="1" applyProtection="1">
      <alignment vertical="top"/>
      <protection locked="0"/>
    </xf>
    <xf numFmtId="10" fontId="2" fillId="0" borderId="0" xfId="9" applyNumberFormat="1" applyFont="1" applyFill="1" applyBorder="1" applyAlignment="1" applyProtection="1">
      <alignment vertical="top"/>
      <protection locked="0"/>
    </xf>
    <xf numFmtId="0" fontId="2" fillId="0" borderId="6" xfId="9" quotePrefix="1" applyNumberFormat="1" applyFont="1" applyFill="1" applyBorder="1" applyAlignment="1" applyProtection="1">
      <alignment vertical="top"/>
      <protection locked="0"/>
    </xf>
    <xf numFmtId="0" fontId="2" fillId="0" borderId="6" xfId="9" applyNumberFormat="1" applyFont="1" applyFill="1" applyBorder="1" applyAlignment="1" applyProtection="1">
      <alignment vertical="top"/>
      <protection locked="0"/>
    </xf>
    <xf numFmtId="0" fontId="5" fillId="0" borderId="0" xfId="3" applyNumberFormat="1" applyFont="1" applyAlignment="1" applyProtection="1">
      <alignment vertical="top"/>
      <protection locked="0"/>
    </xf>
    <xf numFmtId="0" fontId="5" fillId="0" borderId="0" xfId="3" applyNumberFormat="1" applyFont="1" applyAlignment="1" applyProtection="1">
      <alignment vertical="top"/>
    </xf>
    <xf numFmtId="164" fontId="35" fillId="0" borderId="0" xfId="9" applyNumberFormat="1" applyFont="1" applyFill="1" applyBorder="1" applyAlignment="1" applyProtection="1">
      <alignment vertical="top"/>
      <protection locked="0"/>
    </xf>
    <xf numFmtId="164" fontId="46" fillId="0" borderId="0" xfId="3" quotePrefix="1" applyNumberFormat="1" applyFont="1" applyFill="1" applyAlignment="1" applyProtection="1">
      <alignment horizontal="left" vertical="top"/>
      <protection locked="0"/>
    </xf>
    <xf numFmtId="164" fontId="5" fillId="0" borderId="0" xfId="3" applyNumberFormat="1" applyFont="1" applyFill="1" applyAlignment="1" applyProtection="1">
      <alignment vertical="top" wrapText="1"/>
      <protection locked="0"/>
    </xf>
    <xf numFmtId="165" fontId="5" fillId="0" borderId="0" xfId="3" applyNumberFormat="1" applyFont="1" applyFill="1" applyBorder="1" applyAlignment="1" applyProtection="1">
      <alignment horizontal="left" vertical="top"/>
      <protection locked="0"/>
    </xf>
    <xf numFmtId="0" fontId="2" fillId="0" borderId="0" xfId="3" quotePrefix="1" applyNumberFormat="1" applyFont="1" applyFill="1" applyAlignment="1" applyProtection="1">
      <alignment horizontal="left" vertical="top"/>
      <protection locked="0"/>
    </xf>
    <xf numFmtId="1" fontId="47" fillId="0" borderId="0" xfId="3" applyNumberFormat="1" applyFont="1" applyFill="1" applyAlignment="1" applyProtection="1">
      <alignment horizontal="left" vertical="top"/>
      <protection locked="0"/>
    </xf>
    <xf numFmtId="164" fontId="47" fillId="0" borderId="0" xfId="3" applyNumberFormat="1" applyFont="1" applyFill="1" applyAlignment="1" applyProtection="1">
      <alignment horizontal="left" vertical="top"/>
      <protection locked="0"/>
    </xf>
    <xf numFmtId="164" fontId="48" fillId="0" borderId="0" xfId="9" quotePrefix="1" applyNumberFormat="1" applyFont="1" applyFill="1" applyAlignment="1" applyProtection="1">
      <alignment vertical="top"/>
      <protection locked="0"/>
    </xf>
    <xf numFmtId="164" fontId="48" fillId="0" borderId="0" xfId="9" applyNumberFormat="1" applyFont="1" applyFill="1" applyAlignment="1" applyProtection="1">
      <alignment vertical="top"/>
      <protection locked="0"/>
    </xf>
    <xf numFmtId="166" fontId="48" fillId="0" borderId="0" xfId="4" applyNumberFormat="1" applyFont="1" applyFill="1" applyBorder="1" applyAlignment="1" applyProtection="1">
      <alignment vertical="top"/>
      <protection locked="0"/>
    </xf>
    <xf numFmtId="165" fontId="48" fillId="0" borderId="0" xfId="4" applyNumberFormat="1" applyFont="1" applyFill="1" applyBorder="1" applyAlignment="1" applyProtection="1">
      <alignment vertical="top"/>
      <protection locked="0"/>
    </xf>
    <xf numFmtId="165" fontId="48" fillId="0" borderId="0" xfId="3" applyNumberFormat="1" applyFont="1" applyFill="1" applyBorder="1" applyAlignment="1" applyProtection="1">
      <alignment vertical="top"/>
      <protection locked="0"/>
    </xf>
    <xf numFmtId="164" fontId="48" fillId="0" borderId="0" xfId="3" applyNumberFormat="1" applyFont="1" applyAlignment="1" applyProtection="1">
      <alignment vertical="top"/>
      <protection locked="0"/>
    </xf>
    <xf numFmtId="168" fontId="47" fillId="0" borderId="0" xfId="3" applyNumberFormat="1" applyFont="1" applyFill="1" applyAlignment="1" applyProtection="1">
      <alignment horizontal="left" vertical="top"/>
      <protection locked="0"/>
    </xf>
    <xf numFmtId="37" fontId="48" fillId="0" borderId="0" xfId="3" applyNumberFormat="1" applyFont="1" applyFill="1" applyBorder="1" applyAlignment="1" applyProtection="1">
      <alignment vertical="top"/>
      <protection locked="0"/>
    </xf>
    <xf numFmtId="0" fontId="48" fillId="0" borderId="0" xfId="3" applyNumberFormat="1" applyFont="1" applyFill="1" applyBorder="1" applyAlignment="1" applyProtection="1">
      <alignment vertical="top"/>
      <protection locked="0"/>
    </xf>
    <xf numFmtId="165" fontId="48" fillId="5" borderId="0" xfId="1" applyNumberFormat="1" applyFont="1" applyFill="1" applyBorder="1" applyAlignment="1" applyProtection="1">
      <alignment vertical="top" shrinkToFit="1"/>
      <protection locked="0"/>
    </xf>
    <xf numFmtId="165" fontId="48" fillId="7" borderId="0" xfId="1" applyNumberFormat="1" applyFont="1" applyFill="1" applyBorder="1" applyAlignment="1" applyProtection="1">
      <alignment vertical="top"/>
      <protection locked="0"/>
    </xf>
    <xf numFmtId="3" fontId="48" fillId="0" borderId="0" xfId="3" applyNumberFormat="1" applyFont="1" applyAlignment="1" applyProtection="1">
      <alignment vertical="top"/>
      <protection locked="0"/>
    </xf>
    <xf numFmtId="3" fontId="48" fillId="0" borderId="0" xfId="3" applyNumberFormat="1" applyFont="1" applyAlignment="1" applyProtection="1">
      <alignment vertical="top"/>
    </xf>
    <xf numFmtId="164" fontId="48" fillId="0" borderId="0" xfId="3" applyNumberFormat="1" applyFont="1" applyAlignment="1" applyProtection="1">
      <alignment vertical="top"/>
    </xf>
    <xf numFmtId="164" fontId="5" fillId="0" borderId="0" xfId="9" quotePrefix="1" applyNumberFormat="1" applyFont="1" applyFill="1" applyAlignment="1" applyProtection="1">
      <alignment vertical="top"/>
      <protection locked="0"/>
    </xf>
    <xf numFmtId="164" fontId="5" fillId="0" borderId="0" xfId="9" quotePrefix="1" applyNumberFormat="1" applyFont="1" applyFill="1" applyAlignment="1" applyProtection="1">
      <alignment vertical="top" wrapText="1"/>
      <protection locked="0"/>
    </xf>
    <xf numFmtId="0" fontId="12" fillId="0" borderId="0" xfId="9" applyNumberFormat="1" applyFont="1" applyFill="1" applyBorder="1" applyAlignment="1" applyProtection="1">
      <alignment vertical="top"/>
      <protection locked="0"/>
    </xf>
    <xf numFmtId="0" fontId="35" fillId="0" borderId="0" xfId="9" applyNumberFormat="1" applyFont="1" applyFill="1" applyBorder="1" applyAlignment="1" applyProtection="1">
      <alignment vertical="top" wrapText="1"/>
      <protection locked="0"/>
    </xf>
    <xf numFmtId="0" fontId="36" fillId="0" borderId="0" xfId="9" applyNumberFormat="1" applyFont="1" applyFill="1" applyBorder="1" applyAlignment="1" applyProtection="1">
      <alignment vertical="top" wrapText="1"/>
      <protection locked="0"/>
    </xf>
    <xf numFmtId="164" fontId="37" fillId="0" borderId="0" xfId="9" applyNumberFormat="1" applyFont="1" applyFill="1" applyAlignment="1" applyProtection="1">
      <alignment vertical="top"/>
      <protection locked="0"/>
    </xf>
    <xf numFmtId="164" fontId="2" fillId="0" borderId="0" xfId="3" quotePrefix="1" applyNumberFormat="1" applyFont="1" applyFill="1" applyBorder="1" applyAlignment="1" applyProtection="1">
      <alignment horizontal="right" vertical="top"/>
      <protection locked="0"/>
    </xf>
    <xf numFmtId="164" fontId="2" fillId="0" borderId="0" xfId="3" applyNumberFormat="1" applyFont="1" applyFill="1" applyBorder="1" applyAlignment="1" applyProtection="1">
      <alignment horizontal="right" vertical="top"/>
      <protection locked="0"/>
    </xf>
    <xf numFmtId="165" fontId="5" fillId="0" borderId="0" xfId="3" applyNumberFormat="1" applyFont="1" applyFill="1" applyAlignment="1" applyProtection="1">
      <alignment horizontal="left" vertical="top"/>
      <protection locked="0"/>
    </xf>
    <xf numFmtId="1" fontId="5" fillId="0" borderId="0" xfId="3" applyNumberFormat="1" applyFont="1" applyFill="1" applyBorder="1" applyAlignment="1" applyProtection="1">
      <alignment horizontal="left" vertical="top"/>
      <protection locked="0"/>
    </xf>
    <xf numFmtId="164" fontId="41" fillId="0" borderId="0" xfId="3" applyNumberFormat="1" applyFont="1" applyFill="1" applyBorder="1" applyAlignment="1" applyProtection="1">
      <alignment horizontal="left" vertical="top"/>
      <protection locked="0"/>
    </xf>
    <xf numFmtId="1" fontId="2" fillId="0" borderId="0" xfId="3" applyNumberFormat="1" applyFont="1" applyFill="1" applyBorder="1" applyAlignment="1" applyProtection="1">
      <alignment horizontal="left" vertical="top"/>
      <protection locked="0"/>
    </xf>
    <xf numFmtId="164" fontId="49" fillId="0" borderId="0" xfId="5" applyFont="1" applyAlignment="1">
      <alignment horizontal="left" vertical="center"/>
    </xf>
    <xf numFmtId="164" fontId="49" fillId="0" borderId="0" xfId="5" applyFont="1" applyAlignment="1" applyProtection="1">
      <alignment horizontal="left" vertical="center"/>
      <protection locked="0"/>
    </xf>
    <xf numFmtId="164" fontId="44" fillId="0" borderId="0" xfId="3" quotePrefix="1" applyNumberFormat="1" applyFont="1" applyFill="1" applyAlignment="1" applyProtection="1">
      <alignment vertical="top"/>
      <protection locked="0"/>
    </xf>
    <xf numFmtId="164" fontId="37" fillId="0" borderId="0" xfId="3" quotePrefix="1" applyNumberFormat="1" applyFont="1" applyFill="1" applyAlignment="1" applyProtection="1">
      <alignment vertical="top"/>
      <protection locked="0"/>
    </xf>
    <xf numFmtId="164" fontId="37" fillId="0" borderId="0" xfId="3" applyNumberFormat="1" applyFont="1" applyFill="1" applyAlignment="1" applyProtection="1">
      <alignment vertical="top"/>
      <protection locked="0"/>
    </xf>
    <xf numFmtId="165" fontId="37" fillId="0" borderId="0" xfId="3" applyNumberFormat="1" applyFont="1" applyFill="1" applyBorder="1" applyAlignment="1" applyProtection="1">
      <alignment vertical="top"/>
      <protection locked="0"/>
    </xf>
    <xf numFmtId="164" fontId="37" fillId="0" borderId="0" xfId="9" quotePrefix="1" applyNumberFormat="1" applyFont="1" applyFill="1" applyAlignment="1" applyProtection="1">
      <alignment vertical="top"/>
      <protection locked="0"/>
    </xf>
    <xf numFmtId="41" fontId="37" fillId="0" borderId="0" xfId="3" applyNumberFormat="1" applyFont="1" applyFill="1" applyBorder="1" applyAlignment="1" applyProtection="1">
      <alignment vertical="top"/>
      <protection locked="0"/>
    </xf>
    <xf numFmtId="164" fontId="2" fillId="0" borderId="0" xfId="3" quotePrefix="1" applyNumberFormat="1" applyFont="1" applyFill="1" applyAlignment="1" applyProtection="1">
      <alignment horizontal="left" vertical="top"/>
      <protection locked="0"/>
    </xf>
    <xf numFmtId="164" fontId="5" fillId="0" borderId="0" xfId="5" applyFont="1" applyFill="1" applyAlignment="1" applyProtection="1">
      <alignment horizontal="left" vertical="center"/>
      <protection locked="0"/>
    </xf>
    <xf numFmtId="164" fontId="2" fillId="0" borderId="0" xfId="5" applyFont="1" applyAlignment="1" applyProtection="1">
      <alignment horizontal="left" vertical="center"/>
      <protection locked="0"/>
    </xf>
    <xf numFmtId="164" fontId="5" fillId="0" borderId="0" xfId="5" applyFont="1" applyAlignment="1" applyProtection="1">
      <alignment horizontal="left" vertical="center"/>
      <protection locked="0"/>
    </xf>
    <xf numFmtId="164" fontId="51" fillId="0" borderId="0" xfId="5" quotePrefix="1" applyFont="1" applyAlignment="1" applyProtection="1">
      <alignment horizontal="left" vertical="center"/>
      <protection locked="0"/>
    </xf>
    <xf numFmtId="164" fontId="2" fillId="0" borderId="0" xfId="3" quotePrefix="1" applyNumberFormat="1" applyFont="1" applyAlignment="1" applyProtection="1">
      <alignment vertical="top"/>
    </xf>
    <xf numFmtId="164" fontId="2" fillId="0" borderId="0" xfId="5" quotePrefix="1" applyFont="1" applyAlignment="1" applyProtection="1">
      <alignment horizontal="left" vertical="center"/>
      <protection locked="0"/>
    </xf>
    <xf numFmtId="0" fontId="5" fillId="0" borderId="0" xfId="8" applyFont="1" applyFill="1" applyAlignment="1">
      <alignment vertical="top"/>
    </xf>
    <xf numFmtId="0" fontId="41" fillId="0" borderId="0" xfId="3" applyNumberFormat="1" applyFont="1" applyFill="1" applyBorder="1" applyAlignment="1" applyProtection="1">
      <alignment horizontal="left" vertical="top"/>
      <protection locked="0"/>
    </xf>
    <xf numFmtId="0" fontId="35" fillId="0" borderId="0" xfId="8" applyNumberFormat="1" applyFont="1" applyFill="1" applyAlignment="1">
      <alignment vertical="top"/>
    </xf>
    <xf numFmtId="0" fontId="35" fillId="0" borderId="0" xfId="8" applyFont="1" applyFill="1" applyAlignment="1">
      <alignment vertical="top"/>
    </xf>
    <xf numFmtId="0" fontId="2" fillId="0" borderId="0" xfId="3" applyNumberFormat="1" applyFont="1" applyFill="1" applyAlignment="1" applyProtection="1">
      <alignment horizontal="left" vertical="top"/>
      <protection locked="0"/>
    </xf>
    <xf numFmtId="0" fontId="52" fillId="0" borderId="0" xfId="3" applyNumberFormat="1" applyFont="1" applyFill="1" applyBorder="1" applyAlignment="1" applyProtection="1">
      <alignment horizontal="left" vertical="top"/>
      <protection locked="0"/>
    </xf>
    <xf numFmtId="0" fontId="5" fillId="0" borderId="0" xfId="8" applyNumberFormat="1" applyFont="1" applyFill="1" applyAlignment="1">
      <alignment vertical="top"/>
    </xf>
    <xf numFmtId="0" fontId="12" fillId="0" borderId="0" xfId="8" quotePrefix="1" applyNumberFormat="1" applyFont="1" applyFill="1" applyAlignment="1">
      <alignment vertical="top"/>
    </xf>
    <xf numFmtId="164" fontId="2" fillId="0" borderId="0" xfId="9" quotePrefix="1" applyNumberFormat="1" applyFont="1" applyFill="1" applyBorder="1" applyAlignment="1" applyProtection="1">
      <alignment vertical="top"/>
      <protection locked="0"/>
    </xf>
    <xf numFmtId="3" fontId="5" fillId="0" borderId="0" xfId="9" applyNumberFormat="1" applyFont="1" applyFill="1" applyBorder="1" applyAlignment="1" applyProtection="1">
      <alignment vertical="top"/>
      <protection locked="0"/>
    </xf>
    <xf numFmtId="164" fontId="2" fillId="0" borderId="0" xfId="5" applyFont="1" applyFill="1" applyBorder="1" applyAlignment="1">
      <alignment wrapText="1"/>
    </xf>
    <xf numFmtId="164" fontId="2" fillId="0" borderId="0" xfId="5" applyFont="1" applyFill="1" applyBorder="1" applyAlignment="1" applyProtection="1">
      <alignment vertical="top"/>
      <protection locked="0"/>
    </xf>
    <xf numFmtId="3" fontId="2" fillId="0" borderId="0" xfId="3" applyNumberFormat="1" applyFont="1" applyFill="1" applyBorder="1" applyAlignment="1" applyProtection="1">
      <alignment vertical="top" shrinkToFit="1"/>
      <protection locked="0"/>
    </xf>
    <xf numFmtId="164" fontId="2" fillId="0" borderId="0" xfId="3" applyNumberFormat="1" applyFont="1" applyFill="1" applyBorder="1" applyAlignment="1" applyProtection="1">
      <protection locked="0"/>
    </xf>
    <xf numFmtId="164" fontId="2" fillId="0" borderId="0" xfId="3" applyNumberFormat="1" applyFont="1" applyFill="1" applyBorder="1" applyAlignment="1" applyProtection="1">
      <alignment horizontal="right"/>
      <protection locked="0"/>
    </xf>
    <xf numFmtId="3" fontId="2" fillId="0" borderId="0" xfId="9" applyNumberFormat="1" applyFont="1" applyFill="1" applyBorder="1" applyAlignment="1" applyProtection="1">
      <alignment vertical="top" shrinkToFit="1"/>
      <protection locked="0"/>
    </xf>
    <xf numFmtId="0" fontId="2" fillId="0" borderId="0" xfId="9" applyNumberFormat="1" applyFont="1" applyFill="1" applyBorder="1" applyAlignment="1" applyProtection="1">
      <alignment vertical="top" shrinkToFit="1"/>
      <protection locked="0"/>
    </xf>
    <xf numFmtId="164" fontId="2" fillId="0" borderId="0" xfId="9" applyNumberFormat="1" applyFont="1" applyFill="1" applyBorder="1" applyAlignment="1" applyProtection="1">
      <alignment vertical="center"/>
      <protection locked="0"/>
    </xf>
    <xf numFmtId="164" fontId="45" fillId="9" borderId="0" xfId="9" applyNumberFormat="1" applyFont="1" applyFill="1" applyBorder="1" applyAlignment="1" applyProtection="1">
      <alignment vertical="top"/>
      <protection locked="0"/>
    </xf>
    <xf numFmtId="164" fontId="45" fillId="9" borderId="0" xfId="9" applyNumberFormat="1" applyFont="1" applyFill="1" applyBorder="1" applyAlignment="1" applyProtection="1">
      <alignment vertical="top" wrapText="1"/>
      <protection locked="0"/>
    </xf>
    <xf numFmtId="49" fontId="45" fillId="9" borderId="0" xfId="9" applyNumberFormat="1" applyFont="1" applyFill="1" applyBorder="1" applyAlignment="1" applyProtection="1">
      <alignment vertical="top" wrapText="1"/>
      <protection locked="0"/>
    </xf>
    <xf numFmtId="164" fontId="2" fillId="0" borderId="0" xfId="3" applyNumberFormat="1" applyFont="1" applyFill="1" applyBorder="1" applyAlignment="1" applyProtection="1">
      <alignment horizontal="center" vertical="top" wrapText="1"/>
      <protection locked="0"/>
    </xf>
    <xf numFmtId="0" fontId="2" fillId="0" borderId="0" xfId="3" applyNumberFormat="1" applyFont="1" applyFill="1" applyBorder="1" applyAlignment="1" applyProtection="1">
      <alignment horizontal="center" vertical="top" wrapText="1"/>
      <protection locked="0"/>
    </xf>
    <xf numFmtId="41" fontId="5" fillId="0" borderId="0" xfId="9" applyNumberFormat="1" applyFont="1" applyFill="1" applyBorder="1" applyAlignment="1" applyProtection="1">
      <alignment horizontal="right" wrapText="1"/>
      <protection locked="0"/>
    </xf>
    <xf numFmtId="0" fontId="2" fillId="0" borderId="0" xfId="9" applyNumberFormat="1" applyFont="1" applyFill="1" applyBorder="1" applyAlignment="1" applyProtection="1">
      <alignment horizontal="center" vertical="center" wrapText="1"/>
      <protection locked="0"/>
    </xf>
    <xf numFmtId="164" fontId="5" fillId="0" borderId="0" xfId="9" applyNumberFormat="1" applyFont="1" applyFill="1" applyBorder="1" applyAlignment="1" applyProtection="1">
      <alignment horizontal="center" vertical="center" wrapText="1"/>
      <protection locked="0"/>
    </xf>
    <xf numFmtId="41" fontId="5" fillId="0" borderId="0" xfId="9" applyNumberFormat="1" applyFont="1" applyFill="1" applyBorder="1" applyAlignment="1" applyProtection="1">
      <alignment horizontal="center" vertical="center" wrapText="1"/>
      <protection locked="0"/>
    </xf>
    <xf numFmtId="41" fontId="5" fillId="0" borderId="0" xfId="3" applyNumberFormat="1" applyFont="1" applyFill="1" applyBorder="1" applyAlignment="1" applyProtection="1">
      <alignment horizontal="center" vertical="center" wrapText="1"/>
      <protection locked="0"/>
    </xf>
    <xf numFmtId="3" fontId="2" fillId="0" borderId="0" xfId="9" applyNumberFormat="1" applyFont="1" applyFill="1" applyAlignment="1" applyProtection="1">
      <alignment vertical="top" shrinkToFit="1"/>
      <protection locked="0"/>
    </xf>
    <xf numFmtId="0" fontId="2" fillId="0" borderId="0" xfId="9" applyNumberFormat="1" applyFont="1" applyFill="1" applyAlignment="1" applyProtection="1">
      <alignment vertical="top" shrinkToFit="1"/>
      <protection locked="0"/>
    </xf>
    <xf numFmtId="3" fontId="12" fillId="0" borderId="0" xfId="3" applyNumberFormat="1" applyFont="1" applyFill="1" applyAlignment="1" applyProtection="1">
      <alignment vertical="top" shrinkToFit="1"/>
      <protection locked="0"/>
    </xf>
    <xf numFmtId="0" fontId="12" fillId="0" borderId="0" xfId="3" applyNumberFormat="1" applyFont="1" applyFill="1" applyAlignment="1" applyProtection="1">
      <alignment vertical="top" shrinkToFit="1"/>
      <protection locked="0"/>
    </xf>
    <xf numFmtId="165" fontId="5" fillId="0" borderId="0" xfId="9" applyNumberFormat="1" applyFont="1" applyFill="1" applyBorder="1" applyAlignment="1" applyProtection="1">
      <alignment vertical="center" shrinkToFit="1"/>
      <protection locked="0"/>
    </xf>
    <xf numFmtId="41" fontId="5" fillId="0" borderId="0" xfId="3" applyNumberFormat="1" applyFont="1" applyFill="1" applyAlignment="1" applyProtection="1">
      <alignment vertical="top"/>
      <protection locked="0"/>
    </xf>
    <xf numFmtId="41" fontId="2" fillId="0" borderId="0" xfId="3" applyNumberFormat="1" applyFont="1" applyFill="1" applyAlignment="1" applyProtection="1">
      <alignment vertical="top"/>
      <protection locked="0"/>
    </xf>
    <xf numFmtId="164" fontId="22" fillId="0" borderId="0" xfId="10" applyNumberFormat="1" applyFont="1" applyFill="1" applyAlignment="1" applyProtection="1">
      <alignment vertical="top"/>
      <protection locked="0"/>
    </xf>
    <xf numFmtId="3" fontId="5" fillId="0" borderId="0" xfId="9" applyNumberFormat="1" applyFont="1" applyFill="1" applyBorder="1" applyAlignment="1" applyProtection="1">
      <alignment vertical="top" shrinkToFit="1"/>
      <protection locked="0"/>
    </xf>
    <xf numFmtId="0" fontId="5" fillId="0" borderId="0" xfId="9" applyNumberFormat="1" applyFont="1" applyFill="1" applyBorder="1" applyAlignment="1" applyProtection="1">
      <alignment vertical="top" shrinkToFit="1"/>
      <protection locked="0"/>
    </xf>
    <xf numFmtId="41" fontId="2" fillId="0" borderId="0" xfId="3" applyNumberFormat="1" applyFont="1" applyAlignment="1" applyProtection="1">
      <alignment vertical="top"/>
      <protection locked="0"/>
    </xf>
    <xf numFmtId="0" fontId="22" fillId="0" borderId="0" xfId="10" applyNumberFormat="1" applyFont="1" applyFill="1" applyBorder="1" applyAlignment="1" applyProtection="1">
      <alignment vertical="top"/>
      <protection locked="0"/>
    </xf>
    <xf numFmtId="41" fontId="2" fillId="0" borderId="0" xfId="3" quotePrefix="1" applyNumberFormat="1" applyFont="1" applyFill="1" applyBorder="1" applyAlignment="1" applyProtection="1">
      <alignment horizontal="right" vertical="top"/>
      <protection locked="0"/>
    </xf>
    <xf numFmtId="10" fontId="2" fillId="0" borderId="0" xfId="11" applyNumberFormat="1" applyFont="1" applyFill="1" applyBorder="1" applyAlignment="1" applyProtection="1">
      <alignment vertical="top"/>
      <protection locked="0"/>
    </xf>
    <xf numFmtId="168" fontId="5" fillId="0" borderId="0" xfId="3" applyNumberFormat="1" applyFont="1" applyFill="1" applyBorder="1" applyAlignment="1" applyProtection="1">
      <alignment horizontal="left" vertical="top"/>
      <protection locked="0"/>
    </xf>
    <xf numFmtId="10" fontId="2" fillId="0" borderId="0" xfId="3" applyNumberFormat="1" applyFont="1" applyFill="1" applyBorder="1" applyAlignment="1" applyProtection="1">
      <alignment vertical="top"/>
      <protection locked="0"/>
    </xf>
    <xf numFmtId="164" fontId="2" fillId="0" borderId="0" xfId="3" quotePrefix="1" applyNumberFormat="1" applyFont="1" applyFill="1" applyBorder="1" applyAlignment="1" applyProtection="1">
      <alignment vertical="top"/>
      <protection locked="0"/>
    </xf>
    <xf numFmtId="165" fontId="12" fillId="0" borderId="0" xfId="3" applyNumberFormat="1" applyFont="1" applyFill="1" applyBorder="1" applyAlignment="1" applyProtection="1">
      <alignment vertical="top"/>
      <protection locked="0"/>
    </xf>
    <xf numFmtId="10" fontId="12" fillId="0" borderId="0" xfId="3" applyNumberFormat="1" applyFont="1" applyFill="1" applyBorder="1" applyAlignment="1" applyProtection="1">
      <alignment vertical="top"/>
      <protection locked="0"/>
    </xf>
    <xf numFmtId="164" fontId="12" fillId="0" borderId="0" xfId="3" quotePrefix="1" applyNumberFormat="1" applyFont="1" applyFill="1" applyAlignment="1" applyProtection="1">
      <alignment vertical="top"/>
      <protection locked="0"/>
    </xf>
    <xf numFmtId="9" fontId="2" fillId="0" borderId="0" xfId="3" applyNumberFormat="1" applyFont="1" applyFill="1" applyBorder="1" applyAlignment="1" applyProtection="1">
      <alignment vertical="top"/>
      <protection locked="0"/>
    </xf>
    <xf numFmtId="164" fontId="12" fillId="0" borderId="0" xfId="3" quotePrefix="1" applyNumberFormat="1" applyFont="1" applyFill="1" applyBorder="1" applyAlignment="1" applyProtection="1">
      <alignment vertical="top"/>
      <protection locked="0"/>
    </xf>
    <xf numFmtId="164" fontId="12" fillId="0" borderId="0" xfId="3" applyNumberFormat="1" applyFont="1" applyFill="1" applyBorder="1" applyAlignment="1" applyProtection="1">
      <alignment vertical="top"/>
      <protection locked="0"/>
    </xf>
    <xf numFmtId="41" fontId="2" fillId="0" borderId="1" xfId="3" applyNumberFormat="1" applyFont="1" applyFill="1" applyBorder="1" applyAlignment="1" applyProtection="1">
      <alignment vertical="top"/>
      <protection locked="0"/>
    </xf>
    <xf numFmtId="0" fontId="2" fillId="0" borderId="1" xfId="3" applyNumberFormat="1" applyFont="1" applyFill="1" applyBorder="1" applyAlignment="1" applyProtection="1">
      <alignment horizontal="right" vertical="top"/>
      <protection locked="0"/>
    </xf>
    <xf numFmtId="165" fontId="5" fillId="0" borderId="0" xfId="3" applyNumberFormat="1" applyFont="1" applyFill="1" applyAlignment="1" applyProtection="1">
      <alignment vertical="top"/>
      <protection locked="0"/>
    </xf>
    <xf numFmtId="164" fontId="12" fillId="0" borderId="0" xfId="3" applyNumberFormat="1" applyFont="1" applyFill="1" applyAlignment="1" applyProtection="1">
      <alignment horizontal="left" vertical="top"/>
      <protection locked="0"/>
    </xf>
    <xf numFmtId="37" fontId="12" fillId="0" borderId="0" xfId="3" applyNumberFormat="1" applyFont="1" applyFill="1" applyAlignment="1" applyProtection="1">
      <alignment vertical="top"/>
      <protection locked="0"/>
    </xf>
    <xf numFmtId="0" fontId="12" fillId="0" borderId="0" xfId="3" applyNumberFormat="1" applyFont="1" applyFill="1" applyAlignment="1" applyProtection="1">
      <alignment vertical="top"/>
      <protection locked="0"/>
    </xf>
    <xf numFmtId="164" fontId="12" fillId="0" borderId="0" xfId="3" applyNumberFormat="1" applyFont="1" applyAlignment="1" applyProtection="1">
      <alignment vertical="top"/>
      <protection locked="0"/>
    </xf>
    <xf numFmtId="168" fontId="10" fillId="0" borderId="0" xfId="3" applyNumberFormat="1" applyFont="1" applyFill="1" applyAlignment="1" applyProtection="1">
      <alignment horizontal="left" vertical="top"/>
      <protection locked="0"/>
    </xf>
    <xf numFmtId="164" fontId="10" fillId="0" borderId="0" xfId="3" applyNumberFormat="1" applyFont="1" applyFill="1" applyAlignment="1" applyProtection="1">
      <alignment horizontal="left" vertical="top"/>
      <protection locked="0"/>
    </xf>
    <xf numFmtId="164" fontId="53" fillId="0" borderId="0" xfId="9" applyNumberFormat="1" applyFont="1" applyFill="1" applyAlignment="1" applyProtection="1">
      <alignment vertical="top"/>
      <protection locked="0"/>
    </xf>
    <xf numFmtId="0" fontId="2" fillId="0" borderId="0" xfId="3" applyNumberFormat="1" applyFont="1" applyFill="1" applyBorder="1" applyAlignment="1" applyProtection="1">
      <alignment horizontal="right" vertical="top" wrapText="1"/>
      <protection locked="0"/>
    </xf>
    <xf numFmtId="1" fontId="10" fillId="0" borderId="0" xfId="3" applyNumberFormat="1" applyFont="1" applyFill="1" applyAlignment="1" applyProtection="1">
      <alignment horizontal="left" vertical="top"/>
      <protection locked="0"/>
    </xf>
    <xf numFmtId="165" fontId="12" fillId="0" borderId="0" xfId="1" applyNumberFormat="1" applyFont="1" applyFill="1" applyBorder="1" applyAlignment="1" applyProtection="1">
      <alignment vertical="top"/>
      <protection locked="0"/>
    </xf>
    <xf numFmtId="3" fontId="12" fillId="0" borderId="0" xfId="3" applyNumberFormat="1" applyFont="1" applyFill="1" applyAlignment="1" applyProtection="1">
      <alignment vertical="top"/>
      <protection locked="0"/>
    </xf>
    <xf numFmtId="3" fontId="12" fillId="0" borderId="0" xfId="3" applyNumberFormat="1" applyFont="1" applyFill="1" applyAlignment="1" applyProtection="1">
      <alignment vertical="top"/>
    </xf>
    <xf numFmtId="164" fontId="12" fillId="0" borderId="0" xfId="3" applyNumberFormat="1" applyFont="1" applyFill="1" applyAlignment="1" applyProtection="1">
      <alignment vertical="top"/>
    </xf>
    <xf numFmtId="0" fontId="35" fillId="0" borderId="0" xfId="3" applyNumberFormat="1" applyFont="1" applyFill="1" applyAlignment="1" applyProtection="1">
      <alignment vertical="top" wrapText="1"/>
      <protection locked="0"/>
    </xf>
    <xf numFmtId="0" fontId="35" fillId="0" borderId="0" xfId="3" applyNumberFormat="1" applyFont="1" applyFill="1" applyAlignment="1" applyProtection="1">
      <alignment vertical="top"/>
      <protection locked="0"/>
    </xf>
    <xf numFmtId="0" fontId="35" fillId="0" borderId="0" xfId="3" applyNumberFormat="1" applyFont="1" applyFill="1" applyAlignment="1" applyProtection="1">
      <alignment horizontal="left" vertical="top"/>
      <protection locked="0"/>
    </xf>
    <xf numFmtId="164" fontId="2" fillId="0" borderId="0" xfId="3" applyNumberFormat="1" applyFont="1" applyFill="1" applyAlignment="1" applyProtection="1">
      <alignment vertical="top" wrapText="1"/>
      <protection locked="0"/>
    </xf>
    <xf numFmtId="164" fontId="12" fillId="0" borderId="0" xfId="3" applyNumberFormat="1" applyFont="1" applyFill="1" applyAlignment="1" applyProtection="1">
      <alignment vertical="top" wrapText="1"/>
      <protection locked="0"/>
    </xf>
    <xf numFmtId="165" fontId="12" fillId="7" borderId="0" xfId="1" applyNumberFormat="1" applyFont="1" applyFill="1" applyBorder="1" applyAlignment="1" applyProtection="1">
      <alignment vertical="top"/>
      <protection locked="0"/>
    </xf>
    <xf numFmtId="3" fontId="12" fillId="0" borderId="0" xfId="3" applyNumberFormat="1" applyFont="1" applyAlignment="1" applyProtection="1">
      <alignment vertical="top"/>
      <protection locked="0"/>
    </xf>
    <xf numFmtId="3" fontId="12" fillId="0" borderId="0" xfId="3" applyNumberFormat="1" applyFont="1" applyAlignment="1" applyProtection="1">
      <alignment vertical="top"/>
    </xf>
    <xf numFmtId="164" fontId="12" fillId="0" borderId="0" xfId="3" applyNumberFormat="1" applyFont="1" applyAlignment="1" applyProtection="1">
      <alignment vertical="top"/>
    </xf>
    <xf numFmtId="164" fontId="12" fillId="0" borderId="0" xfId="3" quotePrefix="1" applyNumberFormat="1" applyFont="1" applyFill="1" applyAlignment="1" applyProtection="1">
      <alignment horizontal="center" vertical="top"/>
      <protection locked="0"/>
    </xf>
    <xf numFmtId="0" fontId="12" fillId="0" borderId="0" xfId="3" quotePrefix="1" applyNumberFormat="1" applyFont="1" applyFill="1" applyAlignment="1" applyProtection="1">
      <alignment horizontal="center" vertical="top"/>
      <protection locked="0"/>
    </xf>
    <xf numFmtId="0" fontId="56" fillId="0" borderId="0" xfId="3" applyNumberFormat="1" applyFont="1" applyFill="1" applyAlignment="1" applyProtection="1">
      <alignment vertical="top"/>
      <protection locked="0"/>
    </xf>
    <xf numFmtId="0" fontId="56" fillId="0" borderId="0" xfId="3" applyNumberFormat="1" applyFont="1" applyFill="1" applyAlignment="1" applyProtection="1">
      <alignment vertical="top" wrapText="1"/>
      <protection locked="0"/>
    </xf>
    <xf numFmtId="170" fontId="56" fillId="0" borderId="0" xfId="3" applyNumberFormat="1" applyFont="1" applyFill="1" applyAlignment="1" applyProtection="1">
      <alignment vertical="top"/>
      <protection locked="0"/>
    </xf>
    <xf numFmtId="0" fontId="37" fillId="0" borderId="0" xfId="3" applyNumberFormat="1" applyFont="1" applyFill="1" applyAlignment="1" applyProtection="1">
      <alignment vertical="top"/>
      <protection locked="0"/>
    </xf>
    <xf numFmtId="165" fontId="56" fillId="0" borderId="0" xfId="3" applyNumberFormat="1" applyFont="1" applyFill="1" applyAlignment="1" applyProtection="1">
      <alignment vertical="top"/>
      <protection locked="0"/>
    </xf>
    <xf numFmtId="165" fontId="35" fillId="0" borderId="0" xfId="3" applyNumberFormat="1" applyFont="1" applyFill="1" applyAlignment="1" applyProtection="1">
      <alignment vertical="top"/>
      <protection locked="0"/>
    </xf>
    <xf numFmtId="0" fontId="43" fillId="0" borderId="0" xfId="3" applyNumberFormat="1" applyFont="1" applyFill="1" applyAlignment="1" applyProtection="1">
      <alignment vertical="top" wrapText="1"/>
      <protection locked="0"/>
    </xf>
    <xf numFmtId="0" fontId="43" fillId="0" borderId="0" xfId="3" applyNumberFormat="1" applyFont="1" applyFill="1" applyAlignment="1" applyProtection="1">
      <alignment vertical="top"/>
      <protection locked="0"/>
    </xf>
    <xf numFmtId="0" fontId="56" fillId="0" borderId="0" xfId="3" applyNumberFormat="1" applyFont="1" applyFill="1" applyAlignment="1" applyProtection="1">
      <alignment horizontal="left" vertical="top"/>
      <protection locked="0"/>
    </xf>
    <xf numFmtId="0" fontId="12" fillId="0" borderId="0" xfId="3" applyNumberFormat="1" applyFont="1" applyFill="1" applyBorder="1" applyAlignment="1" applyProtection="1">
      <alignment vertical="top"/>
      <protection locked="0"/>
    </xf>
    <xf numFmtId="10" fontId="2" fillId="0" borderId="0" xfId="11" applyNumberFormat="1" applyFont="1" applyAlignment="1" applyProtection="1">
      <alignment vertical="top"/>
      <protection locked="0"/>
    </xf>
    <xf numFmtId="10" fontId="2" fillId="0" borderId="0" xfId="11" applyNumberFormat="1" applyFont="1" applyAlignment="1" applyProtection="1">
      <alignment vertical="top"/>
    </xf>
    <xf numFmtId="164" fontId="13" fillId="0" borderId="0" xfId="3" applyNumberFormat="1" applyFont="1" applyFill="1" applyAlignment="1" applyProtection="1">
      <alignment vertical="top"/>
      <protection locked="0"/>
    </xf>
    <xf numFmtId="164" fontId="49" fillId="0" borderId="0" xfId="5" applyFont="1" applyBorder="1" applyAlignment="1">
      <alignment vertical="center" wrapText="1"/>
    </xf>
    <xf numFmtId="164" fontId="2" fillId="0" borderId="0" xfId="5" applyFont="1" applyBorder="1" applyAlignment="1">
      <alignment wrapText="1"/>
    </xf>
    <xf numFmtId="37" fontId="12" fillId="0" borderId="0" xfId="3" applyNumberFormat="1" applyFont="1" applyFill="1" applyBorder="1" applyAlignment="1" applyProtection="1">
      <alignment vertical="top"/>
      <protection locked="0"/>
    </xf>
    <xf numFmtId="164" fontId="2" fillId="0" borderId="0" xfId="3" quotePrefix="1" applyNumberFormat="1" applyFont="1" applyFill="1" applyBorder="1" applyAlignment="1" applyProtection="1">
      <alignment horizontal="center" vertical="top"/>
      <protection locked="0"/>
    </xf>
    <xf numFmtId="164" fontId="2" fillId="0" borderId="0" xfId="5" applyFont="1"/>
    <xf numFmtId="164" fontId="2" fillId="10" borderId="0" xfId="3" applyNumberFormat="1" applyFont="1" applyFill="1" applyAlignment="1" applyProtection="1">
      <alignment vertical="top"/>
      <protection locked="0"/>
    </xf>
    <xf numFmtId="168" fontId="5" fillId="10" borderId="0" xfId="3" applyNumberFormat="1" applyFont="1" applyFill="1" applyAlignment="1" applyProtection="1">
      <alignment horizontal="left" vertical="top"/>
      <protection locked="0"/>
    </xf>
    <xf numFmtId="164" fontId="5" fillId="10" borderId="0" xfId="3" applyNumberFormat="1" applyFont="1" applyFill="1" applyAlignment="1" applyProtection="1">
      <alignment horizontal="left" vertical="top"/>
      <protection locked="0"/>
    </xf>
    <xf numFmtId="165" fontId="2" fillId="10" borderId="0" xfId="3" applyNumberFormat="1" applyFont="1" applyFill="1" applyBorder="1" applyAlignment="1" applyProtection="1">
      <alignment vertical="top"/>
      <protection locked="0"/>
    </xf>
    <xf numFmtId="37" fontId="2" fillId="10" borderId="0" xfId="3" applyNumberFormat="1" applyFont="1" applyFill="1" applyAlignment="1" applyProtection="1">
      <alignment vertical="top"/>
      <protection locked="0"/>
    </xf>
    <xf numFmtId="0" fontId="2" fillId="10" borderId="0" xfId="3" applyNumberFormat="1" applyFont="1" applyFill="1" applyAlignment="1" applyProtection="1">
      <alignment vertical="top"/>
      <protection locked="0"/>
    </xf>
    <xf numFmtId="165" fontId="2" fillId="10" borderId="0" xfId="1" applyNumberFormat="1" applyFont="1" applyFill="1" applyBorder="1" applyAlignment="1" applyProtection="1">
      <alignment vertical="top" shrinkToFit="1"/>
      <protection locked="0"/>
    </xf>
    <xf numFmtId="165" fontId="2" fillId="0" borderId="1" xfId="3" applyNumberFormat="1" applyFont="1" applyFill="1" applyBorder="1" applyAlignment="1" applyProtection="1">
      <alignment vertical="top"/>
      <protection locked="0"/>
    </xf>
    <xf numFmtId="164" fontId="7" fillId="0" borderId="0" xfId="3" applyNumberFormat="1" applyFont="1" applyFill="1" applyAlignment="1" applyProtection="1">
      <alignment vertical="top"/>
      <protection locked="0"/>
    </xf>
    <xf numFmtId="1" fontId="5" fillId="0" borderId="0" xfId="3" applyNumberFormat="1" applyFont="1" applyFill="1" applyAlignment="1" applyProtection="1">
      <alignment horizontal="left" vertical="top" wrapText="1"/>
      <protection locked="0"/>
    </xf>
    <xf numFmtId="164" fontId="41" fillId="0" borderId="0" xfId="3" applyNumberFormat="1" applyFont="1" applyFill="1" applyAlignment="1" applyProtection="1">
      <alignment horizontal="left" vertical="top" wrapText="1"/>
      <protection locked="0"/>
    </xf>
    <xf numFmtId="168" fontId="5" fillId="0" borderId="0" xfId="3" applyNumberFormat="1" applyFont="1" applyFill="1" applyAlignment="1" applyProtection="1">
      <alignment horizontal="left" vertical="top" wrapText="1"/>
      <protection locked="0"/>
    </xf>
    <xf numFmtId="164" fontId="5" fillId="0" borderId="0" xfId="3" applyNumberFormat="1" applyFont="1" applyFill="1" applyAlignment="1" applyProtection="1">
      <alignment horizontal="left" vertical="top" wrapText="1"/>
      <protection locked="0"/>
    </xf>
    <xf numFmtId="37" fontId="2" fillId="0" borderId="0" xfId="3" applyNumberFormat="1" applyFont="1" applyFill="1" applyBorder="1" applyAlignment="1" applyProtection="1">
      <alignment vertical="top" wrapText="1"/>
      <protection locked="0"/>
    </xf>
    <xf numFmtId="0" fontId="2" fillId="0" borderId="0" xfId="3" applyNumberFormat="1" applyFont="1" applyFill="1" applyBorder="1" applyAlignment="1" applyProtection="1">
      <alignment vertical="top" wrapText="1"/>
      <protection locked="0"/>
    </xf>
    <xf numFmtId="3" fontId="2" fillId="0" borderId="0" xfId="3" applyNumberFormat="1" applyFont="1" applyFill="1" applyAlignment="1" applyProtection="1">
      <alignment vertical="top" wrapText="1"/>
      <protection locked="0"/>
    </xf>
    <xf numFmtId="3" fontId="2" fillId="0" borderId="0" xfId="3" applyNumberFormat="1" applyFont="1" applyFill="1" applyAlignment="1" applyProtection="1">
      <alignment vertical="top" wrapText="1"/>
    </xf>
    <xf numFmtId="164" fontId="2" fillId="0" borderId="0" xfId="3" applyNumberFormat="1" applyFont="1" applyFill="1" applyAlignment="1" applyProtection="1">
      <alignment vertical="top" wrapText="1"/>
    </xf>
    <xf numFmtId="10" fontId="2" fillId="5" borderId="0" xfId="11" applyNumberFormat="1" applyFont="1" applyFill="1" applyBorder="1" applyAlignment="1" applyProtection="1">
      <alignment vertical="top" shrinkToFit="1"/>
      <protection locked="0"/>
    </xf>
    <xf numFmtId="9" fontId="2" fillId="0" borderId="0" xfId="11" applyFont="1" applyAlignment="1" applyProtection="1">
      <alignment vertical="top"/>
    </xf>
    <xf numFmtId="164" fontId="36" fillId="0" borderId="0" xfId="9" applyNumberFormat="1" applyFont="1" applyFill="1" applyAlignment="1" applyProtection="1">
      <alignment vertical="top" wrapText="1"/>
      <protection locked="0"/>
    </xf>
    <xf numFmtId="0" fontId="2" fillId="0" borderId="0" xfId="3" applyNumberFormat="1" applyFont="1" applyFill="1" applyAlignment="1" applyProtection="1">
      <alignment horizontal="right" vertical="top" wrapText="1"/>
      <protection locked="0"/>
    </xf>
    <xf numFmtId="164" fontId="2" fillId="0" borderId="0" xfId="3" quotePrefix="1" applyNumberFormat="1" applyFont="1" applyFill="1" applyAlignment="1" applyProtection="1">
      <alignment horizontal="center" vertical="top" wrapText="1"/>
      <protection locked="0"/>
    </xf>
    <xf numFmtId="0" fontId="2" fillId="0" borderId="0" xfId="3" quotePrefix="1" applyNumberFormat="1" applyFont="1" applyFill="1" applyAlignment="1" applyProtection="1">
      <alignment horizontal="center" vertical="top" wrapText="1"/>
      <protection locked="0"/>
    </xf>
    <xf numFmtId="164" fontId="2" fillId="0" borderId="0" xfId="5" applyFont="1" applyAlignment="1">
      <alignment vertical="center"/>
    </xf>
    <xf numFmtId="164" fontId="2" fillId="0" borderId="0" xfId="3" applyNumberFormat="1" applyFont="1" applyAlignment="1" applyProtection="1">
      <alignment vertical="top" wrapText="1"/>
      <protection locked="0"/>
    </xf>
    <xf numFmtId="164" fontId="2" fillId="0" borderId="0" xfId="3" quotePrefix="1" applyNumberFormat="1" applyFont="1" applyFill="1" applyBorder="1" applyAlignment="1" applyProtection="1">
      <alignment horizontal="center" vertical="top" wrapText="1"/>
      <protection locked="0"/>
    </xf>
    <xf numFmtId="0" fontId="2" fillId="0" borderId="0" xfId="3" quotePrefix="1" applyNumberFormat="1" applyFont="1" applyFill="1" applyBorder="1" applyAlignment="1" applyProtection="1">
      <alignment horizontal="center" vertical="top" wrapText="1"/>
      <protection locked="0"/>
    </xf>
    <xf numFmtId="3" fontId="2" fillId="0" borderId="0" xfId="3" applyNumberFormat="1" applyFont="1" applyAlignment="1" applyProtection="1">
      <alignment vertical="top" wrapText="1"/>
      <protection locked="0"/>
    </xf>
    <xf numFmtId="3" fontId="2" fillId="0" borderId="0" xfId="3" applyNumberFormat="1" applyFont="1" applyAlignment="1" applyProtection="1">
      <alignment vertical="top" wrapText="1"/>
    </xf>
    <xf numFmtId="164" fontId="2" fillId="0" borderId="0" xfId="3" applyNumberFormat="1" applyFont="1" applyAlignment="1" applyProtection="1">
      <alignment vertical="top" wrapText="1"/>
    </xf>
    <xf numFmtId="0" fontId="12" fillId="0" borderId="0" xfId="3" quotePrefix="1" applyNumberFormat="1" applyFont="1" applyFill="1" applyAlignment="1" applyProtection="1">
      <alignment vertical="top"/>
      <protection locked="0"/>
    </xf>
    <xf numFmtId="0" fontId="2" fillId="0" borderId="0" xfId="3" quotePrefix="1" applyNumberFormat="1" applyFont="1" applyFill="1" applyAlignment="1" applyProtection="1">
      <alignment vertical="top"/>
      <protection locked="0"/>
    </xf>
    <xf numFmtId="9" fontId="2" fillId="0" borderId="0" xfId="11" applyFont="1" applyFill="1" applyBorder="1" applyAlignment="1" applyProtection="1">
      <alignment vertical="top"/>
      <protection locked="0"/>
    </xf>
    <xf numFmtId="164" fontId="16" fillId="0" borderId="0" xfId="3" applyNumberFormat="1" applyFont="1" applyFill="1" applyAlignment="1" applyProtection="1">
      <alignment vertical="top" wrapText="1"/>
      <protection locked="0"/>
    </xf>
    <xf numFmtId="164" fontId="10" fillId="0" borderId="0" xfId="5" applyFont="1"/>
    <xf numFmtId="3" fontId="2" fillId="0" borderId="0" xfId="3" applyNumberFormat="1" applyFont="1" applyBorder="1" applyAlignment="1" applyProtection="1">
      <alignment vertical="top"/>
      <protection locked="0"/>
    </xf>
    <xf numFmtId="3" fontId="2" fillId="0" borderId="0" xfId="3" applyNumberFormat="1" applyFont="1" applyBorder="1" applyAlignment="1" applyProtection="1">
      <alignment vertical="top"/>
    </xf>
    <xf numFmtId="164" fontId="2" fillId="0" borderId="0" xfId="3" applyNumberFormat="1" applyFont="1" applyBorder="1" applyAlignment="1" applyProtection="1">
      <alignment vertical="top"/>
    </xf>
    <xf numFmtId="164" fontId="2" fillId="0" borderId="0" xfId="3" applyNumberFormat="1" applyFont="1" applyFill="1" applyBorder="1" applyAlignment="1" applyProtection="1">
      <alignment horizontal="left" vertical="top" wrapText="1"/>
      <protection locked="0"/>
    </xf>
    <xf numFmtId="164" fontId="5" fillId="0" borderId="0" xfId="3" applyNumberFormat="1" applyFont="1" applyFill="1" applyBorder="1" applyAlignment="1" applyProtection="1">
      <alignment horizontal="left" vertical="top" wrapText="1"/>
      <protection locked="0"/>
    </xf>
    <xf numFmtId="37" fontId="5" fillId="0" borderId="0" xfId="3" applyNumberFormat="1" applyFont="1" applyFill="1" applyBorder="1" applyAlignment="1" applyProtection="1">
      <alignment vertical="top" wrapText="1"/>
      <protection locked="0"/>
    </xf>
    <xf numFmtId="0" fontId="5" fillId="0" borderId="0" xfId="3" applyNumberFormat="1" applyFont="1" applyFill="1" applyBorder="1" applyAlignment="1" applyProtection="1">
      <alignment vertical="top" wrapText="1"/>
      <protection locked="0"/>
    </xf>
    <xf numFmtId="0" fontId="2" fillId="0" borderId="0" xfId="3" applyNumberFormat="1" applyFont="1" applyFill="1" applyBorder="1" applyAlignment="1" applyProtection="1">
      <alignment horizontal="left" vertical="top"/>
      <protection locked="0"/>
    </xf>
    <xf numFmtId="164" fontId="2" fillId="0" borderId="0" xfId="5" applyFont="1" applyAlignment="1" applyProtection="1">
      <alignment vertical="top" wrapText="1"/>
      <protection locked="0"/>
    </xf>
    <xf numFmtId="164" fontId="2" fillId="0" borderId="0" xfId="3" applyNumberFormat="1" applyFont="1" applyFill="1" applyAlignment="1" applyProtection="1">
      <alignment horizontal="justify" vertical="top"/>
      <protection locked="0"/>
    </xf>
    <xf numFmtId="164" fontId="4" fillId="0" borderId="0" xfId="5" applyAlignment="1" applyProtection="1">
      <alignment vertical="top" wrapText="1"/>
      <protection locked="0"/>
    </xf>
    <xf numFmtId="165" fontId="2" fillId="0" borderId="6" xfId="3" applyNumberFormat="1" applyFont="1" applyFill="1" applyBorder="1" applyAlignment="1" applyProtection="1">
      <alignment horizontal="right" vertical="top"/>
      <protection locked="0"/>
    </xf>
    <xf numFmtId="2" fontId="35" fillId="0" borderId="0" xfId="3" applyNumberFormat="1" applyFont="1" applyFill="1" applyAlignment="1" applyProtection="1">
      <alignment vertical="top" wrapText="1"/>
      <protection locked="0"/>
    </xf>
    <xf numFmtId="2" fontId="2" fillId="0" borderId="0" xfId="3" applyNumberFormat="1" applyFont="1" applyFill="1" applyAlignment="1" applyProtection="1">
      <alignment horizontal="justify" vertical="top" wrapText="1"/>
      <protection locked="0"/>
    </xf>
    <xf numFmtId="2" fontId="12" fillId="0" borderId="0" xfId="3" applyNumberFormat="1" applyFont="1" applyFill="1" applyAlignment="1" applyProtection="1">
      <alignment horizontal="justify" vertical="top" wrapText="1"/>
      <protection locked="0"/>
    </xf>
    <xf numFmtId="2" fontId="2" fillId="0" borderId="0" xfId="3" applyNumberFormat="1" applyFont="1" applyFill="1" applyAlignment="1" applyProtection="1">
      <alignment vertical="top" wrapText="1"/>
      <protection locked="0"/>
    </xf>
    <xf numFmtId="2" fontId="2" fillId="0" borderId="0" xfId="3" applyNumberFormat="1" applyFont="1" applyFill="1" applyAlignment="1" applyProtection="1">
      <alignment vertical="top"/>
      <protection locked="0"/>
    </xf>
    <xf numFmtId="2" fontId="2" fillId="0" borderId="0" xfId="3" applyNumberFormat="1" applyFont="1" applyFill="1" applyAlignment="1" applyProtection="1">
      <alignment horizontal="right" wrapText="1"/>
      <protection locked="0"/>
    </xf>
    <xf numFmtId="2" fontId="5" fillId="0" borderId="0" xfId="3" applyNumberFormat="1" applyFont="1" applyFill="1" applyAlignment="1" applyProtection="1">
      <alignment vertical="top"/>
      <protection locked="0"/>
    </xf>
    <xf numFmtId="165" fontId="2" fillId="0" borderId="0" xfId="3" applyNumberFormat="1" applyFont="1" applyFill="1" applyAlignment="1" applyProtection="1">
      <alignment horizontal="right" vertical="top"/>
      <protection locked="0"/>
    </xf>
    <xf numFmtId="2" fontId="40" fillId="0" borderId="0" xfId="3" applyNumberFormat="1" applyFont="1" applyFill="1" applyAlignment="1" applyProtection="1">
      <alignment vertical="top"/>
      <protection locked="0"/>
    </xf>
    <xf numFmtId="165" fontId="5" fillId="0" borderId="0" xfId="3" applyNumberFormat="1" applyFont="1" applyFill="1" applyAlignment="1" applyProtection="1">
      <alignment horizontal="right" vertical="top"/>
      <protection locked="0"/>
    </xf>
    <xf numFmtId="164" fontId="10" fillId="0" borderId="0" xfId="3" applyNumberFormat="1" applyFont="1" applyFill="1" applyBorder="1" applyAlignment="1" applyProtection="1">
      <alignment vertical="top"/>
      <protection locked="0"/>
    </xf>
    <xf numFmtId="49" fontId="2" fillId="0" borderId="0" xfId="3" applyNumberFormat="1" applyFont="1" applyFill="1" applyAlignment="1" applyProtection="1">
      <alignment vertical="top"/>
      <protection locked="0"/>
    </xf>
    <xf numFmtId="49" fontId="5" fillId="0" borderId="0" xfId="3" applyNumberFormat="1" applyFont="1" applyFill="1" applyAlignment="1" applyProtection="1">
      <alignment vertical="top"/>
      <protection locked="0"/>
    </xf>
    <xf numFmtId="49" fontId="5" fillId="0" borderId="0" xfId="3" quotePrefix="1" applyNumberFormat="1" applyFont="1" applyFill="1" applyAlignment="1" applyProtection="1">
      <alignment vertical="top"/>
      <protection locked="0"/>
    </xf>
    <xf numFmtId="49" fontId="2" fillId="0" borderId="0" xfId="3" applyNumberFormat="1" applyFont="1" applyFill="1" applyBorder="1" applyAlignment="1" applyProtection="1">
      <alignment vertical="top"/>
      <protection locked="0"/>
    </xf>
    <xf numFmtId="3" fontId="2" fillId="0" borderId="0" xfId="3" quotePrefix="1" applyNumberFormat="1" applyFont="1" applyAlignment="1" applyProtection="1">
      <alignment vertical="top"/>
      <protection locked="0"/>
    </xf>
    <xf numFmtId="3" fontId="2" fillId="0" borderId="0" xfId="3" quotePrefix="1" applyNumberFormat="1" applyFont="1" applyAlignment="1" applyProtection="1">
      <alignment vertical="top"/>
    </xf>
    <xf numFmtId="165" fontId="2" fillId="5" borderId="0" xfId="3" applyNumberFormat="1" applyFont="1" applyFill="1" applyAlignment="1" applyProtection="1">
      <alignment vertical="top" shrinkToFit="1"/>
      <protection locked="0"/>
    </xf>
    <xf numFmtId="164" fontId="59" fillId="0" borderId="0" xfId="9" applyNumberFormat="1" applyFont="1" applyFill="1" applyAlignment="1" applyProtection="1">
      <alignment vertical="top"/>
      <protection locked="0"/>
    </xf>
    <xf numFmtId="164" fontId="2" fillId="0" borderId="0" xfId="3" applyNumberFormat="1" applyFont="1" applyFill="1" applyAlignment="1" applyProtection="1">
      <alignment horizontal="center" vertical="top"/>
      <protection locked="0"/>
    </xf>
    <xf numFmtId="164" fontId="4" fillId="0" borderId="0" xfId="3" applyNumberFormat="1" applyFont="1" applyFill="1" applyAlignment="1" applyProtection="1">
      <alignment vertical="top"/>
      <protection locked="0"/>
    </xf>
    <xf numFmtId="165" fontId="4" fillId="7" borderId="0" xfId="1" applyNumberFormat="1" applyFont="1" applyFill="1" applyBorder="1" applyAlignment="1" applyProtection="1">
      <alignment vertical="top"/>
      <protection locked="0"/>
    </xf>
    <xf numFmtId="164" fontId="4" fillId="0" borderId="0" xfId="3" applyNumberFormat="1" applyFont="1" applyAlignment="1" applyProtection="1">
      <alignment vertical="top"/>
      <protection locked="0"/>
    </xf>
    <xf numFmtId="3" fontId="4" fillId="0" borderId="0" xfId="3" applyNumberFormat="1" applyFont="1" applyAlignment="1" applyProtection="1">
      <alignment vertical="top"/>
      <protection locked="0"/>
    </xf>
    <xf numFmtId="3" fontId="4" fillId="0" borderId="0" xfId="3" applyNumberFormat="1" applyFont="1" applyAlignment="1" applyProtection="1">
      <alignment vertical="top"/>
    </xf>
    <xf numFmtId="164" fontId="4" fillId="0" borderId="0" xfId="3" applyNumberFormat="1" applyFont="1" applyAlignment="1" applyProtection="1">
      <alignment vertical="top"/>
    </xf>
    <xf numFmtId="164" fontId="36" fillId="0" borderId="0" xfId="3" applyNumberFormat="1" applyFont="1" applyFill="1" applyAlignment="1" applyProtection="1">
      <alignment horizontal="justify" vertical="top" wrapText="1"/>
      <protection locked="0"/>
    </xf>
    <xf numFmtId="0" fontId="36" fillId="0" borderId="0" xfId="3" applyNumberFormat="1" applyFont="1" applyFill="1" applyAlignment="1" applyProtection="1">
      <alignment horizontal="justify" vertical="top" wrapText="1"/>
      <protection locked="0"/>
    </xf>
    <xf numFmtId="0" fontId="2" fillId="0" borderId="0" xfId="3" applyNumberFormat="1" applyFont="1" applyFill="1" applyBorder="1" applyAlignment="1" applyProtection="1">
      <alignment wrapText="1"/>
      <protection locked="0"/>
    </xf>
    <xf numFmtId="0" fontId="36" fillId="0" borderId="0" xfId="3" applyNumberFormat="1" applyFont="1" applyFill="1" applyBorder="1" applyAlignment="1" applyProtection="1">
      <alignment horizontal="justify" vertical="top" wrapText="1"/>
      <protection locked="0"/>
    </xf>
    <xf numFmtId="164" fontId="2" fillId="0" borderId="0" xfId="3" applyNumberFormat="1" applyFont="1" applyFill="1" applyBorder="1" applyAlignment="1" applyProtection="1">
      <alignment wrapText="1"/>
      <protection locked="0"/>
    </xf>
    <xf numFmtId="164" fontId="2" fillId="0" borderId="0" xfId="3" applyNumberFormat="1" applyFont="1" applyFill="1" applyAlignment="1" applyProtection="1">
      <alignment horizontal="justify" vertical="top" wrapText="1"/>
      <protection locked="0"/>
    </xf>
    <xf numFmtId="165" fontId="2" fillId="0" borderId="0" xfId="3" applyNumberFormat="1" applyFont="1" applyFill="1" applyAlignment="1" applyProtection="1">
      <alignment horizontal="right" vertical="top" wrapText="1"/>
      <protection locked="0"/>
    </xf>
    <xf numFmtId="41" fontId="2" fillId="0" borderId="0" xfId="3" applyNumberFormat="1" applyFont="1" applyFill="1" applyAlignment="1" applyProtection="1">
      <alignment horizontal="justify" vertical="top" wrapText="1"/>
      <protection locked="0"/>
    </xf>
    <xf numFmtId="164" fontId="2" fillId="0" borderId="0" xfId="3" applyNumberFormat="1" applyFont="1" applyFill="1" applyBorder="1" applyAlignment="1" applyProtection="1">
      <alignment horizontal="justify" vertical="top" wrapText="1"/>
      <protection locked="0"/>
    </xf>
    <xf numFmtId="41" fontId="2" fillId="0" borderId="0" xfId="3" applyNumberFormat="1" applyFont="1" applyFill="1" applyBorder="1" applyAlignment="1" applyProtection="1">
      <alignment horizontal="justify" vertical="top" wrapText="1"/>
      <protection locked="0"/>
    </xf>
    <xf numFmtId="164" fontId="2" fillId="0" borderId="0" xfId="3" quotePrefix="1" applyNumberFormat="1" applyFont="1" applyFill="1" applyAlignment="1" applyProtection="1">
      <alignment horizontal="justify" vertical="top" wrapText="1"/>
      <protection locked="0"/>
    </xf>
    <xf numFmtId="49" fontId="2" fillId="0" borderId="0" xfId="3" applyNumberFormat="1" applyFont="1" applyFill="1" applyAlignment="1" applyProtection="1">
      <alignment horizontal="center" vertical="top" wrapText="1"/>
      <protection locked="0"/>
    </xf>
    <xf numFmtId="164" fontId="2" fillId="0" borderId="0" xfId="1" applyFont="1" applyBorder="1" applyAlignment="1" applyProtection="1">
      <alignment vertical="top"/>
      <protection locked="0"/>
    </xf>
    <xf numFmtId="165" fontId="2" fillId="8" borderId="0" xfId="3" applyNumberFormat="1" applyFont="1" applyFill="1" applyAlignment="1" applyProtection="1">
      <alignment vertical="top"/>
      <protection locked="0"/>
    </xf>
    <xf numFmtId="2" fontId="5" fillId="0" borderId="0" xfId="3" applyNumberFormat="1" applyFont="1" applyFill="1" applyAlignment="1" applyProtection="1">
      <alignment horizontal="center" vertical="top"/>
      <protection locked="0"/>
    </xf>
    <xf numFmtId="3" fontId="5" fillId="0" borderId="0" xfId="3" applyNumberFormat="1" applyFont="1" applyFill="1" applyAlignment="1" applyProtection="1">
      <alignment horizontal="center" vertical="top"/>
      <protection locked="0"/>
    </xf>
    <xf numFmtId="41" fontId="2" fillId="0" borderId="0" xfId="1" applyNumberFormat="1" applyFont="1" applyBorder="1" applyAlignment="1" applyProtection="1">
      <alignment vertical="top"/>
      <protection locked="0"/>
    </xf>
    <xf numFmtId="165" fontId="45" fillId="8" borderId="0" xfId="3" applyNumberFormat="1" applyFont="1" applyFill="1" applyAlignment="1" applyProtection="1">
      <alignment vertical="top"/>
      <protection locked="0"/>
    </xf>
    <xf numFmtId="165" fontId="2" fillId="0" borderId="0" xfId="3" applyNumberFormat="1" applyFont="1" applyAlignment="1" applyProtection="1">
      <alignment vertical="top"/>
      <protection locked="0"/>
    </xf>
    <xf numFmtId="0" fontId="5" fillId="0" borderId="0" xfId="3" applyNumberFormat="1" applyFont="1" applyFill="1" applyBorder="1" applyAlignment="1" applyProtection="1">
      <alignment horizontal="left" vertical="top"/>
      <protection locked="0"/>
    </xf>
    <xf numFmtId="0" fontId="12" fillId="0" borderId="0" xfId="3" applyNumberFormat="1" applyFont="1" applyFill="1" applyBorder="1" applyAlignment="1" applyProtection="1">
      <alignment horizontal="left" vertical="top"/>
      <protection locked="0"/>
    </xf>
    <xf numFmtId="41" fontId="12" fillId="0" borderId="0" xfId="3" applyNumberFormat="1" applyFont="1" applyFill="1" applyBorder="1" applyAlignment="1" applyProtection="1">
      <alignment horizontal="left" vertical="top"/>
      <protection locked="0"/>
    </xf>
    <xf numFmtId="0" fontId="5" fillId="0" borderId="0" xfId="3" applyNumberFormat="1" applyFont="1" applyFill="1" applyAlignment="1" applyProtection="1">
      <alignment horizontal="left" vertical="top"/>
    </xf>
    <xf numFmtId="164" fontId="5" fillId="0" borderId="0" xfId="3" applyNumberFormat="1" applyFont="1" applyFill="1" applyAlignment="1" applyProtection="1">
      <alignment horizontal="left" vertical="top"/>
    </xf>
    <xf numFmtId="165" fontId="2" fillId="0" borderId="0" xfId="3" applyNumberFormat="1" applyFont="1" applyFill="1" applyAlignment="1" applyProtection="1">
      <alignment vertical="top"/>
    </xf>
    <xf numFmtId="165" fontId="2" fillId="0" borderId="0" xfId="3" applyNumberFormat="1" applyFont="1" applyAlignment="1" applyProtection="1">
      <alignment vertical="top"/>
    </xf>
    <xf numFmtId="164" fontId="4" fillId="0" borderId="0" xfId="5" applyFont="1"/>
    <xf numFmtId="164" fontId="4" fillId="0" borderId="0" xfId="5"/>
    <xf numFmtId="164" fontId="2" fillId="0" borderId="1" xfId="5" applyFont="1" applyBorder="1"/>
    <xf numFmtId="164" fontId="2" fillId="0" borderId="0" xfId="5" applyFont="1" applyBorder="1"/>
    <xf numFmtId="0" fontId="5" fillId="0" borderId="0" xfId="9" applyNumberFormat="1" applyFont="1" applyFill="1" applyAlignment="1" applyProtection="1">
      <alignment horizontal="left" vertical="top"/>
      <protection locked="0"/>
    </xf>
    <xf numFmtId="164" fontId="5" fillId="0" borderId="0" xfId="9" applyFont="1" applyFill="1" applyAlignment="1">
      <alignment vertical="top"/>
    </xf>
    <xf numFmtId="0" fontId="5" fillId="0" borderId="0" xfId="9" applyNumberFormat="1" applyFont="1" applyFill="1" applyAlignment="1">
      <alignment horizontal="left" vertical="top"/>
    </xf>
    <xf numFmtId="164" fontId="2" fillId="0" borderId="0" xfId="9" applyFont="1" applyFill="1" applyAlignment="1">
      <alignment vertical="top"/>
    </xf>
    <xf numFmtId="41" fontId="2" fillId="0" borderId="0" xfId="9" applyNumberFormat="1" applyFont="1" applyFill="1" applyBorder="1" applyAlignment="1">
      <alignment vertical="top"/>
    </xf>
    <xf numFmtId="41" fontId="2" fillId="0" borderId="0" xfId="3" applyNumberFormat="1" applyFont="1" applyFill="1" applyBorder="1" applyAlignment="1">
      <alignment vertical="top"/>
    </xf>
    <xf numFmtId="164" fontId="5" fillId="0" borderId="0" xfId="5" applyFont="1" applyFill="1" applyBorder="1" applyAlignment="1"/>
    <xf numFmtId="164" fontId="12" fillId="0" borderId="0" xfId="5" applyFont="1" applyFill="1" applyBorder="1" applyAlignment="1">
      <alignment horizontal="right"/>
    </xf>
    <xf numFmtId="164" fontId="5" fillId="0" borderId="0" xfId="5" applyFont="1" applyFill="1" applyBorder="1" applyAlignment="1">
      <alignment horizontal="center"/>
    </xf>
    <xf numFmtId="164" fontId="45" fillId="9" borderId="0" xfId="9" applyFont="1" applyFill="1" applyAlignment="1">
      <alignment vertical="top"/>
    </xf>
    <xf numFmtId="164" fontId="19" fillId="9" borderId="0" xfId="9" applyFont="1" applyFill="1" applyAlignment="1">
      <alignment vertical="top"/>
    </xf>
    <xf numFmtId="49" fontId="45" fillId="9" borderId="0" xfId="5" applyNumberFormat="1" applyFont="1" applyFill="1" applyBorder="1" applyAlignment="1">
      <alignment horizontal="center"/>
    </xf>
    <xf numFmtId="164" fontId="45" fillId="0" borderId="0" xfId="5" applyFont="1" applyFill="1" applyBorder="1" applyAlignment="1">
      <alignment horizontal="center"/>
    </xf>
    <xf numFmtId="164" fontId="5" fillId="0" borderId="0" xfId="9" applyFont="1" applyFill="1" applyBorder="1" applyAlignment="1"/>
    <xf numFmtId="49" fontId="2" fillId="0" borderId="0" xfId="9" applyNumberFormat="1" applyFont="1" applyFill="1" applyBorder="1" applyAlignment="1">
      <alignment vertical="center" wrapText="1"/>
    </xf>
    <xf numFmtId="49" fontId="2" fillId="0" borderId="1" xfId="9" applyNumberFormat="1" applyFont="1" applyFill="1" applyBorder="1" applyAlignment="1">
      <alignment horizontal="right" wrapText="1"/>
    </xf>
    <xf numFmtId="49" fontId="2" fillId="0" borderId="0" xfId="9" applyNumberFormat="1" applyFont="1" applyFill="1" applyBorder="1" applyAlignment="1">
      <alignment horizontal="right" wrapText="1"/>
    </xf>
    <xf numFmtId="49" fontId="2" fillId="0" borderId="1" xfId="3" applyNumberFormat="1" applyFont="1" applyFill="1" applyBorder="1" applyAlignment="1">
      <alignment horizontal="right" wrapText="1"/>
    </xf>
    <xf numFmtId="49" fontId="5" fillId="0" borderId="0" xfId="3" applyNumberFormat="1" applyFont="1" applyFill="1" applyBorder="1" applyAlignment="1">
      <alignment horizontal="center" vertical="center" wrapText="1"/>
    </xf>
    <xf numFmtId="49" fontId="2" fillId="0" borderId="0" xfId="9" applyNumberFormat="1" applyFont="1" applyFill="1" applyBorder="1" applyAlignment="1">
      <alignment wrapText="1"/>
    </xf>
    <xf numFmtId="164" fontId="2" fillId="0" borderId="0" xfId="5" applyFont="1" applyFill="1"/>
    <xf numFmtId="164" fontId="4" fillId="0" borderId="0" xfId="5" applyFill="1"/>
    <xf numFmtId="0" fontId="2" fillId="0" borderId="0" xfId="9" applyNumberFormat="1" applyFont="1" applyFill="1" applyBorder="1" applyAlignment="1">
      <alignment vertical="center"/>
    </xf>
    <xf numFmtId="0" fontId="2" fillId="0" borderId="0" xfId="9" applyNumberFormat="1" applyFont="1" applyFill="1" applyBorder="1" applyAlignment="1">
      <alignment vertical="center" wrapText="1"/>
    </xf>
    <xf numFmtId="0" fontId="2" fillId="0" borderId="0" xfId="9" applyNumberFormat="1" applyFont="1" applyFill="1" applyBorder="1" applyAlignment="1">
      <alignment horizontal="right" vertical="center" wrapText="1"/>
    </xf>
    <xf numFmtId="0" fontId="2" fillId="0" borderId="0" xfId="3" applyNumberFormat="1" applyFont="1" applyFill="1" applyBorder="1" applyAlignment="1">
      <alignment horizontal="center" vertical="center" wrapText="1"/>
    </xf>
    <xf numFmtId="0" fontId="2" fillId="0" borderId="0" xfId="5" applyNumberFormat="1" applyFont="1" applyFill="1"/>
    <xf numFmtId="164" fontId="4" fillId="0" borderId="0" xfId="5" applyFont="1" applyFill="1"/>
    <xf numFmtId="164" fontId="2" fillId="0" borderId="0" xfId="9" applyFont="1" applyFill="1" applyBorder="1" applyAlignment="1">
      <alignment vertical="top"/>
    </xf>
    <xf numFmtId="164" fontId="28" fillId="0" borderId="0" xfId="10" applyFont="1" applyFill="1" applyBorder="1" applyAlignment="1">
      <alignment vertical="top"/>
    </xf>
    <xf numFmtId="165" fontId="2" fillId="0" borderId="0" xfId="9" applyNumberFormat="1" applyFont="1" applyFill="1" applyBorder="1" applyAlignment="1">
      <alignment vertical="center"/>
    </xf>
    <xf numFmtId="165" fontId="2" fillId="0" borderId="0" xfId="3" applyNumberFormat="1" applyFont="1" applyFill="1" applyBorder="1" applyAlignment="1">
      <alignment vertical="center"/>
    </xf>
    <xf numFmtId="41" fontId="2" fillId="0" borderId="0" xfId="3" applyNumberFormat="1" applyFont="1" applyFill="1" applyBorder="1" applyAlignment="1">
      <alignment vertical="center"/>
    </xf>
    <xf numFmtId="164" fontId="22" fillId="0" borderId="0" xfId="10" applyFont="1" applyFill="1" applyAlignment="1">
      <alignment vertical="top"/>
    </xf>
    <xf numFmtId="165" fontId="2" fillId="0" borderId="0" xfId="9" applyNumberFormat="1" applyFont="1" applyFill="1" applyAlignment="1">
      <alignment vertical="center"/>
    </xf>
    <xf numFmtId="41" fontId="2" fillId="0" borderId="0" xfId="9" applyNumberFormat="1" applyFont="1" applyFill="1" applyBorder="1" applyAlignment="1">
      <alignment vertical="center"/>
    </xf>
    <xf numFmtId="164" fontId="28" fillId="0" borderId="0" xfId="10" applyFont="1" applyFill="1" applyAlignment="1">
      <alignment vertical="top"/>
    </xf>
    <xf numFmtId="165" fontId="5" fillId="0" borderId="5" xfId="9" applyNumberFormat="1" applyFont="1" applyFill="1" applyBorder="1" applyAlignment="1">
      <alignment vertical="center"/>
    </xf>
    <xf numFmtId="165" fontId="5" fillId="0" borderId="0" xfId="9" applyNumberFormat="1" applyFont="1" applyFill="1" applyBorder="1" applyAlignment="1">
      <alignment vertical="center"/>
    </xf>
    <xf numFmtId="41" fontId="5" fillId="0" borderId="0" xfId="9" applyNumberFormat="1" applyFont="1" applyFill="1" applyBorder="1" applyAlignment="1">
      <alignment vertical="center"/>
    </xf>
    <xf numFmtId="164" fontId="2" fillId="0" borderId="0" xfId="9" applyFont="1" applyFill="1" applyBorder="1" applyAlignment="1"/>
    <xf numFmtId="164" fontId="28" fillId="0" borderId="0" xfId="10" applyFont="1" applyFill="1" applyBorder="1" applyAlignment="1"/>
    <xf numFmtId="165" fontId="2" fillId="0" borderId="0" xfId="9" applyNumberFormat="1" applyFont="1" applyFill="1" applyBorder="1" applyAlignment="1"/>
    <xf numFmtId="165" fontId="2" fillId="0" borderId="0" xfId="3" applyNumberFormat="1" applyFont="1" applyFill="1" applyBorder="1" applyAlignment="1"/>
    <xf numFmtId="41" fontId="2" fillId="0" borderId="0" xfId="3" applyNumberFormat="1" applyFont="1" applyFill="1" applyBorder="1" applyAlignment="1"/>
    <xf numFmtId="164" fontId="2" fillId="0" borderId="0" xfId="10" applyFont="1" applyFill="1" applyBorder="1" applyAlignment="1">
      <alignment vertical="top"/>
    </xf>
    <xf numFmtId="164" fontId="22" fillId="0" borderId="0" xfId="10" applyFont="1" applyFill="1" applyBorder="1" applyAlignment="1">
      <alignment vertical="top"/>
    </xf>
    <xf numFmtId="164" fontId="5" fillId="0" borderId="0" xfId="10" applyFont="1" applyFill="1" applyBorder="1" applyAlignment="1">
      <alignment vertical="top"/>
    </xf>
    <xf numFmtId="41" fontId="5" fillId="0" borderId="0" xfId="3" applyNumberFormat="1" applyFont="1" applyFill="1" applyBorder="1" applyAlignment="1">
      <alignment vertical="center"/>
    </xf>
    <xf numFmtId="164" fontId="28" fillId="0" borderId="0" xfId="10" applyFont="1" applyFill="1" applyBorder="1" applyAlignment="1">
      <alignment vertical="center"/>
    </xf>
    <xf numFmtId="164" fontId="63" fillId="0" borderId="0" xfId="5" applyFont="1" applyFill="1"/>
    <xf numFmtId="164" fontId="7" fillId="0" borderId="0" xfId="9" applyFont="1" applyFill="1" applyAlignment="1">
      <alignment vertical="top"/>
    </xf>
    <xf numFmtId="41" fontId="7" fillId="0" borderId="0" xfId="3" applyNumberFormat="1" applyFont="1" applyFill="1" applyBorder="1" applyAlignment="1">
      <alignment vertical="top"/>
    </xf>
    <xf numFmtId="164" fontId="7" fillId="0" borderId="0" xfId="9" quotePrefix="1" applyFont="1" applyFill="1" applyAlignment="1">
      <alignment vertical="top"/>
    </xf>
    <xf numFmtId="164" fontId="7" fillId="0" borderId="0" xfId="5" applyFont="1" applyFill="1"/>
    <xf numFmtId="164" fontId="7" fillId="0" borderId="0" xfId="5" quotePrefix="1" applyFont="1" applyFill="1"/>
    <xf numFmtId="164" fontId="7" fillId="0" borderId="0" xfId="5" applyFont="1"/>
    <xf numFmtId="164" fontId="63" fillId="0" borderId="0" xfId="5" applyFont="1"/>
    <xf numFmtId="164" fontId="2" fillId="5" borderId="0" xfId="13" applyFont="1" applyFill="1"/>
    <xf numFmtId="164" fontId="5" fillId="0" borderId="0" xfId="5" applyFont="1"/>
    <xf numFmtId="165" fontId="2" fillId="2" borderId="0" xfId="1" applyNumberFormat="1" applyFont="1" applyFill="1" applyBorder="1" applyAlignment="1" applyProtection="1">
      <alignment horizontal="center" vertical="top"/>
      <protection hidden="1"/>
    </xf>
    <xf numFmtId="41" fontId="4" fillId="11" borderId="0" xfId="5" applyNumberFormat="1" applyFont="1" applyFill="1"/>
    <xf numFmtId="165" fontId="5" fillId="12" borderId="0" xfId="1" applyNumberFormat="1" applyFont="1" applyFill="1" applyBorder="1" applyAlignment="1" applyProtection="1">
      <alignment horizontal="center" vertical="top"/>
      <protection hidden="1"/>
    </xf>
    <xf numFmtId="164" fontId="5" fillId="12" borderId="0" xfId="1" applyNumberFormat="1" applyFont="1" applyFill="1" applyBorder="1" applyAlignment="1" applyProtection="1">
      <alignment horizontal="center" vertical="top"/>
      <protection locked="0"/>
    </xf>
    <xf numFmtId="165" fontId="2" fillId="2" borderId="0" xfId="1" applyNumberFormat="1" applyFont="1" applyFill="1" applyBorder="1" applyAlignment="1" applyProtection="1">
      <alignment horizontal="right" vertical="top"/>
      <protection hidden="1"/>
    </xf>
    <xf numFmtId="41" fontId="4" fillId="11" borderId="0" xfId="5" applyNumberFormat="1" applyFill="1"/>
    <xf numFmtId="165" fontId="2" fillId="2" borderId="0" xfId="5" applyNumberFormat="1" applyFont="1" applyFill="1" applyBorder="1"/>
    <xf numFmtId="165" fontId="2" fillId="2" borderId="0" xfId="5" applyNumberFormat="1" applyFont="1" applyFill="1"/>
    <xf numFmtId="1" fontId="5" fillId="0" borderId="0" xfId="9" applyNumberFormat="1" applyFont="1" applyFill="1" applyAlignment="1" applyProtection="1">
      <alignment horizontal="left" vertical="top"/>
      <protection locked="0"/>
    </xf>
    <xf numFmtId="1" fontId="5" fillId="0" borderId="0" xfId="9" applyNumberFormat="1" applyFont="1" applyFill="1" applyBorder="1" applyAlignment="1">
      <alignment horizontal="left" vertical="top"/>
    </xf>
    <xf numFmtId="0" fontId="50" fillId="0" borderId="0" xfId="9" applyNumberFormat="1" applyFont="1" applyFill="1" applyAlignment="1">
      <alignment horizontal="right" vertical="top"/>
    </xf>
    <xf numFmtId="0" fontId="2" fillId="0" borderId="0" xfId="5" applyNumberFormat="1" applyFont="1" applyFill="1" applyBorder="1" applyAlignment="1">
      <alignment vertical="top"/>
    </xf>
    <xf numFmtId="0" fontId="50" fillId="0" borderId="0" xfId="5" applyNumberFormat="1" applyFont="1" applyFill="1" applyBorder="1" applyAlignment="1">
      <alignment horizontal="right" vertical="top"/>
    </xf>
    <xf numFmtId="0" fontId="50" fillId="0" borderId="0" xfId="9" applyNumberFormat="1" applyFont="1" applyFill="1" applyBorder="1" applyAlignment="1">
      <alignment horizontal="right" vertical="top"/>
    </xf>
    <xf numFmtId="165" fontId="2" fillId="2" borderId="0" xfId="5" applyNumberFormat="1" applyFont="1" applyFill="1" applyAlignment="1">
      <alignment vertical="top"/>
    </xf>
    <xf numFmtId="41" fontId="4" fillId="11" borderId="0" xfId="5" applyNumberFormat="1" applyFill="1" applyAlignment="1">
      <alignment vertical="top"/>
    </xf>
    <xf numFmtId="0" fontId="65" fillId="0" borderId="0" xfId="5" applyNumberFormat="1" applyFont="1" applyFill="1" applyAlignment="1">
      <alignment horizontal="right" vertical="top"/>
    </xf>
    <xf numFmtId="164" fontId="5" fillId="0" borderId="0" xfId="9" applyFont="1" applyFill="1" applyBorder="1" applyAlignment="1">
      <alignment horizontal="right"/>
    </xf>
    <xf numFmtId="49" fontId="2" fillId="0" borderId="6" xfId="9" applyNumberFormat="1" applyFont="1" applyFill="1" applyBorder="1" applyAlignment="1">
      <alignment horizontal="right" wrapText="1"/>
    </xf>
    <xf numFmtId="49" fontId="5" fillId="0" borderId="0" xfId="3" applyNumberFormat="1" applyFont="1" applyFill="1" applyBorder="1" applyAlignment="1">
      <alignment horizontal="right" wrapText="1"/>
    </xf>
    <xf numFmtId="165" fontId="2" fillId="2" borderId="0" xfId="5" applyNumberFormat="1" applyFont="1" applyFill="1" applyAlignment="1"/>
    <xf numFmtId="41" fontId="4" fillId="11" borderId="0" xfId="5" applyNumberFormat="1" applyFill="1" applyAlignment="1"/>
    <xf numFmtId="164" fontId="4" fillId="0" borderId="0" xfId="5" applyFill="1" applyAlignment="1">
      <alignment horizontal="right"/>
    </xf>
    <xf numFmtId="0" fontId="37" fillId="0" borderId="0" xfId="9" applyNumberFormat="1" applyFont="1" applyFill="1" applyBorder="1" applyAlignment="1">
      <alignment horizontal="right" vertical="center"/>
    </xf>
    <xf numFmtId="0" fontId="37" fillId="0" borderId="0" xfId="9" applyNumberFormat="1" applyFont="1" applyFill="1" applyBorder="1" applyAlignment="1">
      <alignment horizontal="right" vertical="center" wrapText="1"/>
    </xf>
    <xf numFmtId="0" fontId="37" fillId="0" borderId="0" xfId="3" applyNumberFormat="1" applyFont="1" applyFill="1" applyBorder="1" applyAlignment="1">
      <alignment horizontal="right" vertical="center" wrapText="1"/>
    </xf>
    <xf numFmtId="165" fontId="5" fillId="2" borderId="0" xfId="3" applyNumberFormat="1" applyFont="1" applyFill="1" applyBorder="1" applyAlignment="1">
      <alignment horizontal="center" vertical="top"/>
    </xf>
    <xf numFmtId="164" fontId="66" fillId="0" borderId="0" xfId="5" applyFont="1" applyFill="1" applyAlignment="1">
      <alignment horizontal="right"/>
    </xf>
    <xf numFmtId="165" fontId="37" fillId="2" borderId="0" xfId="3" applyNumberFormat="1" applyFont="1" applyFill="1" applyBorder="1" applyAlignment="1">
      <alignment horizontal="right" vertical="top"/>
    </xf>
    <xf numFmtId="165" fontId="5" fillId="0" borderId="0" xfId="9" applyNumberFormat="1" applyFont="1" applyFill="1" applyBorder="1" applyAlignment="1">
      <alignment horizontal="right" vertical="center"/>
    </xf>
    <xf numFmtId="0" fontId="28" fillId="0" borderId="0" xfId="10" quotePrefix="1" applyNumberFormat="1" applyFont="1" applyFill="1" applyBorder="1" applyAlignment="1">
      <alignment vertical="top" wrapText="1"/>
    </xf>
    <xf numFmtId="165" fontId="2" fillId="2" borderId="0" xfId="3" applyNumberFormat="1" applyFont="1" applyFill="1" applyBorder="1" applyAlignment="1">
      <alignment vertical="center" shrinkToFit="1"/>
    </xf>
    <xf numFmtId="0" fontId="22" fillId="0" borderId="0" xfId="10" quotePrefix="1" applyNumberFormat="1" applyFont="1" applyFill="1" applyBorder="1" applyAlignment="1">
      <alignment vertical="top" wrapText="1"/>
    </xf>
    <xf numFmtId="165" fontId="2" fillId="0" borderId="0" xfId="9" applyNumberFormat="1" applyFont="1" applyFill="1" applyBorder="1" applyAlignment="1">
      <alignment horizontal="right" vertical="center"/>
    </xf>
    <xf numFmtId="165" fontId="2" fillId="2" borderId="0" xfId="9" applyNumberFormat="1" applyFont="1" applyFill="1" applyBorder="1" applyAlignment="1">
      <alignment vertical="center" shrinkToFit="1"/>
    </xf>
    <xf numFmtId="165" fontId="2" fillId="0" borderId="0" xfId="9" applyNumberFormat="1" applyFont="1" applyFill="1" applyAlignment="1">
      <alignment horizontal="right" vertical="center"/>
    </xf>
    <xf numFmtId="165" fontId="36" fillId="2" borderId="0" xfId="9" applyNumberFormat="1" applyFont="1" applyFill="1" applyBorder="1" applyAlignment="1">
      <alignment vertical="center" shrinkToFit="1"/>
    </xf>
    <xf numFmtId="0" fontId="67" fillId="0" borderId="0" xfId="10" quotePrefix="1" applyNumberFormat="1" applyFont="1" applyFill="1" applyBorder="1" applyAlignment="1">
      <alignment vertical="top" wrapText="1"/>
    </xf>
    <xf numFmtId="165" fontId="60" fillId="0" borderId="0" xfId="9" applyNumberFormat="1" applyFont="1" applyFill="1" applyBorder="1" applyAlignment="1">
      <alignment horizontal="right" vertical="center"/>
    </xf>
    <xf numFmtId="41" fontId="60" fillId="0" borderId="0" xfId="3" applyNumberFormat="1" applyFont="1" applyFill="1" applyBorder="1" applyAlignment="1">
      <alignment vertical="center"/>
    </xf>
    <xf numFmtId="164" fontId="60" fillId="0" borderId="0" xfId="5" applyFont="1" applyFill="1" applyBorder="1"/>
    <xf numFmtId="164" fontId="60" fillId="0" borderId="0" xfId="9" applyFont="1" applyFill="1" applyAlignment="1">
      <alignment vertical="top"/>
    </xf>
    <xf numFmtId="164" fontId="4" fillId="0" borderId="0" xfId="5" applyFont="1" applyFill="1" applyBorder="1"/>
    <xf numFmtId="0" fontId="2" fillId="0" borderId="0" xfId="9" quotePrefix="1" applyNumberFormat="1" applyFont="1" applyFill="1" applyBorder="1" applyAlignment="1">
      <alignment vertical="top"/>
    </xf>
    <xf numFmtId="0" fontId="2" fillId="0" borderId="0" xfId="10" quotePrefix="1" applyNumberFormat="1" applyFont="1" applyFill="1" applyBorder="1" applyAlignment="1">
      <alignment vertical="top" wrapText="1"/>
    </xf>
    <xf numFmtId="164" fontId="2" fillId="0" borderId="0" xfId="5" applyFont="1" applyFill="1" applyBorder="1"/>
    <xf numFmtId="0" fontId="2" fillId="0" borderId="0" xfId="9" applyNumberFormat="1" applyFont="1" applyFill="1" applyAlignment="1">
      <alignment vertical="top"/>
    </xf>
    <xf numFmtId="164" fontId="60" fillId="0" borderId="0" xfId="5" applyFont="1" applyFill="1"/>
    <xf numFmtId="0" fontId="40" fillId="0" borderId="0" xfId="10" applyNumberFormat="1" applyFont="1" applyFill="1" applyAlignment="1">
      <alignment vertical="top"/>
    </xf>
    <xf numFmtId="0" fontId="60" fillId="0" borderId="0" xfId="9" applyNumberFormat="1" applyFont="1" applyFill="1" applyAlignment="1">
      <alignment vertical="top"/>
    </xf>
    <xf numFmtId="164" fontId="68" fillId="0" borderId="0" xfId="5" applyFont="1" applyFill="1"/>
    <xf numFmtId="166" fontId="2" fillId="0" borderId="0" xfId="4" applyNumberFormat="1" applyFont="1" applyFill="1"/>
    <xf numFmtId="166" fontId="2" fillId="0" borderId="0" xfId="4" applyNumberFormat="1" applyFont="1" applyFill="1" applyAlignment="1">
      <alignment vertical="top"/>
    </xf>
    <xf numFmtId="0" fontId="2" fillId="0" borderId="0" xfId="4" quotePrefix="1" applyNumberFormat="1" applyFont="1" applyFill="1" applyAlignment="1">
      <alignment vertical="top"/>
    </xf>
    <xf numFmtId="0" fontId="2" fillId="0" borderId="0" xfId="4" applyNumberFormat="1" applyFont="1" applyFill="1" applyAlignment="1">
      <alignment vertical="top"/>
    </xf>
    <xf numFmtId="166" fontId="2" fillId="0" borderId="0" xfId="4" applyNumberFormat="1" applyFont="1" applyFill="1" applyBorder="1" applyAlignment="1">
      <alignment horizontal="right" vertical="center"/>
    </xf>
    <xf numFmtId="166" fontId="2" fillId="0" borderId="0" xfId="4" applyNumberFormat="1" applyFont="1" applyFill="1" applyBorder="1" applyAlignment="1">
      <alignment vertical="center"/>
    </xf>
    <xf numFmtId="166" fontId="2" fillId="0" borderId="0" xfId="4" applyNumberFormat="1" applyFont="1" applyFill="1" applyBorder="1"/>
    <xf numFmtId="166" fontId="4" fillId="0" borderId="0" xfId="4" applyNumberFormat="1" applyFont="1" applyFill="1"/>
    <xf numFmtId="0" fontId="2" fillId="0" borderId="0" xfId="4" quotePrefix="1" applyNumberFormat="1" applyFont="1" applyFill="1" applyAlignment="1">
      <alignment vertical="top" wrapText="1"/>
    </xf>
    <xf numFmtId="166" fontId="2" fillId="0" borderId="0" xfId="4" applyNumberFormat="1" applyFont="1" applyFill="1" applyBorder="1" applyAlignment="1">
      <alignment horizontal="right" vertical="center" wrapText="1"/>
    </xf>
    <xf numFmtId="166" fontId="5" fillId="0" borderId="0" xfId="4" applyNumberFormat="1" applyFont="1" applyFill="1" applyAlignment="1">
      <alignment vertical="top"/>
    </xf>
    <xf numFmtId="0" fontId="5" fillId="0" borderId="0" xfId="4" quotePrefix="1" applyNumberFormat="1" applyFont="1" applyFill="1" applyAlignment="1">
      <alignment vertical="top" wrapText="1"/>
    </xf>
    <xf numFmtId="165" fontId="60" fillId="0" borderId="0" xfId="9" applyNumberFormat="1" applyFont="1" applyFill="1" applyBorder="1" applyAlignment="1">
      <alignment horizontal="right" vertical="top"/>
    </xf>
    <xf numFmtId="166" fontId="5" fillId="0" borderId="0" xfId="4" applyNumberFormat="1" applyFont="1" applyFill="1" applyBorder="1" applyAlignment="1">
      <alignment vertical="top"/>
    </xf>
    <xf numFmtId="41" fontId="6" fillId="11" borderId="0" xfId="5" applyNumberFormat="1" applyFont="1" applyFill="1" applyAlignment="1">
      <alignment vertical="top"/>
    </xf>
    <xf numFmtId="166" fontId="6" fillId="0" borderId="0" xfId="4" applyNumberFormat="1" applyFont="1" applyFill="1" applyAlignment="1">
      <alignment vertical="top"/>
    </xf>
    <xf numFmtId="166" fontId="44" fillId="0" borderId="0" xfId="4" applyNumberFormat="1" applyFont="1"/>
    <xf numFmtId="166" fontId="44" fillId="0" borderId="0" xfId="4" applyNumberFormat="1" applyFont="1" applyFill="1" applyAlignment="1">
      <alignment vertical="top"/>
    </xf>
    <xf numFmtId="0" fontId="51" fillId="0" borderId="0" xfId="4" quotePrefix="1" applyNumberFormat="1" applyFont="1" applyFill="1" applyAlignment="1">
      <alignment vertical="top" wrapText="1"/>
    </xf>
    <xf numFmtId="0" fontId="44" fillId="0" borderId="0" xfId="4" applyNumberFormat="1" applyFont="1" applyFill="1" applyAlignment="1">
      <alignment vertical="top"/>
    </xf>
    <xf numFmtId="166" fontId="44" fillId="0" borderId="0" xfId="4" applyNumberFormat="1" applyFont="1" applyFill="1" applyAlignment="1">
      <alignment vertical="center"/>
    </xf>
    <xf numFmtId="166" fontId="44" fillId="0" borderId="0" xfId="4" applyNumberFormat="1" applyFont="1" applyFill="1" applyBorder="1" applyAlignment="1">
      <alignment horizontal="right" vertical="center"/>
    </xf>
    <xf numFmtId="166" fontId="44" fillId="0" borderId="0" xfId="4" applyNumberFormat="1" applyFont="1" applyFill="1" applyBorder="1" applyAlignment="1">
      <alignment vertical="center" wrapText="1"/>
    </xf>
    <xf numFmtId="166" fontId="44" fillId="0" borderId="0" xfId="4" applyNumberFormat="1" applyFont="1" applyFill="1" applyBorder="1" applyAlignment="1">
      <alignment vertical="center"/>
    </xf>
    <xf numFmtId="166" fontId="44" fillId="0" borderId="0" xfId="4" applyNumberFormat="1" applyFont="1" applyBorder="1"/>
    <xf numFmtId="166" fontId="51" fillId="0" borderId="0" xfId="4" quotePrefix="1" applyNumberFormat="1" applyFont="1" applyFill="1" applyAlignment="1">
      <alignment vertical="top"/>
    </xf>
    <xf numFmtId="166" fontId="69" fillId="0" borderId="0" xfId="4" applyNumberFormat="1" applyFont="1"/>
    <xf numFmtId="165" fontId="50" fillId="2" borderId="0" xfId="9" applyNumberFormat="1" applyFont="1" applyFill="1" applyBorder="1" applyAlignment="1">
      <alignment vertical="center" shrinkToFit="1"/>
    </xf>
    <xf numFmtId="166" fontId="44" fillId="0" borderId="0" xfId="4" quotePrefix="1" applyNumberFormat="1" applyFont="1" applyFill="1" applyAlignment="1">
      <alignment vertical="top"/>
    </xf>
    <xf numFmtId="0" fontId="35" fillId="0" borderId="0" xfId="4" quotePrefix="1" applyNumberFormat="1" applyFont="1" applyFill="1" applyAlignment="1">
      <alignment horizontal="justify" vertical="top" wrapText="1"/>
    </xf>
    <xf numFmtId="0" fontId="51" fillId="0" borderId="0" xfId="4" quotePrefix="1" applyNumberFormat="1" applyFont="1" applyFill="1" applyAlignment="1">
      <alignment horizontal="justify" vertical="top"/>
    </xf>
    <xf numFmtId="0" fontId="10" fillId="0" borderId="0" xfId="4" applyNumberFormat="1" applyFont="1"/>
    <xf numFmtId="0" fontId="10" fillId="0" borderId="0" xfId="4" applyNumberFormat="1" applyFont="1" applyFill="1" applyAlignment="1">
      <alignment vertical="top"/>
    </xf>
    <xf numFmtId="0" fontId="5" fillId="0" borderId="0" xfId="4" quotePrefix="1" applyNumberFormat="1" applyFont="1" applyFill="1" applyAlignment="1">
      <alignment vertical="top"/>
    </xf>
    <xf numFmtId="0" fontId="10" fillId="0" borderId="0" xfId="4" applyNumberFormat="1" applyFont="1" applyFill="1" applyAlignment="1">
      <alignment horizontal="right" vertical="center"/>
    </xf>
    <xf numFmtId="0" fontId="10" fillId="0" borderId="0" xfId="4" applyNumberFormat="1" applyFont="1" applyFill="1" applyBorder="1" applyAlignment="1">
      <alignment horizontal="right" vertical="center"/>
    </xf>
    <xf numFmtId="0" fontId="10" fillId="0" borderId="0" xfId="4" applyNumberFormat="1" applyFont="1" applyFill="1" applyBorder="1" applyAlignment="1">
      <alignment horizontal="right" vertical="center" wrapText="1"/>
    </xf>
    <xf numFmtId="0" fontId="10" fillId="0" borderId="0" xfId="4" applyNumberFormat="1" applyFont="1" applyFill="1" applyBorder="1" applyAlignment="1">
      <alignment vertical="center"/>
    </xf>
    <xf numFmtId="0" fontId="10" fillId="0" borderId="0" xfId="4" applyNumberFormat="1" applyFont="1" applyBorder="1"/>
    <xf numFmtId="165" fontId="5" fillId="2" borderId="0" xfId="9" applyNumberFormat="1" applyFont="1" applyFill="1" applyBorder="1" applyAlignment="1">
      <alignment vertical="center" shrinkToFit="1"/>
    </xf>
    <xf numFmtId="41" fontId="6" fillId="11" borderId="0" xfId="5" applyNumberFormat="1" applyFont="1" applyFill="1"/>
    <xf numFmtId="0" fontId="70" fillId="0" borderId="0" xfId="4" applyNumberFormat="1" applyFont="1"/>
    <xf numFmtId="0" fontId="44" fillId="0" borderId="0" xfId="4" applyNumberFormat="1" applyFont="1"/>
    <xf numFmtId="0" fontId="44" fillId="0" borderId="0" xfId="4" applyNumberFormat="1" applyFont="1" applyFill="1" applyBorder="1" applyAlignment="1">
      <alignment vertical="center"/>
    </xf>
    <xf numFmtId="0" fontId="44" fillId="0" borderId="0" xfId="4" applyNumberFormat="1" applyFont="1" applyBorder="1"/>
    <xf numFmtId="0" fontId="69" fillId="0" borderId="0" xfId="4" applyNumberFormat="1" applyFont="1"/>
    <xf numFmtId="0" fontId="51" fillId="0" borderId="0" xfId="4" quotePrefix="1" applyNumberFormat="1" applyFont="1" applyFill="1" applyAlignment="1">
      <alignment horizontal="justify" vertical="top" wrapText="1"/>
    </xf>
    <xf numFmtId="0" fontId="51" fillId="0" borderId="0" xfId="4" quotePrefix="1" applyNumberFormat="1" applyFont="1" applyFill="1" applyAlignment="1">
      <alignment horizontal="left" vertical="top"/>
    </xf>
    <xf numFmtId="0" fontId="2" fillId="0" borderId="0" xfId="4" applyNumberFormat="1" applyFont="1" applyAlignment="1"/>
    <xf numFmtId="0" fontId="2" fillId="0" borderId="0" xfId="4" applyNumberFormat="1" applyFont="1" applyFill="1" applyAlignment="1"/>
    <xf numFmtId="0" fontId="36" fillId="0" borderId="0" xfId="4" quotePrefix="1" applyNumberFormat="1" applyFont="1" applyFill="1" applyAlignment="1">
      <alignment horizontal="justify" wrapText="1"/>
    </xf>
    <xf numFmtId="166" fontId="2" fillId="0" borderId="0" xfId="4" applyNumberFormat="1" applyFont="1" applyFill="1" applyBorder="1" applyAlignment="1">
      <alignment horizontal="right"/>
    </xf>
    <xf numFmtId="0" fontId="2" fillId="0" borderId="0" xfId="4" applyNumberFormat="1" applyFont="1" applyFill="1" applyBorder="1" applyAlignment="1"/>
    <xf numFmtId="0" fontId="2" fillId="0" borderId="0" xfId="4" applyNumberFormat="1" applyFont="1" applyBorder="1" applyAlignment="1"/>
    <xf numFmtId="165" fontId="2" fillId="2" borderId="0" xfId="3" applyNumberFormat="1" applyFont="1" applyFill="1" applyBorder="1" applyAlignment="1">
      <alignment shrinkToFit="1"/>
    </xf>
    <xf numFmtId="41" fontId="4" fillId="11" borderId="0" xfId="5" applyNumberFormat="1" applyFont="1" applyFill="1" applyAlignment="1"/>
    <xf numFmtId="0" fontId="4" fillId="0" borderId="0" xfId="4" applyNumberFormat="1" applyFont="1" applyAlignment="1"/>
    <xf numFmtId="0" fontId="2" fillId="0" borderId="0" xfId="4" applyNumberFormat="1" applyFont="1"/>
    <xf numFmtId="0" fontId="2" fillId="0" borderId="0" xfId="4" quotePrefix="1" applyNumberFormat="1" applyFont="1" applyFill="1" applyAlignment="1">
      <alignment horizontal="justify" vertical="top" wrapText="1"/>
    </xf>
    <xf numFmtId="166" fontId="2" fillId="0" borderId="0" xfId="4" applyNumberFormat="1" applyFont="1" applyFill="1" applyBorder="1" applyAlignment="1">
      <alignment horizontal="right" vertical="top"/>
    </xf>
    <xf numFmtId="0" fontId="2" fillId="0" borderId="0" xfId="4" applyNumberFormat="1" applyFont="1" applyFill="1" applyBorder="1" applyAlignment="1">
      <alignment vertical="center"/>
    </xf>
    <xf numFmtId="0" fontId="2" fillId="0" borderId="0" xfId="4" applyNumberFormat="1" applyFont="1" applyBorder="1"/>
    <xf numFmtId="0" fontId="4" fillId="0" borderId="0" xfId="4" applyNumberFormat="1" applyFont="1"/>
    <xf numFmtId="165" fontId="72" fillId="0" borderId="0" xfId="9" applyNumberFormat="1" applyFont="1" applyFill="1" applyBorder="1" applyAlignment="1">
      <alignment horizontal="right" vertical="center"/>
    </xf>
    <xf numFmtId="165" fontId="5" fillId="2" borderId="0" xfId="3" applyNumberFormat="1" applyFont="1" applyFill="1" applyBorder="1" applyAlignment="1">
      <alignment vertical="center" shrinkToFit="1"/>
    </xf>
    <xf numFmtId="0" fontId="44" fillId="0" borderId="0" xfId="4" quotePrefix="1" applyNumberFormat="1" applyFont="1" applyFill="1" applyAlignment="1">
      <alignment vertical="top"/>
    </xf>
    <xf numFmtId="0" fontId="44" fillId="0" borderId="0" xfId="4" applyNumberFormat="1" applyFont="1" applyFill="1" applyAlignment="1">
      <alignment horizontal="right" vertical="center"/>
    </xf>
    <xf numFmtId="0" fontId="44" fillId="0" borderId="0" xfId="4" applyNumberFormat="1" applyFont="1" applyFill="1" applyBorder="1" applyAlignment="1">
      <alignment horizontal="right" vertical="center"/>
    </xf>
    <xf numFmtId="0" fontId="44" fillId="0" borderId="0" xfId="4" applyNumberFormat="1" applyFont="1" applyFill="1" applyBorder="1" applyAlignment="1">
      <alignment horizontal="right" vertical="center" wrapText="1"/>
    </xf>
    <xf numFmtId="165" fontId="12" fillId="2" borderId="0" xfId="3" applyNumberFormat="1" applyFont="1" applyFill="1" applyBorder="1" applyAlignment="1">
      <alignment vertical="center" shrinkToFit="1"/>
    </xf>
    <xf numFmtId="165" fontId="2" fillId="2" borderId="0" xfId="3" applyNumberFormat="1" applyFont="1" applyFill="1" applyBorder="1" applyAlignment="1">
      <alignment horizontal="right" vertical="center" shrinkToFit="1"/>
    </xf>
    <xf numFmtId="0" fontId="2" fillId="0" borderId="0" xfId="4" quotePrefix="1" applyNumberFormat="1" applyFont="1" applyFill="1" applyBorder="1" applyAlignment="1">
      <alignment wrapText="1"/>
    </xf>
    <xf numFmtId="10" fontId="2" fillId="0" borderId="0" xfId="4" quotePrefix="1" applyNumberFormat="1" applyFont="1" applyFill="1" applyAlignment="1">
      <alignment vertical="top" wrapText="1"/>
    </xf>
    <xf numFmtId="165" fontId="10" fillId="2" borderId="0" xfId="3" applyNumberFormat="1" applyFont="1" applyFill="1" applyBorder="1" applyAlignment="1">
      <alignment vertical="center" shrinkToFit="1"/>
    </xf>
    <xf numFmtId="0" fontId="35" fillId="0" borderId="0" xfId="4" quotePrefix="1" applyNumberFormat="1" applyFont="1" applyFill="1" applyAlignment="1">
      <alignment vertical="top"/>
    </xf>
    <xf numFmtId="0" fontId="12" fillId="0" borderId="0" xfId="4" applyNumberFormat="1" applyFont="1" applyFill="1" applyBorder="1" applyAlignment="1">
      <alignment vertical="center"/>
    </xf>
    <xf numFmtId="0" fontId="12" fillId="0" borderId="0" xfId="4" applyNumberFormat="1" applyFont="1" applyBorder="1"/>
    <xf numFmtId="0" fontId="12" fillId="0" borderId="0" xfId="4" applyNumberFormat="1" applyFont="1" applyFill="1" applyAlignment="1">
      <alignment vertical="top"/>
    </xf>
    <xf numFmtId="166" fontId="50" fillId="0" borderId="0" xfId="4" applyNumberFormat="1" applyFont="1" applyAlignment="1">
      <alignment horizontal="right"/>
    </xf>
    <xf numFmtId="166" fontId="50" fillId="0" borderId="0" xfId="4" applyNumberFormat="1" applyFont="1" applyFill="1" applyAlignment="1">
      <alignment horizontal="right" vertical="top"/>
    </xf>
    <xf numFmtId="166" fontId="50" fillId="0" borderId="0" xfId="4" quotePrefix="1" applyNumberFormat="1" applyFont="1" applyFill="1" applyAlignment="1">
      <alignment horizontal="right" vertical="top"/>
    </xf>
    <xf numFmtId="166" fontId="50" fillId="0" borderId="0" xfId="4" applyNumberFormat="1" applyFont="1" applyFill="1" applyBorder="1" applyAlignment="1">
      <alignment horizontal="right" vertical="center"/>
    </xf>
    <xf numFmtId="166" fontId="50" fillId="0" borderId="0" xfId="4" applyNumberFormat="1" applyFont="1" applyBorder="1" applyAlignment="1">
      <alignment horizontal="right"/>
    </xf>
    <xf numFmtId="165" fontId="37" fillId="2" borderId="0" xfId="9" applyNumberFormat="1" applyFont="1" applyFill="1" applyBorder="1" applyAlignment="1">
      <alignment vertical="top" shrinkToFit="1"/>
    </xf>
    <xf numFmtId="166" fontId="65" fillId="0" borderId="0" xfId="4" applyNumberFormat="1" applyFont="1" applyAlignment="1">
      <alignment horizontal="right"/>
    </xf>
    <xf numFmtId="164" fontId="37" fillId="0" borderId="0" xfId="5" applyFont="1" applyAlignment="1">
      <alignment wrapText="1"/>
    </xf>
    <xf numFmtId="164" fontId="37" fillId="0" borderId="0" xfId="9" applyFont="1" applyFill="1" applyAlignment="1">
      <alignment vertical="top" wrapText="1"/>
    </xf>
    <xf numFmtId="164" fontId="73" fillId="0" borderId="0" xfId="10" applyFont="1" applyFill="1" applyAlignment="1">
      <alignment wrapText="1"/>
    </xf>
    <xf numFmtId="165" fontId="37" fillId="0" borderId="0" xfId="9" applyNumberFormat="1" applyFont="1" applyFill="1" applyAlignment="1">
      <alignment horizontal="right" vertical="center" wrapText="1"/>
    </xf>
    <xf numFmtId="165" fontId="37" fillId="0" borderId="0" xfId="9" applyNumberFormat="1" applyFont="1" applyFill="1" applyAlignment="1">
      <alignment horizontal="right" wrapText="1"/>
    </xf>
    <xf numFmtId="41" fontId="37" fillId="0" borderId="0" xfId="9" applyNumberFormat="1" applyFont="1" applyFill="1" applyBorder="1" applyAlignment="1">
      <alignment vertical="center" wrapText="1"/>
    </xf>
    <xf numFmtId="164" fontId="73" fillId="0" borderId="0" xfId="10" applyFont="1" applyFill="1" applyBorder="1" applyAlignment="1">
      <alignment vertical="top" wrapText="1"/>
    </xf>
    <xf numFmtId="164" fontId="73" fillId="0" borderId="0" xfId="10" applyFont="1" applyFill="1" applyAlignment="1">
      <alignment vertical="top" wrapText="1"/>
    </xf>
    <xf numFmtId="164" fontId="66" fillId="0" borderId="0" xfId="5" applyFont="1" applyAlignment="1">
      <alignment wrapText="1"/>
    </xf>
    <xf numFmtId="164" fontId="37" fillId="0" borderId="0" xfId="9" applyFont="1" applyFill="1" applyAlignment="1">
      <alignment vertical="top"/>
    </xf>
    <xf numFmtId="164" fontId="73" fillId="0" borderId="0" xfId="10" quotePrefix="1" applyFont="1" applyFill="1" applyAlignment="1">
      <alignment vertical="top"/>
    </xf>
    <xf numFmtId="165" fontId="37" fillId="0" borderId="0" xfId="9" applyNumberFormat="1" applyFont="1" applyFill="1" applyAlignment="1">
      <alignment horizontal="right" vertical="center"/>
    </xf>
    <xf numFmtId="41" fontId="37" fillId="0" borderId="0" xfId="9" applyNumberFormat="1" applyFont="1" applyFill="1" applyBorder="1" applyAlignment="1">
      <alignment vertical="center"/>
    </xf>
    <xf numFmtId="164" fontId="73" fillId="0" borderId="0" xfId="10" applyFont="1" applyFill="1" applyBorder="1" applyAlignment="1">
      <alignment vertical="top"/>
    </xf>
    <xf numFmtId="164" fontId="66" fillId="0" borderId="0" xfId="5" applyFont="1"/>
    <xf numFmtId="164" fontId="50" fillId="0" borderId="0" xfId="5" applyFont="1"/>
    <xf numFmtId="164" fontId="50" fillId="0" borderId="0" xfId="9" applyFont="1" applyFill="1" applyAlignment="1">
      <alignment vertical="top"/>
    </xf>
    <xf numFmtId="164" fontId="74" fillId="0" borderId="0" xfId="10" applyFont="1" applyFill="1" applyAlignment="1">
      <alignment vertical="top"/>
    </xf>
    <xf numFmtId="165" fontId="50" fillId="0" borderId="0" xfId="9" applyNumberFormat="1" applyFont="1" applyFill="1" applyAlignment="1">
      <alignment vertical="center"/>
    </xf>
    <xf numFmtId="41" fontId="50" fillId="0" borderId="0" xfId="9" applyNumberFormat="1" applyFont="1" applyFill="1" applyBorder="1" applyAlignment="1">
      <alignment vertical="center"/>
    </xf>
    <xf numFmtId="164" fontId="75" fillId="0" borderId="0" xfId="10" applyFont="1" applyFill="1" applyBorder="1" applyAlignment="1">
      <alignment vertical="top"/>
    </xf>
    <xf numFmtId="164" fontId="65" fillId="0" borderId="0" xfId="5" applyFont="1"/>
    <xf numFmtId="164" fontId="2" fillId="0" borderId="0" xfId="10" applyFont="1" applyFill="1" applyBorder="1" applyAlignment="1">
      <alignment horizontal="right" vertical="top"/>
    </xf>
    <xf numFmtId="164" fontId="2" fillId="0" borderId="0" xfId="9" applyFont="1" applyFill="1" applyBorder="1" applyAlignment="1">
      <alignment horizontal="right" vertical="top"/>
    </xf>
    <xf numFmtId="41" fontId="5" fillId="0" borderId="0" xfId="3" applyNumberFormat="1" applyFont="1" applyFill="1" applyBorder="1" applyAlignment="1">
      <alignment horizontal="right" vertical="center"/>
    </xf>
    <xf numFmtId="165" fontId="37" fillId="2" borderId="0" xfId="9" applyNumberFormat="1" applyFont="1" applyFill="1" applyBorder="1" applyAlignment="1">
      <alignment vertical="center" shrinkToFit="1"/>
    </xf>
    <xf numFmtId="164" fontId="4" fillId="0" borderId="0" xfId="5" applyAlignment="1">
      <alignment horizontal="right"/>
    </xf>
    <xf numFmtId="164" fontId="2" fillId="0" borderId="0" xfId="5" applyFont="1" applyAlignment="1">
      <alignment horizontal="right"/>
    </xf>
    <xf numFmtId="41" fontId="2" fillId="0" borderId="0" xfId="3" applyNumberFormat="1" applyFont="1" applyFill="1" applyBorder="1" applyAlignment="1">
      <alignment horizontal="right" vertical="center"/>
    </xf>
    <xf numFmtId="164" fontId="76" fillId="0" borderId="0" xfId="10" applyFont="1" applyFill="1" applyBorder="1" applyAlignment="1">
      <alignment vertical="top"/>
    </xf>
    <xf numFmtId="41" fontId="12" fillId="0" borderId="0" xfId="3" applyNumberFormat="1" applyFont="1" applyFill="1" applyBorder="1" applyAlignment="1">
      <alignment vertical="center"/>
    </xf>
    <xf numFmtId="164" fontId="37" fillId="0" borderId="0" xfId="9" applyFont="1" applyFill="1" applyBorder="1" applyAlignment="1">
      <alignment vertical="top"/>
    </xf>
    <xf numFmtId="164" fontId="2" fillId="0" borderId="0" xfId="5" quotePrefix="1" applyFont="1"/>
    <xf numFmtId="165" fontId="12" fillId="0" borderId="0" xfId="9" applyNumberFormat="1" applyFont="1" applyFill="1" applyBorder="1" applyAlignment="1">
      <alignment vertical="center"/>
    </xf>
    <xf numFmtId="165" fontId="37" fillId="0" borderId="0" xfId="9" applyNumberFormat="1" applyFont="1" applyFill="1" applyBorder="1" applyAlignment="1">
      <alignment vertical="center"/>
    </xf>
    <xf numFmtId="164" fontId="69" fillId="0" borderId="0" xfId="5" applyFont="1"/>
    <xf numFmtId="164" fontId="44" fillId="0" borderId="0" xfId="5" applyFont="1"/>
    <xf numFmtId="165" fontId="44" fillId="0" borderId="0" xfId="9" applyNumberFormat="1" applyFont="1" applyFill="1" applyAlignment="1">
      <alignment vertical="center"/>
    </xf>
    <xf numFmtId="164" fontId="44" fillId="0" borderId="0" xfId="5" applyFont="1" applyBorder="1"/>
    <xf numFmtId="164" fontId="44" fillId="0" borderId="0" xfId="5" quotePrefix="1" applyFont="1"/>
    <xf numFmtId="165" fontId="2" fillId="0" borderId="0" xfId="5" applyNumberFormat="1" applyFont="1"/>
    <xf numFmtId="165" fontId="50" fillId="0" borderId="0" xfId="9" applyNumberFormat="1" applyFont="1" applyFill="1" applyBorder="1" applyAlignment="1">
      <alignment vertical="center"/>
    </xf>
    <xf numFmtId="164" fontId="50" fillId="0" borderId="0" xfId="9" applyFont="1" applyFill="1" applyBorder="1" applyAlignment="1">
      <alignment vertical="top"/>
    </xf>
    <xf numFmtId="165" fontId="50" fillId="0" borderId="0" xfId="5" applyNumberFormat="1" applyFont="1"/>
    <xf numFmtId="164" fontId="50" fillId="0" borderId="0" xfId="5" applyFont="1" applyBorder="1"/>
    <xf numFmtId="164" fontId="40" fillId="0" borderId="0" xfId="5" quotePrefix="1" applyFont="1"/>
    <xf numFmtId="164" fontId="35" fillId="0" borderId="0" xfId="5" applyFont="1" applyFill="1" applyAlignment="1">
      <alignment vertical="top"/>
    </xf>
    <xf numFmtId="164" fontId="4" fillId="0" borderId="0" xfId="5" applyFill="1" applyBorder="1"/>
    <xf numFmtId="0" fontId="50" fillId="0" borderId="0" xfId="5" applyNumberFormat="1" applyFont="1" applyFill="1" applyBorder="1" applyAlignment="1"/>
    <xf numFmtId="0" fontId="50" fillId="0" borderId="0" xfId="5" applyNumberFormat="1" applyFont="1" applyFill="1" applyBorder="1" applyAlignment="1">
      <alignment horizontal="right"/>
    </xf>
    <xf numFmtId="164" fontId="4" fillId="0" borderId="0" xfId="5" applyBorder="1"/>
    <xf numFmtId="164" fontId="2" fillId="0" borderId="0" xfId="5" applyFont="1" applyBorder="1" applyAlignment="1"/>
    <xf numFmtId="164" fontId="2" fillId="0" borderId="0" xfId="5" applyFont="1" applyBorder="1" applyAlignment="1">
      <alignment vertical="top" wrapText="1"/>
    </xf>
    <xf numFmtId="164" fontId="2" fillId="0" borderId="0" xfId="5" applyFont="1" applyBorder="1" applyAlignment="1">
      <alignment vertical="top"/>
    </xf>
    <xf numFmtId="165" fontId="2" fillId="0" borderId="0" xfId="9" applyNumberFormat="1" applyFont="1" applyFill="1" applyBorder="1" applyAlignment="1">
      <alignment horizontal="right" vertical="top"/>
    </xf>
    <xf numFmtId="164" fontId="4" fillId="0" borderId="0" xfId="5" applyBorder="1" applyAlignment="1">
      <alignment vertical="top"/>
    </xf>
    <xf numFmtId="164" fontId="40" fillId="0" borderId="0" xfId="5" applyFont="1"/>
    <xf numFmtId="165" fontId="37" fillId="2" borderId="0" xfId="9" applyNumberFormat="1" applyFont="1" applyFill="1" applyBorder="1" applyAlignment="1">
      <alignment shrinkToFit="1"/>
    </xf>
    <xf numFmtId="164" fontId="2" fillId="0" borderId="0" xfId="13" applyFont="1"/>
    <xf numFmtId="165" fontId="2" fillId="0" borderId="0" xfId="13" applyNumberFormat="1" applyFont="1"/>
    <xf numFmtId="164" fontId="4" fillId="0" borderId="0" xfId="13" applyFont="1"/>
    <xf numFmtId="164" fontId="64" fillId="0" borderId="0" xfId="14" applyFont="1"/>
    <xf numFmtId="164" fontId="4" fillId="0" borderId="0" xfId="13"/>
    <xf numFmtId="164" fontId="77" fillId="0" borderId="0" xfId="14"/>
    <xf numFmtId="164" fontId="2" fillId="0" borderId="1" xfId="13" applyFont="1" applyBorder="1"/>
    <xf numFmtId="165" fontId="2" fillId="0" borderId="1" xfId="13" applyNumberFormat="1" applyFont="1" applyBorder="1"/>
    <xf numFmtId="165" fontId="2" fillId="0" borderId="0" xfId="13" applyNumberFormat="1" applyFont="1" applyBorder="1"/>
    <xf numFmtId="164" fontId="2" fillId="0" borderId="0" xfId="13" applyFont="1" applyBorder="1"/>
    <xf numFmtId="0" fontId="5" fillId="0" borderId="0" xfId="9" applyNumberFormat="1" applyFont="1" applyFill="1" applyAlignment="1">
      <alignment vertical="top"/>
    </xf>
    <xf numFmtId="165" fontId="5" fillId="0" borderId="0" xfId="9" applyNumberFormat="1" applyFont="1" applyFill="1" applyAlignment="1">
      <alignment vertical="top"/>
    </xf>
    <xf numFmtId="165" fontId="5" fillId="0" borderId="0" xfId="13" applyNumberFormat="1" applyFont="1" applyFill="1" applyBorder="1" applyAlignment="1"/>
    <xf numFmtId="165" fontId="12" fillId="0" borderId="0" xfId="13" applyNumberFormat="1" applyFont="1" applyFill="1" applyBorder="1" applyAlignment="1">
      <alignment horizontal="right" vertical="top"/>
    </xf>
    <xf numFmtId="165" fontId="2" fillId="0" borderId="0" xfId="9" applyNumberFormat="1" applyFont="1" applyFill="1" applyAlignment="1">
      <alignment vertical="top"/>
    </xf>
    <xf numFmtId="164" fontId="5" fillId="0" borderId="0" xfId="13" applyFont="1" applyFill="1" applyBorder="1" applyAlignment="1">
      <alignment horizontal="center"/>
    </xf>
    <xf numFmtId="164" fontId="12" fillId="0" borderId="0" xfId="13" applyFont="1" applyFill="1" applyBorder="1" applyAlignment="1">
      <alignment horizontal="right"/>
    </xf>
    <xf numFmtId="49" fontId="19" fillId="9" borderId="0" xfId="9" applyNumberFormat="1" applyFont="1" applyFill="1" applyBorder="1" applyAlignment="1">
      <alignment vertical="center"/>
    </xf>
    <xf numFmtId="49" fontId="2" fillId="9" borderId="0" xfId="9" applyNumberFormat="1" applyFont="1" applyFill="1" applyBorder="1" applyAlignment="1">
      <alignment vertical="center" wrapText="1"/>
    </xf>
    <xf numFmtId="49" fontId="19" fillId="9" borderId="0" xfId="9" applyNumberFormat="1" applyFont="1" applyFill="1" applyBorder="1" applyAlignment="1">
      <alignment vertical="center" wrapText="1"/>
    </xf>
    <xf numFmtId="165" fontId="45" fillId="9" borderId="0" xfId="9" applyNumberFormat="1" applyFont="1" applyFill="1" applyBorder="1" applyAlignment="1">
      <alignment horizontal="center" vertical="center" wrapText="1"/>
    </xf>
    <xf numFmtId="165" fontId="45" fillId="9" borderId="0" xfId="3" applyNumberFormat="1" applyFont="1" applyFill="1" applyBorder="1" applyAlignment="1">
      <alignment horizontal="center" vertical="center" wrapText="1"/>
    </xf>
    <xf numFmtId="165" fontId="45" fillId="0" borderId="0" xfId="3" applyNumberFormat="1" applyFont="1" applyFill="1" applyBorder="1" applyAlignment="1">
      <alignment horizontal="center" vertical="center" wrapText="1"/>
    </xf>
    <xf numFmtId="165" fontId="5" fillId="0" borderId="0" xfId="3" applyNumberFormat="1" applyFont="1" applyFill="1" applyBorder="1" applyAlignment="1">
      <alignment horizontal="center" vertical="center" wrapText="1"/>
    </xf>
    <xf numFmtId="165" fontId="19" fillId="9" borderId="0" xfId="9" applyNumberFormat="1" applyFont="1" applyFill="1" applyBorder="1" applyAlignment="1">
      <alignment vertical="center"/>
    </xf>
    <xf numFmtId="165" fontId="2" fillId="9" borderId="0" xfId="9" applyNumberFormat="1" applyFont="1" applyFill="1" applyBorder="1" applyAlignment="1">
      <alignment vertical="center" wrapText="1"/>
    </xf>
    <xf numFmtId="165" fontId="19" fillId="9" borderId="0" xfId="9" applyNumberFormat="1" applyFont="1" applyFill="1" applyBorder="1" applyAlignment="1">
      <alignment vertical="center" wrapText="1"/>
    </xf>
    <xf numFmtId="49" fontId="45" fillId="0" borderId="0" xfId="3" applyNumberFormat="1" applyFont="1" applyFill="1" applyBorder="1" applyAlignment="1">
      <alignment horizontal="center" vertical="center" wrapText="1"/>
    </xf>
    <xf numFmtId="164" fontId="2" fillId="0" borderId="0" xfId="9" applyFont="1" applyFill="1" applyBorder="1" applyAlignment="1">
      <alignment vertical="center"/>
    </xf>
    <xf numFmtId="165" fontId="2" fillId="0" borderId="1" xfId="9" applyNumberFormat="1" applyFont="1" applyFill="1" applyBorder="1" applyAlignment="1">
      <alignment horizontal="right" wrapText="1"/>
    </xf>
    <xf numFmtId="165" fontId="2" fillId="0" borderId="0" xfId="9" applyNumberFormat="1" applyFont="1" applyFill="1" applyBorder="1" applyAlignment="1">
      <alignment horizontal="right" wrapText="1"/>
    </xf>
    <xf numFmtId="165" fontId="2" fillId="0" borderId="1" xfId="3" applyNumberFormat="1" applyFont="1" applyFill="1" applyBorder="1" applyAlignment="1">
      <alignment horizontal="right" wrapText="1"/>
    </xf>
    <xf numFmtId="165" fontId="2" fillId="0" borderId="0" xfId="3" applyNumberFormat="1" applyFont="1" applyFill="1" applyBorder="1" applyAlignment="1">
      <alignment horizontal="right" wrapText="1"/>
    </xf>
    <xf numFmtId="165" fontId="5" fillId="0" borderId="1" xfId="3" applyNumberFormat="1" applyFont="1" applyFill="1" applyBorder="1" applyAlignment="1">
      <alignment horizontal="right" wrapText="1"/>
    </xf>
    <xf numFmtId="165" fontId="2" fillId="0" borderId="0" xfId="9" applyNumberFormat="1" applyFont="1" applyFill="1" applyBorder="1" applyAlignment="1">
      <alignment horizontal="right"/>
    </xf>
    <xf numFmtId="49" fontId="2" fillId="0" borderId="0" xfId="3" applyNumberFormat="1" applyFont="1" applyFill="1" applyBorder="1" applyAlignment="1">
      <alignment horizontal="center" vertical="center" wrapText="1"/>
    </xf>
    <xf numFmtId="164" fontId="4" fillId="0" borderId="0" xfId="13" applyFont="1" applyFill="1"/>
    <xf numFmtId="164" fontId="64" fillId="0" borderId="0" xfId="14" applyFont="1" applyFill="1"/>
    <xf numFmtId="165" fontId="2" fillId="0" borderId="0" xfId="9" applyNumberFormat="1" applyFont="1" applyFill="1" applyBorder="1" applyAlignment="1">
      <alignment horizontal="center" vertical="center" wrapText="1"/>
    </xf>
    <xf numFmtId="165" fontId="2" fillId="0" borderId="0" xfId="3" applyNumberFormat="1" applyFont="1" applyFill="1" applyBorder="1" applyAlignment="1">
      <alignment horizontal="center" vertical="center" wrapText="1"/>
    </xf>
    <xf numFmtId="165" fontId="2" fillId="0" borderId="0" xfId="9" applyNumberFormat="1" applyFont="1" applyFill="1" applyBorder="1" applyAlignment="1">
      <alignment vertical="center" wrapText="1"/>
    </xf>
    <xf numFmtId="164" fontId="5" fillId="0" borderId="0" xfId="9" applyFont="1" applyFill="1" applyBorder="1" applyAlignment="1">
      <alignment vertical="center"/>
    </xf>
    <xf numFmtId="165" fontId="5" fillId="0" borderId="0" xfId="9" applyNumberFormat="1" applyFont="1" applyFill="1" applyBorder="1" applyAlignment="1">
      <alignment horizontal="center" vertical="center" wrapText="1"/>
    </xf>
    <xf numFmtId="165" fontId="5" fillId="0" borderId="0" xfId="9" applyNumberFormat="1" applyFont="1" applyFill="1" applyBorder="1" applyAlignment="1">
      <alignment vertical="top" shrinkToFit="1"/>
    </xf>
    <xf numFmtId="165" fontId="5" fillId="0" borderId="0" xfId="3" applyNumberFormat="1" applyFont="1" applyFill="1" applyBorder="1" applyAlignment="1">
      <alignment vertical="top" shrinkToFit="1"/>
    </xf>
    <xf numFmtId="165" fontId="5" fillId="0" borderId="0" xfId="3" applyNumberFormat="1" applyFont="1" applyFill="1" applyBorder="1" applyAlignment="1">
      <alignment vertical="center"/>
    </xf>
    <xf numFmtId="165" fontId="28" fillId="0" borderId="0" xfId="10" applyNumberFormat="1" applyFont="1" applyFill="1" applyAlignment="1">
      <alignment vertical="top"/>
    </xf>
    <xf numFmtId="165" fontId="5" fillId="0" borderId="0" xfId="9" applyNumberFormat="1" applyFont="1" applyFill="1" applyBorder="1" applyAlignment="1">
      <alignment vertical="top"/>
    </xf>
    <xf numFmtId="165" fontId="5" fillId="0" borderId="0" xfId="3" applyNumberFormat="1" applyFont="1" applyFill="1" applyBorder="1" applyAlignment="1">
      <alignment vertical="top"/>
    </xf>
    <xf numFmtId="41" fontId="5" fillId="0" borderId="0" xfId="3" applyNumberFormat="1" applyFont="1" applyFill="1" applyBorder="1" applyAlignment="1">
      <alignment vertical="top"/>
    </xf>
    <xf numFmtId="165" fontId="2" fillId="0" borderId="0" xfId="9" applyNumberFormat="1" applyFont="1" applyFill="1" applyAlignment="1">
      <alignment vertical="top" shrinkToFit="1"/>
    </xf>
    <xf numFmtId="165" fontId="2" fillId="0" borderId="0" xfId="9" applyNumberFormat="1" applyFont="1" applyFill="1" applyBorder="1" applyAlignment="1">
      <alignment vertical="top" shrinkToFit="1"/>
    </xf>
    <xf numFmtId="165" fontId="2" fillId="0" borderId="0" xfId="3" applyNumberFormat="1" applyFont="1" applyFill="1" applyBorder="1" applyAlignment="1">
      <alignment vertical="top" shrinkToFit="1"/>
    </xf>
    <xf numFmtId="165" fontId="22" fillId="0" borderId="0" xfId="10" applyNumberFormat="1" applyFont="1" applyFill="1" applyAlignment="1">
      <alignment vertical="top"/>
    </xf>
    <xf numFmtId="165" fontId="2" fillId="0" borderId="0" xfId="9" applyNumberFormat="1" applyFont="1" applyFill="1" applyBorder="1" applyAlignment="1">
      <alignment vertical="top"/>
    </xf>
    <xf numFmtId="165" fontId="2" fillId="0" borderId="0" xfId="3" applyNumberFormat="1" applyFont="1" applyFill="1" applyBorder="1" applyAlignment="1">
      <alignment vertical="top"/>
    </xf>
    <xf numFmtId="41" fontId="2" fillId="0" borderId="0" xfId="9" applyNumberFormat="1" applyFont="1" applyFill="1" applyAlignment="1">
      <alignment vertical="top"/>
    </xf>
    <xf numFmtId="165" fontId="5" fillId="0" borderId="5" xfId="9" applyNumberFormat="1" applyFont="1" applyFill="1" applyBorder="1" applyAlignment="1">
      <alignment vertical="top" shrinkToFit="1"/>
    </xf>
    <xf numFmtId="165" fontId="5" fillId="0" borderId="5" xfId="3" applyNumberFormat="1" applyFont="1" applyFill="1" applyBorder="1" applyAlignment="1">
      <alignment vertical="top" shrinkToFit="1"/>
    </xf>
    <xf numFmtId="165" fontId="5" fillId="0" borderId="5" xfId="9" applyNumberFormat="1" applyFont="1" applyFill="1" applyBorder="1" applyAlignment="1">
      <alignment vertical="top"/>
    </xf>
    <xf numFmtId="41" fontId="5" fillId="0" borderId="5" xfId="3" applyNumberFormat="1" applyFont="1" applyFill="1" applyBorder="1" applyAlignment="1">
      <alignment vertical="top"/>
    </xf>
    <xf numFmtId="164" fontId="4" fillId="0" borderId="0" xfId="13" applyFill="1"/>
    <xf numFmtId="164" fontId="77" fillId="0" borderId="0" xfId="14" applyFill="1"/>
    <xf numFmtId="165" fontId="22" fillId="0" borderId="0" xfId="10" applyNumberFormat="1" applyFont="1" applyFill="1" applyBorder="1" applyAlignment="1">
      <alignment vertical="top"/>
    </xf>
    <xf numFmtId="165" fontId="2" fillId="0" borderId="0" xfId="10" applyNumberFormat="1" applyFont="1" applyFill="1" applyBorder="1" applyAlignment="1">
      <alignment vertical="top"/>
    </xf>
    <xf numFmtId="164" fontId="5" fillId="0" borderId="0" xfId="9" applyFont="1" applyFill="1" applyBorder="1" applyAlignment="1">
      <alignment vertical="top"/>
    </xf>
    <xf numFmtId="165" fontId="28" fillId="0" borderId="0" xfId="10" applyNumberFormat="1" applyFont="1" applyFill="1" applyBorder="1" applyAlignment="1">
      <alignment vertical="top"/>
    </xf>
    <xf numFmtId="164" fontId="2" fillId="0" borderId="0" xfId="9" quotePrefix="1" applyFont="1" applyFill="1" applyAlignment="1">
      <alignment vertical="top"/>
    </xf>
    <xf numFmtId="165" fontId="2" fillId="0" borderId="0" xfId="13" applyNumberFormat="1" applyFont="1" applyAlignment="1">
      <alignment vertical="top"/>
    </xf>
    <xf numFmtId="165" fontId="2" fillId="0" borderId="1" xfId="13" quotePrefix="1" applyNumberFormat="1" applyFont="1" applyBorder="1" applyAlignment="1">
      <alignment horizontal="right" vertical="top"/>
    </xf>
    <xf numFmtId="165" fontId="2" fillId="0" borderId="0" xfId="13" applyNumberFormat="1" applyFont="1" applyAlignment="1">
      <alignment horizontal="right" vertical="top"/>
    </xf>
    <xf numFmtId="165" fontId="2" fillId="0" borderId="1" xfId="13" applyNumberFormat="1" applyFont="1" applyBorder="1" applyAlignment="1">
      <alignment horizontal="right" vertical="top"/>
    </xf>
    <xf numFmtId="165" fontId="2" fillId="0" borderId="0" xfId="13" applyNumberFormat="1" applyFont="1" applyBorder="1" applyAlignment="1">
      <alignment horizontal="right" vertical="top"/>
    </xf>
    <xf numFmtId="165" fontId="2" fillId="0" borderId="0" xfId="13" applyNumberFormat="1" applyFont="1" applyBorder="1" applyAlignment="1">
      <alignment vertical="top"/>
    </xf>
    <xf numFmtId="165" fontId="2" fillId="0" borderId="0" xfId="9" quotePrefix="1" applyNumberFormat="1" applyFont="1" applyFill="1" applyAlignment="1">
      <alignment vertical="top"/>
    </xf>
    <xf numFmtId="164" fontId="57" fillId="0" borderId="0" xfId="5" applyFont="1" applyAlignment="1">
      <alignment horizontal="left" vertical="center"/>
    </xf>
    <xf numFmtId="164" fontId="2" fillId="0" borderId="0" xfId="9" quotePrefix="1" applyFont="1" applyFill="1" applyAlignment="1">
      <alignment vertical="top" wrapText="1"/>
    </xf>
    <xf numFmtId="165" fontId="2" fillId="0" borderId="0" xfId="9" quotePrefix="1" applyNumberFormat="1" applyFont="1" applyFill="1" applyAlignment="1">
      <alignment vertical="top" wrapText="1"/>
    </xf>
    <xf numFmtId="165" fontId="2" fillId="0" borderId="0" xfId="9" quotePrefix="1" applyNumberFormat="1" applyFont="1" applyFill="1" applyAlignment="1">
      <alignment horizontal="right" vertical="top" wrapText="1"/>
    </xf>
    <xf numFmtId="165" fontId="2" fillId="0" borderId="0" xfId="9" quotePrefix="1" applyNumberFormat="1" applyFont="1" applyFill="1" applyBorder="1" applyAlignment="1">
      <alignment horizontal="right" vertical="top" wrapText="1"/>
    </xf>
    <xf numFmtId="165" fontId="2" fillId="0" borderId="0" xfId="9" quotePrefix="1" applyNumberFormat="1" applyFont="1" applyFill="1" applyBorder="1" applyAlignment="1">
      <alignment vertical="top" wrapText="1"/>
    </xf>
    <xf numFmtId="165" fontId="2" fillId="0" borderId="0" xfId="9" quotePrefix="1" applyNumberFormat="1" applyFont="1" applyFill="1" applyAlignment="1">
      <alignment horizontal="left" vertical="top" wrapText="1"/>
    </xf>
    <xf numFmtId="164" fontId="2" fillId="0" borderId="0" xfId="9" quotePrefix="1" applyFont="1" applyFill="1" applyAlignment="1">
      <alignment horizontal="left" vertical="top" wrapText="1"/>
    </xf>
    <xf numFmtId="170" fontId="2" fillId="0" borderId="0" xfId="13" applyNumberFormat="1" applyFont="1" applyAlignment="1">
      <alignment vertical="top"/>
    </xf>
    <xf numFmtId="165" fontId="50" fillId="0" borderId="5" xfId="13" applyNumberFormat="1" applyFont="1" applyBorder="1" applyAlignment="1">
      <alignment vertical="top"/>
    </xf>
    <xf numFmtId="165" fontId="50" fillId="0" borderId="0" xfId="9" quotePrefix="1" applyNumberFormat="1" applyFont="1" applyFill="1" applyAlignment="1">
      <alignment vertical="top" wrapText="1"/>
    </xf>
    <xf numFmtId="43" fontId="50" fillId="0" borderId="5" xfId="4" applyFont="1" applyBorder="1" applyAlignment="1">
      <alignment vertical="top"/>
    </xf>
    <xf numFmtId="165" fontId="50" fillId="0" borderId="0" xfId="9" quotePrefix="1" applyNumberFormat="1" applyFont="1" applyFill="1" applyBorder="1" applyAlignment="1">
      <alignment vertical="top" wrapText="1"/>
    </xf>
    <xf numFmtId="165" fontId="2" fillId="5" borderId="0" xfId="13" applyNumberFormat="1" applyFont="1" applyFill="1"/>
    <xf numFmtId="165" fontId="5" fillId="5" borderId="0" xfId="13" applyNumberFormat="1" applyFont="1" applyFill="1"/>
    <xf numFmtId="165" fontId="2" fillId="8" borderId="0" xfId="13" applyNumberFormat="1" applyFont="1" applyFill="1"/>
    <xf numFmtId="165" fontId="5" fillId="8" borderId="0" xfId="13" applyNumberFormat="1" applyFont="1" applyFill="1"/>
    <xf numFmtId="41" fontId="5" fillId="8" borderId="0" xfId="13" applyNumberFormat="1" applyFont="1" applyFill="1"/>
    <xf numFmtId="164" fontId="46" fillId="0" borderId="0" xfId="13" applyFont="1"/>
    <xf numFmtId="164" fontId="5" fillId="0" borderId="0" xfId="1" applyNumberFormat="1" applyFont="1" applyFill="1" applyBorder="1" applyAlignment="1" applyProtection="1">
      <alignment horizontal="left" vertical="top"/>
      <protection hidden="1"/>
    </xf>
    <xf numFmtId="0" fontId="13" fillId="0" borderId="0" xfId="1" applyNumberFormat="1" applyFont="1" applyFill="1" applyAlignment="1">
      <alignment horizontal="center" vertical="center"/>
    </xf>
    <xf numFmtId="165" fontId="10" fillId="0" borderId="0" xfId="1" applyNumberFormat="1" applyFont="1" applyFill="1" applyAlignment="1">
      <alignment horizontal="right" vertical="top"/>
    </xf>
    <xf numFmtId="49" fontId="5" fillId="0" borderId="0" xfId="1" applyNumberFormat="1" applyFont="1" applyFill="1" applyAlignment="1">
      <alignment horizontal="center" vertical="center"/>
    </xf>
    <xf numFmtId="165" fontId="2" fillId="0" borderId="0" xfId="1" applyNumberFormat="1" applyFont="1" applyFill="1" applyAlignment="1">
      <alignment horizontal="right" vertical="top"/>
    </xf>
    <xf numFmtId="0" fontId="2" fillId="0" borderId="0" xfId="1" applyNumberFormat="1" applyFont="1" applyFill="1" applyAlignment="1">
      <alignment vertical="top" wrapText="1"/>
    </xf>
    <xf numFmtId="164" fontId="2" fillId="0" borderId="0" xfId="1" applyFont="1" applyFill="1" applyAlignment="1">
      <alignment vertical="top" wrapText="1"/>
    </xf>
    <xf numFmtId="165" fontId="2" fillId="0" borderId="0" xfId="1" applyNumberFormat="1" applyFont="1" applyFill="1" applyAlignment="1">
      <alignment horizontal="right" vertical="center"/>
    </xf>
    <xf numFmtId="49" fontId="2" fillId="0" borderId="0" xfId="1" applyNumberFormat="1" applyFont="1" applyFill="1" applyAlignment="1">
      <alignment vertical="top" wrapText="1"/>
    </xf>
    <xf numFmtId="37" fontId="5" fillId="0" borderId="0" xfId="1" applyNumberFormat="1" applyFont="1" applyFill="1" applyAlignment="1">
      <alignment vertical="center"/>
    </xf>
    <xf numFmtId="3" fontId="5" fillId="0" borderId="0" xfId="1" applyNumberFormat="1" applyFont="1" applyFill="1" applyAlignment="1">
      <alignment vertical="center"/>
    </xf>
    <xf numFmtId="3" fontId="8" fillId="0" borderId="0" xfId="1" applyNumberFormat="1" applyFont="1" applyFill="1" applyBorder="1" applyAlignment="1" applyProtection="1">
      <alignment horizontal="center" vertical="top"/>
      <protection hidden="1"/>
    </xf>
    <xf numFmtId="49" fontId="5" fillId="0" borderId="0" xfId="1" applyNumberFormat="1" applyFont="1" applyFill="1" applyAlignment="1">
      <alignment horizontal="center" vertical="top"/>
    </xf>
    <xf numFmtId="3" fontId="5" fillId="0" borderId="0" xfId="1" applyNumberFormat="1" applyFont="1" applyFill="1" applyAlignment="1">
      <alignment horizontal="left" vertical="top"/>
    </xf>
    <xf numFmtId="3" fontId="23" fillId="0" borderId="0" xfId="6" applyNumberFormat="1" applyFont="1" applyFill="1" applyAlignment="1">
      <alignment horizontal="center" vertical="top"/>
    </xf>
    <xf numFmtId="164" fontId="5" fillId="0" borderId="0" xfId="1" applyNumberFormat="1" applyFont="1" applyFill="1" applyBorder="1" applyAlignment="1" applyProtection="1">
      <alignment horizontal="left" vertical="top"/>
      <protection hidden="1"/>
    </xf>
    <xf numFmtId="165" fontId="2" fillId="0" borderId="0" xfId="3" applyNumberFormat="1" applyFont="1" applyFill="1" applyBorder="1" applyAlignment="1" applyProtection="1">
      <alignment vertical="top"/>
      <protection locked="0"/>
    </xf>
    <xf numFmtId="0" fontId="2" fillId="0" borderId="0" xfId="3" quotePrefix="1" applyNumberFormat="1" applyFont="1" applyFill="1" applyBorder="1" applyAlignment="1" applyProtection="1">
      <alignment horizontal="right" vertical="top"/>
      <protection locked="0"/>
    </xf>
    <xf numFmtId="164" fontId="5" fillId="0" borderId="0" xfId="3" applyNumberFormat="1" applyFont="1" applyFill="1" applyAlignment="1" applyProtection="1">
      <alignment horizontal="left" vertical="top"/>
      <protection locked="0"/>
    </xf>
    <xf numFmtId="41" fontId="2" fillId="0" borderId="0" xfId="3" applyNumberFormat="1" applyFont="1" applyFill="1" applyBorder="1" applyAlignment="1" applyProtection="1">
      <alignment vertical="top"/>
      <protection locked="0"/>
    </xf>
    <xf numFmtId="165" fontId="2" fillId="0" borderId="0" xfId="3" applyNumberFormat="1" applyFont="1" applyBorder="1" applyAlignment="1" applyProtection="1">
      <alignment vertical="top"/>
      <protection locked="0"/>
    </xf>
    <xf numFmtId="0" fontId="2" fillId="0" borderId="0" xfId="3" applyNumberFormat="1" applyFont="1" applyFill="1" applyBorder="1" applyAlignment="1" applyProtection="1">
      <alignment horizontal="right" vertical="top"/>
      <protection locked="0"/>
    </xf>
    <xf numFmtId="164" fontId="2" fillId="0" borderId="0" xfId="3" applyNumberFormat="1" applyFont="1" applyFill="1" applyBorder="1" applyAlignment="1" applyProtection="1">
      <alignment vertical="top"/>
      <protection locked="0"/>
    </xf>
    <xf numFmtId="164" fontId="2" fillId="0" borderId="0" xfId="3" applyNumberFormat="1" applyFont="1" applyFill="1" applyBorder="1" applyAlignment="1" applyProtection="1">
      <alignment horizontal="left" vertical="top"/>
      <protection locked="0"/>
    </xf>
    <xf numFmtId="164" fontId="5" fillId="0" borderId="0" xfId="3" applyNumberFormat="1" applyFont="1" applyFill="1" applyBorder="1" applyAlignment="1" applyProtection="1">
      <alignment horizontal="left" vertical="top"/>
      <protection locked="0"/>
    </xf>
    <xf numFmtId="3" fontId="12" fillId="0" borderId="0" xfId="3" applyNumberFormat="1" applyFont="1" applyFill="1" applyAlignment="1">
      <alignment horizontal="center" vertical="top"/>
    </xf>
    <xf numFmtId="0" fontId="16" fillId="5" borderId="0" xfId="1" applyNumberFormat="1" applyFont="1" applyFill="1" applyBorder="1" applyAlignment="1" applyProtection="1">
      <alignment horizontal="center" vertical="top"/>
      <protection hidden="1"/>
    </xf>
    <xf numFmtId="3" fontId="12" fillId="0" borderId="0" xfId="3" applyNumberFormat="1" applyFont="1" applyFill="1" applyAlignment="1">
      <alignment vertical="top"/>
    </xf>
    <xf numFmtId="165" fontId="5" fillId="0" borderId="0" xfId="1" applyNumberFormat="1" applyFont="1" applyFill="1" applyBorder="1" applyAlignment="1" applyProtection="1">
      <alignment horizontal="right" vertical="center"/>
    </xf>
    <xf numFmtId="165" fontId="5" fillId="0" borderId="0" xfId="1" applyNumberFormat="1" applyFont="1" applyFill="1" applyBorder="1" applyAlignment="1">
      <alignment horizontal="right" vertical="top"/>
    </xf>
    <xf numFmtId="0" fontId="78" fillId="0" borderId="0" xfId="6" applyFont="1" applyFill="1">
      <alignment vertical="top"/>
    </xf>
    <xf numFmtId="167" fontId="25" fillId="0" borderId="0" xfId="6" applyNumberFormat="1" applyFont="1" applyFill="1" applyAlignment="1">
      <alignment vertical="top"/>
    </xf>
    <xf numFmtId="167" fontId="23" fillId="0" borderId="0" xfId="6" applyNumberFormat="1" applyFont="1" applyFill="1" applyAlignment="1">
      <alignment horizontal="center" vertical="top"/>
    </xf>
    <xf numFmtId="37" fontId="22" fillId="0" borderId="10" xfId="6" applyNumberFormat="1" applyFont="1" applyBorder="1" applyAlignment="1">
      <alignment horizontal="right" vertical="top"/>
    </xf>
    <xf numFmtId="3" fontId="8" fillId="0" borderId="0" xfId="1" applyNumberFormat="1" applyFont="1" applyFill="1" applyBorder="1" applyAlignment="1" applyProtection="1">
      <alignment horizontal="center" vertical="center"/>
      <protection hidden="1"/>
    </xf>
    <xf numFmtId="164" fontId="9" fillId="0" borderId="0" xfId="1" applyFont="1" applyFill="1" applyBorder="1" applyAlignment="1" applyProtection="1">
      <alignment horizontal="center" vertical="top"/>
      <protection hidden="1"/>
    </xf>
    <xf numFmtId="49" fontId="11" fillId="3" borderId="2" xfId="1" applyNumberFormat="1" applyFont="1" applyFill="1" applyBorder="1" applyAlignment="1">
      <alignment horizontal="center" vertical="center" wrapText="1"/>
    </xf>
    <xf numFmtId="49" fontId="11" fillId="3" borderId="3" xfId="1" applyNumberFormat="1" applyFont="1" applyFill="1" applyBorder="1" applyAlignment="1">
      <alignment horizontal="center" vertical="center" wrapText="1"/>
    </xf>
    <xf numFmtId="49" fontId="11" fillId="3" borderId="4" xfId="1" applyNumberFormat="1" applyFont="1" applyFill="1" applyBorder="1" applyAlignment="1">
      <alignment horizontal="center" vertical="center" wrapText="1"/>
    </xf>
    <xf numFmtId="38" fontId="12" fillId="0" borderId="0" xfId="1" applyNumberFormat="1" applyFont="1" applyFill="1" applyBorder="1" applyAlignment="1" applyProtection="1">
      <alignment horizontal="right" vertical="top"/>
      <protection hidden="1"/>
    </xf>
    <xf numFmtId="164" fontId="5" fillId="4" borderId="0" xfId="1" applyFont="1" applyFill="1" applyBorder="1" applyAlignment="1" applyProtection="1">
      <alignment horizontal="center" vertical="top"/>
      <protection hidden="1"/>
    </xf>
    <xf numFmtId="49" fontId="5" fillId="0" borderId="0" xfId="1" applyNumberFormat="1" applyFont="1" applyFill="1" applyBorder="1" applyAlignment="1" applyProtection="1">
      <alignment horizontal="center" vertical="top" wrapText="1"/>
      <protection hidden="1"/>
    </xf>
    <xf numFmtId="3" fontId="5" fillId="0" borderId="0" xfId="1" applyNumberFormat="1" applyFont="1" applyFill="1" applyBorder="1" applyAlignment="1" applyProtection="1">
      <alignment horizontal="left" vertical="top" wrapText="1"/>
      <protection hidden="1"/>
    </xf>
    <xf numFmtId="3" fontId="5" fillId="0" borderId="0" xfId="1" applyNumberFormat="1" applyFont="1" applyFill="1" applyBorder="1" applyAlignment="1" applyProtection="1">
      <alignment horizontal="center" vertical="top" wrapText="1"/>
      <protection hidden="1"/>
    </xf>
    <xf numFmtId="0" fontId="5" fillId="0" borderId="1" xfId="1" applyNumberFormat="1" applyFont="1" applyFill="1" applyBorder="1" applyAlignment="1" applyProtection="1">
      <alignment horizontal="right" vertical="top" wrapText="1"/>
      <protection hidden="1"/>
    </xf>
    <xf numFmtId="0" fontId="7" fillId="0" borderId="0" xfId="1" applyNumberFormat="1" applyFont="1" applyFill="1" applyBorder="1" applyAlignment="1" applyProtection="1">
      <alignment horizontal="center" vertical="top"/>
      <protection hidden="1"/>
    </xf>
    <xf numFmtId="37" fontId="2" fillId="0" borderId="0" xfId="1" applyNumberFormat="1" applyFont="1" applyFill="1" applyBorder="1" applyAlignment="1" applyProtection="1">
      <alignment horizontal="right" vertical="top"/>
      <protection hidden="1"/>
    </xf>
    <xf numFmtId="0" fontId="2" fillId="0" borderId="0" xfId="1" applyNumberFormat="1" applyFont="1" applyFill="1" applyBorder="1" applyAlignment="1" applyProtection="1">
      <alignment horizontal="center" vertical="top"/>
      <protection hidden="1"/>
    </xf>
    <xf numFmtId="37" fontId="2" fillId="0" borderId="0" xfId="1" applyNumberFormat="1" applyFont="1" applyFill="1" applyBorder="1" applyAlignment="1" applyProtection="1">
      <alignment vertical="top"/>
      <protection hidden="1"/>
    </xf>
    <xf numFmtId="0" fontId="5" fillId="0" borderId="0" xfId="1" applyNumberFormat="1" applyFont="1" applyFill="1" applyBorder="1" applyAlignment="1" applyProtection="1">
      <alignment horizontal="right" vertical="center"/>
      <protection hidden="1"/>
    </xf>
    <xf numFmtId="0" fontId="5" fillId="0" borderId="0" xfId="1" applyNumberFormat="1" applyFont="1" applyFill="1" applyBorder="1" applyAlignment="1" applyProtection="1">
      <alignment horizontal="right" vertical="top"/>
      <protection hidden="1"/>
    </xf>
    <xf numFmtId="165" fontId="2" fillId="0" borderId="0" xfId="1" applyNumberFormat="1" applyFont="1" applyFill="1" applyBorder="1" applyAlignment="1" applyProtection="1">
      <alignment horizontal="right" vertical="top"/>
      <protection hidden="1"/>
    </xf>
    <xf numFmtId="165" fontId="5" fillId="0" borderId="0" xfId="1" applyNumberFormat="1" applyFont="1" applyFill="1" applyBorder="1" applyAlignment="1" applyProtection="1">
      <alignment horizontal="right" vertical="top"/>
      <protection hidden="1"/>
    </xf>
    <xf numFmtId="0" fontId="7" fillId="0" borderId="0" xfId="1" applyNumberFormat="1" applyFont="1" applyFill="1" applyBorder="1" applyAlignment="1" applyProtection="1">
      <alignment horizontal="center" vertical="top" wrapText="1"/>
      <protection hidden="1"/>
    </xf>
    <xf numFmtId="0" fontId="13" fillId="0" borderId="0" xfId="1" applyNumberFormat="1" applyFont="1" applyFill="1" applyBorder="1" applyAlignment="1" applyProtection="1">
      <alignment horizontal="center" vertical="top"/>
      <protection hidden="1"/>
    </xf>
    <xf numFmtId="0" fontId="13" fillId="0" borderId="0" xfId="1" applyNumberFormat="1" applyFont="1" applyFill="1" applyBorder="1" applyAlignment="1" applyProtection="1">
      <alignment horizontal="center" vertical="top" wrapText="1"/>
      <protection hidden="1"/>
    </xf>
    <xf numFmtId="3" fontId="2" fillId="0" borderId="0" xfId="1" applyNumberFormat="1" applyFont="1" applyFill="1" applyBorder="1" applyAlignment="1" applyProtection="1">
      <alignment horizontal="left" vertical="top" wrapText="1"/>
      <protection hidden="1"/>
    </xf>
    <xf numFmtId="164" fontId="2" fillId="0" borderId="0" xfId="1" applyNumberFormat="1" applyFont="1" applyFill="1" applyBorder="1" applyAlignment="1" applyProtection="1">
      <alignment horizontal="left" vertical="top" wrapText="1"/>
      <protection hidden="1"/>
    </xf>
    <xf numFmtId="1" fontId="7" fillId="0" borderId="0" xfId="1" applyNumberFormat="1" applyFont="1" applyFill="1" applyBorder="1" applyAlignment="1" applyProtection="1">
      <alignment horizontal="center" vertical="top"/>
      <protection hidden="1"/>
    </xf>
    <xf numFmtId="0" fontId="7" fillId="0" borderId="0" xfId="1" applyNumberFormat="1" applyFont="1" applyFill="1" applyBorder="1" applyAlignment="1" applyProtection="1">
      <alignment horizontal="center" vertical="top" wrapText="1"/>
      <protection locked="0"/>
    </xf>
    <xf numFmtId="0" fontId="7" fillId="0" borderId="0" xfId="1" applyNumberFormat="1" applyFont="1" applyFill="1" applyBorder="1" applyAlignment="1" applyProtection="1">
      <alignment horizontal="center" vertical="top"/>
      <protection locked="0"/>
    </xf>
    <xf numFmtId="165" fontId="12" fillId="0" borderId="0" xfId="1" applyNumberFormat="1" applyFont="1" applyFill="1" applyBorder="1" applyAlignment="1" applyProtection="1">
      <alignment horizontal="right" vertical="top"/>
      <protection hidden="1"/>
    </xf>
    <xf numFmtId="165" fontId="2" fillId="0" borderId="0" xfId="1" applyNumberFormat="1" applyFont="1" applyFill="1" applyBorder="1" applyAlignment="1" applyProtection="1">
      <alignment horizontal="right" vertical="top"/>
      <protection locked="0"/>
    </xf>
    <xf numFmtId="165" fontId="5" fillId="0" borderId="0" xfId="1" applyNumberFormat="1" applyFont="1" applyFill="1" applyBorder="1" applyAlignment="1" applyProtection="1">
      <alignment horizontal="right" vertical="top"/>
      <protection locked="0"/>
    </xf>
    <xf numFmtId="165" fontId="5" fillId="0" borderId="5" xfId="1" applyNumberFormat="1" applyFont="1" applyFill="1" applyBorder="1" applyAlignment="1" applyProtection="1">
      <alignment horizontal="right" vertical="top"/>
      <protection hidden="1"/>
    </xf>
    <xf numFmtId="38" fontId="8" fillId="0" borderId="0" xfId="1" applyNumberFormat="1" applyFont="1" applyFill="1" applyBorder="1" applyAlignment="1" applyProtection="1">
      <alignment horizontal="center" vertical="center"/>
      <protection hidden="1"/>
    </xf>
    <xf numFmtId="164" fontId="9" fillId="0" borderId="1" xfId="1" applyFont="1" applyFill="1" applyBorder="1" applyAlignment="1" applyProtection="1">
      <alignment horizontal="center" vertical="top"/>
      <protection hidden="1"/>
    </xf>
    <xf numFmtId="164" fontId="5" fillId="0" borderId="0" xfId="1" applyNumberFormat="1" applyFont="1" applyFill="1" applyBorder="1" applyAlignment="1" applyProtection="1">
      <alignment horizontal="left" vertical="top"/>
      <protection hidden="1"/>
    </xf>
    <xf numFmtId="164" fontId="7" fillId="0" borderId="0" xfId="1" applyFont="1" applyFill="1" applyBorder="1" applyAlignment="1" applyProtection="1">
      <alignment horizontal="center" vertical="top"/>
      <protection hidden="1"/>
    </xf>
    <xf numFmtId="38" fontId="5" fillId="0" borderId="0" xfId="1" applyNumberFormat="1" applyFont="1" applyFill="1" applyBorder="1" applyAlignment="1" applyProtection="1">
      <alignment horizontal="left" vertical="top" wrapText="1"/>
      <protection hidden="1"/>
    </xf>
    <xf numFmtId="38" fontId="5" fillId="0" borderId="0" xfId="1" applyNumberFormat="1" applyFont="1" applyFill="1" applyBorder="1" applyAlignment="1" applyProtection="1">
      <alignment horizontal="center" vertical="top" wrapText="1"/>
      <protection hidden="1"/>
    </xf>
    <xf numFmtId="164" fontId="2" fillId="0" borderId="0" xfId="1" applyFont="1" applyFill="1" applyBorder="1" applyAlignment="1" applyProtection="1">
      <alignment horizontal="center" vertical="top"/>
      <protection hidden="1"/>
    </xf>
    <xf numFmtId="0" fontId="14" fillId="0" borderId="0" xfId="1"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horizontal="left" vertical="top" wrapText="1"/>
      <protection locked="0"/>
    </xf>
    <xf numFmtId="164" fontId="13" fillId="0" borderId="0" xfId="1" applyNumberFormat="1" applyFont="1" applyFill="1" applyBorder="1" applyAlignment="1" applyProtection="1">
      <alignment horizontal="center" vertical="top" wrapText="1"/>
      <protection hidden="1"/>
    </xf>
    <xf numFmtId="0" fontId="26" fillId="0" borderId="0" xfId="7" applyFont="1" applyFill="1" applyAlignment="1">
      <alignment horizontal="right" vertical="top"/>
    </xf>
    <xf numFmtId="0" fontId="25" fillId="0" borderId="0" xfId="6" applyFont="1" applyFill="1" applyAlignment="1">
      <alignment horizontal="left" vertical="top"/>
    </xf>
    <xf numFmtId="0" fontId="25" fillId="0" borderId="0" xfId="6" applyFont="1" applyFill="1" applyAlignment="1">
      <alignment horizontal="center" vertical="top"/>
    </xf>
    <xf numFmtId="0" fontId="31" fillId="0" borderId="0" xfId="6" applyFont="1" applyFill="1" applyAlignment="1">
      <alignment horizontal="center" vertical="center" wrapText="1"/>
    </xf>
    <xf numFmtId="0" fontId="30" fillId="0" borderId="0" xfId="6" applyFont="1" applyFill="1" applyAlignment="1">
      <alignment horizontal="center" vertical="center" wrapText="1"/>
    </xf>
    <xf numFmtId="0" fontId="28" fillId="6" borderId="12" xfId="6" applyNumberFormat="1" applyFont="1" applyFill="1" applyBorder="1" applyAlignment="1">
      <alignment horizontal="center" vertical="center" wrapText="1"/>
    </xf>
    <xf numFmtId="0" fontId="28" fillId="6" borderId="13" xfId="6" applyNumberFormat="1" applyFont="1" applyFill="1" applyBorder="1" applyAlignment="1">
      <alignment horizontal="center" vertical="center" wrapText="1"/>
    </xf>
    <xf numFmtId="0" fontId="28" fillId="6" borderId="8" xfId="6" applyNumberFormat="1" applyFont="1" applyFill="1" applyBorder="1" applyAlignment="1">
      <alignment horizontal="center" vertical="center" wrapText="1"/>
    </xf>
    <xf numFmtId="0" fontId="28" fillId="6" borderId="2" xfId="6" applyNumberFormat="1" applyFont="1" applyFill="1" applyBorder="1" applyAlignment="1">
      <alignment horizontal="center" vertical="center" wrapText="1"/>
    </xf>
    <xf numFmtId="0" fontId="28" fillId="6" borderId="3" xfId="6" applyNumberFormat="1" applyFont="1" applyFill="1" applyBorder="1" applyAlignment="1">
      <alignment horizontal="center" vertical="center" wrapText="1"/>
    </xf>
    <xf numFmtId="0" fontId="28" fillId="6" borderId="4" xfId="6" applyNumberFormat="1" applyFont="1" applyFill="1" applyBorder="1" applyAlignment="1">
      <alignment horizontal="center" vertical="center" wrapText="1"/>
    </xf>
    <xf numFmtId="0" fontId="28" fillId="6" borderId="2" xfId="6" applyFont="1" applyFill="1" applyBorder="1" applyAlignment="1">
      <alignment horizontal="center" vertical="top"/>
    </xf>
    <xf numFmtId="0" fontId="28" fillId="6" borderId="3" xfId="6" applyFont="1" applyFill="1" applyBorder="1" applyAlignment="1">
      <alignment horizontal="center" vertical="top"/>
    </xf>
    <xf numFmtId="0" fontId="28" fillId="6" borderId="4" xfId="6" applyFont="1" applyFill="1" applyBorder="1" applyAlignment="1">
      <alignment horizontal="center" vertical="top"/>
    </xf>
    <xf numFmtId="3" fontId="12" fillId="0" borderId="0" xfId="3" applyNumberFormat="1" applyFont="1" applyFill="1" applyAlignment="1">
      <alignment horizontal="right" vertical="top"/>
    </xf>
    <xf numFmtId="0" fontId="78" fillId="0" borderId="0" xfId="6" applyFont="1" applyFill="1" applyAlignment="1">
      <alignment horizontal="center" vertical="top"/>
    </xf>
    <xf numFmtId="0" fontId="13" fillId="0" borderId="0" xfId="1" applyNumberFormat="1" applyFont="1" applyFill="1" applyAlignment="1">
      <alignment horizontal="center" vertical="center"/>
    </xf>
    <xf numFmtId="165" fontId="5" fillId="0" borderId="5" xfId="1" applyNumberFormat="1" applyFont="1" applyFill="1" applyBorder="1" applyAlignment="1" applyProtection="1">
      <alignment horizontal="right" vertical="center"/>
    </xf>
    <xf numFmtId="165" fontId="5" fillId="0" borderId="5" xfId="1" applyNumberFormat="1" applyFont="1" applyFill="1" applyBorder="1" applyAlignment="1">
      <alignment horizontal="right" vertical="top"/>
    </xf>
    <xf numFmtId="165" fontId="2" fillId="0" borderId="0" xfId="1" applyNumberFormat="1" applyFont="1" applyFill="1" applyBorder="1" applyAlignment="1">
      <alignment horizontal="right" vertical="center"/>
    </xf>
    <xf numFmtId="165" fontId="2" fillId="0" borderId="0" xfId="1" applyNumberFormat="1" applyFont="1" applyFill="1" applyBorder="1" applyAlignment="1" applyProtection="1">
      <alignment horizontal="right" vertical="center"/>
      <protection locked="0"/>
    </xf>
    <xf numFmtId="49" fontId="2" fillId="0" borderId="0" xfId="3" applyNumberFormat="1" applyFont="1" applyFill="1" applyAlignment="1">
      <alignment horizontal="left" vertical="top"/>
    </xf>
    <xf numFmtId="165" fontId="2" fillId="0" borderId="0" xfId="1" applyNumberFormat="1" applyFont="1" applyFill="1" applyBorder="1" applyAlignment="1">
      <alignment horizontal="right" vertical="top"/>
    </xf>
    <xf numFmtId="165" fontId="5" fillId="0" borderId="0" xfId="1" applyNumberFormat="1" applyFont="1" applyFill="1" applyAlignment="1">
      <alignment horizontal="right" vertical="center"/>
    </xf>
    <xf numFmtId="165" fontId="5" fillId="0" borderId="0" xfId="1" applyNumberFormat="1" applyFont="1" applyFill="1" applyAlignment="1" applyProtection="1">
      <alignment horizontal="right" vertical="center"/>
      <protection locked="0"/>
    </xf>
    <xf numFmtId="165" fontId="5" fillId="0" borderId="0" xfId="1" applyNumberFormat="1" applyFont="1" applyFill="1" applyAlignment="1">
      <alignment horizontal="right" vertical="top"/>
    </xf>
    <xf numFmtId="165" fontId="10" fillId="0" borderId="0" xfId="1" applyNumberFormat="1" applyFont="1" applyFill="1" applyAlignment="1" applyProtection="1">
      <alignment horizontal="right" vertical="center"/>
    </xf>
    <xf numFmtId="165" fontId="10" fillId="0" borderId="0" xfId="1" applyNumberFormat="1" applyFont="1" applyFill="1" applyAlignment="1">
      <alignment horizontal="right" vertical="top"/>
    </xf>
    <xf numFmtId="165" fontId="5" fillId="0" borderId="0" xfId="1" applyNumberFormat="1" applyFont="1" applyFill="1" applyAlignment="1" applyProtection="1">
      <alignment horizontal="right" vertical="center"/>
    </xf>
    <xf numFmtId="165" fontId="2" fillId="0" borderId="0" xfId="1" applyNumberFormat="1" applyFont="1" applyFill="1" applyAlignment="1">
      <alignment horizontal="right" vertical="top"/>
    </xf>
    <xf numFmtId="165" fontId="2" fillId="0" borderId="0" xfId="1" applyNumberFormat="1" applyFont="1" applyFill="1" applyAlignment="1" applyProtection="1">
      <alignment horizontal="right" vertical="top"/>
      <protection locked="0"/>
    </xf>
    <xf numFmtId="0" fontId="2" fillId="0" borderId="0" xfId="1" applyNumberFormat="1" applyFont="1" applyFill="1" applyAlignment="1">
      <alignment vertical="top" wrapText="1"/>
    </xf>
    <xf numFmtId="164" fontId="2" fillId="0" borderId="0" xfId="1" applyFont="1" applyFill="1" applyAlignment="1">
      <alignment vertical="top" wrapText="1"/>
    </xf>
    <xf numFmtId="164" fontId="2" fillId="0" borderId="0" xfId="1" applyFont="1" applyFill="1" applyAlignment="1">
      <alignment horizontal="left" vertical="top" wrapText="1"/>
    </xf>
    <xf numFmtId="165" fontId="10" fillId="0" borderId="0" xfId="1" applyNumberFormat="1" applyFont="1" applyFill="1" applyAlignment="1" applyProtection="1">
      <alignment horizontal="right" vertical="center"/>
      <protection hidden="1"/>
    </xf>
    <xf numFmtId="165" fontId="2" fillId="0" borderId="0" xfId="1" applyNumberFormat="1" applyFont="1" applyFill="1" applyAlignment="1">
      <alignment horizontal="right" vertical="center"/>
    </xf>
    <xf numFmtId="165" fontId="2" fillId="0" borderId="0" xfId="1" applyNumberFormat="1" applyFont="1" applyFill="1" applyAlignment="1" applyProtection="1">
      <alignment horizontal="right" vertical="center"/>
      <protection locked="0"/>
    </xf>
    <xf numFmtId="165" fontId="10" fillId="0" borderId="0" xfId="1" applyNumberFormat="1" applyFont="1" applyFill="1" applyAlignment="1">
      <alignment horizontal="right" vertical="center"/>
    </xf>
    <xf numFmtId="165" fontId="10" fillId="0" borderId="0" xfId="1" applyNumberFormat="1" applyFont="1" applyFill="1" applyAlignment="1" applyProtection="1">
      <alignment horizontal="right" vertical="center"/>
      <protection locked="0"/>
    </xf>
    <xf numFmtId="0" fontId="7" fillId="0" borderId="0" xfId="1" applyNumberFormat="1" applyFont="1" applyFill="1" applyAlignment="1">
      <alignment horizontal="center" vertical="top"/>
    </xf>
    <xf numFmtId="0" fontId="2" fillId="0" borderId="0" xfId="1" applyNumberFormat="1" applyFont="1" applyFill="1" applyAlignment="1">
      <alignment horizontal="center" vertical="top"/>
    </xf>
    <xf numFmtId="0" fontId="7" fillId="0" borderId="0" xfId="1" applyNumberFormat="1" applyFont="1" applyFill="1" applyAlignment="1">
      <alignment horizontal="center" vertical="top" wrapText="1"/>
    </xf>
    <xf numFmtId="164" fontId="2" fillId="0" borderId="0" xfId="1" applyFont="1" applyFill="1" applyAlignment="1">
      <alignment horizontal="center" vertical="top" wrapText="1"/>
    </xf>
    <xf numFmtId="3" fontId="2" fillId="0" borderId="0" xfId="1" applyNumberFormat="1" applyFont="1" applyFill="1" applyAlignment="1">
      <alignment horizontal="left" vertical="top" wrapText="1"/>
    </xf>
    <xf numFmtId="49" fontId="2" fillId="0" borderId="0" xfId="1" applyNumberFormat="1" applyFont="1" applyFill="1" applyAlignment="1">
      <alignment vertical="top" wrapText="1"/>
    </xf>
    <xf numFmtId="3" fontId="5" fillId="0" borderId="0" xfId="1" applyNumberFormat="1" applyFont="1" applyFill="1" applyAlignment="1">
      <alignment horizontal="left" vertical="top"/>
    </xf>
    <xf numFmtId="164" fontId="5" fillId="0" borderId="0" xfId="1" applyFont="1" applyFill="1" applyAlignment="1">
      <alignment horizontal="center" vertical="top"/>
    </xf>
    <xf numFmtId="0" fontId="5" fillId="0" borderId="1" xfId="1" applyNumberFormat="1" applyFont="1" applyFill="1" applyBorder="1" applyAlignment="1">
      <alignment horizontal="right" vertical="top" wrapText="1"/>
    </xf>
    <xf numFmtId="0" fontId="5" fillId="0" borderId="0" xfId="1" applyNumberFormat="1" applyFont="1" applyFill="1" applyBorder="1" applyAlignment="1">
      <alignment horizontal="right" vertical="center"/>
    </xf>
    <xf numFmtId="49" fontId="5" fillId="0" borderId="0" xfId="1" applyNumberFormat="1" applyFont="1" applyFill="1" applyAlignment="1">
      <alignment horizontal="center" vertical="top"/>
    </xf>
    <xf numFmtId="49" fontId="5" fillId="0" borderId="0" xfId="1" applyNumberFormat="1" applyFont="1" applyFill="1" applyBorder="1" applyAlignment="1">
      <alignment horizontal="center" vertical="top" wrapText="1" shrinkToFit="1"/>
    </xf>
    <xf numFmtId="3" fontId="8" fillId="0" borderId="0" xfId="1" applyNumberFormat="1" applyFont="1" applyFill="1" applyBorder="1" applyAlignment="1" applyProtection="1">
      <alignment horizontal="center" vertical="top"/>
      <protection hidden="1"/>
    </xf>
    <xf numFmtId="3" fontId="10" fillId="0" borderId="0" xfId="1" quotePrefix="1" applyNumberFormat="1" applyFont="1" applyFill="1" applyBorder="1" applyAlignment="1" applyProtection="1">
      <alignment horizontal="center" vertical="top"/>
      <protection hidden="1"/>
    </xf>
    <xf numFmtId="3" fontId="10" fillId="0" borderId="0" xfId="1" applyNumberFormat="1" applyFont="1" applyFill="1" applyBorder="1" applyAlignment="1" applyProtection="1">
      <alignment horizontal="center" vertical="top"/>
      <protection hidden="1"/>
    </xf>
    <xf numFmtId="0" fontId="35" fillId="0" borderId="0" xfId="3" applyNumberFormat="1" applyFont="1" applyFill="1" applyAlignment="1" applyProtection="1">
      <alignment horizontal="justify" vertical="top" wrapText="1"/>
      <protection locked="0"/>
    </xf>
    <xf numFmtId="0" fontId="35" fillId="0" borderId="0" xfId="3" quotePrefix="1" applyNumberFormat="1" applyFont="1" applyFill="1" applyAlignment="1" applyProtection="1">
      <alignment horizontal="justify" vertical="top" wrapText="1"/>
      <protection locked="0"/>
    </xf>
    <xf numFmtId="0" fontId="24" fillId="0" borderId="0" xfId="6" applyFont="1" applyFill="1" applyAlignment="1">
      <alignment vertical="top"/>
    </xf>
    <xf numFmtId="0" fontId="24" fillId="0" borderId="0" xfId="6" applyFont="1" applyFill="1" applyAlignment="1">
      <alignment horizontal="center" vertical="top"/>
    </xf>
    <xf numFmtId="41" fontId="2" fillId="0" borderId="0" xfId="3" applyNumberFormat="1" applyFont="1" applyFill="1" applyAlignment="1" applyProtection="1">
      <alignment horizontal="justify" vertical="top" wrapText="1"/>
      <protection locked="0"/>
    </xf>
    <xf numFmtId="164" fontId="2" fillId="0" borderId="0" xfId="3" quotePrefix="1" applyNumberFormat="1" applyFont="1" applyFill="1" applyAlignment="1" applyProtection="1">
      <alignment horizontal="justify" vertical="top" wrapText="1"/>
      <protection locked="0"/>
    </xf>
    <xf numFmtId="164" fontId="2" fillId="0" borderId="0" xfId="3" applyNumberFormat="1" applyFont="1" applyFill="1" applyAlignment="1" applyProtection="1">
      <alignment horizontal="justify" vertical="top" wrapText="1"/>
      <protection locked="0"/>
    </xf>
    <xf numFmtId="49" fontId="2" fillId="0" borderId="0" xfId="3" applyNumberFormat="1" applyFont="1" applyFill="1" applyAlignment="1" applyProtection="1">
      <alignment horizontal="center" vertical="top" wrapText="1"/>
      <protection locked="0"/>
    </xf>
    <xf numFmtId="165" fontId="2" fillId="0" borderId="0" xfId="3" applyNumberFormat="1" applyFont="1" applyFill="1" applyAlignment="1" applyProtection="1">
      <alignment horizontal="right" vertical="top" wrapText="1"/>
      <protection locked="0"/>
    </xf>
    <xf numFmtId="164" fontId="5" fillId="0" borderId="0" xfId="3" applyNumberFormat="1" applyFont="1" applyFill="1" applyAlignment="1" applyProtection="1">
      <alignment horizontal="justify" vertical="top" wrapText="1"/>
      <protection locked="0"/>
    </xf>
    <xf numFmtId="49" fontId="2" fillId="0" borderId="0" xfId="3" applyNumberFormat="1" applyFont="1" applyFill="1" applyBorder="1" applyAlignment="1" applyProtection="1">
      <alignment horizontal="center" vertical="top" wrapText="1"/>
      <protection locked="0"/>
    </xf>
    <xf numFmtId="165" fontId="2" fillId="0" borderId="0" xfId="3" applyNumberFormat="1" applyFont="1" applyFill="1" applyBorder="1" applyAlignment="1" applyProtection="1">
      <alignment horizontal="right" vertical="top" wrapText="1"/>
      <protection locked="0"/>
    </xf>
    <xf numFmtId="41" fontId="2" fillId="0" borderId="0" xfId="3" applyNumberFormat="1" applyFont="1" applyFill="1" applyBorder="1" applyAlignment="1" applyProtection="1">
      <alignment horizontal="justify" vertical="top" wrapText="1"/>
      <protection locked="0"/>
    </xf>
    <xf numFmtId="0" fontId="2" fillId="0" borderId="0" xfId="3" quotePrefix="1" applyNumberFormat="1" applyFont="1" applyFill="1" applyBorder="1" applyAlignment="1" applyProtection="1">
      <alignment horizontal="right"/>
      <protection locked="0"/>
    </xf>
    <xf numFmtId="164" fontId="2" fillId="0" borderId="0" xfId="3" applyNumberFormat="1" applyFont="1" applyFill="1" applyBorder="1" applyAlignment="1" applyProtection="1">
      <alignment horizontal="center" vertical="top" wrapText="1"/>
      <protection locked="0"/>
    </xf>
    <xf numFmtId="0" fontId="2" fillId="0" borderId="1" xfId="3" applyNumberFormat="1" applyFont="1" applyFill="1" applyBorder="1" applyAlignment="1" applyProtection="1">
      <alignment horizontal="center" wrapText="1"/>
      <protection locked="0"/>
    </xf>
    <xf numFmtId="0" fontId="2" fillId="0" borderId="1" xfId="3" applyNumberFormat="1" applyFont="1" applyFill="1" applyBorder="1" applyAlignment="1" applyProtection="1">
      <alignment horizontal="right"/>
      <protection locked="0"/>
    </xf>
    <xf numFmtId="0" fontId="2" fillId="0" borderId="1" xfId="3" quotePrefix="1" applyNumberFormat="1" applyFont="1" applyFill="1" applyBorder="1" applyAlignment="1" applyProtection="1">
      <alignment horizontal="right"/>
      <protection locked="0"/>
    </xf>
    <xf numFmtId="0" fontId="2" fillId="0" borderId="1" xfId="3" applyNumberFormat="1" applyFont="1" applyFill="1" applyBorder="1" applyAlignment="1" applyProtection="1">
      <alignment horizontal="right" wrapText="1"/>
      <protection locked="0"/>
    </xf>
    <xf numFmtId="0" fontId="2" fillId="0" borderId="1" xfId="3" quotePrefix="1" applyNumberFormat="1" applyFont="1" applyFill="1" applyBorder="1" applyAlignment="1" applyProtection="1">
      <alignment horizontal="right" wrapText="1"/>
      <protection locked="0"/>
    </xf>
    <xf numFmtId="164" fontId="2" fillId="0" borderId="1" xfId="3" applyNumberFormat="1" applyFont="1" applyFill="1" applyBorder="1" applyAlignment="1" applyProtection="1">
      <alignment horizontal="center" wrapText="1"/>
      <protection locked="0"/>
    </xf>
    <xf numFmtId="165" fontId="2" fillId="0" borderId="0" xfId="3" applyNumberFormat="1" applyFont="1" applyFill="1" applyBorder="1" applyAlignment="1" applyProtection="1">
      <alignment vertical="top"/>
      <protection locked="0"/>
    </xf>
    <xf numFmtId="0" fontId="2" fillId="0" borderId="0" xfId="3" applyNumberFormat="1" applyFont="1" applyFill="1" applyAlignment="1" applyProtection="1">
      <alignment horizontal="justify" vertical="top" wrapText="1"/>
      <protection locked="0"/>
    </xf>
    <xf numFmtId="49" fontId="2" fillId="0" borderId="0" xfId="3" applyNumberFormat="1" applyFont="1" applyFill="1" applyAlignment="1" applyProtection="1">
      <alignment vertical="top"/>
      <protection locked="0"/>
    </xf>
    <xf numFmtId="49" fontId="2" fillId="0" borderId="0" xfId="3" applyNumberFormat="1" applyFont="1" applyFill="1" applyBorder="1" applyAlignment="1" applyProtection="1">
      <alignment vertical="top"/>
      <protection locked="0"/>
    </xf>
    <xf numFmtId="49" fontId="5" fillId="0" borderId="0" xfId="3" applyNumberFormat="1" applyFont="1" applyFill="1" applyAlignment="1" applyProtection="1">
      <alignment vertical="top"/>
      <protection locked="0"/>
    </xf>
    <xf numFmtId="164" fontId="5" fillId="0" borderId="0" xfId="3" applyNumberFormat="1" applyFont="1" applyFill="1" applyBorder="1" applyAlignment="1" applyProtection="1">
      <alignment horizontal="left" vertical="top"/>
      <protection locked="0"/>
    </xf>
    <xf numFmtId="0" fontId="2" fillId="0" borderId="1" xfId="3" quotePrefix="1" applyNumberFormat="1" applyFont="1" applyFill="1" applyBorder="1" applyAlignment="1" applyProtection="1">
      <alignment horizontal="right" vertical="top" wrapText="1"/>
      <protection locked="0"/>
    </xf>
    <xf numFmtId="0" fontId="2" fillId="0" borderId="1" xfId="3" quotePrefix="1" applyNumberFormat="1" applyFont="1" applyFill="1" applyBorder="1" applyAlignment="1" applyProtection="1">
      <alignment horizontal="right" vertical="top"/>
      <protection locked="0"/>
    </xf>
    <xf numFmtId="164" fontId="2" fillId="0" borderId="0" xfId="3" applyNumberFormat="1" applyFont="1" applyFill="1" applyBorder="1" applyAlignment="1" applyProtection="1">
      <alignment horizontal="left" vertical="top"/>
      <protection locked="0"/>
    </xf>
    <xf numFmtId="0" fontId="2" fillId="0" borderId="0" xfId="3" quotePrefix="1" applyNumberFormat="1" applyFont="1" applyFill="1" applyBorder="1" applyAlignment="1" applyProtection="1">
      <alignment horizontal="right" vertical="top"/>
      <protection locked="0"/>
    </xf>
    <xf numFmtId="49" fontId="2" fillId="0" borderId="0" xfId="3" quotePrefix="1" applyNumberFormat="1" applyFont="1" applyFill="1" applyAlignment="1" applyProtection="1">
      <alignment vertical="top"/>
      <protection locked="0"/>
    </xf>
    <xf numFmtId="49" fontId="5" fillId="0" borderId="0" xfId="3" quotePrefix="1" applyNumberFormat="1" applyFont="1" applyFill="1" applyAlignment="1" applyProtection="1">
      <alignment vertical="top"/>
      <protection locked="0"/>
    </xf>
    <xf numFmtId="165" fontId="5" fillId="0" borderId="0" xfId="3" applyNumberFormat="1" applyFont="1" applyFill="1" applyBorder="1" applyAlignment="1" applyProtection="1">
      <alignment vertical="top"/>
      <protection locked="0"/>
    </xf>
    <xf numFmtId="0" fontId="2" fillId="0" borderId="0" xfId="3" applyNumberFormat="1" applyFont="1" applyFill="1" applyBorder="1" applyAlignment="1" applyProtection="1">
      <alignment horizontal="left" vertical="top"/>
      <protection locked="0"/>
    </xf>
    <xf numFmtId="164" fontId="2" fillId="0" borderId="1" xfId="3" applyNumberFormat="1" applyFont="1" applyFill="1" applyBorder="1" applyAlignment="1" applyProtection="1">
      <alignment horizontal="left" vertical="top"/>
      <protection locked="0"/>
    </xf>
    <xf numFmtId="0" fontId="2" fillId="0" borderId="1" xfId="3" applyNumberFormat="1" applyFont="1" applyFill="1" applyBorder="1" applyAlignment="1" applyProtection="1">
      <alignment horizontal="left" vertical="top"/>
      <protection locked="0"/>
    </xf>
    <xf numFmtId="164" fontId="16" fillId="0" borderId="0" xfId="3" applyNumberFormat="1" applyFont="1" applyFill="1" applyAlignment="1" applyProtection="1">
      <alignment vertical="top"/>
      <protection locked="0"/>
    </xf>
    <xf numFmtId="164" fontId="2" fillId="0" borderId="0" xfId="3" applyNumberFormat="1" applyFont="1" applyFill="1" applyAlignment="1" applyProtection="1">
      <alignment horizontal="left" vertical="top"/>
      <protection locked="0"/>
    </xf>
    <xf numFmtId="164" fontId="5" fillId="0" borderId="0" xfId="3" applyNumberFormat="1" applyFont="1" applyFill="1" applyAlignment="1" applyProtection="1">
      <alignment vertical="top"/>
      <protection locked="0"/>
    </xf>
    <xf numFmtId="164" fontId="2" fillId="0" borderId="0" xfId="3" applyNumberFormat="1" applyFont="1" applyFill="1" applyAlignment="1" applyProtection="1">
      <alignment horizontal="justify" vertical="top"/>
      <protection locked="0"/>
    </xf>
    <xf numFmtId="41" fontId="2" fillId="0" borderId="0" xfId="3" applyNumberFormat="1" applyFont="1" applyFill="1" applyBorder="1" applyAlignment="1" applyProtection="1">
      <alignment horizontal="right" vertical="top"/>
      <protection locked="0"/>
    </xf>
    <xf numFmtId="164" fontId="37" fillId="0" borderId="0" xfId="3" applyNumberFormat="1" applyFont="1" applyFill="1" applyBorder="1" applyAlignment="1" applyProtection="1">
      <alignment horizontal="justify" vertical="top"/>
      <protection locked="0"/>
    </xf>
    <xf numFmtId="0" fontId="35" fillId="0" borderId="0" xfId="3" applyNumberFormat="1" applyFont="1" applyFill="1" applyBorder="1" applyAlignment="1" applyProtection="1">
      <alignment horizontal="left" vertical="top" wrapText="1"/>
      <protection locked="0"/>
    </xf>
    <xf numFmtId="0" fontId="35" fillId="0" borderId="0" xfId="3" applyNumberFormat="1" applyFont="1" applyFill="1" applyBorder="1" applyAlignment="1" applyProtection="1">
      <alignment horizontal="left" vertical="top"/>
      <protection locked="0"/>
    </xf>
    <xf numFmtId="164" fontId="35" fillId="0" borderId="0" xfId="3" applyNumberFormat="1" applyFont="1" applyFill="1" applyAlignment="1" applyProtection="1">
      <alignment horizontal="justify" vertical="top"/>
      <protection locked="0"/>
    </xf>
    <xf numFmtId="0" fontId="36" fillId="0" borderId="0" xfId="3" applyNumberFormat="1" applyFont="1" applyFill="1" applyAlignment="1" applyProtection="1">
      <alignment horizontal="justify" vertical="top" wrapText="1"/>
      <protection locked="0"/>
    </xf>
    <xf numFmtId="2" fontId="36" fillId="0" borderId="0" xfId="3" applyNumberFormat="1" applyFont="1" applyFill="1" applyAlignment="1" applyProtection="1">
      <alignment horizontal="justify" vertical="top" wrapText="1"/>
      <protection locked="0"/>
    </xf>
    <xf numFmtId="2" fontId="2" fillId="0" borderId="0" xfId="3" applyNumberFormat="1" applyFont="1" applyFill="1" applyAlignment="1" applyProtection="1">
      <alignment horizontal="justify" vertical="top" wrapText="1"/>
      <protection locked="0"/>
    </xf>
    <xf numFmtId="2" fontId="35" fillId="0" borderId="0" xfId="3" applyNumberFormat="1" applyFont="1" applyFill="1" applyAlignment="1" applyProtection="1">
      <alignment horizontal="justify" vertical="top" wrapText="1"/>
      <protection locked="0"/>
    </xf>
    <xf numFmtId="164" fontId="2" fillId="0" borderId="0" xfId="3" applyNumberFormat="1" applyFont="1" applyFill="1" applyAlignment="1" applyProtection="1">
      <alignment vertical="top" wrapText="1"/>
      <protection locked="0"/>
    </xf>
    <xf numFmtId="164" fontId="2" fillId="0" borderId="0" xfId="3" applyNumberFormat="1" applyFont="1" applyFill="1" applyAlignment="1" applyProtection="1">
      <alignment horizontal="left" vertical="top" wrapText="1"/>
      <protection locked="0"/>
    </xf>
    <xf numFmtId="165" fontId="5" fillId="0" borderId="5" xfId="3" applyNumberFormat="1" applyFont="1" applyFill="1" applyBorder="1" applyAlignment="1" applyProtection="1">
      <alignment horizontal="right" vertical="top"/>
      <protection locked="0"/>
    </xf>
    <xf numFmtId="164" fontId="5" fillId="0" borderId="0" xfId="3" applyNumberFormat="1" applyFont="1" applyFill="1" applyAlignment="1" applyProtection="1">
      <alignment vertical="top" wrapText="1"/>
      <protection locked="0"/>
    </xf>
    <xf numFmtId="165" fontId="2" fillId="0" borderId="0" xfId="3" applyNumberFormat="1" applyFont="1" applyFill="1" applyAlignment="1" applyProtection="1">
      <alignment horizontal="right" vertical="top"/>
      <protection locked="0"/>
    </xf>
    <xf numFmtId="2" fontId="2" fillId="0" borderId="1" xfId="3" applyNumberFormat="1" applyFont="1" applyFill="1" applyBorder="1" applyAlignment="1" applyProtection="1">
      <alignment horizontal="right" wrapText="1"/>
      <protection locked="0"/>
    </xf>
    <xf numFmtId="2" fontId="2" fillId="0" borderId="6" xfId="3" applyNumberFormat="1" applyFont="1" applyFill="1" applyBorder="1" applyAlignment="1" applyProtection="1">
      <alignment horizontal="right" vertical="top"/>
      <protection locked="0"/>
    </xf>
    <xf numFmtId="2" fontId="10" fillId="0" borderId="0" xfId="3" applyNumberFormat="1" applyFont="1" applyFill="1" applyAlignment="1" applyProtection="1">
      <alignment horizontal="justify" vertical="top" wrapText="1"/>
      <protection locked="0"/>
    </xf>
    <xf numFmtId="2" fontId="2" fillId="0" borderId="0" xfId="3" applyNumberFormat="1" applyFont="1" applyFill="1" applyAlignment="1" applyProtection="1">
      <alignment horizontal="left" vertical="top" wrapText="1"/>
      <protection locked="0"/>
    </xf>
    <xf numFmtId="2" fontId="5" fillId="0" borderId="0" xfId="3" applyNumberFormat="1" applyFont="1" applyFill="1" applyAlignment="1" applyProtection="1">
      <alignment horizontal="justify" vertical="top" wrapText="1"/>
      <protection locked="0"/>
    </xf>
    <xf numFmtId="2" fontId="12" fillId="0" borderId="0" xfId="3" applyNumberFormat="1" applyFont="1" applyFill="1" applyAlignment="1" applyProtection="1">
      <alignment horizontal="justify" vertical="top" wrapText="1"/>
      <protection locked="0"/>
    </xf>
    <xf numFmtId="164" fontId="35" fillId="0" borderId="0" xfId="3" applyNumberFormat="1" applyFont="1" applyFill="1" applyAlignment="1" applyProtection="1">
      <alignment horizontal="justify" vertical="top" wrapText="1"/>
      <protection locked="0"/>
    </xf>
    <xf numFmtId="165" fontId="5" fillId="0" borderId="5" xfId="3" applyNumberFormat="1" applyFont="1" applyFill="1" applyBorder="1" applyAlignment="1" applyProtection="1">
      <alignment vertical="top"/>
      <protection locked="0"/>
    </xf>
    <xf numFmtId="165" fontId="2" fillId="0" borderId="0" xfId="3" applyNumberFormat="1" applyFont="1" applyFill="1" applyBorder="1" applyAlignment="1" applyProtection="1">
      <alignment horizontal="center" vertical="top"/>
      <protection locked="0"/>
    </xf>
    <xf numFmtId="165" fontId="2" fillId="0" borderId="1" xfId="3" applyNumberFormat="1" applyFont="1" applyFill="1" applyBorder="1" applyAlignment="1" applyProtection="1">
      <alignment vertical="top"/>
      <protection locked="0"/>
    </xf>
    <xf numFmtId="165" fontId="5" fillId="0" borderId="5" xfId="3" applyNumberFormat="1" applyFont="1" applyFill="1" applyBorder="1" applyAlignment="1" applyProtection="1">
      <alignment vertical="top" shrinkToFit="1"/>
      <protection locked="0"/>
    </xf>
    <xf numFmtId="165" fontId="2" fillId="0" borderId="0" xfId="3" applyNumberFormat="1" applyFont="1" applyFill="1" applyAlignment="1" applyProtection="1">
      <alignment vertical="top"/>
      <protection locked="0"/>
    </xf>
    <xf numFmtId="0" fontId="2" fillId="0" borderId="0" xfId="3" applyNumberFormat="1" applyFont="1" applyFill="1" applyAlignment="1" applyProtection="1">
      <alignment vertical="top" wrapText="1"/>
      <protection locked="0"/>
    </xf>
    <xf numFmtId="165" fontId="2" fillId="0" borderId="3" xfId="3" applyNumberFormat="1" applyFont="1" applyFill="1" applyBorder="1" applyAlignment="1" applyProtection="1">
      <alignment horizontal="right" vertical="top"/>
      <protection locked="0"/>
    </xf>
    <xf numFmtId="165" fontId="2" fillId="0" borderId="6" xfId="3" applyNumberFormat="1" applyFont="1" applyFill="1" applyBorder="1" applyAlignment="1" applyProtection="1">
      <alignment horizontal="right" vertical="top"/>
      <protection locked="0"/>
    </xf>
    <xf numFmtId="165" fontId="2" fillId="0" borderId="0" xfId="3" applyNumberFormat="1" applyFont="1" applyFill="1" applyAlignment="1" applyProtection="1">
      <alignment horizontal="center" vertical="top"/>
      <protection locked="0"/>
    </xf>
    <xf numFmtId="165" fontId="2" fillId="0" borderId="1" xfId="3" applyNumberFormat="1" applyFont="1" applyFill="1" applyBorder="1" applyAlignment="1" applyProtection="1">
      <alignment horizontal="center" vertical="top"/>
      <protection locked="0"/>
    </xf>
    <xf numFmtId="165" fontId="12" fillId="0" borderId="0" xfId="3" applyNumberFormat="1" applyFont="1" applyFill="1" applyBorder="1" applyAlignment="1" applyProtection="1">
      <alignment vertical="top"/>
      <protection locked="0"/>
    </xf>
    <xf numFmtId="41" fontId="12" fillId="0" borderId="0" xfId="3" applyNumberFormat="1" applyFont="1" applyFill="1" applyBorder="1" applyAlignment="1" applyProtection="1">
      <alignment vertical="top"/>
      <protection locked="0"/>
    </xf>
    <xf numFmtId="164" fontId="12" fillId="0" borderId="0" xfId="3" applyNumberFormat="1" applyFont="1" applyFill="1" applyAlignment="1" applyProtection="1">
      <alignment vertical="top"/>
      <protection locked="0"/>
    </xf>
    <xf numFmtId="164" fontId="4" fillId="0" borderId="0" xfId="5" applyAlignment="1">
      <alignment vertical="top" wrapText="1"/>
    </xf>
    <xf numFmtId="164" fontId="2" fillId="0" borderId="0" xfId="5" applyFont="1" applyAlignment="1">
      <alignment vertical="top" wrapText="1"/>
    </xf>
    <xf numFmtId="0" fontId="35" fillId="0" borderId="0" xfId="3" applyNumberFormat="1" applyFont="1" applyFill="1" applyAlignment="1" applyProtection="1">
      <alignment horizontal="left" vertical="top"/>
      <protection locked="0"/>
    </xf>
    <xf numFmtId="9" fontId="2" fillId="0" borderId="0" xfId="11" applyFont="1" applyFill="1" applyBorder="1" applyAlignment="1" applyProtection="1">
      <alignment vertical="top"/>
      <protection locked="0"/>
    </xf>
    <xf numFmtId="164" fontId="35" fillId="0" borderId="0" xfId="3" applyNumberFormat="1" applyFont="1" applyFill="1" applyAlignment="1" applyProtection="1">
      <alignment horizontal="left" vertical="top"/>
      <protection locked="0"/>
    </xf>
    <xf numFmtId="164" fontId="2" fillId="0" borderId="0" xfId="3" applyNumberFormat="1" applyFont="1" applyFill="1" applyBorder="1" applyAlignment="1" applyProtection="1">
      <alignment vertical="top" wrapText="1"/>
      <protection locked="0"/>
    </xf>
    <xf numFmtId="0" fontId="2" fillId="0" borderId="0" xfId="3" applyNumberFormat="1" applyFont="1" applyFill="1" applyAlignment="1" applyProtection="1">
      <alignment horizontal="left" vertical="top" wrapText="1"/>
      <protection locked="0"/>
    </xf>
    <xf numFmtId="0" fontId="14" fillId="0" borderId="0" xfId="3" quotePrefix="1" applyNumberFormat="1" applyFont="1" applyFill="1" applyAlignment="1" applyProtection="1">
      <alignment horizontal="justify" vertical="top"/>
      <protection locked="0"/>
    </xf>
    <xf numFmtId="165" fontId="2" fillId="10" borderId="0" xfId="3" applyNumberFormat="1" applyFont="1" applyFill="1" applyBorder="1" applyAlignment="1" applyProtection="1">
      <alignment vertical="top"/>
      <protection locked="0"/>
    </xf>
    <xf numFmtId="41" fontId="5" fillId="0" borderId="0" xfId="3" applyNumberFormat="1" applyFont="1" applyFill="1" applyBorder="1" applyAlignment="1" applyProtection="1">
      <alignment vertical="top"/>
      <protection locked="0"/>
    </xf>
    <xf numFmtId="37" fontId="5" fillId="0" borderId="0" xfId="3" applyNumberFormat="1" applyFont="1" applyFill="1" applyAlignment="1" applyProtection="1">
      <alignment vertical="top"/>
      <protection locked="0"/>
    </xf>
    <xf numFmtId="41" fontId="2" fillId="0" borderId="0" xfId="3" applyNumberFormat="1" applyFont="1" applyFill="1" applyBorder="1" applyAlignment="1" applyProtection="1">
      <alignment vertical="top"/>
      <protection locked="0"/>
    </xf>
    <xf numFmtId="37" fontId="2" fillId="0" borderId="0" xfId="3" applyNumberFormat="1" applyFont="1" applyFill="1" applyBorder="1" applyAlignment="1" applyProtection="1">
      <alignment vertical="top"/>
      <protection locked="0"/>
    </xf>
    <xf numFmtId="0" fontId="57" fillId="0" borderId="0" xfId="5" applyNumberFormat="1" applyFont="1" applyAlignment="1">
      <alignment horizontal="left" vertical="center" wrapText="1"/>
    </xf>
    <xf numFmtId="0" fontId="4" fillId="0" borderId="0" xfId="5" applyNumberFormat="1" applyAlignment="1">
      <alignment wrapText="1"/>
    </xf>
    <xf numFmtId="164" fontId="12" fillId="0" borderId="0" xfId="3" quotePrefix="1" applyNumberFormat="1" applyFont="1" applyFill="1" applyAlignment="1" applyProtection="1">
      <alignment vertical="top" wrapText="1"/>
      <protection locked="0"/>
    </xf>
    <xf numFmtId="164" fontId="12" fillId="0" borderId="0" xfId="3" applyNumberFormat="1" applyFont="1" applyFill="1" applyAlignment="1" applyProtection="1">
      <alignment vertical="top" wrapText="1"/>
      <protection locked="0"/>
    </xf>
    <xf numFmtId="0" fontId="12" fillId="0" borderId="0" xfId="3" quotePrefix="1" applyNumberFormat="1" applyFont="1" applyFill="1" applyAlignment="1" applyProtection="1">
      <alignment vertical="top" wrapText="1"/>
      <protection locked="0"/>
    </xf>
    <xf numFmtId="0" fontId="12" fillId="0" borderId="0" xfId="3" applyNumberFormat="1" applyFont="1" applyFill="1" applyAlignment="1" applyProtection="1">
      <alignment vertical="top" wrapText="1"/>
      <protection locked="0"/>
    </xf>
    <xf numFmtId="0" fontId="56" fillId="0" borderId="0" xfId="3" applyNumberFormat="1" applyFont="1" applyFill="1" applyAlignment="1" applyProtection="1">
      <alignment vertical="top" wrapText="1"/>
      <protection locked="0"/>
    </xf>
    <xf numFmtId="0" fontId="56" fillId="0" borderId="0" xfId="3" applyNumberFormat="1" applyFont="1" applyFill="1" applyAlignment="1" applyProtection="1">
      <alignment vertical="top"/>
      <protection locked="0"/>
    </xf>
    <xf numFmtId="165" fontId="2" fillId="0" borderId="0" xfId="4" applyNumberFormat="1" applyFont="1" applyFill="1" applyBorder="1" applyAlignment="1" applyProtection="1">
      <alignment vertical="top"/>
      <protection locked="0"/>
    </xf>
    <xf numFmtId="0" fontId="35" fillId="0" borderId="0" xfId="3" applyNumberFormat="1" applyFont="1" applyFill="1" applyAlignment="1" applyProtection="1">
      <alignment vertical="top" wrapText="1"/>
      <protection locked="0"/>
    </xf>
    <xf numFmtId="0" fontId="35" fillId="0" borderId="0" xfId="3" applyNumberFormat="1" applyFont="1" applyFill="1" applyAlignment="1" applyProtection="1">
      <alignment vertical="top"/>
      <protection locked="0"/>
    </xf>
    <xf numFmtId="170" fontId="2" fillId="0" borderId="0" xfId="4" applyNumberFormat="1" applyFont="1" applyFill="1" applyBorder="1" applyAlignment="1" applyProtection="1">
      <alignment vertical="top"/>
      <protection locked="0"/>
    </xf>
    <xf numFmtId="170" fontId="7" fillId="0" borderId="0" xfId="4" applyNumberFormat="1" applyFont="1" applyFill="1" applyBorder="1" applyAlignment="1" applyProtection="1">
      <alignment vertical="top"/>
      <protection locked="0"/>
    </xf>
    <xf numFmtId="164" fontId="12" fillId="0" borderId="0" xfId="3" applyNumberFormat="1" applyFont="1" applyFill="1" applyAlignment="1" applyProtection="1">
      <alignment horizontal="left" vertical="top" wrapText="1"/>
      <protection locked="0"/>
    </xf>
    <xf numFmtId="0" fontId="5" fillId="0" borderId="0" xfId="3" applyNumberFormat="1" applyFont="1" applyFill="1" applyAlignment="1" applyProtection="1">
      <alignment horizontal="justify" vertical="top"/>
      <protection locked="0"/>
    </xf>
    <xf numFmtId="165" fontId="2" fillId="0" borderId="5" xfId="3" applyNumberFormat="1" applyFont="1" applyFill="1" applyBorder="1" applyAlignment="1" applyProtection="1">
      <alignment vertical="top"/>
      <protection locked="0"/>
    </xf>
    <xf numFmtId="0" fontId="2" fillId="0" borderId="6" xfId="3" quotePrefix="1" applyNumberFormat="1" applyFont="1" applyFill="1" applyBorder="1" applyAlignment="1" applyProtection="1">
      <alignment horizontal="right" vertical="top"/>
      <protection locked="0"/>
    </xf>
    <xf numFmtId="165" fontId="12" fillId="0" borderId="0" xfId="3" applyNumberFormat="1" applyFont="1" applyFill="1" applyAlignment="1" applyProtection="1">
      <alignment vertical="top"/>
      <protection locked="0"/>
    </xf>
    <xf numFmtId="0" fontId="2" fillId="0" borderId="0" xfId="3" applyNumberFormat="1" applyFont="1" applyFill="1" applyBorder="1" applyAlignment="1" applyProtection="1">
      <alignment horizontal="right" vertical="top"/>
      <protection locked="0"/>
    </xf>
    <xf numFmtId="170" fontId="2" fillId="0" borderId="0" xfId="3" applyNumberFormat="1" applyFont="1" applyFill="1" applyAlignment="1" applyProtection="1">
      <alignment vertical="top"/>
      <protection locked="0"/>
    </xf>
    <xf numFmtId="170" fontId="2" fillId="0" borderId="0" xfId="3" applyNumberFormat="1" applyFont="1" applyFill="1" applyBorder="1" applyAlignment="1" applyProtection="1">
      <alignment vertical="top"/>
      <protection locked="0"/>
    </xf>
    <xf numFmtId="0" fontId="2" fillId="0" borderId="6" xfId="3" applyNumberFormat="1" applyFont="1" applyFill="1" applyBorder="1" applyAlignment="1" applyProtection="1">
      <alignment horizontal="right" vertical="top"/>
      <protection locked="0"/>
    </xf>
    <xf numFmtId="41" fontId="2" fillId="0" borderId="6" xfId="3" quotePrefix="1" applyNumberFormat="1" applyFont="1" applyFill="1" applyBorder="1" applyAlignment="1" applyProtection="1">
      <alignment horizontal="right" vertical="top"/>
      <protection locked="0"/>
    </xf>
    <xf numFmtId="41" fontId="2" fillId="0" borderId="6" xfId="3" applyNumberFormat="1" applyFont="1" applyFill="1" applyBorder="1" applyAlignment="1" applyProtection="1">
      <alignment horizontal="right" vertical="top"/>
      <protection locked="0"/>
    </xf>
    <xf numFmtId="41" fontId="2" fillId="0" borderId="1" xfId="3" applyNumberFormat="1" applyFont="1" applyFill="1" applyBorder="1" applyAlignment="1" applyProtection="1">
      <alignment horizontal="right" vertical="top"/>
      <protection locked="0"/>
    </xf>
    <xf numFmtId="41" fontId="2" fillId="0" borderId="1" xfId="3" applyNumberFormat="1" applyFont="1" applyFill="1" applyBorder="1" applyAlignment="1" applyProtection="1">
      <alignment horizontal="center" vertical="top"/>
      <protection locked="0"/>
    </xf>
    <xf numFmtId="41" fontId="2" fillId="0" borderId="0" xfId="3" quotePrefix="1" applyNumberFormat="1" applyFont="1" applyFill="1" applyBorder="1" applyAlignment="1" applyProtection="1">
      <alignment horizontal="right" vertical="top"/>
      <protection locked="0"/>
    </xf>
    <xf numFmtId="41" fontId="2" fillId="0" borderId="3" xfId="3" applyNumberFormat="1" applyFont="1" applyFill="1" applyBorder="1" applyAlignment="1" applyProtection="1">
      <alignment horizontal="right" vertical="top" wrapText="1"/>
      <protection locked="0"/>
    </xf>
    <xf numFmtId="43" fontId="12" fillId="0" borderId="0" xfId="3" applyNumberFormat="1" applyFont="1" applyFill="1" applyBorder="1" applyAlignment="1" applyProtection="1">
      <alignment vertical="top"/>
      <protection locked="0"/>
    </xf>
    <xf numFmtId="43" fontId="5" fillId="0" borderId="5" xfId="11" applyNumberFormat="1" applyFont="1" applyFill="1" applyBorder="1" applyAlignment="1" applyProtection="1">
      <alignment horizontal="right" vertical="top" wrapText="1"/>
      <protection locked="0"/>
    </xf>
    <xf numFmtId="43" fontId="5" fillId="0" borderId="5" xfId="11" applyNumberFormat="1" applyFont="1" applyFill="1" applyBorder="1" applyAlignment="1" applyProtection="1">
      <alignment vertical="top"/>
      <protection locked="0"/>
    </xf>
    <xf numFmtId="164" fontId="2" fillId="0" borderId="0" xfId="3" applyNumberFormat="1" applyFont="1" applyFill="1" applyBorder="1" applyAlignment="1" applyProtection="1">
      <alignment vertical="top"/>
      <protection locked="0"/>
    </xf>
    <xf numFmtId="43" fontId="12" fillId="0" borderId="0" xfId="11" applyNumberFormat="1" applyFont="1" applyFill="1" applyBorder="1" applyAlignment="1" applyProtection="1">
      <alignment vertical="top"/>
      <protection locked="0"/>
    </xf>
    <xf numFmtId="43" fontId="12" fillId="0" borderId="0" xfId="11" applyNumberFormat="1" applyFont="1" applyFill="1" applyBorder="1" applyAlignment="1" applyProtection="1">
      <alignment horizontal="right" vertical="top" wrapText="1"/>
      <protection locked="0"/>
    </xf>
    <xf numFmtId="43" fontId="2" fillId="0" borderId="0" xfId="11" applyNumberFormat="1" applyFont="1" applyFill="1" applyBorder="1" applyAlignment="1" applyProtection="1">
      <alignment vertical="top"/>
      <protection locked="0"/>
    </xf>
    <xf numFmtId="43" fontId="2" fillId="0" borderId="0" xfId="11" applyNumberFormat="1" applyFont="1" applyFill="1" applyBorder="1" applyAlignment="1" applyProtection="1">
      <alignment horizontal="right" vertical="top" wrapText="1"/>
      <protection locked="0"/>
    </xf>
    <xf numFmtId="164" fontId="2" fillId="0" borderId="0" xfId="9" applyNumberFormat="1" applyFont="1" applyFill="1" applyBorder="1" applyAlignment="1" applyProtection="1">
      <alignment vertical="top"/>
      <protection locked="0"/>
    </xf>
    <xf numFmtId="0" fontId="2" fillId="0" borderId="0" xfId="9" applyNumberFormat="1" applyFont="1" applyFill="1" applyBorder="1" applyAlignment="1" applyProtection="1">
      <alignment horizontal="right" vertical="top"/>
      <protection locked="0"/>
    </xf>
    <xf numFmtId="164" fontId="49" fillId="0" borderId="0" xfId="5" applyFont="1" applyFill="1" applyAlignment="1">
      <alignment horizontal="justify" vertical="justify" wrapText="1"/>
    </xf>
    <xf numFmtId="164" fontId="2" fillId="0" borderId="0" xfId="5" applyFont="1" applyFill="1" applyAlignment="1">
      <alignment horizontal="justify" vertical="justify" wrapText="1"/>
    </xf>
    <xf numFmtId="0" fontId="2" fillId="0" borderId="1" xfId="3" applyNumberFormat="1" applyFont="1" applyFill="1" applyBorder="1" applyAlignment="1" applyProtection="1">
      <alignment horizontal="right" vertical="top"/>
      <protection locked="0"/>
    </xf>
    <xf numFmtId="43" fontId="12" fillId="0" borderId="0" xfId="3" applyNumberFormat="1" applyFont="1" applyFill="1" applyBorder="1" applyAlignment="1" applyProtection="1">
      <alignment horizontal="right" vertical="top" wrapText="1"/>
      <protection locked="0"/>
    </xf>
    <xf numFmtId="43" fontId="2" fillId="0" borderId="0" xfId="3" applyNumberFormat="1" applyFont="1" applyFill="1" applyBorder="1" applyAlignment="1" applyProtection="1">
      <alignment vertical="top"/>
      <protection locked="0"/>
    </xf>
    <xf numFmtId="41" fontId="2" fillId="0" borderId="0" xfId="9" applyNumberFormat="1" applyFont="1" applyFill="1" applyBorder="1" applyAlignment="1" applyProtection="1">
      <alignment vertical="top"/>
      <protection locked="0"/>
    </xf>
    <xf numFmtId="43" fontId="2" fillId="0" borderId="0" xfId="12" applyNumberFormat="1" applyFont="1" applyFill="1" applyBorder="1" applyAlignment="1" applyProtection="1">
      <alignment vertical="top"/>
      <protection locked="0"/>
    </xf>
    <xf numFmtId="0" fontId="2" fillId="0" borderId="1" xfId="9" applyNumberFormat="1" applyFont="1" applyFill="1" applyBorder="1" applyAlignment="1" applyProtection="1">
      <alignment horizontal="right" vertical="top"/>
      <protection locked="0"/>
    </xf>
    <xf numFmtId="41" fontId="2" fillId="0" borderId="1" xfId="9" applyNumberFormat="1" applyFont="1" applyFill="1" applyBorder="1" applyAlignment="1" applyProtection="1">
      <alignment horizontal="right" vertical="top"/>
      <protection locked="0"/>
    </xf>
    <xf numFmtId="0" fontId="2" fillId="0" borderId="0" xfId="9" quotePrefix="1" applyNumberFormat="1" applyFont="1" applyFill="1" applyBorder="1" applyAlignment="1" applyProtection="1">
      <alignment horizontal="right" vertical="top"/>
      <protection locked="0"/>
    </xf>
    <xf numFmtId="0" fontId="2" fillId="0" borderId="6" xfId="9" applyNumberFormat="1" applyFont="1" applyFill="1" applyBorder="1" applyAlignment="1" applyProtection="1">
      <alignment horizontal="right" vertical="top"/>
      <protection locked="0"/>
    </xf>
    <xf numFmtId="41" fontId="2" fillId="0" borderId="0" xfId="9" quotePrefix="1" applyNumberFormat="1" applyFont="1" applyFill="1" applyBorder="1" applyAlignment="1" applyProtection="1">
      <alignment horizontal="right" vertical="top"/>
      <protection locked="0"/>
    </xf>
    <xf numFmtId="41" fontId="2" fillId="0" borderId="0" xfId="9" applyNumberFormat="1" applyFont="1" applyFill="1" applyBorder="1" applyAlignment="1" applyProtection="1">
      <alignment horizontal="right" vertical="top"/>
      <protection locked="0"/>
    </xf>
    <xf numFmtId="41" fontId="2" fillId="0" borderId="6" xfId="9" applyNumberFormat="1" applyFont="1" applyFill="1" applyBorder="1" applyAlignment="1" applyProtection="1">
      <alignment horizontal="right" vertical="top"/>
      <protection locked="0"/>
    </xf>
    <xf numFmtId="3" fontId="5" fillId="0" borderId="0" xfId="9" applyNumberFormat="1" applyFont="1" applyFill="1" applyBorder="1" applyAlignment="1" applyProtection="1">
      <alignment vertical="top" shrinkToFit="1"/>
      <protection locked="0"/>
    </xf>
    <xf numFmtId="0" fontId="22" fillId="0" borderId="0" xfId="10" applyNumberFormat="1" applyFont="1" applyFill="1" applyBorder="1" applyAlignment="1" applyProtection="1">
      <alignment horizontal="justify" vertical="top" wrapText="1"/>
      <protection locked="0"/>
    </xf>
    <xf numFmtId="165" fontId="5" fillId="0" borderId="5" xfId="9" applyNumberFormat="1" applyFont="1" applyFill="1" applyBorder="1" applyAlignment="1" applyProtection="1">
      <alignment vertical="top"/>
      <protection locked="0"/>
    </xf>
    <xf numFmtId="41" fontId="2" fillId="0" borderId="0" xfId="9" applyNumberFormat="1" applyFont="1" applyFill="1" applyBorder="1" applyAlignment="1" applyProtection="1">
      <alignment vertical="top" shrinkToFit="1"/>
      <protection locked="0"/>
    </xf>
    <xf numFmtId="164" fontId="22" fillId="0" borderId="0" xfId="10" applyNumberFormat="1" applyFont="1" applyFill="1" applyBorder="1" applyAlignment="1" applyProtection="1">
      <alignment horizontal="left" vertical="top"/>
      <protection locked="0"/>
    </xf>
    <xf numFmtId="165" fontId="2" fillId="0" borderId="1" xfId="9" applyNumberFormat="1" applyFont="1" applyFill="1" applyBorder="1" applyAlignment="1" applyProtection="1">
      <alignment vertical="top"/>
      <protection locked="0"/>
    </xf>
    <xf numFmtId="164" fontId="28" fillId="0" borderId="0" xfId="10" applyNumberFormat="1" applyFont="1" applyFill="1" applyBorder="1" applyAlignment="1" applyProtection="1">
      <alignment vertical="center" wrapText="1"/>
      <protection locked="0"/>
    </xf>
    <xf numFmtId="165" fontId="2" fillId="0" borderId="0" xfId="9" applyNumberFormat="1" applyFont="1" applyFill="1" applyBorder="1" applyAlignment="1" applyProtection="1">
      <alignment vertical="top"/>
      <protection locked="0"/>
    </xf>
    <xf numFmtId="165" fontId="5" fillId="0" borderId="0" xfId="9" applyNumberFormat="1" applyFont="1" applyFill="1" applyBorder="1" applyAlignment="1" applyProtection="1">
      <alignment vertical="top"/>
      <protection locked="0"/>
    </xf>
    <xf numFmtId="164" fontId="22" fillId="0" borderId="0" xfId="10" applyNumberFormat="1" applyFont="1" applyFill="1" applyBorder="1" applyAlignment="1" applyProtection="1">
      <alignment horizontal="left" vertical="top" wrapText="1"/>
      <protection locked="0"/>
    </xf>
    <xf numFmtId="164" fontId="22" fillId="0" borderId="0" xfId="10" applyNumberFormat="1" applyFont="1" applyFill="1" applyBorder="1" applyAlignment="1" applyProtection="1">
      <alignment vertical="top" wrapText="1"/>
      <protection locked="0"/>
    </xf>
    <xf numFmtId="164" fontId="22" fillId="0" borderId="0" xfId="10" applyNumberFormat="1" applyFont="1" applyFill="1" applyBorder="1" applyAlignment="1" applyProtection="1">
      <alignment vertical="top"/>
      <protection locked="0"/>
    </xf>
    <xf numFmtId="164" fontId="28" fillId="0" borderId="0" xfId="10" applyNumberFormat="1" applyFont="1" applyFill="1" applyBorder="1" applyAlignment="1" applyProtection="1">
      <alignment horizontal="left" vertical="center" wrapText="1"/>
      <protection locked="0"/>
    </xf>
    <xf numFmtId="165" fontId="5" fillId="0" borderId="7" xfId="9" applyNumberFormat="1" applyFont="1" applyFill="1" applyBorder="1" applyAlignment="1" applyProtection="1">
      <alignment vertical="center" shrinkToFit="1"/>
      <protection locked="0"/>
    </xf>
    <xf numFmtId="164" fontId="28" fillId="0" borderId="0" xfId="10" applyNumberFormat="1" applyFont="1" applyFill="1" applyBorder="1" applyAlignment="1" applyProtection="1">
      <alignment horizontal="left" vertical="top"/>
      <protection locked="0"/>
    </xf>
    <xf numFmtId="165" fontId="2" fillId="0" borderId="1" xfId="9" applyNumberFormat="1" applyFont="1" applyFill="1" applyBorder="1" applyAlignment="1" applyProtection="1">
      <alignment vertical="top" shrinkToFit="1"/>
      <protection locked="0"/>
    </xf>
    <xf numFmtId="164" fontId="2" fillId="0" borderId="6" xfId="9" applyNumberFormat="1" applyFont="1" applyFill="1" applyBorder="1" applyAlignment="1" applyProtection="1">
      <alignment horizontal="right" wrapText="1"/>
      <protection locked="0"/>
    </xf>
    <xf numFmtId="41" fontId="5" fillId="0" borderId="6" xfId="9" applyNumberFormat="1" applyFont="1" applyFill="1" applyBorder="1" applyAlignment="1" applyProtection="1">
      <alignment horizontal="right" wrapText="1"/>
      <protection locked="0"/>
    </xf>
    <xf numFmtId="164" fontId="2" fillId="0" borderId="0" xfId="9" applyNumberFormat="1" applyFont="1" applyFill="1" applyBorder="1" applyAlignment="1" applyProtection="1">
      <alignment vertical="top" wrapText="1"/>
      <protection locked="0"/>
    </xf>
    <xf numFmtId="164" fontId="5" fillId="0" borderId="0" xfId="9" applyNumberFormat="1" applyFont="1" applyFill="1" applyBorder="1" applyAlignment="1" applyProtection="1">
      <alignment horizontal="center" vertical="center" wrapText="1"/>
      <protection locked="0"/>
    </xf>
    <xf numFmtId="41" fontId="5" fillId="0" borderId="0" xfId="9" applyNumberFormat="1" applyFont="1" applyFill="1" applyBorder="1" applyAlignment="1" applyProtection="1">
      <alignment horizontal="center" vertical="center" wrapText="1"/>
      <protection locked="0"/>
    </xf>
    <xf numFmtId="0" fontId="2" fillId="0" borderId="0" xfId="9" applyNumberFormat="1" applyFont="1" applyFill="1" applyBorder="1" applyAlignment="1" applyProtection="1">
      <alignment horizontal="right" vertical="top" wrapText="1"/>
      <protection locked="0"/>
    </xf>
    <xf numFmtId="0" fontId="2" fillId="0" borderId="6" xfId="9" applyNumberFormat="1" applyFont="1" applyFill="1" applyBorder="1" applyAlignment="1" applyProtection="1">
      <alignment horizontal="right" vertical="center" wrapText="1"/>
      <protection locked="0"/>
    </xf>
    <xf numFmtId="0" fontId="2" fillId="0" borderId="6" xfId="9" applyNumberFormat="1" applyFont="1" applyFill="1" applyBorder="1" applyAlignment="1" applyProtection="1">
      <alignment horizontal="right" vertical="top" wrapText="1"/>
      <protection locked="0"/>
    </xf>
    <xf numFmtId="0" fontId="5" fillId="0" borderId="6" xfId="9" applyNumberFormat="1" applyFont="1" applyFill="1" applyBorder="1" applyAlignment="1" applyProtection="1">
      <alignment horizontal="right" vertical="top" wrapText="1"/>
      <protection locked="0"/>
    </xf>
    <xf numFmtId="49" fontId="45" fillId="9" borderId="0" xfId="9" applyNumberFormat="1" applyFont="1" applyFill="1" applyBorder="1" applyAlignment="1" applyProtection="1">
      <alignment horizontal="center" vertical="top" wrapText="1"/>
      <protection locked="0"/>
    </xf>
    <xf numFmtId="49" fontId="45" fillId="9" borderId="0" xfId="3" applyNumberFormat="1" applyFont="1" applyFill="1" applyBorder="1" applyAlignment="1" applyProtection="1">
      <alignment horizontal="center" vertical="top" wrapText="1"/>
      <protection locked="0"/>
    </xf>
    <xf numFmtId="164" fontId="2" fillId="0" borderId="1" xfId="9" applyNumberFormat="1" applyFont="1" applyFill="1" applyBorder="1" applyAlignment="1" applyProtection="1">
      <alignment horizontal="right" wrapText="1"/>
      <protection locked="0"/>
    </xf>
    <xf numFmtId="41" fontId="2" fillId="0" borderId="1" xfId="9" applyNumberFormat="1" applyFont="1" applyFill="1" applyBorder="1" applyAlignment="1" applyProtection="1">
      <alignment horizontal="right" wrapText="1"/>
      <protection locked="0"/>
    </xf>
    <xf numFmtId="41" fontId="5" fillId="0" borderId="1" xfId="3" applyNumberFormat="1" applyFont="1" applyFill="1" applyBorder="1" applyAlignment="1" applyProtection="1">
      <alignment horizontal="right" wrapText="1"/>
      <protection locked="0"/>
    </xf>
    <xf numFmtId="0" fontId="2" fillId="0" borderId="0" xfId="9" quotePrefix="1" applyNumberFormat="1" applyFont="1" applyFill="1" applyBorder="1" applyAlignment="1" applyProtection="1">
      <alignment vertical="top" wrapText="1"/>
      <protection locked="0"/>
    </xf>
    <xf numFmtId="0" fontId="2" fillId="0" borderId="0" xfId="9" applyNumberFormat="1" applyFont="1" applyFill="1" applyAlignment="1" applyProtection="1">
      <alignment horizontal="justify" vertical="top" wrapText="1"/>
      <protection locked="0"/>
    </xf>
    <xf numFmtId="0" fontId="5" fillId="0" borderId="0" xfId="8" quotePrefix="1" applyNumberFormat="1" applyFont="1" applyFill="1" applyAlignment="1">
      <alignment vertical="top"/>
    </xf>
    <xf numFmtId="165" fontId="50" fillId="0" borderId="5" xfId="3" applyNumberFormat="1" applyFont="1" applyFill="1" applyBorder="1" applyAlignment="1" applyProtection="1">
      <alignment vertical="top"/>
      <protection locked="0"/>
    </xf>
    <xf numFmtId="165" fontId="37" fillId="0" borderId="0" xfId="3" applyNumberFormat="1" applyFont="1" applyFill="1" applyBorder="1" applyAlignment="1" applyProtection="1">
      <alignment vertical="top"/>
      <protection locked="0"/>
    </xf>
    <xf numFmtId="165" fontId="44" fillId="0" borderId="0" xfId="3" applyNumberFormat="1" applyFont="1" applyFill="1" applyBorder="1" applyAlignment="1" applyProtection="1">
      <alignment vertical="top"/>
      <protection locked="0"/>
    </xf>
    <xf numFmtId="2" fontId="2" fillId="0" borderId="0" xfId="3" applyNumberFormat="1" applyFont="1" applyFill="1" applyAlignment="1" applyProtection="1">
      <alignment horizontal="justify" vertical="top"/>
      <protection locked="0"/>
    </xf>
    <xf numFmtId="165" fontId="2" fillId="0" borderId="0" xfId="4" applyNumberFormat="1" applyFont="1" applyFill="1" applyBorder="1" applyAlignment="1" applyProtection="1">
      <alignment horizontal="right" vertical="top"/>
      <protection locked="0"/>
    </xf>
    <xf numFmtId="165" fontId="5" fillId="0" borderId="5" xfId="4" applyNumberFormat="1" applyFont="1" applyFill="1" applyBorder="1" applyAlignment="1" applyProtection="1">
      <alignment horizontal="right" vertical="top"/>
      <protection locked="0"/>
    </xf>
    <xf numFmtId="0" fontId="2" fillId="0" borderId="1" xfId="3" quotePrefix="1" applyNumberFormat="1" applyFont="1" applyFill="1" applyBorder="1" applyAlignment="1" applyProtection="1">
      <alignment horizontal="center" vertical="top"/>
      <protection locked="0"/>
    </xf>
    <xf numFmtId="0" fontId="2" fillId="0" borderId="3" xfId="3" quotePrefix="1" applyNumberFormat="1" applyFont="1" applyFill="1" applyBorder="1" applyAlignment="1" applyProtection="1">
      <alignment horizontal="right" vertical="top" wrapText="1"/>
      <protection locked="0"/>
    </xf>
    <xf numFmtId="0" fontId="5" fillId="0" borderId="0" xfId="9" applyNumberFormat="1" applyFont="1" applyFill="1" applyBorder="1" applyAlignment="1" applyProtection="1">
      <alignment horizontal="justify" vertical="top"/>
      <protection locked="0"/>
    </xf>
    <xf numFmtId="165" fontId="48" fillId="0" borderId="0" xfId="4" applyNumberFormat="1" applyFont="1" applyFill="1" applyBorder="1" applyAlignment="1" applyProtection="1">
      <alignment horizontal="right" vertical="top"/>
      <protection locked="0"/>
    </xf>
    <xf numFmtId="164" fontId="37" fillId="0" borderId="0" xfId="9" quotePrefix="1" applyNumberFormat="1" applyFont="1" applyFill="1" applyAlignment="1" applyProtection="1">
      <alignment horizontal="justify" vertical="top"/>
      <protection locked="0"/>
    </xf>
    <xf numFmtId="0" fontId="2" fillId="0" borderId="0" xfId="3" quotePrefix="1" applyNumberFormat="1" applyFont="1" applyFill="1" applyAlignment="1" applyProtection="1">
      <alignment horizontal="justify" vertical="top"/>
      <protection locked="0"/>
    </xf>
    <xf numFmtId="0" fontId="2" fillId="0" borderId="0" xfId="3" quotePrefix="1" applyNumberFormat="1" applyFont="1" applyFill="1" applyBorder="1" applyAlignment="1" applyProtection="1">
      <alignment horizontal="right" vertical="top" wrapText="1"/>
      <protection locked="0"/>
    </xf>
    <xf numFmtId="0" fontId="2" fillId="0" borderId="3" xfId="3" quotePrefix="1" applyNumberFormat="1" applyFont="1" applyFill="1" applyBorder="1" applyAlignment="1" applyProtection="1">
      <alignment horizontal="right" vertical="top"/>
      <protection locked="0"/>
    </xf>
    <xf numFmtId="0" fontId="35" fillId="0" borderId="0" xfId="9" applyNumberFormat="1" applyFont="1" applyFill="1" applyBorder="1" applyAlignment="1" applyProtection="1">
      <alignment horizontal="justify" vertical="top"/>
      <protection locked="0"/>
    </xf>
    <xf numFmtId="0" fontId="43" fillId="0" borderId="0" xfId="9" applyNumberFormat="1" applyFont="1" applyFill="1" applyBorder="1" applyAlignment="1" applyProtection="1">
      <alignment horizontal="justify" vertical="top"/>
      <protection locked="0"/>
    </xf>
    <xf numFmtId="0" fontId="2" fillId="0" borderId="0" xfId="9" applyNumberFormat="1" applyFont="1" applyFill="1" applyBorder="1" applyAlignment="1" applyProtection="1">
      <alignment horizontal="justify" vertical="top" wrapText="1"/>
      <protection locked="0"/>
    </xf>
    <xf numFmtId="0" fontId="2" fillId="0" borderId="0" xfId="9" applyNumberFormat="1" applyFont="1" applyFill="1" applyBorder="1" applyAlignment="1" applyProtection="1">
      <alignment horizontal="justify" vertical="top"/>
      <protection locked="0"/>
    </xf>
    <xf numFmtId="165" fontId="5" fillId="0" borderId="3" xfId="3" applyNumberFormat="1" applyFont="1" applyFill="1" applyBorder="1" applyAlignment="1" applyProtection="1">
      <alignment vertical="top"/>
      <protection locked="0"/>
    </xf>
    <xf numFmtId="0" fontId="2" fillId="0" borderId="0" xfId="9" applyNumberFormat="1" applyFont="1" applyFill="1" applyBorder="1" applyAlignment="1" applyProtection="1">
      <alignment horizontal="center" vertical="top"/>
      <protection locked="0"/>
    </xf>
    <xf numFmtId="169" fontId="2" fillId="0" borderId="0" xfId="4" applyNumberFormat="1" applyFont="1" applyFill="1" applyBorder="1" applyAlignment="1" applyProtection="1">
      <alignment horizontal="center" vertical="top"/>
      <protection locked="0"/>
    </xf>
    <xf numFmtId="0" fontId="2" fillId="0" borderId="0" xfId="4" applyNumberFormat="1" applyFont="1" applyFill="1" applyBorder="1" applyAlignment="1" applyProtection="1">
      <alignment horizontal="center" vertical="top"/>
      <protection locked="0"/>
    </xf>
    <xf numFmtId="0" fontId="2" fillId="0" borderId="0" xfId="9" applyNumberFormat="1" applyFont="1" applyFill="1" applyBorder="1" applyAlignment="1" applyProtection="1">
      <alignment horizontal="left" vertical="top" wrapText="1"/>
      <protection locked="0"/>
    </xf>
    <xf numFmtId="0" fontId="2" fillId="0" borderId="6" xfId="9" quotePrefix="1" applyNumberFormat="1" applyFont="1" applyFill="1" applyBorder="1" applyAlignment="1" applyProtection="1">
      <alignment horizontal="center" vertical="top"/>
      <protection locked="0"/>
    </xf>
    <xf numFmtId="0" fontId="2" fillId="0" borderId="6" xfId="9" applyNumberFormat="1" applyFont="1" applyFill="1" applyBorder="1" applyAlignment="1" applyProtection="1">
      <alignment horizontal="center" vertical="top"/>
      <protection locked="0"/>
    </xf>
    <xf numFmtId="0" fontId="2" fillId="0" borderId="1" xfId="9" applyNumberFormat="1" applyFont="1" applyFill="1" applyBorder="1" applyAlignment="1" applyProtection="1">
      <alignment horizontal="center" wrapText="1"/>
      <protection locked="0"/>
    </xf>
    <xf numFmtId="0" fontId="35" fillId="0" borderId="0" xfId="9" quotePrefix="1" applyNumberFormat="1" applyFont="1" applyFill="1" applyAlignment="1" applyProtection="1">
      <alignment horizontal="justify" vertical="top" wrapText="1"/>
      <protection locked="0"/>
    </xf>
    <xf numFmtId="164" fontId="35" fillId="0" borderId="0" xfId="9" quotePrefix="1" applyNumberFormat="1" applyFont="1" applyFill="1" applyAlignment="1" applyProtection="1">
      <alignment horizontal="left" vertical="top" wrapText="1"/>
      <protection locked="0"/>
    </xf>
    <xf numFmtId="0" fontId="2" fillId="0" borderId="0" xfId="9" quotePrefix="1" applyNumberFormat="1" applyFont="1" applyFill="1" applyAlignment="1" applyProtection="1">
      <alignment horizontal="justify" vertical="top" wrapText="1"/>
      <protection locked="0"/>
    </xf>
    <xf numFmtId="165" fontId="2" fillId="0" borderId="0" xfId="3" applyNumberFormat="1" applyFont="1" applyBorder="1" applyAlignment="1" applyProtection="1">
      <alignment vertical="top"/>
      <protection locked="0"/>
    </xf>
    <xf numFmtId="164" fontId="2" fillId="0" borderId="0" xfId="10" applyNumberFormat="1" applyFont="1" applyFill="1" applyBorder="1" applyAlignment="1" applyProtection="1">
      <alignment vertical="top" wrapText="1"/>
      <protection locked="0"/>
    </xf>
    <xf numFmtId="164" fontId="5" fillId="0" borderId="0" xfId="10" applyNumberFormat="1" applyFont="1" applyFill="1" applyBorder="1" applyAlignment="1" applyProtection="1">
      <alignment vertical="top" wrapText="1"/>
      <protection locked="0"/>
    </xf>
    <xf numFmtId="0" fontId="22" fillId="0" borderId="0" xfId="10" quotePrefix="1" applyNumberFormat="1" applyFont="1" applyFill="1" applyBorder="1" applyAlignment="1" applyProtection="1">
      <alignment horizontal="left" vertical="top" wrapText="1"/>
      <protection locked="0"/>
    </xf>
    <xf numFmtId="0" fontId="2" fillId="0" borderId="0" xfId="10" quotePrefix="1" applyNumberFormat="1" applyFont="1" applyFill="1" applyBorder="1" applyAlignment="1" applyProtection="1">
      <alignment horizontal="left" vertical="top" wrapText="1"/>
      <protection locked="0"/>
    </xf>
    <xf numFmtId="164" fontId="2" fillId="0" borderId="0" xfId="10" quotePrefix="1" applyNumberFormat="1" applyFont="1" applyFill="1" applyBorder="1" applyAlignment="1" applyProtection="1">
      <alignment horizontal="left" vertical="top" wrapText="1"/>
      <protection locked="0"/>
    </xf>
    <xf numFmtId="164" fontId="2" fillId="0" borderId="6" xfId="9" applyNumberFormat="1" applyFont="1" applyFill="1" applyBorder="1" applyAlignment="1" applyProtection="1">
      <alignment horizontal="right" vertical="top"/>
      <protection locked="0"/>
    </xf>
    <xf numFmtId="164" fontId="2" fillId="0" borderId="1" xfId="9" applyNumberFormat="1" applyFont="1" applyFill="1" applyBorder="1" applyAlignment="1" applyProtection="1">
      <alignment horizontal="right" vertical="top"/>
      <protection locked="0"/>
    </xf>
    <xf numFmtId="164" fontId="2" fillId="0" borderId="0" xfId="9" quotePrefix="1" applyNumberFormat="1" applyFont="1" applyFill="1" applyAlignment="1" applyProtection="1">
      <alignment horizontal="left" vertical="top" wrapText="1"/>
      <protection locked="0"/>
    </xf>
    <xf numFmtId="164" fontId="2" fillId="0" borderId="0" xfId="3" quotePrefix="1" applyNumberFormat="1" applyFont="1" applyFill="1" applyAlignment="1" applyProtection="1">
      <alignment horizontal="justify" vertical="top" wrapText="1"/>
    </xf>
    <xf numFmtId="0" fontId="35" fillId="0" borderId="0" xfId="9" quotePrefix="1" applyNumberFormat="1" applyFont="1" applyFill="1" applyAlignment="1" applyProtection="1">
      <alignment vertical="top"/>
      <protection locked="0"/>
    </xf>
    <xf numFmtId="0" fontId="36" fillId="0" borderId="0" xfId="9" quotePrefix="1" applyNumberFormat="1" applyFont="1" applyFill="1" applyAlignment="1" applyProtection="1">
      <alignment vertical="top"/>
      <protection locked="0"/>
    </xf>
    <xf numFmtId="0" fontId="2" fillId="0" borderId="0" xfId="9" quotePrefix="1" applyNumberFormat="1" applyFont="1" applyFill="1" applyAlignment="1" applyProtection="1">
      <alignment horizontal="justify" vertical="top"/>
      <protection locked="0"/>
    </xf>
    <xf numFmtId="0" fontId="2" fillId="0" borderId="0" xfId="9" quotePrefix="1" applyNumberFormat="1" applyFont="1" applyFill="1" applyAlignment="1" applyProtection="1">
      <alignment vertical="top"/>
      <protection locked="0"/>
    </xf>
    <xf numFmtId="164" fontId="28" fillId="0" borderId="0" xfId="10" applyNumberFormat="1" applyFont="1" applyFill="1" applyBorder="1" applyAlignment="1" applyProtection="1">
      <alignment vertical="top" wrapText="1"/>
      <protection locked="0"/>
    </xf>
    <xf numFmtId="165" fontId="2" fillId="0" borderId="7" xfId="9" applyNumberFormat="1" applyFont="1" applyFill="1" applyBorder="1" applyAlignment="1" applyProtection="1">
      <alignment vertical="top"/>
      <protection locked="0"/>
    </xf>
    <xf numFmtId="164" fontId="28" fillId="0" borderId="0" xfId="10" applyNumberFormat="1" applyFont="1" applyFill="1" applyBorder="1" applyAlignment="1" applyProtection="1">
      <alignment wrapText="1"/>
      <protection locked="0"/>
    </xf>
    <xf numFmtId="164" fontId="5" fillId="0" borderId="0" xfId="10" applyNumberFormat="1" applyFont="1" applyFill="1" applyBorder="1" applyAlignment="1" applyProtection="1">
      <alignment wrapText="1"/>
      <protection locked="0"/>
    </xf>
    <xf numFmtId="164" fontId="22" fillId="0" borderId="0" xfId="10" quotePrefix="1" applyNumberFormat="1" applyFont="1" applyFill="1" applyBorder="1" applyAlignment="1" applyProtection="1">
      <alignment vertical="top" wrapText="1"/>
      <protection locked="0"/>
    </xf>
    <xf numFmtId="164" fontId="2" fillId="0" borderId="0" xfId="10" quotePrefix="1" applyNumberFormat="1" applyFont="1" applyFill="1" applyBorder="1" applyAlignment="1" applyProtection="1">
      <alignment vertical="top" wrapText="1"/>
      <protection locked="0"/>
    </xf>
    <xf numFmtId="164" fontId="5" fillId="0" borderId="0" xfId="10" quotePrefix="1" applyNumberFormat="1" applyFont="1" applyFill="1" applyBorder="1" applyAlignment="1" applyProtection="1">
      <alignment vertical="top" wrapText="1"/>
      <protection locked="0"/>
    </xf>
    <xf numFmtId="165" fontId="2" fillId="0" borderId="0" xfId="9" applyNumberFormat="1" applyFont="1" applyFill="1" applyAlignment="1" applyProtection="1">
      <alignment vertical="top"/>
      <protection locked="0"/>
    </xf>
    <xf numFmtId="164" fontId="22" fillId="0" borderId="0" xfId="10" quotePrefix="1" applyNumberFormat="1" applyFont="1" applyFill="1" applyAlignment="1" applyProtection="1">
      <alignment vertical="top" wrapText="1"/>
      <protection locked="0"/>
    </xf>
    <xf numFmtId="164" fontId="22" fillId="0" borderId="0" xfId="10" applyNumberFormat="1" applyFont="1" applyFill="1" applyAlignment="1" applyProtection="1">
      <alignment vertical="top" wrapText="1"/>
      <protection locked="0"/>
    </xf>
    <xf numFmtId="164" fontId="2" fillId="0" borderId="0" xfId="10" quotePrefix="1" applyNumberFormat="1" applyFont="1" applyFill="1" applyAlignment="1" applyProtection="1">
      <alignment vertical="top" wrapText="1"/>
      <protection locked="0"/>
    </xf>
    <xf numFmtId="164" fontId="2" fillId="0" borderId="0" xfId="10" applyNumberFormat="1" applyFont="1" applyFill="1" applyAlignment="1" applyProtection="1">
      <alignment vertical="top" wrapText="1"/>
      <protection locked="0"/>
    </xf>
    <xf numFmtId="165" fontId="2" fillId="0" borderId="0" xfId="9" applyNumberFormat="1" applyFont="1" applyFill="1" applyBorder="1" applyAlignment="1" applyProtection="1">
      <alignment vertical="top" shrinkToFit="1"/>
      <protection locked="0"/>
    </xf>
    <xf numFmtId="164" fontId="2" fillId="0" borderId="6" xfId="9" applyNumberFormat="1" applyFont="1" applyFill="1" applyBorder="1" applyAlignment="1" applyProtection="1">
      <alignment horizontal="right" vertical="center"/>
      <protection locked="0"/>
    </xf>
    <xf numFmtId="164" fontId="5" fillId="0" borderId="0" xfId="9" applyNumberFormat="1" applyFont="1" applyFill="1" applyBorder="1" applyAlignment="1" applyProtection="1">
      <alignment horizontal="left" vertical="center" wrapText="1"/>
      <protection locked="0"/>
    </xf>
    <xf numFmtId="49" fontId="45" fillId="9" borderId="0" xfId="9" applyNumberFormat="1" applyFont="1" applyFill="1" applyBorder="1" applyAlignment="1" applyProtection="1">
      <alignment horizontal="center" vertical="center" wrapText="1"/>
      <protection locked="0"/>
    </xf>
    <xf numFmtId="49" fontId="45" fillId="9" borderId="0" xfId="3" applyNumberFormat="1" applyFont="1" applyFill="1" applyBorder="1" applyAlignment="1" applyProtection="1">
      <alignment horizontal="center" vertical="center" wrapText="1"/>
      <protection locked="0"/>
    </xf>
    <xf numFmtId="41" fontId="2" fillId="0" borderId="1" xfId="3" applyNumberFormat="1" applyFont="1" applyFill="1" applyBorder="1" applyAlignment="1" applyProtection="1">
      <alignment horizontal="right" wrapText="1"/>
      <protection locked="0"/>
    </xf>
    <xf numFmtId="0" fontId="2" fillId="0" borderId="0" xfId="9" applyNumberFormat="1" applyFont="1" applyFill="1" applyAlignment="1" applyProtection="1">
      <alignment horizontal="justify" vertical="top"/>
      <protection locked="0"/>
    </xf>
    <xf numFmtId="0" fontId="2" fillId="0" borderId="0" xfId="9" applyNumberFormat="1" applyFont="1" applyFill="1" applyAlignment="1" applyProtection="1">
      <alignment horizontal="justify" vertical="justify" wrapText="1"/>
      <protection locked="0"/>
    </xf>
    <xf numFmtId="0" fontId="5" fillId="0" borderId="0" xfId="10" applyNumberFormat="1" applyFont="1" applyFill="1" applyBorder="1" applyAlignment="1" applyProtection="1">
      <alignment vertical="top" wrapText="1"/>
      <protection locked="0"/>
    </xf>
    <xf numFmtId="165" fontId="2" fillId="0" borderId="7" xfId="9" applyNumberFormat="1" applyFont="1" applyFill="1" applyBorder="1" applyAlignment="1" applyProtection="1">
      <alignment vertical="center"/>
      <protection locked="0"/>
    </xf>
    <xf numFmtId="0" fontId="2" fillId="0" borderId="0" xfId="10" applyNumberFormat="1" applyFont="1" applyFill="1" applyAlignment="1" applyProtection="1">
      <alignment vertical="top" wrapText="1"/>
      <protection locked="0"/>
    </xf>
    <xf numFmtId="164" fontId="2" fillId="0" borderId="0" xfId="9" applyNumberFormat="1" applyFont="1" applyFill="1" applyBorder="1" applyAlignment="1" applyProtection="1">
      <alignment vertical="center"/>
      <protection locked="0"/>
    </xf>
    <xf numFmtId="0" fontId="5" fillId="0" borderId="0" xfId="10" applyNumberFormat="1" applyFont="1" applyFill="1" applyBorder="1" applyAlignment="1" applyProtection="1">
      <alignment vertical="center" wrapText="1"/>
      <protection locked="0"/>
    </xf>
    <xf numFmtId="0" fontId="5" fillId="0" borderId="0" xfId="10" quotePrefix="1" applyNumberFormat="1" applyFont="1" applyFill="1" applyBorder="1" applyAlignment="1" applyProtection="1">
      <alignment vertical="top" wrapText="1"/>
      <protection locked="0"/>
    </xf>
    <xf numFmtId="0" fontId="2" fillId="0" borderId="0" xfId="10" quotePrefix="1" applyNumberFormat="1" applyFont="1" applyFill="1" applyAlignment="1" applyProtection="1">
      <alignment vertical="top" wrapText="1"/>
      <protection locked="0"/>
    </xf>
    <xf numFmtId="165" fontId="5" fillId="0" borderId="0" xfId="9" applyNumberFormat="1" applyFont="1" applyFill="1" applyAlignment="1" applyProtection="1">
      <alignment vertical="top"/>
      <protection locked="0"/>
    </xf>
    <xf numFmtId="0" fontId="5" fillId="0" borderId="0" xfId="10" applyNumberFormat="1" applyFont="1" applyFill="1" applyBorder="1" applyAlignment="1" applyProtection="1">
      <alignment wrapText="1"/>
      <protection locked="0"/>
    </xf>
    <xf numFmtId="164" fontId="28" fillId="0" borderId="0" xfId="10" applyNumberFormat="1" applyFont="1" applyFill="1" applyAlignment="1" applyProtection="1">
      <alignment vertical="top" wrapText="1"/>
      <protection locked="0"/>
    </xf>
    <xf numFmtId="0" fontId="5" fillId="0" borderId="0" xfId="10" quotePrefix="1" applyNumberFormat="1" applyFont="1" applyFill="1" applyAlignment="1" applyProtection="1">
      <alignment vertical="top" wrapText="1"/>
      <protection locked="0"/>
    </xf>
    <xf numFmtId="0" fontId="5" fillId="0" borderId="0" xfId="10" applyNumberFormat="1" applyFont="1" applyFill="1" applyAlignment="1" applyProtection="1">
      <alignment vertical="top" wrapText="1"/>
      <protection locked="0"/>
    </xf>
    <xf numFmtId="41" fontId="2" fillId="0" borderId="0" xfId="9" applyNumberFormat="1" applyFont="1" applyFill="1" applyBorder="1" applyAlignment="1" applyProtection="1">
      <alignment horizontal="right" vertical="center" wrapText="1"/>
      <protection locked="0"/>
    </xf>
    <xf numFmtId="164" fontId="2" fillId="0" borderId="6" xfId="9" applyNumberFormat="1" applyFont="1" applyFill="1" applyBorder="1" applyAlignment="1" applyProtection="1">
      <alignment horizontal="right"/>
      <protection locked="0"/>
    </xf>
    <xf numFmtId="0" fontId="5" fillId="0" borderId="0" xfId="9" applyNumberFormat="1" applyFont="1" applyFill="1" applyBorder="1" applyAlignment="1" applyProtection="1">
      <alignment horizontal="left" vertical="center" wrapText="1"/>
      <protection locked="0"/>
    </xf>
    <xf numFmtId="0" fontId="28" fillId="0" borderId="0" xfId="10" applyNumberFormat="1" applyFont="1" applyFill="1" applyBorder="1" applyAlignment="1" applyProtection="1">
      <alignment vertical="top" wrapText="1"/>
      <protection locked="0"/>
    </xf>
    <xf numFmtId="164" fontId="5" fillId="0" borderId="0" xfId="10" applyNumberFormat="1" applyFont="1" applyFill="1" applyBorder="1" applyAlignment="1" applyProtection="1">
      <alignment horizontal="left" vertical="top" wrapText="1"/>
      <protection locked="0"/>
    </xf>
    <xf numFmtId="0" fontId="22" fillId="0" borderId="0" xfId="10" applyNumberFormat="1" applyFont="1" applyFill="1" applyAlignment="1" applyProtection="1">
      <alignment vertical="top" wrapText="1"/>
      <protection locked="0"/>
    </xf>
    <xf numFmtId="164" fontId="2" fillId="0" borderId="0" xfId="10" applyNumberFormat="1" applyFont="1" applyFill="1" applyAlignment="1" applyProtection="1">
      <alignment horizontal="left" vertical="top" wrapText="1"/>
      <protection locked="0"/>
    </xf>
    <xf numFmtId="0" fontId="28" fillId="0" borderId="0" xfId="10" applyNumberFormat="1" applyFont="1" applyFill="1" applyBorder="1" applyAlignment="1" applyProtection="1">
      <alignment wrapText="1"/>
      <protection locked="0"/>
    </xf>
    <xf numFmtId="164" fontId="5" fillId="0" borderId="0" xfId="10" applyNumberFormat="1" applyFont="1" applyFill="1" applyBorder="1" applyAlignment="1" applyProtection="1">
      <alignment horizontal="left" wrapText="1"/>
      <protection locked="0"/>
    </xf>
    <xf numFmtId="164" fontId="5" fillId="0" borderId="0" xfId="10" applyNumberFormat="1" applyFont="1" applyFill="1" applyAlignment="1" applyProtection="1">
      <alignment horizontal="left" vertical="top" wrapText="1"/>
      <protection locked="0"/>
    </xf>
    <xf numFmtId="0" fontId="22" fillId="0" borderId="0" xfId="10" quotePrefix="1" applyNumberFormat="1" applyFont="1" applyFill="1" applyAlignment="1" applyProtection="1">
      <alignment vertical="top" wrapText="1"/>
      <protection locked="0"/>
    </xf>
    <xf numFmtId="164" fontId="2" fillId="0" borderId="0" xfId="10" quotePrefix="1" applyNumberFormat="1" applyFont="1" applyFill="1" applyAlignment="1" applyProtection="1">
      <alignment horizontal="left" vertical="top" wrapText="1"/>
      <protection locked="0"/>
    </xf>
    <xf numFmtId="0" fontId="28" fillId="0" borderId="0" xfId="10" applyNumberFormat="1" applyFont="1" applyFill="1" applyAlignment="1" applyProtection="1">
      <alignment vertical="top" wrapText="1"/>
      <protection locked="0"/>
    </xf>
    <xf numFmtId="164" fontId="28" fillId="0" borderId="0" xfId="10" applyNumberFormat="1" applyFont="1" applyFill="1" applyBorder="1" applyAlignment="1" applyProtection="1">
      <alignment horizontal="left" vertical="top" wrapText="1"/>
      <protection locked="0"/>
    </xf>
    <xf numFmtId="41" fontId="2" fillId="0" borderId="6" xfId="9" applyNumberFormat="1" applyFont="1" applyFill="1" applyBorder="1" applyAlignment="1" applyProtection="1">
      <alignment horizontal="right" wrapText="1"/>
      <protection locked="0"/>
    </xf>
    <xf numFmtId="164" fontId="7" fillId="0" borderId="0" xfId="3" quotePrefix="1" applyNumberFormat="1" applyFont="1" applyFill="1" applyAlignment="1" applyProtection="1">
      <alignment horizontal="justify" vertical="top" wrapText="1"/>
      <protection locked="0"/>
    </xf>
    <xf numFmtId="164" fontId="7" fillId="0" borderId="0" xfId="3" applyNumberFormat="1" applyFont="1" applyFill="1" applyAlignment="1" applyProtection="1">
      <alignment horizontal="justify" vertical="top" wrapText="1"/>
      <protection locked="0"/>
    </xf>
    <xf numFmtId="165" fontId="2" fillId="0" borderId="0" xfId="3" applyNumberFormat="1" applyFont="1" applyFill="1" applyBorder="1" applyAlignment="1" applyProtection="1">
      <alignment horizontal="right" vertical="top"/>
      <protection locked="0"/>
    </xf>
    <xf numFmtId="165" fontId="5" fillId="0" borderId="0" xfId="3" applyNumberFormat="1" applyFont="1" applyFill="1" applyBorder="1" applyAlignment="1" applyProtection="1">
      <alignment horizontal="right" vertical="top"/>
      <protection locked="0"/>
    </xf>
    <xf numFmtId="164" fontId="35" fillId="0" borderId="0" xfId="9" applyNumberFormat="1" applyFont="1" applyFill="1" applyAlignment="1" applyProtection="1">
      <alignment horizontal="justify" vertical="top" wrapText="1"/>
      <protection locked="0"/>
    </xf>
    <xf numFmtId="165" fontId="5" fillId="0" borderId="5" xfId="4" applyNumberFormat="1" applyFont="1" applyFill="1" applyBorder="1" applyAlignment="1" applyProtection="1">
      <alignment vertical="top" wrapText="1"/>
      <protection locked="0"/>
    </xf>
    <xf numFmtId="165" fontId="2" fillId="0" borderId="0" xfId="3" applyNumberFormat="1" applyFont="1" applyFill="1" applyBorder="1" applyAlignment="1" applyProtection="1">
      <alignment vertical="top" wrapText="1"/>
      <protection locked="0"/>
    </xf>
    <xf numFmtId="165" fontId="2" fillId="0" borderId="0" xfId="4" applyNumberFormat="1" applyFont="1" applyFill="1" applyBorder="1" applyAlignment="1" applyProtection="1">
      <alignment vertical="top" wrapText="1"/>
      <protection locked="0"/>
    </xf>
    <xf numFmtId="165" fontId="5" fillId="0" borderId="5" xfId="3" quotePrefix="1" applyNumberFormat="1" applyFont="1" applyFill="1" applyBorder="1" applyAlignment="1" applyProtection="1">
      <alignment horizontal="right" vertical="top"/>
      <protection locked="0"/>
    </xf>
    <xf numFmtId="165" fontId="2" fillId="0" borderId="0" xfId="3" quotePrefix="1" applyNumberFormat="1" applyFont="1" applyFill="1" applyBorder="1" applyAlignment="1" applyProtection="1">
      <alignment horizontal="right" vertical="top"/>
      <protection locked="0"/>
    </xf>
    <xf numFmtId="164" fontId="2" fillId="0" borderId="0" xfId="3" quotePrefix="1" applyNumberFormat="1" applyFont="1" applyFill="1" applyAlignment="1" applyProtection="1">
      <alignment horizontal="justify" vertical="top"/>
      <protection locked="0"/>
    </xf>
    <xf numFmtId="164" fontId="5" fillId="0" borderId="0" xfId="3" quotePrefix="1" applyNumberFormat="1" applyFont="1" applyFill="1" applyAlignment="1" applyProtection="1">
      <alignment horizontal="justify" vertical="top"/>
      <protection locked="0"/>
    </xf>
    <xf numFmtId="164" fontId="5" fillId="0" borderId="0" xfId="3" applyNumberFormat="1" applyFont="1" applyFill="1" applyAlignment="1" applyProtection="1">
      <alignment horizontal="justify" vertical="top"/>
      <protection locked="0"/>
    </xf>
    <xf numFmtId="165" fontId="5" fillId="0" borderId="0" xfId="3" quotePrefix="1" applyNumberFormat="1" applyFont="1" applyFill="1" applyBorder="1" applyAlignment="1" applyProtection="1">
      <alignment horizontal="right" vertical="top"/>
      <protection locked="0"/>
    </xf>
    <xf numFmtId="165" fontId="5" fillId="0" borderId="5" xfId="3" applyNumberFormat="1" applyFont="1" applyFill="1" applyBorder="1" applyAlignment="1" applyProtection="1">
      <alignment vertical="top" wrapText="1"/>
      <protection locked="0"/>
    </xf>
    <xf numFmtId="165" fontId="5" fillId="0" borderId="0" xfId="3" applyNumberFormat="1" applyFont="1" applyFill="1" applyBorder="1" applyAlignment="1" applyProtection="1">
      <alignment vertical="top" wrapText="1"/>
      <protection locked="0"/>
    </xf>
    <xf numFmtId="164" fontId="5" fillId="0" borderId="0" xfId="3" applyNumberFormat="1" applyFont="1" applyFill="1" applyAlignment="1" applyProtection="1">
      <alignment horizontal="left" vertical="top"/>
      <protection locked="0"/>
    </xf>
    <xf numFmtId="0" fontId="2" fillId="0" borderId="0" xfId="3" quotePrefix="1" applyNumberFormat="1" applyFont="1" applyFill="1" applyAlignment="1" applyProtection="1">
      <alignment vertical="top" wrapText="1"/>
      <protection locked="0"/>
    </xf>
    <xf numFmtId="164" fontId="2" fillId="0" borderId="0" xfId="3" quotePrefix="1" applyNumberFormat="1" applyFont="1" applyFill="1" applyAlignment="1" applyProtection="1">
      <alignment horizontal="left" vertical="top" wrapText="1"/>
      <protection locked="0"/>
    </xf>
    <xf numFmtId="0" fontId="2" fillId="0" borderId="0" xfId="3" quotePrefix="1" applyNumberFormat="1" applyFont="1" applyFill="1" applyAlignment="1" applyProtection="1">
      <alignment horizontal="justify" vertical="top" wrapText="1"/>
      <protection locked="0"/>
    </xf>
    <xf numFmtId="9" fontId="2" fillId="0" borderId="0" xfId="9" applyNumberFormat="1" applyFont="1" applyFill="1" applyBorder="1" applyAlignment="1" applyProtection="1">
      <alignment horizontal="center" vertical="top"/>
      <protection locked="0"/>
    </xf>
    <xf numFmtId="0" fontId="2" fillId="0" borderId="0" xfId="9" applyNumberFormat="1" applyFont="1" applyFill="1" applyBorder="1" applyAlignment="1" applyProtection="1">
      <alignment horizontal="left" vertical="top"/>
      <protection locked="0"/>
    </xf>
    <xf numFmtId="49" fontId="2" fillId="0" borderId="0" xfId="9" applyNumberFormat="1" applyFont="1" applyFill="1" applyBorder="1" applyAlignment="1" applyProtection="1">
      <alignment horizontal="justify" vertical="top" wrapText="1"/>
      <protection locked="0"/>
    </xf>
    <xf numFmtId="49" fontId="2" fillId="0" borderId="0" xfId="9" quotePrefix="1" applyNumberFormat="1" applyFont="1" applyFill="1" applyBorder="1" applyAlignment="1" applyProtection="1">
      <alignment horizontal="justify" vertical="top" wrapText="1"/>
      <protection locked="0"/>
    </xf>
    <xf numFmtId="164" fontId="35" fillId="0" borderId="0" xfId="3" applyNumberFormat="1" applyFont="1" applyAlignment="1" applyProtection="1">
      <alignment horizontal="justify" vertical="top" wrapText="1"/>
    </xf>
    <xf numFmtId="164" fontId="35" fillId="0" borderId="0" xfId="3" applyNumberFormat="1" applyFont="1" applyAlignment="1" applyProtection="1">
      <alignment horizontal="justify" vertical="top"/>
    </xf>
    <xf numFmtId="164" fontId="2" fillId="0" borderId="0" xfId="9" applyNumberFormat="1" applyFont="1" applyFill="1" applyBorder="1" applyAlignment="1" applyProtection="1">
      <alignment horizontal="left" vertical="top"/>
      <protection locked="0"/>
    </xf>
    <xf numFmtId="41" fontId="2" fillId="0" borderId="1" xfId="9" applyNumberFormat="1" applyFont="1" applyFill="1" applyBorder="1" applyAlignment="1" applyProtection="1">
      <alignment horizontal="center" wrapText="1"/>
      <protection locked="0"/>
    </xf>
    <xf numFmtId="0" fontId="2" fillId="0" borderId="1" xfId="9" applyNumberFormat="1" applyFont="1" applyFill="1" applyBorder="1" applyAlignment="1" applyProtection="1">
      <alignment horizontal="left" wrapText="1"/>
      <protection locked="0"/>
    </xf>
    <xf numFmtId="164" fontId="2" fillId="0" borderId="6" xfId="9" applyNumberFormat="1" applyFont="1" applyFill="1" applyBorder="1" applyAlignment="1" applyProtection="1">
      <alignment horizontal="left" vertical="top"/>
      <protection locked="0"/>
    </xf>
    <xf numFmtId="0" fontId="5" fillId="0" borderId="0" xfId="8" applyFont="1" applyAlignment="1" applyProtection="1">
      <alignment horizontal="justify" vertical="top"/>
      <protection locked="0"/>
    </xf>
    <xf numFmtId="164" fontId="2" fillId="0" borderId="1" xfId="9" applyNumberFormat="1" applyFont="1" applyFill="1" applyBorder="1" applyAlignment="1" applyProtection="1">
      <alignment horizontal="left" wrapText="1"/>
      <protection locked="0"/>
    </xf>
    <xf numFmtId="0" fontId="35" fillId="0" borderId="0" xfId="9" quotePrefix="1" applyNumberFormat="1" applyFont="1" applyFill="1" applyBorder="1" applyAlignment="1" applyProtection="1">
      <alignment horizontal="justify" vertical="top" wrapText="1"/>
      <protection locked="0"/>
    </xf>
    <xf numFmtId="0" fontId="35" fillId="0" borderId="0" xfId="9" applyNumberFormat="1" applyFont="1" applyFill="1" applyBorder="1" applyAlignment="1" applyProtection="1">
      <alignment horizontal="justify" vertical="top" wrapText="1"/>
      <protection locked="0"/>
    </xf>
    <xf numFmtId="164" fontId="2" fillId="0" borderId="6" xfId="9" applyNumberFormat="1" applyFont="1" applyFill="1" applyBorder="1" applyAlignment="1" applyProtection="1">
      <alignment horizontal="left" vertical="top" wrapText="1"/>
      <protection locked="0"/>
    </xf>
    <xf numFmtId="10" fontId="2" fillId="0" borderId="0" xfId="9" applyNumberFormat="1" applyFont="1" applyFill="1" applyBorder="1" applyAlignment="1" applyProtection="1">
      <alignment horizontal="center" vertical="top"/>
      <protection locked="0"/>
    </xf>
    <xf numFmtId="165" fontId="5" fillId="0" borderId="5" xfId="3" applyNumberFormat="1" applyFont="1" applyFill="1" applyBorder="1" applyAlignment="1" applyProtection="1">
      <alignment horizontal="right" vertical="top" wrapText="1"/>
      <protection locked="0"/>
    </xf>
    <xf numFmtId="0" fontId="37" fillId="0" borderId="0" xfId="8" applyFont="1" applyFill="1" applyAlignment="1">
      <alignment horizontal="justify" vertical="top"/>
    </xf>
    <xf numFmtId="165" fontId="5" fillId="0" borderId="1" xfId="3" applyNumberFormat="1" applyFont="1" applyFill="1" applyBorder="1" applyAlignment="1" applyProtection="1">
      <alignment horizontal="right" vertical="top" wrapText="1"/>
      <protection locked="0"/>
    </xf>
    <xf numFmtId="165" fontId="5" fillId="0" borderId="0" xfId="3" applyNumberFormat="1" applyFont="1" applyFill="1" applyBorder="1" applyAlignment="1" applyProtection="1">
      <alignment horizontal="right" vertical="top" wrapText="1"/>
      <protection locked="0"/>
    </xf>
    <xf numFmtId="164" fontId="35" fillId="0" borderId="0" xfId="3" applyNumberFormat="1" applyFont="1" applyFill="1" applyAlignment="1" applyProtection="1">
      <alignment horizontal="left" vertical="top" wrapText="1"/>
      <protection locked="0"/>
    </xf>
    <xf numFmtId="0" fontId="2" fillId="0" borderId="0" xfId="3" quotePrefix="1" applyNumberFormat="1" applyFont="1" applyFill="1" applyAlignment="1" applyProtection="1">
      <alignment horizontal="right" vertical="top"/>
      <protection locked="0"/>
    </xf>
    <xf numFmtId="0" fontId="2" fillId="0" borderId="0" xfId="1" applyNumberFormat="1" applyFont="1" applyFill="1" applyBorder="1" applyAlignment="1" applyProtection="1">
      <alignment vertical="top"/>
      <protection locked="0"/>
    </xf>
    <xf numFmtId="0" fontId="2" fillId="0" borderId="0" xfId="1" applyNumberFormat="1" applyFont="1" applyFill="1" applyBorder="1" applyAlignment="1" applyProtection="1">
      <alignment horizontal="justify" vertical="top"/>
      <protection locked="0"/>
    </xf>
    <xf numFmtId="0" fontId="2" fillId="0" borderId="0" xfId="1" applyNumberFormat="1" applyFont="1" applyFill="1" applyBorder="1" applyAlignment="1" applyProtection="1">
      <alignment horizontal="justify" vertical="top" wrapText="1"/>
      <protection locked="0"/>
    </xf>
    <xf numFmtId="0" fontId="35" fillId="0" borderId="0" xfId="1" applyNumberFormat="1" applyFont="1" applyFill="1" applyBorder="1" applyAlignment="1" applyProtection="1">
      <alignment horizontal="justify" vertical="top"/>
      <protection locked="0"/>
    </xf>
    <xf numFmtId="0" fontId="2" fillId="0" borderId="0" xfId="1" quotePrefix="1" applyNumberFormat="1" applyFont="1" applyFill="1" applyBorder="1" applyAlignment="1" applyProtection="1">
      <alignment horizontal="justify" vertical="top" wrapText="1"/>
      <protection locked="0"/>
    </xf>
    <xf numFmtId="164" fontId="2" fillId="0" borderId="0" xfId="5" applyFont="1" applyAlignment="1">
      <alignment horizontal="justify" vertical="top" wrapText="1"/>
    </xf>
    <xf numFmtId="164" fontId="2" fillId="0" borderId="0" xfId="5" applyFont="1" applyFill="1" applyAlignment="1">
      <alignment horizontal="justify" vertical="top" wrapText="1"/>
    </xf>
    <xf numFmtId="0" fontId="12" fillId="0" borderId="0" xfId="1" applyNumberFormat="1" applyFont="1" applyFill="1" applyBorder="1" applyAlignment="1" applyProtection="1">
      <alignment horizontal="justify" vertical="top"/>
      <protection locked="0"/>
    </xf>
    <xf numFmtId="0" fontId="7" fillId="0" borderId="0" xfId="1" applyNumberFormat="1" applyFont="1" applyFill="1" applyBorder="1" applyAlignment="1" applyProtection="1">
      <alignment horizontal="justify" vertical="top"/>
      <protection locked="0"/>
    </xf>
    <xf numFmtId="0" fontId="35" fillId="0" borderId="0" xfId="1" applyNumberFormat="1" applyFont="1" applyFill="1" applyBorder="1" applyAlignment="1" applyProtection="1">
      <alignment horizontal="justify" vertical="top" wrapText="1"/>
      <protection locked="0"/>
    </xf>
    <xf numFmtId="0" fontId="2" fillId="0" borderId="0" xfId="1" applyNumberFormat="1" applyFont="1" applyFill="1" applyBorder="1" applyAlignment="1" applyProtection="1">
      <alignment horizontal="right" vertical="top"/>
      <protection locked="0"/>
    </xf>
    <xf numFmtId="0" fontId="2" fillId="0" borderId="0" xfId="1" quotePrefix="1" applyNumberFormat="1" applyFont="1" applyFill="1" applyBorder="1" applyAlignment="1" applyProtection="1">
      <alignment horizontal="justify" vertical="top"/>
      <protection locked="0"/>
    </xf>
    <xf numFmtId="0" fontId="35" fillId="0" borderId="0" xfId="1" applyNumberFormat="1" applyFont="1" applyFill="1" applyBorder="1" applyAlignment="1" applyProtection="1">
      <alignment vertical="top"/>
      <protection locked="0"/>
    </xf>
    <xf numFmtId="0" fontId="2" fillId="0" borderId="0" xfId="1" applyNumberFormat="1" applyFont="1" applyFill="1" applyBorder="1" applyAlignment="1" applyProtection="1">
      <alignment vertical="top" wrapText="1"/>
      <protection locked="0"/>
    </xf>
    <xf numFmtId="0" fontId="35" fillId="0" borderId="0" xfId="1" quotePrefix="1" applyNumberFormat="1" applyFont="1" applyFill="1" applyBorder="1" applyAlignment="1" applyProtection="1">
      <alignment vertical="top" wrapText="1"/>
      <protection locked="0"/>
    </xf>
    <xf numFmtId="0" fontId="12" fillId="0" borderId="0" xfId="1" applyNumberFormat="1" applyFont="1" applyFill="1" applyBorder="1" applyAlignment="1" applyProtection="1">
      <alignment horizontal="justify" vertical="top" wrapText="1"/>
      <protection locked="0"/>
    </xf>
    <xf numFmtId="0" fontId="12" fillId="0" borderId="0" xfId="1" applyNumberFormat="1" applyFont="1" applyFill="1" applyBorder="1" applyAlignment="1" applyProtection="1">
      <alignment vertical="top"/>
      <protection locked="0"/>
    </xf>
    <xf numFmtId="164" fontId="38" fillId="0" borderId="0" xfId="1" applyNumberFormat="1" applyFont="1" applyFill="1" applyBorder="1" applyAlignment="1" applyProtection="1">
      <alignment horizontal="justify" vertical="top"/>
      <protection locked="0"/>
    </xf>
    <xf numFmtId="164" fontId="2" fillId="0" borderId="0" xfId="1" applyNumberFormat="1" applyFont="1" applyFill="1" applyBorder="1" applyAlignment="1" applyProtection="1">
      <alignment horizontal="justify" vertical="top"/>
      <protection locked="0"/>
    </xf>
    <xf numFmtId="49" fontId="2" fillId="0" borderId="0" xfId="1" applyNumberFormat="1" applyFont="1" applyFill="1" applyBorder="1" applyAlignment="1" applyProtection="1">
      <alignment vertical="top"/>
      <protection locked="0"/>
    </xf>
    <xf numFmtId="164" fontId="2" fillId="0" borderId="0" xfId="1" applyNumberFormat="1" applyFont="1" applyFill="1" applyBorder="1" applyAlignment="1" applyProtection="1">
      <alignment vertical="top"/>
      <protection locked="0"/>
    </xf>
    <xf numFmtId="41" fontId="2" fillId="0" borderId="0" xfId="1" applyNumberFormat="1" applyFont="1" applyFill="1" applyBorder="1" applyAlignment="1" applyProtection="1">
      <alignment vertical="top"/>
      <protection locked="0"/>
    </xf>
    <xf numFmtId="49" fontId="2" fillId="0" borderId="0" xfId="1" applyNumberFormat="1" applyFont="1" applyFill="1" applyBorder="1" applyAlignment="1" applyProtection="1">
      <alignment horizontal="justify" vertical="top"/>
      <protection locked="0"/>
    </xf>
    <xf numFmtId="0" fontId="5" fillId="0" borderId="0" xfId="1" applyNumberFormat="1" applyFont="1" applyFill="1" applyBorder="1" applyAlignment="1" applyProtection="1">
      <alignment vertical="top" wrapText="1"/>
      <protection locked="0"/>
    </xf>
    <xf numFmtId="0" fontId="5" fillId="0" borderId="0" xfId="1" applyNumberFormat="1" applyFont="1" applyFill="1" applyBorder="1" applyAlignment="1" applyProtection="1">
      <alignment vertical="top"/>
      <protection locked="0"/>
    </xf>
    <xf numFmtId="164" fontId="5" fillId="0" borderId="0" xfId="1" applyNumberFormat="1" applyFont="1" applyFill="1" applyBorder="1" applyAlignment="1" applyProtection="1">
      <alignment horizontal="left" vertical="top" wrapText="1"/>
      <protection locked="0"/>
    </xf>
    <xf numFmtId="164" fontId="5" fillId="0" borderId="0" xfId="1" applyNumberFormat="1" applyFont="1" applyFill="1" applyBorder="1" applyAlignment="1" applyProtection="1">
      <alignment horizontal="center" vertical="top"/>
      <protection locked="0"/>
    </xf>
    <xf numFmtId="164" fontId="5" fillId="0" borderId="0" xfId="1" applyNumberFormat="1" applyFont="1" applyFill="1" applyBorder="1" applyAlignment="1" applyProtection="1">
      <alignment horizontal="left" vertical="top"/>
      <protection locked="0"/>
    </xf>
    <xf numFmtId="0" fontId="5" fillId="0" borderId="0" xfId="1" applyNumberFormat="1" applyFont="1" applyFill="1" applyBorder="1" applyAlignment="1" applyProtection="1">
      <alignment horizontal="justify" vertical="top"/>
      <protection locked="0"/>
    </xf>
    <xf numFmtId="164" fontId="5" fillId="0" borderId="0" xfId="1" applyNumberFormat="1" applyFont="1" applyFill="1" applyBorder="1" applyAlignment="1" applyProtection="1">
      <alignment horizontal="justify" vertical="top"/>
      <protection locked="0"/>
    </xf>
    <xf numFmtId="164" fontId="5" fillId="0" borderId="0" xfId="1" applyNumberFormat="1" applyFont="1" applyFill="1" applyBorder="1" applyAlignment="1" applyProtection="1">
      <alignment vertical="top"/>
      <protection locked="0"/>
    </xf>
    <xf numFmtId="164" fontId="36" fillId="0" borderId="0" xfId="1" applyNumberFormat="1" applyFont="1" applyFill="1" applyBorder="1" applyAlignment="1" applyProtection="1">
      <alignment horizontal="justify" vertical="top" wrapText="1"/>
      <protection locked="0"/>
    </xf>
    <xf numFmtId="164" fontId="36" fillId="0" borderId="0" xfId="1" applyNumberFormat="1" applyFont="1" applyFill="1" applyBorder="1" applyAlignment="1" applyProtection="1">
      <alignment horizontal="justify" vertical="top"/>
      <protection locked="0"/>
    </xf>
    <xf numFmtId="0" fontId="2" fillId="0" borderId="0" xfId="1" applyNumberFormat="1" applyFont="1" applyFill="1" applyBorder="1" applyAlignment="1" applyProtection="1">
      <alignment horizontal="center" vertical="top"/>
      <protection locked="0"/>
    </xf>
    <xf numFmtId="0" fontId="36" fillId="0" borderId="0" xfId="1" applyNumberFormat="1" applyFont="1" applyFill="1" applyBorder="1" applyAlignment="1" applyProtection="1">
      <alignment horizontal="justify" vertical="top"/>
      <protection locked="0"/>
    </xf>
    <xf numFmtId="164" fontId="2" fillId="0" borderId="0" xfId="1" applyNumberFormat="1" applyFont="1" applyFill="1" applyBorder="1" applyAlignment="1" applyProtection="1">
      <alignment horizontal="justify" vertical="top" wrapText="1"/>
      <protection locked="0"/>
    </xf>
    <xf numFmtId="0" fontId="37" fillId="0" borderId="0" xfId="1" quotePrefix="1" applyNumberFormat="1" applyFont="1" applyFill="1" applyBorder="1" applyAlignment="1" applyProtection="1">
      <alignment vertical="top" wrapText="1"/>
      <protection locked="0"/>
    </xf>
    <xf numFmtId="0" fontId="8" fillId="0" borderId="0" xfId="1" applyNumberFormat="1" applyFont="1" applyFill="1" applyBorder="1" applyAlignment="1" applyProtection="1">
      <alignment horizontal="center" vertical="top"/>
      <protection locked="0"/>
    </xf>
    <xf numFmtId="164" fontId="8" fillId="0" borderId="0" xfId="1" applyNumberFormat="1" applyFont="1" applyFill="1" applyBorder="1" applyAlignment="1" applyProtection="1">
      <alignment horizontal="center" vertical="top"/>
      <protection locked="0"/>
    </xf>
    <xf numFmtId="0" fontId="9" fillId="0" borderId="0" xfId="1" applyNumberFormat="1" applyFont="1" applyFill="1" applyBorder="1" applyAlignment="1" applyProtection="1">
      <alignment horizontal="center" vertical="top"/>
      <protection locked="0"/>
    </xf>
    <xf numFmtId="164" fontId="9" fillId="0" borderId="0" xfId="1" applyNumberFormat="1" applyFont="1" applyFill="1" applyBorder="1" applyAlignment="1" applyProtection="1">
      <alignment horizontal="center" vertical="top"/>
      <protection locked="0"/>
    </xf>
    <xf numFmtId="0" fontId="7" fillId="0" borderId="0" xfId="5" quotePrefix="1" applyNumberFormat="1" applyFont="1" applyFill="1" applyAlignment="1">
      <alignment horizontal="justify"/>
    </xf>
    <xf numFmtId="0" fontId="7" fillId="0" borderId="0" xfId="9" quotePrefix="1" applyNumberFormat="1" applyFont="1" applyFill="1" applyAlignment="1">
      <alignment horizontal="justify" vertical="top"/>
    </xf>
    <xf numFmtId="165" fontId="50" fillId="0" borderId="5" xfId="9" applyNumberFormat="1" applyFont="1" applyFill="1" applyBorder="1" applyAlignment="1">
      <alignment horizontal="right" vertical="center"/>
    </xf>
    <xf numFmtId="165" fontId="37" fillId="0" borderId="0" xfId="9" applyNumberFormat="1" applyFont="1" applyFill="1" applyAlignment="1">
      <alignment horizontal="right" vertical="center"/>
    </xf>
    <xf numFmtId="165" fontId="37" fillId="0" borderId="0" xfId="9" applyNumberFormat="1" applyFont="1" applyFill="1" applyAlignment="1">
      <alignment horizontal="center" vertical="center"/>
    </xf>
    <xf numFmtId="164" fontId="2" fillId="0" borderId="0" xfId="5" applyFont="1" applyAlignment="1">
      <alignment horizontal="left"/>
    </xf>
    <xf numFmtId="49" fontId="2" fillId="0" borderId="1" xfId="9" applyNumberFormat="1" applyFont="1" applyFill="1" applyBorder="1" applyAlignment="1">
      <alignment horizontal="right" wrapText="1"/>
    </xf>
    <xf numFmtId="0" fontId="37" fillId="0" borderId="0" xfId="9" applyNumberFormat="1" applyFont="1" applyFill="1" applyBorder="1" applyAlignment="1">
      <alignment horizontal="right" vertical="center" wrapText="1"/>
    </xf>
    <xf numFmtId="49" fontId="2" fillId="0" borderId="3" xfId="9" applyNumberFormat="1" applyFont="1" applyFill="1" applyBorder="1" applyAlignment="1">
      <alignment horizontal="right" wrapText="1"/>
    </xf>
    <xf numFmtId="164" fontId="2" fillId="0" borderId="1" xfId="5" applyFont="1" applyBorder="1" applyAlignment="1">
      <alignment horizontal="left" vertical="top"/>
    </xf>
    <xf numFmtId="165" fontId="2" fillId="0" borderId="1" xfId="9" applyNumberFormat="1" applyFont="1" applyFill="1" applyBorder="1" applyAlignment="1">
      <alignment horizontal="center" vertical="top"/>
    </xf>
    <xf numFmtId="164" fontId="2" fillId="0" borderId="1" xfId="5" applyFont="1" applyBorder="1" applyAlignment="1">
      <alignment horizontal="center" vertical="top"/>
    </xf>
    <xf numFmtId="165" fontId="2" fillId="0" borderId="1" xfId="9" applyNumberFormat="1" applyFont="1" applyFill="1" applyBorder="1" applyAlignment="1">
      <alignment horizontal="center" vertical="center"/>
    </xf>
    <xf numFmtId="165" fontId="37" fillId="0" borderId="0" xfId="9" applyNumberFormat="1" applyFont="1" applyFill="1" applyBorder="1" applyAlignment="1">
      <alignment horizontal="center" vertical="center" wrapText="1"/>
    </xf>
    <xf numFmtId="165" fontId="12" fillId="0" borderId="0" xfId="9" applyNumberFormat="1" applyFont="1" applyFill="1" applyAlignment="1">
      <alignment horizontal="center" vertical="center"/>
    </xf>
    <xf numFmtId="165" fontId="2" fillId="0" borderId="0" xfId="9" applyNumberFormat="1" applyFont="1" applyFill="1" applyAlignment="1">
      <alignment horizontal="center" vertical="center"/>
    </xf>
    <xf numFmtId="165" fontId="37" fillId="0" borderId="6" xfId="9" applyNumberFormat="1" applyFont="1" applyFill="1" applyBorder="1" applyAlignment="1">
      <alignment horizontal="right" vertical="center"/>
    </xf>
    <xf numFmtId="165" fontId="44" fillId="0" borderId="0" xfId="9" applyNumberFormat="1" applyFont="1" applyFill="1" applyAlignment="1">
      <alignment horizontal="right" vertical="center"/>
    </xf>
    <xf numFmtId="0" fontId="35" fillId="0" borderId="0" xfId="4" quotePrefix="1" applyNumberFormat="1" applyFont="1" applyFill="1" applyAlignment="1">
      <alignment horizontal="justify" vertical="top" wrapText="1"/>
    </xf>
    <xf numFmtId="166" fontId="2" fillId="0" borderId="1" xfId="4" applyNumberFormat="1" applyFont="1" applyFill="1" applyBorder="1" applyAlignment="1">
      <alignment horizontal="center" vertical="center"/>
    </xf>
    <xf numFmtId="165" fontId="37" fillId="0" borderId="6" xfId="9" applyNumberFormat="1" applyFont="1" applyFill="1" applyBorder="1" applyAlignment="1">
      <alignment horizontal="right" vertical="center" wrapText="1"/>
    </xf>
    <xf numFmtId="165" fontId="37" fillId="0" borderId="6" xfId="9" applyNumberFormat="1" applyFont="1" applyFill="1" applyBorder="1" applyAlignment="1">
      <alignment horizontal="right" wrapText="1"/>
    </xf>
    <xf numFmtId="0" fontId="35" fillId="0" borderId="0" xfId="4" quotePrefix="1" applyNumberFormat="1" applyFont="1" applyFill="1" applyAlignment="1">
      <alignment horizontal="justify" vertical="top"/>
    </xf>
    <xf numFmtId="0" fontId="2" fillId="0" borderId="0" xfId="4" quotePrefix="1" applyNumberFormat="1" applyFont="1" applyFill="1" applyAlignment="1">
      <alignment horizontal="justify" vertical="top" wrapText="1"/>
    </xf>
    <xf numFmtId="165" fontId="50" fillId="0" borderId="3" xfId="9" applyNumberFormat="1" applyFont="1" applyFill="1" applyBorder="1" applyAlignment="1">
      <alignment horizontal="right" vertical="center"/>
    </xf>
    <xf numFmtId="166" fontId="2" fillId="0" borderId="0" xfId="4" applyNumberFormat="1" applyFont="1" applyFill="1" applyAlignment="1">
      <alignment horizontal="right" vertical="center"/>
    </xf>
    <xf numFmtId="166" fontId="2" fillId="0" borderId="0" xfId="4" applyNumberFormat="1" applyFont="1" applyFill="1" applyBorder="1" applyAlignment="1">
      <alignment horizontal="right" vertical="center" wrapText="1"/>
    </xf>
    <xf numFmtId="10" fontId="2" fillId="0" borderId="0" xfId="4" quotePrefix="1" applyNumberFormat="1" applyFont="1" applyFill="1" applyAlignment="1">
      <alignment horizontal="center" vertical="top" wrapText="1"/>
    </xf>
    <xf numFmtId="0" fontId="2" fillId="0" borderId="0" xfId="4" quotePrefix="1" applyNumberFormat="1" applyFont="1" applyFill="1" applyAlignment="1">
      <alignment horizontal="center" vertical="top" wrapText="1"/>
    </xf>
    <xf numFmtId="0" fontId="2" fillId="0" borderId="0" xfId="4" quotePrefix="1" applyNumberFormat="1" applyFont="1" applyFill="1" applyAlignment="1">
      <alignment horizontal="left" vertical="top" wrapText="1"/>
    </xf>
    <xf numFmtId="165" fontId="2" fillId="0" borderId="0" xfId="4" applyNumberFormat="1" applyFont="1" applyFill="1" applyAlignment="1">
      <alignment horizontal="right" vertical="center"/>
    </xf>
    <xf numFmtId="0" fontId="2" fillId="0" borderId="1" xfId="4" quotePrefix="1" applyNumberFormat="1" applyFont="1" applyFill="1" applyBorder="1" applyAlignment="1">
      <alignment horizontal="center" wrapText="1"/>
    </xf>
    <xf numFmtId="0" fontId="2" fillId="0" borderId="1" xfId="4" quotePrefix="1" applyNumberFormat="1" applyFont="1" applyFill="1" applyBorder="1" applyAlignment="1">
      <alignment horizontal="left" wrapText="1"/>
    </xf>
    <xf numFmtId="166" fontId="2" fillId="0" borderId="1" xfId="4" applyNumberFormat="1" applyFont="1" applyFill="1" applyBorder="1" applyAlignment="1">
      <alignment horizontal="right" wrapText="1"/>
    </xf>
    <xf numFmtId="0" fontId="51" fillId="0" borderId="0" xfId="4" quotePrefix="1" applyNumberFormat="1" applyFont="1" applyFill="1" applyAlignment="1">
      <alignment horizontal="justify" vertical="top" wrapText="1"/>
    </xf>
    <xf numFmtId="166" fontId="2" fillId="0" borderId="0" xfId="4" applyNumberFormat="1" applyFont="1" applyFill="1" applyAlignment="1">
      <alignment horizontal="right" vertical="top"/>
    </xf>
    <xf numFmtId="166" fontId="2" fillId="0" borderId="0" xfId="4" applyNumberFormat="1" applyFont="1" applyFill="1" applyBorder="1" applyAlignment="1">
      <alignment horizontal="right" vertical="top" wrapText="1"/>
    </xf>
    <xf numFmtId="10" fontId="7" fillId="0" borderId="0" xfId="4" quotePrefix="1" applyNumberFormat="1" applyFont="1" applyFill="1" applyAlignment="1">
      <alignment horizontal="center" vertical="top" wrapText="1"/>
    </xf>
    <xf numFmtId="0" fontId="51" fillId="0" borderId="0" xfId="4" quotePrefix="1" applyNumberFormat="1" applyFont="1" applyFill="1" applyAlignment="1">
      <alignment horizontal="justify" vertical="top"/>
    </xf>
    <xf numFmtId="166" fontId="51" fillId="0" borderId="0" xfId="4" quotePrefix="1" applyNumberFormat="1" applyFont="1" applyFill="1" applyAlignment="1">
      <alignment horizontal="justify" vertical="top"/>
    </xf>
    <xf numFmtId="165" fontId="5" fillId="0" borderId="5" xfId="9" applyNumberFormat="1" applyFont="1" applyFill="1" applyBorder="1" applyAlignment="1">
      <alignment horizontal="right" vertical="top"/>
    </xf>
    <xf numFmtId="165" fontId="5" fillId="0" borderId="0" xfId="9" applyNumberFormat="1" applyFont="1" applyFill="1" applyBorder="1" applyAlignment="1">
      <alignment horizontal="right" vertical="top"/>
    </xf>
    <xf numFmtId="166" fontId="2" fillId="0" borderId="0" xfId="4" applyNumberFormat="1" applyFont="1" applyFill="1" applyAlignment="1">
      <alignment horizontal="right" vertical="center" wrapText="1"/>
    </xf>
    <xf numFmtId="165" fontId="5" fillId="0" borderId="3" xfId="9" applyNumberFormat="1" applyFont="1" applyFill="1" applyBorder="1" applyAlignment="1">
      <alignment horizontal="right" vertical="center"/>
    </xf>
    <xf numFmtId="165" fontId="2" fillId="0" borderId="0" xfId="9" applyNumberFormat="1" applyFont="1" applyFill="1" applyAlignment="1">
      <alignment horizontal="right" vertical="center"/>
    </xf>
    <xf numFmtId="165" fontId="2" fillId="0" borderId="0" xfId="9" applyNumberFormat="1" applyFont="1" applyFill="1" applyBorder="1" applyAlignment="1">
      <alignment horizontal="right" vertical="center" wrapText="1"/>
    </xf>
    <xf numFmtId="165" fontId="5" fillId="0" borderId="0" xfId="9" applyNumberFormat="1" applyFont="1" applyFill="1" applyAlignment="1">
      <alignment horizontal="right" vertical="center"/>
    </xf>
    <xf numFmtId="165" fontId="5" fillId="0" borderId="5" xfId="9" applyNumberFormat="1" applyFont="1" applyFill="1" applyBorder="1" applyAlignment="1">
      <alignment horizontal="right" vertical="center"/>
    </xf>
    <xf numFmtId="0" fontId="37" fillId="0" borderId="0" xfId="9" applyNumberFormat="1" applyFont="1" applyFill="1" applyBorder="1" applyAlignment="1">
      <alignment horizontal="center" vertical="center" wrapText="1"/>
    </xf>
    <xf numFmtId="0" fontId="28" fillId="0" borderId="0" xfId="10" quotePrefix="1" applyNumberFormat="1" applyFont="1" applyFill="1" applyBorder="1" applyAlignment="1">
      <alignment vertical="top" wrapText="1"/>
    </xf>
    <xf numFmtId="0" fontId="2" fillId="0" borderId="1" xfId="5" applyNumberFormat="1" applyFont="1" applyFill="1" applyBorder="1" applyAlignment="1">
      <alignment horizontal="center" vertical="top"/>
    </xf>
    <xf numFmtId="0" fontId="2" fillId="0" borderId="0" xfId="5" applyNumberFormat="1" applyFont="1" applyFill="1" applyBorder="1" applyAlignment="1">
      <alignment horizontal="center" vertical="top"/>
    </xf>
  </cellXfs>
  <cellStyles count="15">
    <cellStyle name="Comma 2" xfId="4"/>
    <cellStyle name="Hyperlink" xfId="2" builtinId="8"/>
    <cellStyle name="Normal" xfId="0" builtinId="0"/>
    <cellStyle name="Normal 2" xfId="5"/>
    <cellStyle name="Normal 3 2" xfId="7"/>
    <cellStyle name="Normal 38" xfId="8"/>
    <cellStyle name="Normal 4" xfId="14"/>
    <cellStyle name="Normal 5" xfId="13"/>
    <cellStyle name="Normal 7" xfId="6"/>
    <cellStyle name="Normal_Bao cao tai chinh 280405" xfId="3"/>
    <cellStyle name="Normal_Thuyet minh" xfId="9"/>
    <cellStyle name="Normal_Thuyet minh TSCD" xfId="10"/>
    <cellStyle name="Normal_Tong hop bao cao (blank) (version 1)" xfId="1"/>
    <cellStyle name="Percent 2" xfId="11"/>
    <cellStyle name="Percent 3" xfId="12"/>
  </cellStyles>
  <dxfs count="105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border>
        <top/>
        <vertical/>
        <horizontal/>
      </border>
    </dxf>
    <dxf>
      <font>
        <color theme="0"/>
      </font>
      <border>
        <top/>
        <vertical/>
        <horizontal/>
      </border>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dxf>
    <dxf>
      <font>
        <color theme="0"/>
      </font>
    </dxf>
    <dxf>
      <font>
        <color rgb="FFFFFF00"/>
      </font>
      <fill>
        <patternFill>
          <bgColor rgb="FFFF0000"/>
        </patternFill>
      </fill>
    </dxf>
    <dxf>
      <font>
        <condense val="0"/>
        <extend val="0"/>
        <color indexed="13"/>
      </font>
      <fill>
        <patternFill>
          <bgColor indexed="1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10.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activeX/activeX9.xml><?xml version="1.0" encoding="utf-8"?>
<ax:ocx xmlns:ax="http://schemas.microsoft.com/office/2006/activeX" xmlns:r="http://schemas.openxmlformats.org/officeDocument/2006/relationships" ax:classid="{8BD21D6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75</xdr:col>
          <xdr:colOff>0</xdr:colOff>
          <xdr:row>0</xdr:row>
          <xdr:rowOff>0</xdr:rowOff>
        </xdr:from>
        <xdr:to>
          <xdr:col>78</xdr:col>
          <xdr:colOff>885825</xdr:colOff>
          <xdr:row>2</xdr:row>
          <xdr:rowOff>104775</xdr:rowOff>
        </xdr:to>
        <xdr:sp macro="" textlink="">
          <xdr:nvSpPr>
            <xdr:cNvPr id="1025" name="togLock" hidden="1">
              <a:extLst>
                <a:ext uri="{63B3BB69-23CF-44E3-9099-C40C66FF867C}">
                  <a14:compatExt spid="_x0000_s1025"/>
                </a:ext>
                <a:ext uri="{FF2B5EF4-FFF2-40B4-BE49-F238E27FC236}">
                  <a16:creationId xmlns:a16="http://schemas.microsoft.com/office/drawing/2014/main" id="{00000000-0008-0000-1800-00000D1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1796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38100</xdr:colOff>
          <xdr:row>1</xdr:row>
          <xdr:rowOff>0</xdr:rowOff>
        </xdr:from>
        <xdr:to>
          <xdr:col>19</xdr:col>
          <xdr:colOff>76200</xdr:colOff>
          <xdr:row>2</xdr:row>
          <xdr:rowOff>76200</xdr:rowOff>
        </xdr:to>
        <xdr:sp macro="" textlink="">
          <xdr:nvSpPr>
            <xdr:cNvPr id="1026" name="togEV" hidden="1">
              <a:extLst>
                <a:ext uri="{63B3BB69-23CF-44E3-9099-C40C66FF867C}">
                  <a14:compatExt spid="_x0000_s1026"/>
                </a:ext>
                <a:ext uri="{FF2B5EF4-FFF2-40B4-BE49-F238E27FC236}">
                  <a16:creationId xmlns:a16="http://schemas.microsoft.com/office/drawing/2014/main" id="{00000000-0008-0000-1800-0000481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17961" dir="2700000" algn="ctr" rotWithShape="0">
                      <a:srgbClr val="999999" mc:Ignorable="a14" a14:legacySpreadsheetColorIndex="9">
                        <a:gamma/>
                        <a:shade val="60000"/>
                        <a:invGamma/>
                      </a:srgbClr>
                    </a:outerShdw>
                  </a:effectLst>
                </a14:hiddenEffects>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0</xdr:row>
          <xdr:rowOff>0</xdr:rowOff>
        </xdr:from>
        <xdr:to>
          <xdr:col>78</xdr:col>
          <xdr:colOff>885825</xdr:colOff>
          <xdr:row>2</xdr:row>
          <xdr:rowOff>104775</xdr:rowOff>
        </xdr:to>
        <xdr:sp macro="" textlink="">
          <xdr:nvSpPr>
            <xdr:cNvPr id="1027" name="togShowHide" hidden="1">
              <a:extLst>
                <a:ext uri="{63B3BB69-23CF-44E3-9099-C40C66FF867C}">
                  <a14:compatExt spid="_x0000_s1027"/>
                </a:ext>
                <a:ext uri="{FF2B5EF4-FFF2-40B4-BE49-F238E27FC236}">
                  <a16:creationId xmlns:a16="http://schemas.microsoft.com/office/drawing/2014/main" id="{00000000-0008-0000-1800-0000F511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17961" dir="2700000" algn="ctr" rotWithShape="0">
                      <a:srgbClr val="999999" mc:Ignorable="a14" a14:legacySpreadsheetColorIndex="9">
                        <a:gamma/>
                        <a:shade val="60000"/>
                        <a:invGamma/>
                      </a:srgbClr>
                    </a:outerShdw>
                  </a:effectLst>
                </a14:hiddenEffects>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90</xdr:col>
          <xdr:colOff>66675</xdr:colOff>
          <xdr:row>1</xdr:row>
          <xdr:rowOff>0</xdr:rowOff>
        </xdr:from>
        <xdr:to>
          <xdr:col>90</xdr:col>
          <xdr:colOff>923925</xdr:colOff>
          <xdr:row>2</xdr:row>
          <xdr:rowOff>95250</xdr:rowOff>
        </xdr:to>
        <xdr:sp macro="" textlink="">
          <xdr:nvSpPr>
            <xdr:cNvPr id="10241" name="togLock" hidden="1">
              <a:extLst>
                <a:ext uri="{63B3BB69-23CF-44E3-9099-C40C66FF867C}">
                  <a14:compatExt spid="_x0000_s10241"/>
                </a:ext>
                <a:ext uri="{FF2B5EF4-FFF2-40B4-BE49-F238E27FC236}">
                  <a16:creationId xmlns:a16="http://schemas.microsoft.com/office/drawing/2014/main" id="{00000000-0008-0000-1B00-00000180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1796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9525</xdr:colOff>
          <xdr:row>1</xdr:row>
          <xdr:rowOff>0</xdr:rowOff>
        </xdr:from>
        <xdr:to>
          <xdr:col>30</xdr:col>
          <xdr:colOff>38100</xdr:colOff>
          <xdr:row>2</xdr:row>
          <xdr:rowOff>85725</xdr:rowOff>
        </xdr:to>
        <xdr:sp macro="" textlink="">
          <xdr:nvSpPr>
            <xdr:cNvPr id="10242" name="togEV" hidden="1">
              <a:extLst>
                <a:ext uri="{63B3BB69-23CF-44E3-9099-C40C66FF867C}">
                  <a14:compatExt spid="_x0000_s10242"/>
                </a:ext>
                <a:ext uri="{FF2B5EF4-FFF2-40B4-BE49-F238E27FC236}">
                  <a16:creationId xmlns:a16="http://schemas.microsoft.com/office/drawing/2014/main" id="{00000000-0008-0000-1B00-00000280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17961" dir="2700000" algn="ctr" rotWithShape="0">
                      <a:srgbClr val="999999" mc:Ignorable="a14" a14:legacySpreadsheetColorIndex="9">
                        <a:gamma/>
                        <a:shade val="60000"/>
                        <a:invGamma/>
                      </a:srgbClr>
                    </a:outerShdw>
                  </a:effectLst>
                </a14:hiddenEffects>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89</xdr:col>
          <xdr:colOff>57150</xdr:colOff>
          <xdr:row>1</xdr:row>
          <xdr:rowOff>0</xdr:rowOff>
        </xdr:from>
        <xdr:to>
          <xdr:col>89</xdr:col>
          <xdr:colOff>942975</xdr:colOff>
          <xdr:row>2</xdr:row>
          <xdr:rowOff>85725</xdr:rowOff>
        </xdr:to>
        <xdr:sp macro="" textlink="">
          <xdr:nvSpPr>
            <xdr:cNvPr id="10243" name="togShowHide" hidden="1">
              <a:extLst>
                <a:ext uri="{63B3BB69-23CF-44E3-9099-C40C66FF867C}">
                  <a14:compatExt spid="_x0000_s10243"/>
                </a:ext>
                <a:ext uri="{FF2B5EF4-FFF2-40B4-BE49-F238E27FC236}">
                  <a16:creationId xmlns:a16="http://schemas.microsoft.com/office/drawing/2014/main" id="{00000000-0008-0000-1B00-0000038001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17961" dir="2700000" algn="ctr" rotWithShape="0">
                      <a:srgbClr val="999999" mc:Ignorable="a14" a14:legacySpreadsheetColorIndex="9">
                        <a:gamma/>
                        <a:shade val="60000"/>
                        <a:invGamma/>
                      </a:srgbClr>
                    </a:outerShdw>
                  </a:effectLst>
                </a14:hiddenEffects>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12</xdr:col>
          <xdr:colOff>38100</xdr:colOff>
          <xdr:row>1</xdr:row>
          <xdr:rowOff>0</xdr:rowOff>
        </xdr:from>
        <xdr:to>
          <xdr:col>18</xdr:col>
          <xdr:colOff>95250</xdr:colOff>
          <xdr:row>2</xdr:row>
          <xdr:rowOff>85725</xdr:rowOff>
        </xdr:to>
        <xdr:sp macro="" textlink="">
          <xdr:nvSpPr>
            <xdr:cNvPr id="5121" name="togEV" hidden="1">
              <a:extLst>
                <a:ext uri="{63B3BB69-23CF-44E3-9099-C40C66FF867C}">
                  <a14:compatExt spid="_x0000_s5121"/>
                </a:ext>
                <a:ext uri="{FF2B5EF4-FFF2-40B4-BE49-F238E27FC236}">
                  <a16:creationId xmlns:a16="http://schemas.microsoft.com/office/drawing/2014/main" id="{00000000-0008-0000-2800-000026C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17961" dir="2700000" algn="ctr" rotWithShape="0">
                      <a:srgbClr val="999999" mc:Ignorable="a14" a14:legacySpreadsheetColorIndex="9">
                        <a:gamma/>
                        <a:shade val="60000"/>
                        <a:invGamma/>
                      </a:srgbClr>
                    </a:outerShdw>
                  </a:effectLst>
                </a14:hiddenEffects>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80</xdr:col>
          <xdr:colOff>0</xdr:colOff>
          <xdr:row>1</xdr:row>
          <xdr:rowOff>0</xdr:rowOff>
        </xdr:from>
        <xdr:to>
          <xdr:col>80</xdr:col>
          <xdr:colOff>838200</xdr:colOff>
          <xdr:row>2</xdr:row>
          <xdr:rowOff>133350</xdr:rowOff>
        </xdr:to>
        <xdr:sp macro="" textlink="">
          <xdr:nvSpPr>
            <xdr:cNvPr id="5122" name="TogLock" hidden="1">
              <a:extLst>
                <a:ext uri="{63B3BB69-23CF-44E3-9099-C40C66FF867C}">
                  <a14:compatExt spid="_x0000_s5122"/>
                </a:ext>
                <a:ext uri="{FF2B5EF4-FFF2-40B4-BE49-F238E27FC236}">
                  <a16:creationId xmlns:a16="http://schemas.microsoft.com/office/drawing/2014/main" id="{00000000-0008-0000-2800-000028C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34</xdr:col>
          <xdr:colOff>0</xdr:colOff>
          <xdr:row>2</xdr:row>
          <xdr:rowOff>66675</xdr:rowOff>
        </xdr:from>
        <xdr:to>
          <xdr:col>34</xdr:col>
          <xdr:colOff>0</xdr:colOff>
          <xdr:row>4</xdr:row>
          <xdr:rowOff>76200</xdr:rowOff>
        </xdr:to>
        <xdr:sp macro="" textlink="">
          <xdr:nvSpPr>
            <xdr:cNvPr id="6145" name="togLock" hidden="1">
              <a:extLst>
                <a:ext uri="{63B3BB69-23CF-44E3-9099-C40C66FF867C}">
                  <a14:compatExt spid="_x0000_s6145"/>
                </a:ext>
                <a:ext uri="{FF2B5EF4-FFF2-40B4-BE49-F238E27FC236}">
                  <a16:creationId xmlns:a16="http://schemas.microsoft.com/office/drawing/2014/main" id="{00000000-0008-0000-2D00-000002C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17961" dir="2700000" algn="ctr" rotWithShape="0">
                      <a:srgbClr val="999999" mc:Ignorable="a14" a14:legacySpreadsheetColorIndex="9">
                        <a:gamma/>
                        <a:shade val="60000"/>
                        <a:invGamma/>
                      </a:srgbClr>
                    </a:outerShdw>
                  </a:effectLst>
                </a14:hiddenEffects>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60</xdr:col>
          <xdr:colOff>0</xdr:colOff>
          <xdr:row>2</xdr:row>
          <xdr:rowOff>123825</xdr:rowOff>
        </xdr:from>
        <xdr:to>
          <xdr:col>60</xdr:col>
          <xdr:colOff>0</xdr:colOff>
          <xdr:row>4</xdr:row>
          <xdr:rowOff>133350</xdr:rowOff>
        </xdr:to>
        <xdr:sp macro="" textlink="">
          <xdr:nvSpPr>
            <xdr:cNvPr id="7169" name="togLock" hidden="1">
              <a:extLst>
                <a:ext uri="{63B3BB69-23CF-44E3-9099-C40C66FF867C}">
                  <a14:compatExt spid="_x0000_s7169"/>
                </a:ext>
                <a:ext uri="{FF2B5EF4-FFF2-40B4-BE49-F238E27FC236}">
                  <a16:creationId xmlns:a16="http://schemas.microsoft.com/office/drawing/2014/main" id="{00000000-0008-0000-3400-000004D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17961" dir="2700000" algn="ctr" rotWithShape="0">
                      <a:srgbClr val="999999" mc:Ignorable="a14" a14:legacySpreadsheetColorIndex="9">
                        <a:gamma/>
                        <a:shade val="60000"/>
                        <a:invGamma/>
                      </a:srgbClr>
                    </a:outerShdw>
                  </a:effectLst>
                </a14:hiddenEffects>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20(%20Hoang%20Anh)/2017/Cong%20ty%202017/BCTC%20quy%204%20-2017/BCTC%202017-%20CBTT/2017_AFS_AASC_BCTCR_Final7%20(%20D&#7921;%20th&#7843;o%20ngay%2017-1-20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Le%20Duc%20Minh\Tai%20lieu%20ca%20nhan\Hoc%20word,excel\Tong%20hop%20QD15%20v3.0\Tong%20hop%20QD15%20v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y%20Documents%20(%20Hoang%20Anh)/2016/Cong%20ty%202016/BCTC%20quy%203-%20n&#168;m%202016/BCTC%20quy%203-2016%20(sua%2012-10-2016)/BCTC%20quy%203-2016/Cong%20bo%20thong%20tin%2030-9-2016/KQKD%20Qu&#253;%203-201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ASC%202017/31.12.2017/73.%20Viglacera%20Tu%20Son%202017/V.%20Tai%20lieu%20nam%20truoc/2017_AFS_Viglacera%20Tu%20Son_final%20-%20Copy.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i BC"/>
      <sheetName val="Menu"/>
      <sheetName val="DM_Sheet"/>
      <sheetName val="Thong_tin"/>
      <sheetName val="DM"/>
      <sheetName val="Dieu_chinh"/>
      <sheetName val="Chi_tiet"/>
      <sheetName val="Sai_sotKDC"/>
      <sheetName val="Soat_xet"/>
      <sheetName val="Danh_muc"/>
      <sheetName val="Tong_hop"/>
      <sheetName val="BiaBC"/>
      <sheetName val="BCBGD"/>
      <sheetName val="XD_BCKT"/>
      <sheetName val="Note Ykien"/>
      <sheetName val="BCKT-MS01"/>
      <sheetName val="BCKT-MS02"/>
      <sheetName val="BCKT-MS03"/>
      <sheetName val="BCKT-MS06"/>
      <sheetName val="BCKT-MS07"/>
      <sheetName val="BCKT-MS08"/>
      <sheetName val="BCKT-MS09"/>
      <sheetName val="BCKT-MS10"/>
      <sheetName val="BCKT-MS12"/>
      <sheetName val="CDKT"/>
      <sheetName val="KQKD"/>
      <sheetName val="LCTT"/>
      <sheetName val="LCGT"/>
      <sheetName val="LCBTCP"/>
      <sheetName val="LSGTCP"/>
      <sheetName val="KN_CPBQ"/>
      <sheetName val="KT_CPBQ"/>
      <sheetName val="Du_lieu"/>
      <sheetName val="CT_LCTT"/>
      <sheetName val="Test_LCTT-TT"/>
      <sheetName val="Nhat_LCTT"/>
      <sheetName val="QTTNDN"/>
      <sheetName val="Doi_chieu"/>
      <sheetName val="Thuyet_minh"/>
      <sheetName val="TM_DTTC"/>
      <sheetName val="TM_PTK-TST"/>
      <sheetName val="TM_NX"/>
      <sheetName val="TM_HTK-TSDDDH"/>
      <sheetName val="TM_TSCDHH"/>
      <sheetName val="TM_TSCDTTC"/>
      <sheetName val="TM_TSCDVH"/>
      <sheetName val="TM_VAY"/>
      <sheetName val="TM_PTNB"/>
      <sheetName val="TM_THUE"/>
      <sheetName val="TM_TP"/>
      <sheetName val="TM_VCSH"/>
      <sheetName val="TM_CCTC"/>
      <sheetName val="TM_BCBPKD"/>
      <sheetName val="TM_BCBPDL"/>
      <sheetName val="CT_LCGT"/>
      <sheetName val="Test_LCTT-GT"/>
      <sheetName val="Phan_tich"/>
      <sheetName val="Trong_yeu"/>
      <sheetName val="TM_ChenhLechTK"/>
      <sheetName val="TM_ChenhLechCT"/>
      <sheetName val="SoDKHN"/>
    </sheetNames>
    <sheetDataSet>
      <sheetData sheetId="0"/>
      <sheetData sheetId="1"/>
      <sheetData sheetId="2"/>
      <sheetData sheetId="3">
        <row r="7">
          <cell r="D7" t="str">
            <v>Báo cáo tài chính</v>
          </cell>
          <cell r="E7" t="str">
            <v>Separate Financial Statements</v>
          </cell>
        </row>
        <row r="8">
          <cell r="D8" t="str">
            <v>TỔNG CÔNG TY XYZ</v>
          </cell>
          <cell r="E8" t="str">
            <v>XYZ CORPORATION</v>
          </cell>
        </row>
        <row r="9">
          <cell r="D9" t="str">
            <v>Công ty</v>
          </cell>
          <cell r="E9" t="str">
            <v>Corporation</v>
          </cell>
        </row>
        <row r="10">
          <cell r="D10" t="str">
            <v>Giám đốc</v>
          </cell>
        </row>
        <row r="11">
          <cell r="D11" t="str">
            <v>Công ty Cổ phần Viglacera Từ Sơn</v>
          </cell>
          <cell r="E11" t="str">
            <v>ABC Joint Stock Company</v>
          </cell>
        </row>
        <row r="12">
          <cell r="D12" t="str">
            <v>Công ty Cổ phần Viglacera Từ Sơn</v>
          </cell>
          <cell r="E12" t="str">
            <v>ABC Joint Stock Company</v>
          </cell>
        </row>
        <row r="13">
          <cell r="D13" t="str">
            <v>CÔNG TY CỔ PHẦN VIGLACERA TỪ SƠN</v>
          </cell>
          <cell r="E13" t="str">
            <v>ABC JOINT STOCK COMPANY</v>
          </cell>
        </row>
        <row r="14">
          <cell r="D14" t="str">
            <v>Phường Đình Bảng - Thị xã Từ Sơn - Tỉnh Bắc Ninh</v>
          </cell>
          <cell r="E14" t="str">
            <v>Sai Dong - Long Bien - Hanoi</v>
          </cell>
        </row>
        <row r="15">
          <cell r="D15" t="str">
            <v>năm tài chính kết thúc ngày 31/12/2017</v>
          </cell>
          <cell r="E15" t="str">
            <v>for the fiscal year ended as at 31 December 2015</v>
          </cell>
        </row>
        <row r="16">
          <cell r="D16" t="str">
            <v>01/01/2017</v>
          </cell>
          <cell r="E16" t="str">
            <v>01/01/2017</v>
          </cell>
        </row>
        <row r="17">
          <cell r="D17" t="str">
            <v>31/12/2017</v>
          </cell>
          <cell r="E17" t="str">
            <v>31/12/2017</v>
          </cell>
        </row>
        <row r="18">
          <cell r="D18" t="str">
            <v>Năm 2017</v>
          </cell>
          <cell r="E18" t="str">
            <v>Year 2016</v>
          </cell>
        </row>
        <row r="19">
          <cell r="D19" t="str">
            <v>Năm 2016</v>
          </cell>
          <cell r="E19" t="str">
            <v>Year 2015</v>
          </cell>
        </row>
        <row r="20">
          <cell r="D20" t="str">
            <v>Tại ngày 31 tháng 12 năm 2017</v>
          </cell>
          <cell r="E20" t="str">
            <v>As at 31 December 2015</v>
          </cell>
        </row>
        <row r="21">
          <cell r="D21" t="str">
            <v>Năm 2017</v>
          </cell>
          <cell r="E21" t="str">
            <v>Year 2016</v>
          </cell>
        </row>
        <row r="22">
          <cell r="D22" t="str">
            <v>Năm 2017</v>
          </cell>
          <cell r="E22" t="str">
            <v>Year 2015</v>
          </cell>
        </row>
        <row r="23">
          <cell r="D23" t="str">
            <v>VND</v>
          </cell>
          <cell r="E23" t="str">
            <v>VND</v>
          </cell>
        </row>
        <row r="24">
          <cell r="D24" t="str">
            <v>Bắc Ninh, ngày 17 tháng 01 năm 2018</v>
          </cell>
          <cell r="E24" t="str">
            <v>Hanoi, 15 March 2016</v>
          </cell>
        </row>
        <row r="25">
          <cell r="D25" t="str">
            <v>Giám đốc</v>
          </cell>
          <cell r="E25" t="str">
            <v>General Director</v>
          </cell>
        </row>
        <row r="26">
          <cell r="D26" t="str">
            <v>Nguyễn Văn Cơ</v>
          </cell>
          <cell r="E26" t="str">
            <v>Nguyen Thi Thanh Huyen</v>
          </cell>
        </row>
        <row r="27">
          <cell r="D27" t="str">
            <v>Bắc Ninh, ngày 17 tháng 01 năm 2018</v>
          </cell>
          <cell r="E27" t="str">
            <v>Hanoi, 15 March 2016</v>
          </cell>
        </row>
        <row r="28">
          <cell r="D28" t="str">
            <v>Người lập biểu</v>
          </cell>
          <cell r="E28" t="str">
            <v>Preparer</v>
          </cell>
        </row>
        <row r="29">
          <cell r="D29" t="str">
            <v>Nguyễn Thị Mơ</v>
          </cell>
          <cell r="E29" t="str">
            <v>Nguyen Thi Thu Ha</v>
          </cell>
        </row>
        <row r="30">
          <cell r="D30" t="str">
            <v>TP.TCKT</v>
          </cell>
          <cell r="E30" t="str">
            <v>Chief Accountant</v>
          </cell>
        </row>
        <row r="31">
          <cell r="D31" t="str">
            <v>Nguyễn Thị Mơ</v>
          </cell>
          <cell r="E31" t="str">
            <v>Pham Bich Hong</v>
          </cell>
        </row>
        <row r="32">
          <cell r="D32" t="str">
            <v>Giám đốc</v>
          </cell>
          <cell r="E32" t="str">
            <v>General Director</v>
          </cell>
        </row>
        <row r="33">
          <cell r="D33" t="str">
            <v>Nguyễn Văn Cơ</v>
          </cell>
          <cell r="E33" t="str">
            <v>Nguyen Thi Thanh Huyen</v>
          </cell>
        </row>
        <row r="34">
          <cell r="D34" t="str">
            <v>Kiểu 1</v>
          </cell>
        </row>
        <row r="37">
          <cell r="D37" t="str">
            <v>Quý Cổ đông, Hội đồng Quản trị và Ban Giám đốc</v>
          </cell>
          <cell r="E37" t="str">
            <v>Shareholders, the Board of Management and Board of Directors</v>
          </cell>
        </row>
        <row r="38">
          <cell r="D38" t="str">
            <v>Hà Nội, ngày 02 tháng 02 năm 2018</v>
          </cell>
          <cell r="E38" t="str">
            <v>Hanoi, 25 March 2017</v>
          </cell>
        </row>
        <row r="39">
          <cell r="D39" t="str">
            <v xml:space="preserve">mmddyy.xxx/BCTC.KT1 </v>
          </cell>
          <cell r="E39" t="str">
            <v xml:space="preserve">mmddyy.xxx/BCTC.KT1 </v>
          </cell>
        </row>
        <row r="40">
          <cell r="D40" t="str">
            <v>Phó Tổng Giám đốc</v>
          </cell>
          <cell r="E40" t="str">
            <v>Deputy General Director</v>
          </cell>
        </row>
        <row r="41">
          <cell r="D41" t="str">
            <v>Vũ Xuân Biển</v>
          </cell>
          <cell r="E41" t="str">
            <v>Pham Anh Tuan</v>
          </cell>
        </row>
        <row r="42">
          <cell r="D42" t="str">
            <v>0743-2018-002-1</v>
          </cell>
          <cell r="E42" t="str">
            <v>0743-2018-002-1</v>
          </cell>
        </row>
        <row r="43">
          <cell r="D43" t="str">
            <v>Nguyễn Thị Thanh Hà</v>
          </cell>
          <cell r="E43" t="str">
            <v>Nguyen Dieu Trang</v>
          </cell>
        </row>
        <row r="44">
          <cell r="D44" t="str">
            <v>2888-2015-002-1</v>
          </cell>
          <cell r="E44" t="str">
            <v>2888-2015-002-1</v>
          </cell>
        </row>
        <row r="47">
          <cell r="D47">
            <v>0</v>
          </cell>
        </row>
        <row r="48">
          <cell r="D48">
            <v>0</v>
          </cell>
        </row>
        <row r="49">
          <cell r="D49">
            <v>0</v>
          </cell>
        </row>
        <row r="50">
          <cell r="D50">
            <v>0</v>
          </cell>
        </row>
        <row r="51">
          <cell r="D51">
            <v>0</v>
          </cell>
        </row>
        <row r="52">
          <cell r="D52">
            <v>0</v>
          </cell>
        </row>
        <row r="55">
          <cell r="D55">
            <v>0</v>
          </cell>
        </row>
        <row r="58">
          <cell r="D58">
            <v>0</v>
          </cell>
        </row>
        <row r="59">
          <cell r="D59">
            <v>0</v>
          </cell>
        </row>
        <row r="60">
          <cell r="D60">
            <v>10000</v>
          </cell>
        </row>
        <row r="61">
          <cell r="D61">
            <v>2000000</v>
          </cell>
        </row>
        <row r="62">
          <cell r="D62">
            <v>2000000</v>
          </cell>
        </row>
        <row r="68">
          <cell r="D68" t="str">
            <v>NTLan</v>
          </cell>
        </row>
      </sheetData>
      <sheetData sheetId="4">
        <row r="2">
          <cell r="D2" t="str">
            <v>MaTK</v>
          </cell>
          <cell r="O2" t="str">
            <v>2111</v>
          </cell>
          <cell r="P2" t="str">
            <v>2112</v>
          </cell>
          <cell r="Q2" t="str">
            <v>2113</v>
          </cell>
          <cell r="R2" t="str">
            <v>2114</v>
          </cell>
          <cell r="S2" t="str">
            <v>2115</v>
          </cell>
          <cell r="T2" t="str">
            <v>2118</v>
          </cell>
          <cell r="U2" t="str">
            <v>21411</v>
          </cell>
          <cell r="V2" t="str">
            <v>21412</v>
          </cell>
          <cell r="W2" t="str">
            <v>21413</v>
          </cell>
          <cell r="X2" t="str">
            <v>21414</v>
          </cell>
          <cell r="Y2" t="str">
            <v>21415</v>
          </cell>
          <cell r="Z2" t="str">
            <v>21418</v>
          </cell>
          <cell r="AA2" t="str">
            <v>21211</v>
          </cell>
          <cell r="AB2" t="str">
            <v>21212</v>
          </cell>
          <cell r="AC2" t="str">
            <v>21213</v>
          </cell>
          <cell r="AD2" t="str">
            <v>21214</v>
          </cell>
          <cell r="AE2" t="str">
            <v>21218</v>
          </cell>
          <cell r="AF2" t="str">
            <v>2122</v>
          </cell>
          <cell r="AG2" t="str">
            <v>21421</v>
          </cell>
          <cell r="AH2" t="str">
            <v>21422</v>
          </cell>
          <cell r="AI2" t="str">
            <v>21423</v>
          </cell>
          <cell r="AJ2" t="str">
            <v>21424</v>
          </cell>
          <cell r="AK2" t="str">
            <v>21425</v>
          </cell>
          <cell r="AL2" t="str">
            <v>21428</v>
          </cell>
          <cell r="AM2" t="str">
            <v>2131</v>
          </cell>
          <cell r="AN2" t="str">
            <v>2132</v>
          </cell>
          <cell r="AO2" t="str">
            <v>2133</v>
          </cell>
          <cell r="AP2" t="str">
            <v>2134</v>
          </cell>
          <cell r="AQ2" t="str">
            <v>2135</v>
          </cell>
          <cell r="AR2" t="str">
            <v>2136</v>
          </cell>
          <cell r="AS2" t="str">
            <v>2138</v>
          </cell>
          <cell r="AT2" t="str">
            <v>21431</v>
          </cell>
          <cell r="AU2" t="str">
            <v>21432</v>
          </cell>
          <cell r="AV2" t="str">
            <v>21433</v>
          </cell>
          <cell r="AW2" t="str">
            <v>21434</v>
          </cell>
          <cell r="AX2" t="str">
            <v>21435</v>
          </cell>
          <cell r="AY2" t="str">
            <v>21436</v>
          </cell>
          <cell r="AZ2" t="str">
            <v>21438</v>
          </cell>
          <cell r="BA2" t="str">
            <v>41111a</v>
          </cell>
          <cell r="BB2" t="str">
            <v>41111b</v>
          </cell>
          <cell r="BC2" t="str">
            <v>41112v</v>
          </cell>
          <cell r="BD2" t="str">
            <v>4112</v>
          </cell>
          <cell r="BE2" t="str">
            <v>4113</v>
          </cell>
          <cell r="BF2" t="str">
            <v>4118</v>
          </cell>
          <cell r="BG2" t="str">
            <v>419</v>
          </cell>
          <cell r="BH2" t="str">
            <v>412</v>
          </cell>
          <cell r="BI2" t="str">
            <v>413</v>
          </cell>
          <cell r="BJ2" t="str">
            <v>414</v>
          </cell>
          <cell r="BK2" t="str">
            <v>417</v>
          </cell>
          <cell r="BL2" t="str">
            <v>418</v>
          </cell>
          <cell r="BM2" t="str">
            <v>421</v>
          </cell>
          <cell r="BN2" t="str">
            <v>441</v>
          </cell>
        </row>
        <row r="3">
          <cell r="B3" t="str">
            <v>OK</v>
          </cell>
          <cell r="D3" t="str">
            <v>1111</v>
          </cell>
          <cell r="F3" t="str">
            <v>x</v>
          </cell>
          <cell r="H3" t="str">
            <v>01</v>
          </cell>
          <cell r="I3" t="str">
            <v>1. Doanh thu bán hàng và cung cấp dịch vụ</v>
          </cell>
          <cell r="K3" t="str">
            <v>TK</v>
          </cell>
          <cell r="M3" t="str">
            <v>BTDC</v>
          </cell>
          <cell r="O3" t="str">
            <v>11.01</v>
          </cell>
          <cell r="AA3" t="str">
            <v>12.01</v>
          </cell>
          <cell r="AM3" t="str">
            <v>13.01</v>
          </cell>
          <cell r="BA3" t="str">
            <v>25.01</v>
          </cell>
        </row>
        <row r="4">
          <cell r="B4" t="str">
            <v>Refuse</v>
          </cell>
          <cell r="D4" t="str">
            <v>1112</v>
          </cell>
          <cell r="F4" t="str">
            <v>S</v>
          </cell>
          <cell r="H4" t="str">
            <v>02</v>
          </cell>
          <cell r="I4" t="str">
            <v>2. Các khoản giảm trừ doanh thu</v>
          </cell>
          <cell r="K4" t="str">
            <v>CT</v>
          </cell>
          <cell r="M4" t="str">
            <v>BTTH</v>
          </cell>
          <cell r="O4" t="str">
            <v>11.02</v>
          </cell>
          <cell r="AA4" t="str">
            <v>12.02</v>
          </cell>
          <cell r="AM4" t="str">
            <v>13.02</v>
          </cell>
          <cell r="BA4" t="str">
            <v>25.02</v>
          </cell>
        </row>
        <row r="5">
          <cell r="D5" t="str">
            <v>1113</v>
          </cell>
          <cell r="F5" t="str">
            <v>o</v>
          </cell>
          <cell r="H5" t="str">
            <v>10</v>
          </cell>
          <cell r="I5" t="str">
            <v>3. Doanh thu thuần về bán hàng và cung cấp dịch vụ</v>
          </cell>
          <cell r="O5" t="str">
            <v>11.03</v>
          </cell>
          <cell r="AA5" t="str">
            <v>12.03</v>
          </cell>
          <cell r="AM5" t="str">
            <v>13.03</v>
          </cell>
          <cell r="BA5" t="str">
            <v>25.03</v>
          </cell>
        </row>
        <row r="6">
          <cell r="D6" t="str">
            <v>1121</v>
          </cell>
          <cell r="F6" t="str">
            <v>.</v>
          </cell>
          <cell r="H6" t="str">
            <v>11</v>
          </cell>
          <cell r="I6" t="str">
            <v>4. Giá vốn hàng bán</v>
          </cell>
          <cell r="O6" t="str">
            <v>11.04</v>
          </cell>
          <cell r="AA6" t="str">
            <v>12.04</v>
          </cell>
          <cell r="AM6" t="str">
            <v>13.04</v>
          </cell>
          <cell r="BA6" t="str">
            <v>25.04</v>
          </cell>
        </row>
        <row r="7">
          <cell r="D7" t="str">
            <v>1122</v>
          </cell>
          <cell r="H7" t="str">
            <v>20</v>
          </cell>
          <cell r="I7" t="str">
            <v>5. Lợi nhuận gộp về bán hàng và cung cấp dịch vụ</v>
          </cell>
          <cell r="O7" t="str">
            <v>11.05</v>
          </cell>
          <cell r="AA7" t="str">
            <v>12.05</v>
          </cell>
          <cell r="AM7" t="str">
            <v>13.05</v>
          </cell>
          <cell r="BA7" t="str">
            <v>25.05</v>
          </cell>
        </row>
        <row r="8">
          <cell r="D8" t="str">
            <v>1123</v>
          </cell>
          <cell r="H8" t="str">
            <v>21</v>
          </cell>
          <cell r="I8" t="str">
            <v>6. Doanh thu hoạt động tài chính</v>
          </cell>
          <cell r="O8" t="str">
            <v>11.06</v>
          </cell>
          <cell r="AA8" t="str">
            <v>12.06</v>
          </cell>
          <cell r="AM8" t="str">
            <v>13.06</v>
          </cell>
          <cell r="BA8" t="str">
            <v>25.06</v>
          </cell>
        </row>
        <row r="9">
          <cell r="D9" t="str">
            <v>1131</v>
          </cell>
          <cell r="H9" t="str">
            <v>22</v>
          </cell>
          <cell r="I9" t="str">
            <v>7. Chi phí tài chính</v>
          </cell>
          <cell r="O9" t="str">
            <v>11.07</v>
          </cell>
          <cell r="AA9" t="str">
            <v>12.07</v>
          </cell>
          <cell r="AM9" t="str">
            <v>13.07</v>
          </cell>
          <cell r="BA9" t="str">
            <v>25.07</v>
          </cell>
        </row>
        <row r="10">
          <cell r="D10" t="str">
            <v>1132</v>
          </cell>
          <cell r="H10" t="str">
            <v>23</v>
          </cell>
          <cell r="I10" t="str">
            <v xml:space="preserve"> - Trong đó: Chi phí lãi vay</v>
          </cell>
          <cell r="O10" t="str">
            <v>11.08</v>
          </cell>
          <cell r="AA10" t="str">
            <v>12.08</v>
          </cell>
          <cell r="AM10" t="str">
            <v>13.08</v>
          </cell>
          <cell r="BA10" t="str">
            <v>25.08</v>
          </cell>
        </row>
        <row r="11">
          <cell r="D11" t="str">
            <v>1211</v>
          </cell>
          <cell r="H11" t="str">
            <v>25</v>
          </cell>
          <cell r="I11" t="str">
            <v>8. Chi phí bán hàng</v>
          </cell>
          <cell r="O11" t="str">
            <v>11.09</v>
          </cell>
          <cell r="AA11" t="str">
            <v>12.09</v>
          </cell>
          <cell r="AM11" t="str">
            <v>13.09</v>
          </cell>
          <cell r="BA11" t="str">
            <v>25.09</v>
          </cell>
        </row>
        <row r="12">
          <cell r="D12" t="str">
            <v>1212</v>
          </cell>
          <cell r="H12" t="str">
            <v>26</v>
          </cell>
          <cell r="I12" t="str">
            <v>9. Chi phí quản lý doanh nghiệp</v>
          </cell>
          <cell r="O12" t="str">
            <v>11.10</v>
          </cell>
          <cell r="AA12" t="str">
            <v>12.10</v>
          </cell>
          <cell r="AM12" t="str">
            <v>13.10</v>
          </cell>
          <cell r="BA12" t="str">
            <v>25.10</v>
          </cell>
        </row>
        <row r="13">
          <cell r="D13" t="str">
            <v>1218</v>
          </cell>
          <cell r="H13" t="str">
            <v>30</v>
          </cell>
          <cell r="I13" t="str">
            <v xml:space="preserve">10. Lợi nhuận thuần từ hoạt động kinh doanh </v>
          </cell>
          <cell r="O13" t="str">
            <v>11.11</v>
          </cell>
          <cell r="AA13" t="str">
            <v>12.11</v>
          </cell>
          <cell r="AM13" t="str">
            <v>13.11</v>
          </cell>
          <cell r="BA13" t="str">
            <v>25.11</v>
          </cell>
        </row>
        <row r="14">
          <cell r="D14" t="str">
            <v>1281n</v>
          </cell>
          <cell r="H14" t="str">
            <v>31</v>
          </cell>
          <cell r="I14" t="str">
            <v>11. Thu nhập khác</v>
          </cell>
          <cell r="O14" t="str">
            <v>11.12</v>
          </cell>
          <cell r="AA14" t="str">
            <v>12.12</v>
          </cell>
          <cell r="AM14" t="str">
            <v>13.12</v>
          </cell>
          <cell r="BA14" t="str">
            <v>25.12</v>
          </cell>
        </row>
        <row r="15">
          <cell r="D15" t="str">
            <v>1281d</v>
          </cell>
          <cell r="H15" t="str">
            <v>32</v>
          </cell>
          <cell r="I15" t="str">
            <v xml:space="preserve">12. Chi phí khác </v>
          </cell>
          <cell r="O15" t="str">
            <v>11.13</v>
          </cell>
          <cell r="BA15" t="str">
            <v>25.13</v>
          </cell>
        </row>
        <row r="16">
          <cell r="D16" t="str">
            <v>1282n</v>
          </cell>
          <cell r="H16" t="str">
            <v>40</v>
          </cell>
          <cell r="I16" t="str">
            <v>13. Lợi nhuận khác</v>
          </cell>
        </row>
        <row r="17">
          <cell r="D17" t="str">
            <v>1282d</v>
          </cell>
          <cell r="H17" t="str">
            <v>50</v>
          </cell>
          <cell r="I17" t="str">
            <v xml:space="preserve">14. Tổng lợi nhuận kế toán trước thuế </v>
          </cell>
        </row>
        <row r="18">
          <cell r="D18" t="str">
            <v>1283n</v>
          </cell>
          <cell r="H18" t="str">
            <v>51</v>
          </cell>
          <cell r="I18" t="str">
            <v>15. Chi phí thuế TNDN hiện hành</v>
          </cell>
        </row>
        <row r="19">
          <cell r="D19" t="str">
            <v>1283d</v>
          </cell>
          <cell r="H19" t="str">
            <v>52</v>
          </cell>
          <cell r="I19" t="str">
            <v>16. Chi phí thuế TNDN hoãn lại</v>
          </cell>
        </row>
        <row r="20">
          <cell r="D20" t="str">
            <v>1288n</v>
          </cell>
          <cell r="H20" t="str">
            <v>60</v>
          </cell>
          <cell r="I20" t="str">
            <v>17. Lợi nhuận sau thuế TNDN</v>
          </cell>
        </row>
        <row r="21">
          <cell r="D21" t="str">
            <v>1288d</v>
          </cell>
          <cell r="H21" t="str">
            <v>70</v>
          </cell>
          <cell r="I21" t="str">
            <v>18. Lãi cơ bản trên cổ phiếu</v>
          </cell>
        </row>
        <row r="22">
          <cell r="D22" t="str">
            <v>1281t</v>
          </cell>
          <cell r="H22" t="str">
            <v>71</v>
          </cell>
          <cell r="I22" t="str">
            <v>19. Lãi suy giảm trên cổ phiếu</v>
          </cell>
        </row>
        <row r="23">
          <cell r="D23" t="str">
            <v>1288t</v>
          </cell>
          <cell r="H23" t="str">
            <v>100</v>
          </cell>
          <cell r="I23" t="str">
            <v>A. TÀI SẢN NGẮN HẠN</v>
          </cell>
        </row>
        <row r="24">
          <cell r="D24" t="str">
            <v>131an</v>
          </cell>
          <cell r="H24" t="str">
            <v>110</v>
          </cell>
          <cell r="I24" t="str">
            <v>I. Tiền và các khoản tương đương tiền</v>
          </cell>
        </row>
        <row r="25">
          <cell r="D25" t="str">
            <v>131ad</v>
          </cell>
          <cell r="H25" t="str">
            <v>111</v>
          </cell>
          <cell r="I25" t="str">
            <v>1. Tiền</v>
          </cell>
        </row>
        <row r="26">
          <cell r="D26" t="str">
            <v>131bn</v>
          </cell>
          <cell r="H26" t="str">
            <v>112</v>
          </cell>
          <cell r="I26" t="str">
            <v>2. Các khoản tương đương tiền</v>
          </cell>
        </row>
        <row r="27">
          <cell r="D27" t="str">
            <v>131bd</v>
          </cell>
          <cell r="H27" t="str">
            <v>120</v>
          </cell>
          <cell r="I27" t="str">
            <v>II. Đầu tư tài chính ngắn hạn</v>
          </cell>
        </row>
        <row r="28">
          <cell r="D28" t="str">
            <v>1331a</v>
          </cell>
          <cell r="H28" t="str">
            <v>121</v>
          </cell>
          <cell r="I28" t="str">
            <v>1. Chứng khoán kinh doanh</v>
          </cell>
        </row>
        <row r="29">
          <cell r="D29" t="str">
            <v>1331b</v>
          </cell>
          <cell r="H29" t="str">
            <v>122</v>
          </cell>
          <cell r="I29" t="str">
            <v>2. Dự phòng giảm giá chứng khoán kinh doanh (*)</v>
          </cell>
        </row>
        <row r="30">
          <cell r="D30" t="str">
            <v>1332a</v>
          </cell>
          <cell r="H30" t="str">
            <v>123</v>
          </cell>
          <cell r="I30" t="str">
            <v>3. Đầu tư nắm giữ đến ngày đáo hạn</v>
          </cell>
        </row>
        <row r="31">
          <cell r="D31" t="str">
            <v>1332b</v>
          </cell>
          <cell r="H31" t="str">
            <v>130</v>
          </cell>
          <cell r="I31" t="str">
            <v>III. Các khoản phải thu ngắn hạn</v>
          </cell>
        </row>
        <row r="32">
          <cell r="D32" t="str">
            <v>1361ad</v>
          </cell>
          <cell r="H32" t="str">
            <v>131</v>
          </cell>
          <cell r="I32" t="str">
            <v>1. Phải thu ngắn hạn của khách hàng</v>
          </cell>
        </row>
        <row r="33">
          <cell r="D33" t="str">
            <v>1361bd</v>
          </cell>
          <cell r="H33" t="str">
            <v>132</v>
          </cell>
          <cell r="I33" t="str">
            <v>2. Trả trước cho người bán ngắn hạn</v>
          </cell>
        </row>
        <row r="34">
          <cell r="D34" t="str">
            <v>1362an</v>
          </cell>
          <cell r="H34" t="str">
            <v>133</v>
          </cell>
          <cell r="I34" t="str">
            <v>3. Phải thu nội bộ ngắn hạn</v>
          </cell>
        </row>
        <row r="35">
          <cell r="D35" t="str">
            <v>1362bn</v>
          </cell>
          <cell r="H35" t="str">
            <v>134</v>
          </cell>
          <cell r="I35" t="str">
            <v>4. Phải thu theo tiến độ kế hoạch hợp đồng xây dựng</v>
          </cell>
        </row>
        <row r="36">
          <cell r="D36" t="str">
            <v>1362ad</v>
          </cell>
          <cell r="H36" t="str">
            <v>135</v>
          </cell>
          <cell r="I36" t="str">
            <v>5. Phải thu về cho vay ngắn hạn</v>
          </cell>
        </row>
        <row r="37">
          <cell r="D37" t="str">
            <v>1362bd</v>
          </cell>
          <cell r="H37" t="str">
            <v>136</v>
          </cell>
          <cell r="I37" t="str">
            <v>6. Phải thu ngắn hạn khác</v>
          </cell>
        </row>
        <row r="38">
          <cell r="D38" t="str">
            <v>1363an</v>
          </cell>
          <cell r="H38" t="str">
            <v>137</v>
          </cell>
          <cell r="I38" t="str">
            <v>7. Dự phòng phải thu ngắn hạn khó đòi</v>
          </cell>
        </row>
        <row r="39">
          <cell r="D39" t="str">
            <v>1363bn</v>
          </cell>
          <cell r="H39" t="str">
            <v>139</v>
          </cell>
          <cell r="I39" t="str">
            <v>8. Tài sản thiếu chờ xử lý</v>
          </cell>
        </row>
        <row r="40">
          <cell r="D40" t="str">
            <v>1363ad</v>
          </cell>
          <cell r="H40" t="str">
            <v>140</v>
          </cell>
          <cell r="I40" t="str">
            <v>IV. Hàng tồn kho</v>
          </cell>
        </row>
        <row r="41">
          <cell r="D41" t="str">
            <v>1363bd</v>
          </cell>
          <cell r="H41" t="str">
            <v>141</v>
          </cell>
          <cell r="I41" t="str">
            <v>1. Hàng tồn kho</v>
          </cell>
        </row>
        <row r="42">
          <cell r="D42" t="str">
            <v>1368an</v>
          </cell>
          <cell r="H42" t="str">
            <v>149</v>
          </cell>
          <cell r="I42" t="str">
            <v>2. Dự phòng giảm giá hàng tồn kho (*)</v>
          </cell>
        </row>
        <row r="43">
          <cell r="D43" t="str">
            <v>1368bn</v>
          </cell>
          <cell r="H43" t="str">
            <v>150</v>
          </cell>
          <cell r="I43" t="str">
            <v>V. Tài sản ngắn hạn khác</v>
          </cell>
        </row>
        <row r="44">
          <cell r="D44" t="str">
            <v>1368ad</v>
          </cell>
          <cell r="H44" t="str">
            <v>151</v>
          </cell>
          <cell r="I44" t="str">
            <v>1. Chi phí trả trước ngắn hạn</v>
          </cell>
        </row>
        <row r="45">
          <cell r="D45" t="str">
            <v>1368bd</v>
          </cell>
          <cell r="H45" t="str">
            <v>152</v>
          </cell>
          <cell r="I45" t="str">
            <v>2. Thuế GTGT được khấu trừ</v>
          </cell>
        </row>
        <row r="46">
          <cell r="D46" t="str">
            <v>1381</v>
          </cell>
          <cell r="H46" t="str">
            <v>153</v>
          </cell>
          <cell r="I46" t="str">
            <v>3. Thuế và các khoản khác phải thu Nhà nước</v>
          </cell>
        </row>
        <row r="47">
          <cell r="D47" t="str">
            <v>1385an</v>
          </cell>
          <cell r="H47" t="str">
            <v>154</v>
          </cell>
          <cell r="I47" t="str">
            <v>4. Giao dịch mua bán lại trái phiếu Chính phủ</v>
          </cell>
        </row>
        <row r="48">
          <cell r="D48" t="str">
            <v>1385ad</v>
          </cell>
          <cell r="H48" t="str">
            <v>155</v>
          </cell>
          <cell r="I48" t="str">
            <v>5. Tài sản ngắn hạn khác</v>
          </cell>
        </row>
        <row r="49">
          <cell r="D49" t="str">
            <v>1385bn</v>
          </cell>
          <cell r="H49" t="str">
            <v>200</v>
          </cell>
          <cell r="I49" t="str">
            <v>B. TÀI SẢN DÀI HẠN</v>
          </cell>
        </row>
        <row r="50">
          <cell r="D50" t="str">
            <v>1385bd</v>
          </cell>
          <cell r="H50" t="str">
            <v>210</v>
          </cell>
          <cell r="I50" t="str">
            <v>I. Các khoản phải thu dài hạn</v>
          </cell>
        </row>
        <row r="51">
          <cell r="D51" t="str">
            <v>1388an</v>
          </cell>
          <cell r="H51" t="str">
            <v>211</v>
          </cell>
          <cell r="I51" t="str">
            <v>1. Phải thu dài hạn của khách hàng</v>
          </cell>
        </row>
        <row r="52">
          <cell r="D52" t="str">
            <v>1388bn</v>
          </cell>
          <cell r="H52" t="str">
            <v>212</v>
          </cell>
          <cell r="I52" t="str">
            <v>2. Trả trước cho người bán dài hạn</v>
          </cell>
        </row>
        <row r="53">
          <cell r="D53" t="str">
            <v>1388ad</v>
          </cell>
          <cell r="H53" t="str">
            <v>213</v>
          </cell>
          <cell r="I53" t="str">
            <v>3. Vốn kinh doanh ở đơn vị trực thuộc</v>
          </cell>
        </row>
        <row r="54">
          <cell r="D54" t="str">
            <v>1388bd</v>
          </cell>
          <cell r="H54" t="str">
            <v>214</v>
          </cell>
          <cell r="I54" t="str">
            <v>4. Phải thu nội bộ dài hạn</v>
          </cell>
        </row>
        <row r="55">
          <cell r="D55" t="str">
            <v>13881n</v>
          </cell>
          <cell r="H55" t="str">
            <v>215</v>
          </cell>
          <cell r="I55" t="str">
            <v>5. Phải thu về cho vay dài hạn</v>
          </cell>
        </row>
        <row r="56">
          <cell r="D56" t="str">
            <v>13881d</v>
          </cell>
          <cell r="H56" t="str">
            <v>216</v>
          </cell>
          <cell r="I56" t="str">
            <v>6. Phải thu dài hạn khác</v>
          </cell>
        </row>
        <row r="57">
          <cell r="D57" t="str">
            <v>13882n</v>
          </cell>
          <cell r="H57" t="str">
            <v>219</v>
          </cell>
          <cell r="I57" t="str">
            <v>7. Dự phòng phải thu dài hạn khó đòi (*)</v>
          </cell>
        </row>
        <row r="58">
          <cell r="D58" t="str">
            <v>13882d</v>
          </cell>
          <cell r="H58" t="str">
            <v>220</v>
          </cell>
          <cell r="I58" t="str">
            <v>II. Tài sản cố định</v>
          </cell>
        </row>
        <row r="59">
          <cell r="D59" t="str">
            <v>13883n</v>
          </cell>
          <cell r="H59" t="str">
            <v>221</v>
          </cell>
          <cell r="I59" t="str">
            <v>1. Tài sản cố định hữu hình</v>
          </cell>
        </row>
        <row r="60">
          <cell r="D60" t="str">
            <v>13883d</v>
          </cell>
          <cell r="H60" t="str">
            <v>222</v>
          </cell>
          <cell r="I60" t="str">
            <v xml:space="preserve"> - Nguyên giá</v>
          </cell>
        </row>
        <row r="61">
          <cell r="D61" t="str">
            <v>141an</v>
          </cell>
          <cell r="H61" t="str">
            <v>223</v>
          </cell>
          <cell r="I61" t="str">
            <v xml:space="preserve"> - Giá trị hao mòn lũy kế (*)</v>
          </cell>
        </row>
        <row r="62">
          <cell r="D62" t="str">
            <v>141ad</v>
          </cell>
          <cell r="H62" t="str">
            <v>224</v>
          </cell>
          <cell r="I62" t="str">
            <v>2. Tài sản cố định thuê tài chính</v>
          </cell>
        </row>
        <row r="63">
          <cell r="D63" t="str">
            <v>141b</v>
          </cell>
          <cell r="H63" t="str">
            <v>225</v>
          </cell>
          <cell r="I63" t="str">
            <v xml:space="preserve"> - Nguyên giá</v>
          </cell>
        </row>
        <row r="64">
          <cell r="D64" t="str">
            <v>151</v>
          </cell>
          <cell r="H64" t="str">
            <v>226</v>
          </cell>
          <cell r="I64" t="str">
            <v xml:space="preserve"> - Giá trị hao mòn lũy kế (*)</v>
          </cell>
        </row>
        <row r="65">
          <cell r="D65" t="str">
            <v>152</v>
          </cell>
          <cell r="H65" t="str">
            <v>227</v>
          </cell>
          <cell r="I65" t="str">
            <v>3. Tài sản cố định vô hình</v>
          </cell>
        </row>
        <row r="66">
          <cell r="D66" t="str">
            <v>1531</v>
          </cell>
          <cell r="H66" t="str">
            <v>228</v>
          </cell>
          <cell r="I66" t="str">
            <v xml:space="preserve"> - Nguyên giá</v>
          </cell>
        </row>
        <row r="67">
          <cell r="D67" t="str">
            <v>1532</v>
          </cell>
          <cell r="H67" t="str">
            <v>229</v>
          </cell>
          <cell r="I67" t="str">
            <v xml:space="preserve"> - Giá trị hao mòn lũy kế (*)</v>
          </cell>
        </row>
        <row r="68">
          <cell r="D68" t="str">
            <v>1533</v>
          </cell>
          <cell r="H68" t="str">
            <v>230</v>
          </cell>
          <cell r="I68" t="str">
            <v>III. Bất động sản đầu tư</v>
          </cell>
        </row>
        <row r="69">
          <cell r="D69" t="str">
            <v>1534n</v>
          </cell>
          <cell r="H69" t="str">
            <v>231</v>
          </cell>
          <cell r="I69" t="str">
            <v xml:space="preserve"> - Nguyên giá</v>
          </cell>
        </row>
        <row r="70">
          <cell r="D70" t="str">
            <v>1534d</v>
          </cell>
          <cell r="H70" t="str">
            <v>232</v>
          </cell>
          <cell r="I70" t="str">
            <v xml:space="preserve"> - Giá trị hao mòn lũy kế (*)</v>
          </cell>
        </row>
        <row r="71">
          <cell r="D71" t="str">
            <v>154n</v>
          </cell>
          <cell r="H71" t="str">
            <v>240</v>
          </cell>
          <cell r="I71" t="str">
            <v>IV. Tài sản dở dang dài hạn</v>
          </cell>
        </row>
        <row r="72">
          <cell r="D72" t="str">
            <v>154d</v>
          </cell>
          <cell r="H72" t="str">
            <v>241</v>
          </cell>
          <cell r="I72" t="str">
            <v>1. Chi phí sản xuất, dinh doanh dở dang dài hạn</v>
          </cell>
        </row>
        <row r="73">
          <cell r="D73" t="str">
            <v>1551</v>
          </cell>
          <cell r="H73" t="str">
            <v>242</v>
          </cell>
          <cell r="I73" t="str">
            <v>2. Chi phí xây dựng cơ bản dở dang</v>
          </cell>
        </row>
        <row r="74">
          <cell r="D74" t="str">
            <v>1557</v>
          </cell>
          <cell r="H74" t="str">
            <v>250</v>
          </cell>
          <cell r="I74" t="str">
            <v>V. Đầu tư tài chính dài hạn</v>
          </cell>
        </row>
        <row r="75">
          <cell r="D75" t="str">
            <v>1561</v>
          </cell>
          <cell r="H75" t="str">
            <v>251</v>
          </cell>
          <cell r="I75" t="str">
            <v>1. Đầu tư vào công ty con</v>
          </cell>
        </row>
        <row r="76">
          <cell r="D76" t="str">
            <v>1562</v>
          </cell>
          <cell r="H76" t="str">
            <v>252</v>
          </cell>
          <cell r="I76" t="str">
            <v>2. Đầu tư vào công ty liên doanh, liên kết</v>
          </cell>
        </row>
        <row r="77">
          <cell r="D77" t="str">
            <v>1567</v>
          </cell>
          <cell r="H77" t="str">
            <v>253</v>
          </cell>
          <cell r="I77" t="str">
            <v>3. Đầu tư góp vốn vào đơn vị khác</v>
          </cell>
        </row>
        <row r="78">
          <cell r="D78" t="str">
            <v>157</v>
          </cell>
          <cell r="H78" t="str">
            <v>254</v>
          </cell>
          <cell r="I78" t="str">
            <v>4. Dự phòng đầu tư tài chính dài hạn</v>
          </cell>
        </row>
        <row r="79">
          <cell r="D79" t="str">
            <v>158</v>
          </cell>
          <cell r="H79" t="str">
            <v>255</v>
          </cell>
          <cell r="I79" t="str">
            <v>5. Đầu tư nắm giữ đến ngày đáo hạn</v>
          </cell>
        </row>
        <row r="80">
          <cell r="D80" t="str">
            <v>1611</v>
          </cell>
          <cell r="H80" t="str">
            <v>260</v>
          </cell>
          <cell r="I80" t="str">
            <v>V. Tài sản dài hạn khác</v>
          </cell>
        </row>
        <row r="81">
          <cell r="D81" t="str">
            <v>1612</v>
          </cell>
          <cell r="H81" t="str">
            <v>261</v>
          </cell>
          <cell r="I81" t="str">
            <v>1. Chi phí trả trước dài hạn</v>
          </cell>
        </row>
        <row r="82">
          <cell r="D82" t="str">
            <v>171a</v>
          </cell>
          <cell r="H82" t="str">
            <v>262</v>
          </cell>
          <cell r="I82" t="str">
            <v>2. Tài sản thuế thu nhập hoãn lại</v>
          </cell>
        </row>
        <row r="83">
          <cell r="D83" t="str">
            <v>171b</v>
          </cell>
          <cell r="H83" t="str">
            <v>263</v>
          </cell>
          <cell r="I83" t="str">
            <v>3. Thiết bị, vật tư, phụ tùng thay thế dài hạn</v>
          </cell>
        </row>
        <row r="84">
          <cell r="D84" t="str">
            <v>2111</v>
          </cell>
          <cell r="H84" t="str">
            <v>268</v>
          </cell>
          <cell r="I84" t="str">
            <v>4. Tài sản dài hạn khác</v>
          </cell>
        </row>
        <row r="85">
          <cell r="D85" t="str">
            <v>2112</v>
          </cell>
          <cell r="H85" t="str">
            <v>270</v>
          </cell>
          <cell r="I85" t="str">
            <v>TỔNG CỘNG TÀI SẢN</v>
          </cell>
        </row>
        <row r="86">
          <cell r="D86" t="str">
            <v>2113</v>
          </cell>
          <cell r="H86" t="str">
            <v>300</v>
          </cell>
          <cell r="I86" t="str">
            <v>C. NỢ PHẢI TRẢ</v>
          </cell>
        </row>
        <row r="87">
          <cell r="D87" t="str">
            <v>2114</v>
          </cell>
          <cell r="H87" t="str">
            <v>310</v>
          </cell>
          <cell r="I87" t="str">
            <v>I. Nợ ngắn hạn</v>
          </cell>
        </row>
        <row r="88">
          <cell r="D88" t="str">
            <v>2115</v>
          </cell>
          <cell r="H88" t="str">
            <v>311</v>
          </cell>
          <cell r="I88" t="str">
            <v>1. Phải trả người bán ngắn hạn</v>
          </cell>
        </row>
        <row r="89">
          <cell r="D89" t="str">
            <v>2118</v>
          </cell>
          <cell r="H89" t="str">
            <v>312</v>
          </cell>
          <cell r="I89" t="str">
            <v>2. Người mua trả tiền trước ngắn hạn</v>
          </cell>
        </row>
        <row r="90">
          <cell r="D90" t="str">
            <v>21211</v>
          </cell>
          <cell r="H90" t="str">
            <v>313</v>
          </cell>
          <cell r="I90" t="str">
            <v xml:space="preserve">3. Thuế và các khoản phải nộp Nhà nước </v>
          </cell>
        </row>
        <row r="91">
          <cell r="D91" t="str">
            <v>21212</v>
          </cell>
          <cell r="H91" t="str">
            <v>314</v>
          </cell>
          <cell r="I91" t="str">
            <v>4. Phải trả người lao động</v>
          </cell>
        </row>
        <row r="92">
          <cell r="D92" t="str">
            <v>21213</v>
          </cell>
          <cell r="H92" t="str">
            <v>315</v>
          </cell>
          <cell r="I92" t="str">
            <v>5. Chi phí phải trả ngắn hạn</v>
          </cell>
        </row>
        <row r="93">
          <cell r="D93" t="str">
            <v>21214</v>
          </cell>
          <cell r="H93" t="str">
            <v>316</v>
          </cell>
          <cell r="I93" t="str">
            <v>6. Phải trả nội bộ ngắn hạn</v>
          </cell>
        </row>
        <row r="94">
          <cell r="D94" t="str">
            <v>21218</v>
          </cell>
          <cell r="H94" t="str">
            <v>317</v>
          </cell>
          <cell r="I94" t="str">
            <v>7. Phải trả theo tiến độ kế hoạch hợp đồng xây dựng</v>
          </cell>
        </row>
        <row r="95">
          <cell r="D95" t="str">
            <v>2122</v>
          </cell>
          <cell r="H95" t="str">
            <v>318</v>
          </cell>
          <cell r="I95" t="str">
            <v>8. Doanh thu chưa thực hiện ngắn hạn</v>
          </cell>
        </row>
        <row r="96">
          <cell r="D96" t="str">
            <v>2131</v>
          </cell>
          <cell r="H96" t="str">
            <v>319</v>
          </cell>
          <cell r="I96" t="str">
            <v>9. Phải trả ngắn hạn khác</v>
          </cell>
        </row>
        <row r="97">
          <cell r="D97" t="str">
            <v>2132</v>
          </cell>
          <cell r="H97" t="str">
            <v>320</v>
          </cell>
          <cell r="I97" t="str">
            <v>10. Vay và nợ thuê tài chính ngắn hạn</v>
          </cell>
        </row>
        <row r="98">
          <cell r="D98" t="str">
            <v>2133</v>
          </cell>
          <cell r="H98" t="str">
            <v>321</v>
          </cell>
          <cell r="I98" t="str">
            <v>11. Dự phòng phải trả ngắn hạn</v>
          </cell>
        </row>
        <row r="99">
          <cell r="D99" t="str">
            <v>2134</v>
          </cell>
          <cell r="H99" t="str">
            <v>322</v>
          </cell>
          <cell r="I99" t="str">
            <v>12. Quỹ khen thưởng, phúc lợi</v>
          </cell>
        </row>
        <row r="100">
          <cell r="D100" t="str">
            <v>2135</v>
          </cell>
          <cell r="H100" t="str">
            <v>323</v>
          </cell>
          <cell r="I100" t="str">
            <v>13. Quỹ bình ổn giá</v>
          </cell>
        </row>
        <row r="101">
          <cell r="D101" t="str">
            <v>2136</v>
          </cell>
          <cell r="H101" t="str">
            <v>324</v>
          </cell>
          <cell r="I101" t="str">
            <v>14. Giao dịch mua bán lại trái phiếu Chính phủ</v>
          </cell>
        </row>
        <row r="102">
          <cell r="D102" t="str">
            <v>2138</v>
          </cell>
          <cell r="H102" t="str">
            <v>330</v>
          </cell>
          <cell r="I102" t="str">
            <v>II. Nợ dài hạn</v>
          </cell>
        </row>
        <row r="103">
          <cell r="D103" t="str">
            <v>21411</v>
          </cell>
          <cell r="H103" t="str">
            <v>331</v>
          </cell>
          <cell r="I103" t="str">
            <v>1. Phải trả người bán dài hạn</v>
          </cell>
        </row>
        <row r="104">
          <cell r="D104" t="str">
            <v>21412</v>
          </cell>
          <cell r="H104" t="str">
            <v>332</v>
          </cell>
          <cell r="I104" t="str">
            <v>2. Người mua trả tiền trước dài hạn</v>
          </cell>
        </row>
        <row r="105">
          <cell r="D105" t="str">
            <v>21413</v>
          </cell>
          <cell r="H105" t="str">
            <v>333</v>
          </cell>
          <cell r="I105" t="str">
            <v>3. Chi phí phải trả dài hạn</v>
          </cell>
        </row>
        <row r="106">
          <cell r="D106" t="str">
            <v>21414</v>
          </cell>
          <cell r="H106" t="str">
            <v>334</v>
          </cell>
          <cell r="I106" t="str">
            <v>4. Phải trả nội bộ về vốn kinh doanh</v>
          </cell>
        </row>
        <row r="107">
          <cell r="D107" t="str">
            <v>21415</v>
          </cell>
          <cell r="H107" t="str">
            <v>335</v>
          </cell>
          <cell r="I107" t="str">
            <v>5. Phải trả nội bộ dài hạn</v>
          </cell>
        </row>
        <row r="108">
          <cell r="D108" t="str">
            <v>21418</v>
          </cell>
          <cell r="H108" t="str">
            <v>336</v>
          </cell>
          <cell r="I108" t="str">
            <v>6. Doanh thu chưa thực hiện dài hạn</v>
          </cell>
        </row>
        <row r="109">
          <cell r="D109" t="str">
            <v>214211</v>
          </cell>
          <cell r="H109" t="str">
            <v>337</v>
          </cell>
          <cell r="I109" t="str">
            <v>7. Phải trả dài hạn khác</v>
          </cell>
        </row>
        <row r="110">
          <cell r="D110" t="str">
            <v>214212</v>
          </cell>
          <cell r="H110" t="str">
            <v>338</v>
          </cell>
          <cell r="I110" t="str">
            <v>8. Vay và nợ thuê tài chính dài hạn</v>
          </cell>
        </row>
        <row r="111">
          <cell r="D111" t="str">
            <v>214213</v>
          </cell>
          <cell r="H111" t="str">
            <v>339</v>
          </cell>
          <cell r="I111" t="str">
            <v>9. Trái phiếu chuyển đổi</v>
          </cell>
        </row>
        <row r="112">
          <cell r="D112" t="str">
            <v>214214</v>
          </cell>
          <cell r="H112" t="str">
            <v>340</v>
          </cell>
          <cell r="I112" t="str">
            <v>10. Cổ phiếu ưu đãi</v>
          </cell>
        </row>
        <row r="113">
          <cell r="D113" t="str">
            <v>214218</v>
          </cell>
          <cell r="H113" t="str">
            <v>341</v>
          </cell>
          <cell r="I113" t="str">
            <v>11. Thuế thu nhập hoãn lại phải trả</v>
          </cell>
        </row>
        <row r="114">
          <cell r="D114" t="str">
            <v>21422</v>
          </cell>
          <cell r="H114" t="str">
            <v>342</v>
          </cell>
          <cell r="I114" t="str">
            <v>12. Dự phòng phải trả dài hạn</v>
          </cell>
        </row>
        <row r="115">
          <cell r="D115" t="str">
            <v>21431</v>
          </cell>
          <cell r="H115" t="str">
            <v>343</v>
          </cell>
          <cell r="I115" t="str">
            <v>13. Quỹ phát triển khoa học và công nghệ</v>
          </cell>
        </row>
        <row r="116">
          <cell r="D116" t="str">
            <v>21432</v>
          </cell>
          <cell r="H116" t="str">
            <v>400</v>
          </cell>
          <cell r="I116" t="str">
            <v>C. VỐN CHỦ SỞ HỮU</v>
          </cell>
        </row>
        <row r="117">
          <cell r="D117" t="str">
            <v>21433</v>
          </cell>
          <cell r="H117" t="str">
            <v>410</v>
          </cell>
          <cell r="I117" t="str">
            <v>I. Vốn chủ sở hữu</v>
          </cell>
        </row>
        <row r="118">
          <cell r="D118" t="str">
            <v>21434</v>
          </cell>
          <cell r="H118" t="str">
            <v>411</v>
          </cell>
          <cell r="I118" t="str">
            <v>1. Vốn góp của chủ sở hữu</v>
          </cell>
        </row>
        <row r="119">
          <cell r="D119" t="str">
            <v>21435</v>
          </cell>
          <cell r="H119" t="str">
            <v>411a</v>
          </cell>
          <cell r="I119" t="str">
            <v xml:space="preserve"> - Cổ phiếu phổ thông có quyền biểu quyết</v>
          </cell>
        </row>
        <row r="120">
          <cell r="D120" t="str">
            <v>21436</v>
          </cell>
          <cell r="H120" t="str">
            <v>411b</v>
          </cell>
          <cell r="I120" t="str">
            <v xml:space="preserve"> - Cổ phiếu ưu đãi</v>
          </cell>
        </row>
        <row r="121">
          <cell r="D121" t="str">
            <v>21438</v>
          </cell>
          <cell r="H121" t="str">
            <v>412</v>
          </cell>
          <cell r="I121" t="str">
            <v>2. Thặng dư vốn cổ phần</v>
          </cell>
        </row>
        <row r="122">
          <cell r="D122" t="str">
            <v>2147</v>
          </cell>
          <cell r="H122" t="str">
            <v>413</v>
          </cell>
          <cell r="I122" t="str">
            <v>3. Quyền chọn chuyển đổi trái phiếu</v>
          </cell>
        </row>
        <row r="123">
          <cell r="D123" t="str">
            <v>2171</v>
          </cell>
          <cell r="H123" t="str">
            <v>414</v>
          </cell>
          <cell r="I123" t="str">
            <v>4. Vốn khác của chủ sở hữu</v>
          </cell>
        </row>
        <row r="124">
          <cell r="D124" t="str">
            <v>2172</v>
          </cell>
          <cell r="H124" t="str">
            <v>415</v>
          </cell>
          <cell r="I124" t="str">
            <v>5. Cổ phiếu quỹ (*)</v>
          </cell>
        </row>
        <row r="125">
          <cell r="D125" t="str">
            <v>221</v>
          </cell>
          <cell r="H125" t="str">
            <v>416</v>
          </cell>
          <cell r="I125" t="str">
            <v>6. Chênh lệch đánh giá lại tài sản</v>
          </cell>
        </row>
        <row r="126">
          <cell r="D126" t="str">
            <v>222</v>
          </cell>
          <cell r="H126" t="str">
            <v>417</v>
          </cell>
          <cell r="I126" t="str">
            <v>7. Chênh lệch tỷ giá hối đoái</v>
          </cell>
        </row>
        <row r="127">
          <cell r="D127" t="str">
            <v>2281</v>
          </cell>
          <cell r="H127" t="str">
            <v>418</v>
          </cell>
          <cell r="I127" t="str">
            <v>8. Quỹ đầu tư phát triển</v>
          </cell>
        </row>
        <row r="128">
          <cell r="D128" t="str">
            <v>2288n</v>
          </cell>
          <cell r="H128" t="str">
            <v>419</v>
          </cell>
          <cell r="I128" t="str">
            <v>9. Quỹ hỗ trợ sắp xếp doanh nghiệp</v>
          </cell>
        </row>
        <row r="129">
          <cell r="D129" t="str">
            <v>2288d</v>
          </cell>
          <cell r="H129" t="str">
            <v>420</v>
          </cell>
          <cell r="I129" t="str">
            <v>10. Quỹ khác thuộc vốn chủ sở hữu</v>
          </cell>
        </row>
        <row r="130">
          <cell r="D130" t="str">
            <v>2291</v>
          </cell>
          <cell r="H130" t="str">
            <v>421</v>
          </cell>
          <cell r="I130" t="str">
            <v>11. Lợi nhuận sau thuế chưa phân phối</v>
          </cell>
        </row>
        <row r="131">
          <cell r="D131" t="str">
            <v>2292</v>
          </cell>
          <cell r="H131" t="str">
            <v>421a</v>
          </cell>
          <cell r="I131" t="str">
            <v xml:space="preserve"> - LNST chưa phân phối lũy kế đến cuối năm trước</v>
          </cell>
        </row>
        <row r="132">
          <cell r="D132" t="str">
            <v>2293n</v>
          </cell>
          <cell r="H132" t="str">
            <v>421b</v>
          </cell>
          <cell r="I132" t="str">
            <v xml:space="preserve"> - LNST chưa phân phối kỳ này</v>
          </cell>
        </row>
        <row r="133">
          <cell r="D133" t="str">
            <v>2293d</v>
          </cell>
          <cell r="H133" t="str">
            <v>422</v>
          </cell>
          <cell r="I133" t="str">
            <v>12. Nguồn vốn đầu tư xây dựng cơ bản</v>
          </cell>
        </row>
        <row r="134">
          <cell r="D134" t="str">
            <v>2294n</v>
          </cell>
          <cell r="H134" t="str">
            <v>430</v>
          </cell>
          <cell r="I134" t="str">
            <v>II. Nguồn kinh phí và các quỹ khác</v>
          </cell>
        </row>
        <row r="135">
          <cell r="D135" t="str">
            <v>2294d1</v>
          </cell>
          <cell r="H135" t="str">
            <v>431</v>
          </cell>
          <cell r="I135" t="str">
            <v>1. Nguồn kinh phí</v>
          </cell>
        </row>
        <row r="136">
          <cell r="D136" t="str">
            <v>2294d2</v>
          </cell>
          <cell r="H136" t="str">
            <v>432</v>
          </cell>
          <cell r="I136" t="str">
            <v>2. Nguồn kinh phí đã hình thành TSCĐ</v>
          </cell>
        </row>
        <row r="137">
          <cell r="D137" t="str">
            <v>2411</v>
          </cell>
          <cell r="H137" t="str">
            <v>440</v>
          </cell>
          <cell r="I137" t="str">
            <v>TỔNG CỘNG NGUỒN VỐN</v>
          </cell>
        </row>
        <row r="138">
          <cell r="D138" t="str">
            <v>2412</v>
          </cell>
        </row>
        <row r="139">
          <cell r="D139" t="str">
            <v>2413</v>
          </cell>
        </row>
        <row r="140">
          <cell r="D140" t="str">
            <v>242n</v>
          </cell>
        </row>
        <row r="141">
          <cell r="D141" t="str">
            <v>242d</v>
          </cell>
        </row>
        <row r="142">
          <cell r="D142" t="str">
            <v>2431</v>
          </cell>
        </row>
        <row r="143">
          <cell r="D143" t="str">
            <v>2432</v>
          </cell>
        </row>
        <row r="144">
          <cell r="D144" t="str">
            <v>2433</v>
          </cell>
        </row>
        <row r="145">
          <cell r="D145" t="str">
            <v>2434</v>
          </cell>
        </row>
        <row r="146">
          <cell r="D146" t="str">
            <v>244an</v>
          </cell>
        </row>
        <row r="147">
          <cell r="D147" t="str">
            <v>244bn</v>
          </cell>
        </row>
        <row r="148">
          <cell r="D148" t="str">
            <v>244ad</v>
          </cell>
        </row>
        <row r="149">
          <cell r="D149" t="str">
            <v>244bd</v>
          </cell>
        </row>
        <row r="150">
          <cell r="D150" t="str">
            <v>331an</v>
          </cell>
        </row>
        <row r="151">
          <cell r="D151" t="str">
            <v>331ad</v>
          </cell>
        </row>
        <row r="152">
          <cell r="D152" t="str">
            <v>331bn</v>
          </cell>
        </row>
        <row r="153">
          <cell r="D153" t="str">
            <v>331bd</v>
          </cell>
        </row>
        <row r="154">
          <cell r="D154" t="str">
            <v>33311a</v>
          </cell>
        </row>
        <row r="155">
          <cell r="D155" t="str">
            <v>33311b</v>
          </cell>
        </row>
        <row r="156">
          <cell r="D156" t="str">
            <v>33312a</v>
          </cell>
        </row>
        <row r="157">
          <cell r="D157" t="str">
            <v>33312b</v>
          </cell>
        </row>
        <row r="158">
          <cell r="D158" t="str">
            <v>3332a</v>
          </cell>
        </row>
        <row r="159">
          <cell r="D159" t="str">
            <v>3332b</v>
          </cell>
        </row>
        <row r="160">
          <cell r="D160" t="str">
            <v>3333a</v>
          </cell>
        </row>
        <row r="161">
          <cell r="D161" t="str">
            <v>3333b</v>
          </cell>
        </row>
        <row r="162">
          <cell r="D162" t="str">
            <v>3334a</v>
          </cell>
        </row>
        <row r="163">
          <cell r="D163" t="str">
            <v>3334b</v>
          </cell>
        </row>
        <row r="164">
          <cell r="D164" t="str">
            <v>3335a</v>
          </cell>
        </row>
        <row r="165">
          <cell r="D165" t="str">
            <v>3335b</v>
          </cell>
        </row>
        <row r="166">
          <cell r="D166" t="str">
            <v>3336a</v>
          </cell>
        </row>
        <row r="167">
          <cell r="D167" t="str">
            <v>3336b</v>
          </cell>
        </row>
        <row r="168">
          <cell r="D168" t="str">
            <v>3337a</v>
          </cell>
        </row>
        <row r="169">
          <cell r="D169" t="str">
            <v>3337b</v>
          </cell>
        </row>
        <row r="170">
          <cell r="D170" t="str">
            <v>33381a</v>
          </cell>
        </row>
        <row r="171">
          <cell r="D171" t="str">
            <v>33381b</v>
          </cell>
        </row>
        <row r="172">
          <cell r="D172" t="str">
            <v>33382a</v>
          </cell>
        </row>
        <row r="173">
          <cell r="D173" t="str">
            <v>33382b</v>
          </cell>
        </row>
        <row r="174">
          <cell r="D174" t="str">
            <v>3339a</v>
          </cell>
        </row>
        <row r="175">
          <cell r="D175" t="str">
            <v>3339b</v>
          </cell>
        </row>
        <row r="176">
          <cell r="D176" t="str">
            <v>3341an</v>
          </cell>
        </row>
        <row r="177">
          <cell r="D177" t="str">
            <v>3341ad</v>
          </cell>
        </row>
        <row r="178">
          <cell r="D178" t="str">
            <v>3341b</v>
          </cell>
        </row>
        <row r="179">
          <cell r="D179" t="str">
            <v>3348an</v>
          </cell>
        </row>
        <row r="180">
          <cell r="D180" t="str">
            <v>3348ad</v>
          </cell>
        </row>
        <row r="181">
          <cell r="D181" t="str">
            <v>3348b</v>
          </cell>
        </row>
        <row r="182">
          <cell r="D182" t="str">
            <v>335n</v>
          </cell>
        </row>
        <row r="183">
          <cell r="D183" t="str">
            <v>335d</v>
          </cell>
        </row>
        <row r="184">
          <cell r="D184" t="str">
            <v>3361ad</v>
          </cell>
        </row>
        <row r="185">
          <cell r="D185" t="str">
            <v>3361bd</v>
          </cell>
        </row>
        <row r="186">
          <cell r="D186" t="str">
            <v>3362an</v>
          </cell>
        </row>
        <row r="187">
          <cell r="D187" t="str">
            <v>3362bn</v>
          </cell>
        </row>
        <row r="188">
          <cell r="D188" t="str">
            <v>3362ad</v>
          </cell>
        </row>
        <row r="189">
          <cell r="D189" t="str">
            <v>3362bd</v>
          </cell>
        </row>
        <row r="190">
          <cell r="D190" t="str">
            <v>3363an</v>
          </cell>
        </row>
        <row r="191">
          <cell r="D191" t="str">
            <v>3363bn</v>
          </cell>
        </row>
        <row r="192">
          <cell r="D192" t="str">
            <v>3363ad</v>
          </cell>
        </row>
        <row r="193">
          <cell r="D193" t="str">
            <v>3363bd</v>
          </cell>
        </row>
        <row r="194">
          <cell r="D194" t="str">
            <v>3368an</v>
          </cell>
        </row>
        <row r="195">
          <cell r="D195" t="str">
            <v>3368bn</v>
          </cell>
        </row>
        <row r="196">
          <cell r="D196" t="str">
            <v>3368ad</v>
          </cell>
        </row>
        <row r="197">
          <cell r="D197" t="str">
            <v>3368bd</v>
          </cell>
        </row>
        <row r="198">
          <cell r="D198" t="str">
            <v>337a</v>
          </cell>
        </row>
        <row r="199">
          <cell r="D199" t="str">
            <v>337b</v>
          </cell>
        </row>
        <row r="200">
          <cell r="D200" t="str">
            <v>3381</v>
          </cell>
        </row>
        <row r="201">
          <cell r="D201" t="str">
            <v>3382a</v>
          </cell>
        </row>
        <row r="202">
          <cell r="D202" t="str">
            <v>3382b</v>
          </cell>
        </row>
        <row r="203">
          <cell r="D203" t="str">
            <v>3383a</v>
          </cell>
        </row>
        <row r="204">
          <cell r="D204" t="str">
            <v>3383b</v>
          </cell>
        </row>
        <row r="205">
          <cell r="D205" t="str">
            <v>3384a</v>
          </cell>
        </row>
        <row r="206">
          <cell r="D206" t="str">
            <v>3384b</v>
          </cell>
        </row>
        <row r="207">
          <cell r="D207" t="str">
            <v>3385an</v>
          </cell>
        </row>
        <row r="208">
          <cell r="D208" t="str">
            <v>3385bn</v>
          </cell>
        </row>
        <row r="209">
          <cell r="D209" t="str">
            <v>3385ad</v>
          </cell>
        </row>
        <row r="210">
          <cell r="D210" t="str">
            <v>3385bd</v>
          </cell>
        </row>
        <row r="211">
          <cell r="D211" t="str">
            <v>3386a</v>
          </cell>
        </row>
        <row r="212">
          <cell r="D212" t="str">
            <v>3386b</v>
          </cell>
        </row>
        <row r="213">
          <cell r="D213" t="str">
            <v>3387n</v>
          </cell>
        </row>
        <row r="214">
          <cell r="D214" t="str">
            <v>3387d</v>
          </cell>
        </row>
        <row r="215">
          <cell r="D215" t="str">
            <v>33881n</v>
          </cell>
        </row>
        <row r="216">
          <cell r="D216" t="str">
            <v>33881d</v>
          </cell>
        </row>
        <row r="217">
          <cell r="D217" t="str">
            <v>3388an</v>
          </cell>
        </row>
        <row r="218">
          <cell r="D218" t="str">
            <v>3388ad</v>
          </cell>
        </row>
        <row r="219">
          <cell r="D219" t="str">
            <v>3388bn</v>
          </cell>
        </row>
        <row r="220">
          <cell r="D220" t="str">
            <v>3388bd</v>
          </cell>
        </row>
        <row r="221">
          <cell r="D221" t="str">
            <v>3411n</v>
          </cell>
        </row>
        <row r="222">
          <cell r="D222" t="str">
            <v>3411d</v>
          </cell>
        </row>
        <row r="223">
          <cell r="D223" t="str">
            <v>3412n</v>
          </cell>
        </row>
        <row r="224">
          <cell r="D224" t="str">
            <v>3412d</v>
          </cell>
        </row>
        <row r="225">
          <cell r="D225" t="str">
            <v>34311n</v>
          </cell>
        </row>
        <row r="226">
          <cell r="D226" t="str">
            <v>34311d</v>
          </cell>
        </row>
        <row r="227">
          <cell r="D227" t="str">
            <v>34312n</v>
          </cell>
        </row>
        <row r="228">
          <cell r="D228" t="str">
            <v>34312d</v>
          </cell>
        </row>
        <row r="229">
          <cell r="D229" t="str">
            <v>34313n</v>
          </cell>
        </row>
        <row r="230">
          <cell r="D230" t="str">
            <v>34313d</v>
          </cell>
        </row>
        <row r="231">
          <cell r="D231" t="str">
            <v>3432</v>
          </cell>
        </row>
        <row r="232">
          <cell r="D232" t="str">
            <v>344an</v>
          </cell>
        </row>
        <row r="233">
          <cell r="D233" t="str">
            <v>344bn</v>
          </cell>
        </row>
        <row r="234">
          <cell r="D234" t="str">
            <v>344ad</v>
          </cell>
        </row>
        <row r="235">
          <cell r="D235" t="str">
            <v>344bd</v>
          </cell>
        </row>
        <row r="236">
          <cell r="D236" t="str">
            <v>3471</v>
          </cell>
        </row>
        <row r="237">
          <cell r="D237" t="str">
            <v>3472</v>
          </cell>
        </row>
        <row r="238">
          <cell r="D238" t="str">
            <v>3521n</v>
          </cell>
        </row>
        <row r="239">
          <cell r="D239" t="str">
            <v>3521d</v>
          </cell>
        </row>
        <row r="240">
          <cell r="D240" t="str">
            <v>3522n</v>
          </cell>
        </row>
        <row r="241">
          <cell r="D241" t="str">
            <v>3522d</v>
          </cell>
        </row>
        <row r="242">
          <cell r="D242" t="str">
            <v>3523n</v>
          </cell>
        </row>
        <row r="243">
          <cell r="D243" t="str">
            <v>3523d</v>
          </cell>
        </row>
        <row r="244">
          <cell r="D244" t="str">
            <v>3524n</v>
          </cell>
        </row>
        <row r="245">
          <cell r="D245" t="str">
            <v>3524d</v>
          </cell>
        </row>
        <row r="246">
          <cell r="D246" t="str">
            <v>3531</v>
          </cell>
        </row>
        <row r="247">
          <cell r="D247" t="str">
            <v>3532</v>
          </cell>
        </row>
        <row r="248">
          <cell r="D248" t="str">
            <v>3533</v>
          </cell>
        </row>
        <row r="249">
          <cell r="D249" t="str">
            <v>3534</v>
          </cell>
        </row>
        <row r="250">
          <cell r="D250" t="str">
            <v>3561</v>
          </cell>
        </row>
        <row r="251">
          <cell r="D251" t="str">
            <v>3562</v>
          </cell>
        </row>
        <row r="252">
          <cell r="D252" t="str">
            <v>357</v>
          </cell>
        </row>
        <row r="253">
          <cell r="D253" t="str">
            <v>41111a</v>
          </cell>
        </row>
        <row r="254">
          <cell r="D254" t="str">
            <v>41111b</v>
          </cell>
        </row>
        <row r="255">
          <cell r="D255" t="str">
            <v>41112p</v>
          </cell>
        </row>
        <row r="256">
          <cell r="D256" t="str">
            <v>41112v</v>
          </cell>
        </row>
        <row r="257">
          <cell r="D257" t="str">
            <v>4112</v>
          </cell>
        </row>
        <row r="258">
          <cell r="D258" t="str">
            <v>4113</v>
          </cell>
        </row>
        <row r="259">
          <cell r="D259" t="str">
            <v>4118</v>
          </cell>
        </row>
        <row r="260">
          <cell r="D260" t="str">
            <v>412</v>
          </cell>
        </row>
        <row r="261">
          <cell r="D261" t="str">
            <v>4131</v>
          </cell>
        </row>
        <row r="262">
          <cell r="D262" t="str">
            <v>4132</v>
          </cell>
        </row>
        <row r="263">
          <cell r="D263" t="str">
            <v>414</v>
          </cell>
        </row>
        <row r="264">
          <cell r="D264" t="str">
            <v>417</v>
          </cell>
        </row>
        <row r="265">
          <cell r="D265" t="str">
            <v>418</v>
          </cell>
        </row>
        <row r="266">
          <cell r="D266" t="str">
            <v>419</v>
          </cell>
        </row>
        <row r="267">
          <cell r="D267" t="str">
            <v>4211</v>
          </cell>
        </row>
        <row r="268">
          <cell r="D268" t="str">
            <v>4212</v>
          </cell>
        </row>
        <row r="269">
          <cell r="D269" t="str">
            <v>441</v>
          </cell>
        </row>
        <row r="270">
          <cell r="D270" t="str">
            <v>4611</v>
          </cell>
        </row>
        <row r="271">
          <cell r="D271" t="str">
            <v>4612</v>
          </cell>
        </row>
        <row r="272">
          <cell r="D272" t="str">
            <v>466</v>
          </cell>
        </row>
        <row r="273">
          <cell r="D273" t="str">
            <v>5111</v>
          </cell>
        </row>
        <row r="274">
          <cell r="D274" t="str">
            <v>5112</v>
          </cell>
        </row>
        <row r="275">
          <cell r="D275" t="str">
            <v>5113</v>
          </cell>
        </row>
        <row r="276">
          <cell r="D276" t="str">
            <v>5114</v>
          </cell>
        </row>
        <row r="277">
          <cell r="D277" t="str">
            <v>5117</v>
          </cell>
        </row>
        <row r="278">
          <cell r="D278" t="str">
            <v>5118</v>
          </cell>
        </row>
        <row r="279">
          <cell r="D279" t="str">
            <v>5151</v>
          </cell>
        </row>
        <row r="280">
          <cell r="D280" t="str">
            <v>5152</v>
          </cell>
        </row>
        <row r="281">
          <cell r="D281" t="str">
            <v>5153</v>
          </cell>
        </row>
        <row r="282">
          <cell r="D282" t="str">
            <v>5154</v>
          </cell>
        </row>
        <row r="283">
          <cell r="D283" t="str">
            <v>5155</v>
          </cell>
        </row>
        <row r="284">
          <cell r="D284" t="str">
            <v>5158</v>
          </cell>
        </row>
        <row r="285">
          <cell r="D285" t="str">
            <v>5211</v>
          </cell>
        </row>
        <row r="286">
          <cell r="D286" t="str">
            <v>5212</v>
          </cell>
        </row>
        <row r="287">
          <cell r="D287" t="str">
            <v>5213</v>
          </cell>
        </row>
        <row r="288">
          <cell r="D288" t="str">
            <v>6111</v>
          </cell>
        </row>
        <row r="289">
          <cell r="D289" t="str">
            <v>6112</v>
          </cell>
        </row>
        <row r="290">
          <cell r="D290" t="str">
            <v>621</v>
          </cell>
        </row>
        <row r="291">
          <cell r="D291" t="str">
            <v>622</v>
          </cell>
        </row>
        <row r="292">
          <cell r="D292" t="str">
            <v>623</v>
          </cell>
        </row>
        <row r="293">
          <cell r="D293" t="str">
            <v>6231</v>
          </cell>
        </row>
        <row r="294">
          <cell r="D294" t="str">
            <v>6232</v>
          </cell>
        </row>
        <row r="295">
          <cell r="D295" t="str">
            <v>6233</v>
          </cell>
        </row>
        <row r="296">
          <cell r="D296" t="str">
            <v>6234</v>
          </cell>
        </row>
        <row r="297">
          <cell r="D297" t="str">
            <v>6237</v>
          </cell>
        </row>
        <row r="298">
          <cell r="D298" t="str">
            <v>6238</v>
          </cell>
        </row>
        <row r="299">
          <cell r="D299" t="str">
            <v>627</v>
          </cell>
        </row>
        <row r="300">
          <cell r="D300" t="str">
            <v>6271</v>
          </cell>
        </row>
        <row r="301">
          <cell r="D301" t="str">
            <v>6272</v>
          </cell>
        </row>
        <row r="302">
          <cell r="D302" t="str">
            <v>6273</v>
          </cell>
        </row>
        <row r="303">
          <cell r="D303" t="str">
            <v>6274</v>
          </cell>
        </row>
        <row r="304">
          <cell r="D304" t="str">
            <v>6277</v>
          </cell>
        </row>
        <row r="305">
          <cell r="D305" t="str">
            <v>6278</v>
          </cell>
        </row>
        <row r="306">
          <cell r="D306" t="str">
            <v>631</v>
          </cell>
        </row>
        <row r="307">
          <cell r="D307" t="str">
            <v>6321</v>
          </cell>
        </row>
        <row r="308">
          <cell r="D308" t="str">
            <v>6322</v>
          </cell>
        </row>
        <row r="309">
          <cell r="D309" t="str">
            <v>6323</v>
          </cell>
        </row>
        <row r="310">
          <cell r="D310" t="str">
            <v>6324</v>
          </cell>
        </row>
        <row r="311">
          <cell r="D311" t="str">
            <v>6325</v>
          </cell>
        </row>
        <row r="312">
          <cell r="D312" t="str">
            <v>6326</v>
          </cell>
        </row>
        <row r="313">
          <cell r="D313" t="str">
            <v>6327</v>
          </cell>
        </row>
        <row r="314">
          <cell r="D314" t="str">
            <v>6328</v>
          </cell>
        </row>
        <row r="315">
          <cell r="D315" t="str">
            <v>6329</v>
          </cell>
        </row>
        <row r="316">
          <cell r="D316" t="str">
            <v>6320</v>
          </cell>
        </row>
        <row r="317">
          <cell r="D317" t="str">
            <v>6351</v>
          </cell>
        </row>
        <row r="318">
          <cell r="D318" t="str">
            <v>6352</v>
          </cell>
        </row>
        <row r="319">
          <cell r="D319" t="str">
            <v>6353</v>
          </cell>
        </row>
        <row r="320">
          <cell r="D320" t="str">
            <v>6354</v>
          </cell>
        </row>
        <row r="321">
          <cell r="D321" t="str">
            <v>6355</v>
          </cell>
        </row>
        <row r="322">
          <cell r="D322" t="str">
            <v>6356</v>
          </cell>
        </row>
        <row r="323">
          <cell r="D323" t="str">
            <v>6357</v>
          </cell>
        </row>
        <row r="324">
          <cell r="D324" t="str">
            <v>6411</v>
          </cell>
        </row>
        <row r="325">
          <cell r="D325" t="str">
            <v>6412</v>
          </cell>
        </row>
        <row r="326">
          <cell r="D326" t="str">
            <v>6413</v>
          </cell>
        </row>
        <row r="327">
          <cell r="D327" t="str">
            <v>6414</v>
          </cell>
        </row>
        <row r="328">
          <cell r="D328" t="str">
            <v>6415</v>
          </cell>
        </row>
        <row r="329">
          <cell r="D329" t="str">
            <v>6417</v>
          </cell>
        </row>
        <row r="330">
          <cell r="D330" t="str">
            <v>6418</v>
          </cell>
        </row>
        <row r="331">
          <cell r="D331" t="str">
            <v>6421</v>
          </cell>
        </row>
        <row r="332">
          <cell r="D332" t="str">
            <v>6422</v>
          </cell>
        </row>
        <row r="333">
          <cell r="D333" t="str">
            <v>6423</v>
          </cell>
        </row>
        <row r="334">
          <cell r="D334" t="str">
            <v>6424</v>
          </cell>
        </row>
        <row r="335">
          <cell r="D335" t="str">
            <v>6425</v>
          </cell>
        </row>
        <row r="336">
          <cell r="D336" t="str">
            <v>6426</v>
          </cell>
        </row>
        <row r="337">
          <cell r="D337" t="str">
            <v>6427</v>
          </cell>
        </row>
        <row r="338">
          <cell r="D338" t="str">
            <v>6428</v>
          </cell>
        </row>
        <row r="339">
          <cell r="D339" t="str">
            <v>711</v>
          </cell>
        </row>
        <row r="340">
          <cell r="D340" t="str">
            <v>811</v>
          </cell>
        </row>
        <row r="341">
          <cell r="D341" t="str">
            <v>82111</v>
          </cell>
        </row>
        <row r="342">
          <cell r="D342" t="str">
            <v>82112</v>
          </cell>
        </row>
        <row r="343">
          <cell r="D343" t="str">
            <v>82121</v>
          </cell>
        </row>
        <row r="344">
          <cell r="D344" t="str">
            <v>82122</v>
          </cell>
        </row>
        <row r="345">
          <cell r="D345" t="str">
            <v>82123</v>
          </cell>
        </row>
        <row r="346">
          <cell r="D346" t="str">
            <v>82124</v>
          </cell>
        </row>
        <row r="347">
          <cell r="D347" t="str">
            <v>82125</v>
          </cell>
        </row>
        <row r="348">
          <cell r="D348" t="str">
            <v>911</v>
          </cell>
        </row>
        <row r="349">
          <cell r="D349" t="str">
            <v>LC01</v>
          </cell>
        </row>
        <row r="350">
          <cell r="D350" t="str">
            <v>LC02</v>
          </cell>
        </row>
        <row r="351">
          <cell r="D351" t="str">
            <v>LC03</v>
          </cell>
        </row>
        <row r="352">
          <cell r="D352" t="str">
            <v>LC04</v>
          </cell>
        </row>
        <row r="353">
          <cell r="D353" t="str">
            <v>LC05</v>
          </cell>
        </row>
        <row r="354">
          <cell r="D354" t="str">
            <v>LC06</v>
          </cell>
        </row>
        <row r="355">
          <cell r="D355" t="str">
            <v>LC07</v>
          </cell>
        </row>
        <row r="356">
          <cell r="D356" t="str">
            <v>LC21</v>
          </cell>
        </row>
        <row r="357">
          <cell r="D357" t="str">
            <v>LC22</v>
          </cell>
        </row>
        <row r="358">
          <cell r="D358" t="str">
            <v>LC23</v>
          </cell>
        </row>
        <row r="359">
          <cell r="D359" t="str">
            <v>LC24</v>
          </cell>
        </row>
        <row r="360">
          <cell r="D360" t="str">
            <v>LC25</v>
          </cell>
        </row>
        <row r="361">
          <cell r="D361" t="str">
            <v>LC26</v>
          </cell>
        </row>
        <row r="362">
          <cell r="D362" t="str">
            <v>LC27</v>
          </cell>
        </row>
        <row r="363">
          <cell r="D363" t="str">
            <v>LC31</v>
          </cell>
        </row>
        <row r="364">
          <cell r="D364" t="str">
            <v>LC32</v>
          </cell>
        </row>
        <row r="365">
          <cell r="D365" t="str">
            <v>LC33</v>
          </cell>
        </row>
        <row r="366">
          <cell r="D366" t="str">
            <v>LC34</v>
          </cell>
        </row>
        <row r="367">
          <cell r="D367" t="str">
            <v>LC35</v>
          </cell>
        </row>
        <row r="368">
          <cell r="D368" t="str">
            <v>LC36</v>
          </cell>
        </row>
        <row r="369">
          <cell r="D369" t="str">
            <v>LC61</v>
          </cell>
        </row>
      </sheetData>
      <sheetData sheetId="5">
        <row r="10">
          <cell r="N10">
            <v>0</v>
          </cell>
          <cell r="O10" t="str">
            <v/>
          </cell>
          <cell r="P10" t="str">
            <v/>
          </cell>
          <cell r="Q10" t="str">
            <v/>
          </cell>
          <cell r="R10" t="str">
            <v/>
          </cell>
        </row>
        <row r="11">
          <cell r="N11">
            <v>0</v>
          </cell>
          <cell r="O11" t="str">
            <v/>
          </cell>
          <cell r="P11" t="str">
            <v/>
          </cell>
          <cell r="Q11" t="str">
            <v/>
          </cell>
          <cell r="R11" t="str">
            <v/>
          </cell>
        </row>
        <row r="12">
          <cell r="F12" t="str">
            <v>3368bn</v>
          </cell>
          <cell r="H12" t="str">
            <v>1368an</v>
          </cell>
          <cell r="N12">
            <v>11757227666</v>
          </cell>
          <cell r="O12" t="str">
            <v>3368bn</v>
          </cell>
          <cell r="P12" t="str">
            <v>1368an</v>
          </cell>
          <cell r="Q12" t="str">
            <v/>
          </cell>
          <cell r="R12" t="str">
            <v/>
          </cell>
        </row>
        <row r="13">
          <cell r="N13">
            <v>0</v>
          </cell>
          <cell r="O13" t="str">
            <v/>
          </cell>
          <cell r="P13" t="str">
            <v/>
          </cell>
          <cell r="Q13" t="str">
            <v/>
          </cell>
          <cell r="R13" t="str">
            <v/>
          </cell>
        </row>
        <row r="14">
          <cell r="F14" t="str">
            <v>5112</v>
          </cell>
          <cell r="H14" t="str">
            <v>6322</v>
          </cell>
          <cell r="N14">
            <v>0</v>
          </cell>
          <cell r="O14" t="str">
            <v>4212</v>
          </cell>
          <cell r="P14" t="str">
            <v>4212</v>
          </cell>
          <cell r="Q14" t="str">
            <v>5112</v>
          </cell>
          <cell r="R14" t="str">
            <v>6322</v>
          </cell>
        </row>
        <row r="15">
          <cell r="F15" t="str">
            <v>5112</v>
          </cell>
          <cell r="H15" t="str">
            <v>6322</v>
          </cell>
          <cell r="N15">
            <v>2434120560</v>
          </cell>
          <cell r="O15" t="str">
            <v>4212</v>
          </cell>
          <cell r="P15" t="str">
            <v>4212</v>
          </cell>
          <cell r="Q15" t="str">
            <v>5112</v>
          </cell>
          <cell r="R15" t="str">
            <v>6322</v>
          </cell>
        </row>
        <row r="16">
          <cell r="F16" t="str">
            <v>1283n</v>
          </cell>
          <cell r="H16" t="str">
            <v>1283d</v>
          </cell>
          <cell r="N16">
            <v>150000000</v>
          </cell>
          <cell r="O16" t="str">
            <v>1283n</v>
          </cell>
          <cell r="P16" t="str">
            <v>1283d</v>
          </cell>
          <cell r="Q16" t="str">
            <v/>
          </cell>
          <cell r="R16" t="str">
            <v/>
          </cell>
        </row>
        <row r="17">
          <cell r="F17" t="str">
            <v>33382b</v>
          </cell>
          <cell r="H17" t="str">
            <v>3335b</v>
          </cell>
          <cell r="N17">
            <v>2701</v>
          </cell>
          <cell r="O17" t="str">
            <v>33382b</v>
          </cell>
          <cell r="P17" t="str">
            <v>3335b</v>
          </cell>
          <cell r="Q17" t="str">
            <v/>
          </cell>
          <cell r="R17" t="str">
            <v/>
          </cell>
        </row>
        <row r="18">
          <cell r="F18" t="str">
            <v>711</v>
          </cell>
          <cell r="H18" t="str">
            <v>811</v>
          </cell>
          <cell r="N18">
            <v>1478554891</v>
          </cell>
          <cell r="O18" t="str">
            <v>4212</v>
          </cell>
          <cell r="P18" t="str">
            <v>4212</v>
          </cell>
          <cell r="Q18" t="str">
            <v>711</v>
          </cell>
          <cell r="R18" t="str">
            <v>811</v>
          </cell>
        </row>
        <row r="19">
          <cell r="F19" t="str">
            <v>6428</v>
          </cell>
          <cell r="H19" t="str">
            <v>6426</v>
          </cell>
          <cell r="N19">
            <v>345164600</v>
          </cell>
          <cell r="O19" t="str">
            <v>4212</v>
          </cell>
          <cell r="P19" t="str">
            <v>4212</v>
          </cell>
          <cell r="Q19" t="str">
            <v>6428</v>
          </cell>
          <cell r="R19" t="str">
            <v>6426</v>
          </cell>
        </row>
        <row r="20">
          <cell r="F20" t="str">
            <v>6428</v>
          </cell>
          <cell r="H20" t="str">
            <v>6426</v>
          </cell>
          <cell r="N20">
            <v>37295450</v>
          </cell>
          <cell r="O20" t="str">
            <v>4212</v>
          </cell>
          <cell r="P20" t="str">
            <v>4212</v>
          </cell>
          <cell r="Q20" t="str">
            <v>6428</v>
          </cell>
          <cell r="R20" t="str">
            <v>6426</v>
          </cell>
        </row>
        <row r="21">
          <cell r="N21">
            <v>0</v>
          </cell>
          <cell r="O21" t="str">
            <v/>
          </cell>
          <cell r="P21" t="str">
            <v/>
          </cell>
          <cell r="Q21" t="str">
            <v/>
          </cell>
          <cell r="R21" t="str">
            <v/>
          </cell>
        </row>
        <row r="22">
          <cell r="F22" t="str">
            <v>242n</v>
          </cell>
          <cell r="H22" t="str">
            <v>242d</v>
          </cell>
          <cell r="M22">
            <v>8713101.75</v>
          </cell>
          <cell r="N22">
            <v>0</v>
          </cell>
          <cell r="O22" t="str">
            <v xml:space="preserve"> -</v>
          </cell>
          <cell r="P22" t="str">
            <v xml:space="preserve"> -</v>
          </cell>
          <cell r="Q22" t="str">
            <v xml:space="preserve"> -</v>
          </cell>
          <cell r="R22" t="str">
            <v xml:space="preserve"> -</v>
          </cell>
          <cell r="S22" t="str">
            <v>Refuse</v>
          </cell>
        </row>
        <row r="23">
          <cell r="F23" t="str">
            <v>21414</v>
          </cell>
          <cell r="G23" t="str">
            <v>11.13</v>
          </cell>
          <cell r="H23" t="str">
            <v>2114</v>
          </cell>
          <cell r="I23" t="str">
            <v>11.07</v>
          </cell>
          <cell r="N23">
            <v>28083830</v>
          </cell>
          <cell r="O23" t="str">
            <v>21414</v>
          </cell>
          <cell r="P23" t="str">
            <v>2114</v>
          </cell>
          <cell r="Q23" t="str">
            <v/>
          </cell>
          <cell r="R23" t="str">
            <v/>
          </cell>
          <cell r="S23" t="str">
            <v>OK</v>
          </cell>
        </row>
        <row r="24">
          <cell r="F24" t="str">
            <v>242d</v>
          </cell>
          <cell r="H24" t="str">
            <v>2114</v>
          </cell>
          <cell r="I24" t="str">
            <v>11.07</v>
          </cell>
          <cell r="N24">
            <v>8949806</v>
          </cell>
          <cell r="O24" t="str">
            <v>242d</v>
          </cell>
          <cell r="P24" t="str">
            <v>2114</v>
          </cell>
          <cell r="Q24" t="str">
            <v/>
          </cell>
          <cell r="R24" t="str">
            <v/>
          </cell>
          <cell r="S24" t="str">
            <v>OK</v>
          </cell>
        </row>
        <row r="25">
          <cell r="F25" t="str">
            <v>6426</v>
          </cell>
          <cell r="H25" t="str">
            <v>2293n</v>
          </cell>
          <cell r="N25">
            <v>61700000</v>
          </cell>
          <cell r="O25" t="str">
            <v>4212</v>
          </cell>
          <cell r="P25" t="str">
            <v>2293n</v>
          </cell>
          <cell r="Q25" t="str">
            <v>6426</v>
          </cell>
          <cell r="R25" t="str">
            <v/>
          </cell>
          <cell r="S25" t="str">
            <v>OK</v>
          </cell>
        </row>
        <row r="26">
          <cell r="F26" t="str">
            <v>1388an</v>
          </cell>
          <cell r="H26" t="str">
            <v>5151</v>
          </cell>
          <cell r="N26">
            <v>-3786400</v>
          </cell>
          <cell r="O26" t="str">
            <v>1388an</v>
          </cell>
          <cell r="P26" t="str">
            <v>4212</v>
          </cell>
          <cell r="Q26" t="str">
            <v/>
          </cell>
          <cell r="R26" t="str">
            <v>5151</v>
          </cell>
          <cell r="S26" t="str">
            <v>OK</v>
          </cell>
        </row>
        <row r="27">
          <cell r="F27" t="str">
            <v>6426</v>
          </cell>
          <cell r="H27" t="str">
            <v>2293n</v>
          </cell>
          <cell r="N27">
            <v>2778080</v>
          </cell>
          <cell r="O27" t="str">
            <v>4212</v>
          </cell>
          <cell r="P27" t="str">
            <v>2293n</v>
          </cell>
          <cell r="Q27" t="str">
            <v>6426</v>
          </cell>
          <cell r="R27" t="str">
            <v/>
          </cell>
          <cell r="S27" t="str">
            <v>OK</v>
          </cell>
        </row>
        <row r="28">
          <cell r="F28" t="str">
            <v>152</v>
          </cell>
          <cell r="H28" t="str">
            <v>331bn</v>
          </cell>
          <cell r="N28">
            <v>292038778</v>
          </cell>
          <cell r="O28" t="str">
            <v>152</v>
          </cell>
          <cell r="P28" t="str">
            <v>331bn</v>
          </cell>
          <cell r="Q28" t="str">
            <v/>
          </cell>
          <cell r="R28" t="str">
            <v/>
          </cell>
          <cell r="S28" t="str">
            <v>OK</v>
          </cell>
        </row>
        <row r="29">
          <cell r="F29" t="str">
            <v>6428</v>
          </cell>
          <cell r="H29" t="str">
            <v>335n</v>
          </cell>
          <cell r="N29">
            <v>34166667</v>
          </cell>
          <cell r="O29" t="str">
            <v>4212</v>
          </cell>
          <cell r="P29" t="str">
            <v>335n</v>
          </cell>
          <cell r="Q29" t="str">
            <v>6428</v>
          </cell>
          <cell r="R29" t="str">
            <v/>
          </cell>
          <cell r="S29" t="str">
            <v>OK</v>
          </cell>
        </row>
        <row r="30">
          <cell r="F30" t="str">
            <v>131an</v>
          </cell>
          <cell r="H30" t="str">
            <v>1388an</v>
          </cell>
          <cell r="N30">
            <v>156370000</v>
          </cell>
          <cell r="O30" t="str">
            <v>131an</v>
          </cell>
          <cell r="P30" t="str">
            <v>1388an</v>
          </cell>
          <cell r="Q30" t="str">
            <v/>
          </cell>
          <cell r="R30" t="str">
            <v/>
          </cell>
          <cell r="S30" t="str">
            <v>OK</v>
          </cell>
        </row>
        <row r="31">
          <cell r="F31" t="str">
            <v>3337b</v>
          </cell>
          <cell r="H31" t="str">
            <v>6322</v>
          </cell>
          <cell r="L31">
            <v>157736500</v>
          </cell>
          <cell r="N31">
            <v>157736500</v>
          </cell>
          <cell r="O31" t="str">
            <v>3337b</v>
          </cell>
          <cell r="P31" t="str">
            <v>4212</v>
          </cell>
          <cell r="Q31" t="str">
            <v/>
          </cell>
          <cell r="R31" t="str">
            <v>6322</v>
          </cell>
          <cell r="S31" t="str">
            <v>OK</v>
          </cell>
        </row>
        <row r="32">
          <cell r="F32" t="str">
            <v>3337b</v>
          </cell>
          <cell r="H32" t="str">
            <v>6425</v>
          </cell>
          <cell r="L32">
            <v>61631600</v>
          </cell>
          <cell r="N32">
            <v>61631600</v>
          </cell>
          <cell r="O32" t="str">
            <v>3337b</v>
          </cell>
          <cell r="P32" t="str">
            <v>4212</v>
          </cell>
          <cell r="Q32" t="str">
            <v/>
          </cell>
          <cell r="R32" t="str">
            <v>6425</v>
          </cell>
          <cell r="S32" t="str">
            <v>OK</v>
          </cell>
        </row>
        <row r="33">
          <cell r="F33" t="str">
            <v>6322</v>
          </cell>
          <cell r="H33" t="str">
            <v>3337b</v>
          </cell>
          <cell r="L33">
            <v>247858000</v>
          </cell>
          <cell r="N33">
            <v>247858000</v>
          </cell>
          <cell r="O33" t="str">
            <v>4212</v>
          </cell>
          <cell r="P33" t="str">
            <v>3337b</v>
          </cell>
          <cell r="Q33" t="str">
            <v>6322</v>
          </cell>
          <cell r="R33" t="str">
            <v/>
          </cell>
          <cell r="S33" t="str">
            <v>OK</v>
          </cell>
        </row>
        <row r="34">
          <cell r="F34" t="str">
            <v>6424</v>
          </cell>
          <cell r="H34" t="str">
            <v>811</v>
          </cell>
          <cell r="N34">
            <v>5619112</v>
          </cell>
          <cell r="O34" t="str">
            <v>4212</v>
          </cell>
          <cell r="P34" t="str">
            <v>4212</v>
          </cell>
          <cell r="Q34" t="str">
            <v>6424</v>
          </cell>
          <cell r="R34" t="str">
            <v>811</v>
          </cell>
          <cell r="S34" t="str">
            <v>OK</v>
          </cell>
        </row>
        <row r="35">
          <cell r="F35" t="str">
            <v>6427</v>
          </cell>
          <cell r="H35" t="str">
            <v>331bn</v>
          </cell>
          <cell r="N35">
            <v>22000000</v>
          </cell>
          <cell r="O35" t="str">
            <v>4212</v>
          </cell>
          <cell r="P35" t="str">
            <v>331bn</v>
          </cell>
          <cell r="Q35" t="str">
            <v>6427</v>
          </cell>
          <cell r="R35" t="str">
            <v/>
          </cell>
          <cell r="S35" t="str">
            <v>OK</v>
          </cell>
        </row>
        <row r="36">
          <cell r="F36" t="str">
            <v>33311b</v>
          </cell>
          <cell r="H36" t="str">
            <v>331bn</v>
          </cell>
          <cell r="N36">
            <v>2200000</v>
          </cell>
          <cell r="O36" t="str">
            <v>33311b</v>
          </cell>
          <cell r="P36" t="str">
            <v>331bn</v>
          </cell>
          <cell r="Q36" t="str">
            <v/>
          </cell>
          <cell r="R36" t="str">
            <v/>
          </cell>
          <cell r="S36" t="str">
            <v>OK</v>
          </cell>
        </row>
        <row r="37">
          <cell r="F37" t="str">
            <v>3382b</v>
          </cell>
          <cell r="H37" t="str">
            <v>3388bn</v>
          </cell>
          <cell r="N37">
            <v>80000000</v>
          </cell>
          <cell r="O37" t="str">
            <v>3382b</v>
          </cell>
          <cell r="P37" t="str">
            <v>3388bn</v>
          </cell>
          <cell r="Q37" t="str">
            <v/>
          </cell>
          <cell r="R37" t="str">
            <v/>
          </cell>
        </row>
        <row r="38">
          <cell r="N38">
            <v>0</v>
          </cell>
          <cell r="O38" t="str">
            <v/>
          </cell>
          <cell r="P38" t="str">
            <v/>
          </cell>
          <cell r="Q38" t="str">
            <v/>
          </cell>
          <cell r="R38" t="str">
            <v/>
          </cell>
        </row>
        <row r="39">
          <cell r="N39">
            <v>0</v>
          </cell>
          <cell r="O39" t="str">
            <v/>
          </cell>
          <cell r="P39" t="str">
            <v/>
          </cell>
          <cell r="Q39" t="str">
            <v/>
          </cell>
          <cell r="R39" t="str">
            <v/>
          </cell>
        </row>
        <row r="40">
          <cell r="N40">
            <v>0</v>
          </cell>
          <cell r="O40" t="str">
            <v/>
          </cell>
          <cell r="P40" t="str">
            <v/>
          </cell>
          <cell r="Q40" t="str">
            <v/>
          </cell>
          <cell r="R40" t="str">
            <v/>
          </cell>
        </row>
        <row r="41">
          <cell r="N41">
            <v>0</v>
          </cell>
          <cell r="O41" t="str">
            <v/>
          </cell>
          <cell r="P41" t="str">
            <v/>
          </cell>
          <cell r="Q41" t="str">
            <v/>
          </cell>
          <cell r="R41" t="str">
            <v/>
          </cell>
        </row>
        <row r="42">
          <cell r="F42" t="str">
            <v>82111</v>
          </cell>
          <cell r="H42" t="str">
            <v>3334b</v>
          </cell>
          <cell r="N42">
            <v>-23499349</v>
          </cell>
          <cell r="O42" t="str">
            <v>4212</v>
          </cell>
          <cell r="P42" t="str">
            <v>3334b</v>
          </cell>
          <cell r="Q42" t="str">
            <v>82111</v>
          </cell>
          <cell r="R42" t="str">
            <v/>
          </cell>
          <cell r="S42" t="str">
            <v>OK</v>
          </cell>
        </row>
        <row r="43">
          <cell r="N43">
            <v>0</v>
          </cell>
          <cell r="O43" t="str">
            <v/>
          </cell>
          <cell r="P43" t="str">
            <v/>
          </cell>
          <cell r="Q43" t="str">
            <v/>
          </cell>
          <cell r="R43" t="str">
            <v/>
          </cell>
        </row>
        <row r="44">
          <cell r="N44">
            <v>0</v>
          </cell>
          <cell r="O44" t="str">
            <v/>
          </cell>
          <cell r="P44" t="str">
            <v/>
          </cell>
          <cell r="Q44" t="str">
            <v/>
          </cell>
          <cell r="R44" t="str">
            <v/>
          </cell>
        </row>
        <row r="45">
          <cell r="N45">
            <v>0</v>
          </cell>
          <cell r="O45" t="str">
            <v/>
          </cell>
          <cell r="P45" t="str">
            <v/>
          </cell>
          <cell r="Q45" t="str">
            <v/>
          </cell>
          <cell r="R45" t="str">
            <v/>
          </cell>
        </row>
        <row r="46">
          <cell r="N46">
            <v>0</v>
          </cell>
          <cell r="O46" t="str">
            <v/>
          </cell>
          <cell r="P46" t="str">
            <v/>
          </cell>
          <cell r="Q46" t="str">
            <v/>
          </cell>
          <cell r="R46" t="str">
            <v/>
          </cell>
        </row>
        <row r="47">
          <cell r="N47">
            <v>0</v>
          </cell>
          <cell r="O47" t="str">
            <v/>
          </cell>
          <cell r="P47" t="str">
            <v/>
          </cell>
          <cell r="Q47" t="str">
            <v/>
          </cell>
          <cell r="R47" t="str">
            <v/>
          </cell>
        </row>
        <row r="48">
          <cell r="N48">
            <v>0</v>
          </cell>
          <cell r="O48" t="str">
            <v/>
          </cell>
          <cell r="P48" t="str">
            <v/>
          </cell>
          <cell r="Q48" t="str">
            <v/>
          </cell>
          <cell r="R48" t="str">
            <v/>
          </cell>
        </row>
        <row r="49">
          <cell r="N49">
            <v>0</v>
          </cell>
          <cell r="O49" t="str">
            <v/>
          </cell>
          <cell r="P49" t="str">
            <v/>
          </cell>
          <cell r="Q49" t="str">
            <v/>
          </cell>
          <cell r="R49" t="str">
            <v/>
          </cell>
        </row>
        <row r="50">
          <cell r="N50">
            <v>0</v>
          </cell>
          <cell r="O50" t="str">
            <v/>
          </cell>
          <cell r="P50" t="str">
            <v/>
          </cell>
          <cell r="Q50" t="str">
            <v/>
          </cell>
          <cell r="R50" t="str">
            <v/>
          </cell>
        </row>
        <row r="51">
          <cell r="N51">
            <v>0</v>
          </cell>
          <cell r="O51" t="str">
            <v/>
          </cell>
          <cell r="P51" t="str">
            <v/>
          </cell>
          <cell r="Q51" t="str">
            <v/>
          </cell>
          <cell r="R51" t="str">
            <v/>
          </cell>
        </row>
        <row r="52">
          <cell r="N52">
            <v>0</v>
          </cell>
          <cell r="O52" t="str">
            <v/>
          </cell>
          <cell r="P52" t="str">
            <v/>
          </cell>
          <cell r="Q52" t="str">
            <v/>
          </cell>
          <cell r="R52" t="str">
            <v/>
          </cell>
        </row>
        <row r="53">
          <cell r="N53">
            <v>0</v>
          </cell>
          <cell r="O53" t="str">
            <v/>
          </cell>
          <cell r="P53" t="str">
            <v/>
          </cell>
          <cell r="Q53" t="str">
            <v/>
          </cell>
          <cell r="R53" t="str">
            <v/>
          </cell>
        </row>
        <row r="54">
          <cell r="N54">
            <v>0</v>
          </cell>
          <cell r="O54" t="str">
            <v/>
          </cell>
          <cell r="P54" t="str">
            <v/>
          </cell>
          <cell r="Q54" t="str">
            <v/>
          </cell>
          <cell r="R54" t="str">
            <v/>
          </cell>
        </row>
        <row r="55">
          <cell r="N55">
            <v>0</v>
          </cell>
          <cell r="O55" t="str">
            <v/>
          </cell>
          <cell r="P55" t="str">
            <v/>
          </cell>
          <cell r="Q55" t="str">
            <v/>
          </cell>
          <cell r="R55" t="str">
            <v/>
          </cell>
        </row>
        <row r="56">
          <cell r="N56">
            <v>0</v>
          </cell>
          <cell r="O56" t="str">
            <v/>
          </cell>
          <cell r="P56" t="str">
            <v/>
          </cell>
          <cell r="Q56" t="str">
            <v/>
          </cell>
          <cell r="R56" t="str">
            <v/>
          </cell>
        </row>
        <row r="57">
          <cell r="N57">
            <v>0</v>
          </cell>
          <cell r="O57" t="str">
            <v/>
          </cell>
          <cell r="P57" t="str">
            <v/>
          </cell>
          <cell r="Q57" t="str">
            <v/>
          </cell>
          <cell r="R57" t="str">
            <v/>
          </cell>
        </row>
        <row r="58">
          <cell r="N58">
            <v>0</v>
          </cell>
          <cell r="O58" t="str">
            <v/>
          </cell>
          <cell r="P58" t="str">
            <v/>
          </cell>
          <cell r="Q58" t="str">
            <v/>
          </cell>
          <cell r="R58" t="str">
            <v/>
          </cell>
        </row>
        <row r="59">
          <cell r="N59">
            <v>0</v>
          </cell>
          <cell r="O59" t="str">
            <v/>
          </cell>
          <cell r="P59" t="str">
            <v/>
          </cell>
          <cell r="Q59" t="str">
            <v/>
          </cell>
          <cell r="R59" t="str">
            <v/>
          </cell>
        </row>
        <row r="60">
          <cell r="N60">
            <v>0</v>
          </cell>
          <cell r="O60" t="str">
            <v/>
          </cell>
          <cell r="P60" t="str">
            <v/>
          </cell>
          <cell r="Q60" t="str">
            <v/>
          </cell>
          <cell r="R60" t="str">
            <v/>
          </cell>
        </row>
        <row r="61">
          <cell r="N61">
            <v>0</v>
          </cell>
          <cell r="O61" t="str">
            <v/>
          </cell>
          <cell r="P61" t="str">
            <v/>
          </cell>
          <cell r="Q61" t="str">
            <v/>
          </cell>
          <cell r="R61" t="str">
            <v/>
          </cell>
        </row>
        <row r="62">
          <cell r="N62">
            <v>0</v>
          </cell>
          <cell r="O62" t="str">
            <v/>
          </cell>
          <cell r="P62" t="str">
            <v/>
          </cell>
          <cell r="Q62" t="str">
            <v/>
          </cell>
          <cell r="R62" t="str">
            <v/>
          </cell>
        </row>
        <row r="63">
          <cell r="N63">
            <v>0</v>
          </cell>
          <cell r="O63" t="str">
            <v/>
          </cell>
          <cell r="P63" t="str">
            <v/>
          </cell>
          <cell r="Q63" t="str">
            <v/>
          </cell>
          <cell r="R63" t="str">
            <v/>
          </cell>
        </row>
        <row r="64">
          <cell r="N64">
            <v>0</v>
          </cell>
          <cell r="O64" t="str">
            <v/>
          </cell>
          <cell r="P64" t="str">
            <v/>
          </cell>
          <cell r="Q64" t="str">
            <v/>
          </cell>
          <cell r="R64" t="str">
            <v/>
          </cell>
        </row>
        <row r="65">
          <cell r="N65">
            <v>0</v>
          </cell>
          <cell r="O65" t="str">
            <v/>
          </cell>
          <cell r="P65" t="str">
            <v/>
          </cell>
          <cell r="Q65" t="str">
            <v/>
          </cell>
          <cell r="R65" t="str">
            <v/>
          </cell>
        </row>
        <row r="66">
          <cell r="N66">
            <v>0</v>
          </cell>
          <cell r="O66" t="str">
            <v/>
          </cell>
          <cell r="P66" t="str">
            <v/>
          </cell>
          <cell r="Q66" t="str">
            <v/>
          </cell>
          <cell r="R66" t="str">
            <v/>
          </cell>
        </row>
        <row r="67">
          <cell r="N67">
            <v>0</v>
          </cell>
          <cell r="O67" t="str">
            <v/>
          </cell>
          <cell r="P67" t="str">
            <v/>
          </cell>
          <cell r="Q67" t="str">
            <v/>
          </cell>
          <cell r="R67" t="str">
            <v/>
          </cell>
        </row>
        <row r="68">
          <cell r="N68">
            <v>0</v>
          </cell>
          <cell r="O68" t="str">
            <v/>
          </cell>
          <cell r="P68" t="str">
            <v/>
          </cell>
          <cell r="Q68" t="str">
            <v/>
          </cell>
          <cell r="R68" t="str">
            <v/>
          </cell>
        </row>
        <row r="69">
          <cell r="N69">
            <v>0</v>
          </cell>
          <cell r="O69" t="str">
            <v/>
          </cell>
          <cell r="P69" t="str">
            <v/>
          </cell>
          <cell r="Q69" t="str">
            <v/>
          </cell>
          <cell r="R69" t="str">
            <v/>
          </cell>
        </row>
        <row r="70">
          <cell r="N70">
            <v>0</v>
          </cell>
          <cell r="O70" t="str">
            <v/>
          </cell>
          <cell r="P70" t="str">
            <v/>
          </cell>
          <cell r="Q70" t="str">
            <v/>
          </cell>
          <cell r="R70" t="str">
            <v/>
          </cell>
        </row>
        <row r="71">
          <cell r="N71">
            <v>0</v>
          </cell>
          <cell r="O71" t="str">
            <v/>
          </cell>
          <cell r="P71" t="str">
            <v/>
          </cell>
          <cell r="Q71" t="str">
            <v/>
          </cell>
          <cell r="R71" t="str">
            <v/>
          </cell>
        </row>
        <row r="72">
          <cell r="N72">
            <v>0</v>
          </cell>
          <cell r="O72" t="str">
            <v/>
          </cell>
          <cell r="P72" t="str">
            <v/>
          </cell>
          <cell r="Q72" t="str">
            <v/>
          </cell>
          <cell r="R72" t="str">
            <v/>
          </cell>
        </row>
        <row r="73">
          <cell r="N73">
            <v>0</v>
          </cell>
          <cell r="O73" t="str">
            <v/>
          </cell>
          <cell r="P73" t="str">
            <v/>
          </cell>
          <cell r="Q73" t="str">
            <v/>
          </cell>
          <cell r="R73" t="str">
            <v/>
          </cell>
        </row>
        <row r="74">
          <cell r="N74">
            <v>0</v>
          </cell>
          <cell r="O74" t="str">
            <v/>
          </cell>
          <cell r="P74" t="str">
            <v/>
          </cell>
          <cell r="Q74" t="str">
            <v/>
          </cell>
          <cell r="R74" t="str">
            <v/>
          </cell>
        </row>
        <row r="75">
          <cell r="N75">
            <v>0</v>
          </cell>
          <cell r="O75" t="str">
            <v/>
          </cell>
          <cell r="P75" t="str">
            <v/>
          </cell>
          <cell r="Q75" t="str">
            <v/>
          </cell>
          <cell r="R75" t="str">
            <v/>
          </cell>
        </row>
        <row r="76">
          <cell r="N76">
            <v>0</v>
          </cell>
          <cell r="O76" t="str">
            <v/>
          </cell>
          <cell r="P76" t="str">
            <v/>
          </cell>
          <cell r="Q76" t="str">
            <v/>
          </cell>
          <cell r="R76" t="str">
            <v/>
          </cell>
        </row>
        <row r="77">
          <cell r="N77">
            <v>0</v>
          </cell>
          <cell r="O77" t="str">
            <v/>
          </cell>
          <cell r="P77" t="str">
            <v/>
          </cell>
          <cell r="Q77" t="str">
            <v/>
          </cell>
          <cell r="R77" t="str">
            <v/>
          </cell>
        </row>
        <row r="78">
          <cell r="N78">
            <v>0</v>
          </cell>
          <cell r="O78" t="str">
            <v/>
          </cell>
          <cell r="P78" t="str">
            <v/>
          </cell>
          <cell r="Q78" t="str">
            <v/>
          </cell>
          <cell r="R78" t="str">
            <v/>
          </cell>
        </row>
        <row r="79">
          <cell r="N79">
            <v>0</v>
          </cell>
          <cell r="O79" t="str">
            <v/>
          </cell>
          <cell r="P79" t="str">
            <v/>
          </cell>
          <cell r="Q79" t="str">
            <v/>
          </cell>
          <cell r="R79" t="str">
            <v/>
          </cell>
        </row>
        <row r="80">
          <cell r="N80">
            <v>0</v>
          </cell>
          <cell r="O80" t="str">
            <v/>
          </cell>
          <cell r="P80" t="str">
            <v/>
          </cell>
          <cell r="Q80" t="str">
            <v/>
          </cell>
          <cell r="R80" t="str">
            <v/>
          </cell>
        </row>
        <row r="81">
          <cell r="N81">
            <v>0</v>
          </cell>
          <cell r="O81" t="str">
            <v/>
          </cell>
          <cell r="P81" t="str">
            <v/>
          </cell>
          <cell r="Q81" t="str">
            <v/>
          </cell>
          <cell r="R81" t="str">
            <v/>
          </cell>
        </row>
        <row r="82">
          <cell r="N82">
            <v>0</v>
          </cell>
          <cell r="O82" t="str">
            <v/>
          </cell>
          <cell r="P82" t="str">
            <v/>
          </cell>
          <cell r="Q82" t="str">
            <v/>
          </cell>
          <cell r="R82" t="str">
            <v/>
          </cell>
        </row>
        <row r="83">
          <cell r="N83">
            <v>0</v>
          </cell>
          <cell r="O83" t="str">
            <v/>
          </cell>
          <cell r="P83" t="str">
            <v/>
          </cell>
          <cell r="Q83" t="str">
            <v/>
          </cell>
          <cell r="R83" t="str">
            <v/>
          </cell>
        </row>
        <row r="84">
          <cell r="N84">
            <v>0</v>
          </cell>
          <cell r="O84" t="str">
            <v/>
          </cell>
          <cell r="P84" t="str">
            <v/>
          </cell>
          <cell r="Q84" t="str">
            <v/>
          </cell>
          <cell r="R84" t="str">
            <v/>
          </cell>
        </row>
        <row r="85">
          <cell r="N85">
            <v>0</v>
          </cell>
          <cell r="O85" t="str">
            <v/>
          </cell>
          <cell r="P85" t="str">
            <v/>
          </cell>
          <cell r="Q85" t="str">
            <v/>
          </cell>
          <cell r="R85" t="str">
            <v/>
          </cell>
        </row>
        <row r="86">
          <cell r="N86">
            <v>0</v>
          </cell>
          <cell r="O86" t="str">
            <v/>
          </cell>
          <cell r="P86" t="str">
            <v/>
          </cell>
          <cell r="Q86" t="str">
            <v/>
          </cell>
          <cell r="R86" t="str">
            <v/>
          </cell>
        </row>
        <row r="87">
          <cell r="N87">
            <v>0</v>
          </cell>
          <cell r="O87" t="str">
            <v/>
          </cell>
          <cell r="P87" t="str">
            <v/>
          </cell>
          <cell r="Q87" t="str">
            <v/>
          </cell>
          <cell r="R87" t="str">
            <v/>
          </cell>
        </row>
        <row r="88">
          <cell r="N88">
            <v>0</v>
          </cell>
          <cell r="O88" t="str">
            <v/>
          </cell>
          <cell r="P88" t="str">
            <v/>
          </cell>
          <cell r="Q88" t="str">
            <v/>
          </cell>
          <cell r="R88" t="str">
            <v/>
          </cell>
        </row>
        <row r="89">
          <cell r="N89">
            <v>0</v>
          </cell>
          <cell r="O89" t="str">
            <v/>
          </cell>
          <cell r="P89" t="str">
            <v/>
          </cell>
          <cell r="Q89" t="str">
            <v/>
          </cell>
          <cell r="R89" t="str">
            <v/>
          </cell>
        </row>
        <row r="90">
          <cell r="N90">
            <v>0</v>
          </cell>
          <cell r="O90" t="str">
            <v/>
          </cell>
          <cell r="P90" t="str">
            <v/>
          </cell>
          <cell r="Q90" t="str">
            <v/>
          </cell>
          <cell r="R90" t="str">
            <v/>
          </cell>
        </row>
        <row r="91">
          <cell r="N91">
            <v>0</v>
          </cell>
          <cell r="O91" t="str">
            <v/>
          </cell>
          <cell r="P91" t="str">
            <v/>
          </cell>
          <cell r="Q91" t="str">
            <v/>
          </cell>
          <cell r="R91" t="str">
            <v/>
          </cell>
        </row>
        <row r="92">
          <cell r="N92">
            <v>0</v>
          </cell>
          <cell r="O92" t="str">
            <v/>
          </cell>
          <cell r="P92" t="str">
            <v/>
          </cell>
          <cell r="Q92" t="str">
            <v/>
          </cell>
          <cell r="R92" t="str">
            <v/>
          </cell>
        </row>
        <row r="93">
          <cell r="N93">
            <v>0</v>
          </cell>
          <cell r="O93" t="str">
            <v/>
          </cell>
          <cell r="P93" t="str">
            <v/>
          </cell>
          <cell r="Q93" t="str">
            <v/>
          </cell>
          <cell r="R93" t="str">
            <v/>
          </cell>
        </row>
        <row r="94">
          <cell r="N94">
            <v>0</v>
          </cell>
          <cell r="O94" t="str">
            <v/>
          </cell>
          <cell r="P94" t="str">
            <v/>
          </cell>
          <cell r="Q94" t="str">
            <v/>
          </cell>
          <cell r="R94" t="str">
            <v/>
          </cell>
        </row>
        <row r="95">
          <cell r="N95">
            <v>0</v>
          </cell>
          <cell r="O95" t="str">
            <v/>
          </cell>
          <cell r="P95" t="str">
            <v/>
          </cell>
          <cell r="Q95" t="str">
            <v/>
          </cell>
          <cell r="R95" t="str">
            <v/>
          </cell>
        </row>
        <row r="96">
          <cell r="N96">
            <v>0</v>
          </cell>
          <cell r="O96" t="str">
            <v/>
          </cell>
          <cell r="P96" t="str">
            <v/>
          </cell>
          <cell r="Q96" t="str">
            <v/>
          </cell>
          <cell r="R96" t="str">
            <v/>
          </cell>
        </row>
        <row r="97">
          <cell r="N97">
            <v>0</v>
          </cell>
          <cell r="O97" t="str">
            <v/>
          </cell>
          <cell r="P97" t="str">
            <v/>
          </cell>
          <cell r="Q97" t="str">
            <v/>
          </cell>
          <cell r="R97" t="str">
            <v/>
          </cell>
        </row>
        <row r="98">
          <cell r="N98">
            <v>0</v>
          </cell>
          <cell r="O98" t="str">
            <v/>
          </cell>
          <cell r="P98" t="str">
            <v/>
          </cell>
          <cell r="Q98" t="str">
            <v/>
          </cell>
          <cell r="R98" t="str">
            <v/>
          </cell>
        </row>
        <row r="99">
          <cell r="N99">
            <v>0</v>
          </cell>
          <cell r="O99" t="str">
            <v/>
          </cell>
          <cell r="P99" t="str">
            <v/>
          </cell>
          <cell r="Q99" t="str">
            <v/>
          </cell>
          <cell r="R99" t="str">
            <v/>
          </cell>
        </row>
        <row r="100">
          <cell r="N100">
            <v>0</v>
          </cell>
          <cell r="O100" t="str">
            <v/>
          </cell>
          <cell r="P100" t="str">
            <v/>
          </cell>
          <cell r="Q100" t="str">
            <v/>
          </cell>
          <cell r="R100" t="str">
            <v/>
          </cell>
        </row>
        <row r="101">
          <cell r="N101">
            <v>0</v>
          </cell>
          <cell r="O101" t="str">
            <v/>
          </cell>
          <cell r="P101" t="str">
            <v/>
          </cell>
          <cell r="Q101" t="str">
            <v/>
          </cell>
          <cell r="R101" t="str">
            <v/>
          </cell>
        </row>
        <row r="102">
          <cell r="N102">
            <v>0</v>
          </cell>
          <cell r="O102" t="str">
            <v/>
          </cell>
          <cell r="P102" t="str">
            <v/>
          </cell>
          <cell r="Q102" t="str">
            <v/>
          </cell>
          <cell r="R102" t="str">
            <v/>
          </cell>
        </row>
        <row r="103">
          <cell r="N103">
            <v>0</v>
          </cell>
          <cell r="O103" t="str">
            <v/>
          </cell>
          <cell r="P103" t="str">
            <v/>
          </cell>
          <cell r="Q103" t="str">
            <v/>
          </cell>
          <cell r="R103" t="str">
            <v/>
          </cell>
        </row>
        <row r="104">
          <cell r="N104">
            <v>0</v>
          </cell>
          <cell r="O104" t="str">
            <v/>
          </cell>
          <cell r="P104" t="str">
            <v/>
          </cell>
          <cell r="Q104" t="str">
            <v/>
          </cell>
          <cell r="R104" t="str">
            <v/>
          </cell>
        </row>
        <row r="105">
          <cell r="N105">
            <v>0</v>
          </cell>
          <cell r="O105" t="str">
            <v/>
          </cell>
          <cell r="P105" t="str">
            <v/>
          </cell>
          <cell r="Q105" t="str">
            <v/>
          </cell>
          <cell r="R105" t="str">
            <v/>
          </cell>
        </row>
        <row r="106">
          <cell r="N106">
            <v>0</v>
          </cell>
          <cell r="O106" t="str">
            <v/>
          </cell>
          <cell r="P106" t="str">
            <v/>
          </cell>
          <cell r="Q106" t="str">
            <v/>
          </cell>
          <cell r="R106" t="str">
            <v/>
          </cell>
        </row>
        <row r="107">
          <cell r="N107">
            <v>0</v>
          </cell>
          <cell r="O107" t="str">
            <v/>
          </cell>
          <cell r="P107" t="str">
            <v/>
          </cell>
          <cell r="Q107" t="str">
            <v/>
          </cell>
          <cell r="R107" t="str">
            <v/>
          </cell>
        </row>
        <row r="108">
          <cell r="N108">
            <v>0</v>
          </cell>
          <cell r="O108" t="str">
            <v/>
          </cell>
          <cell r="P108" t="str">
            <v/>
          </cell>
          <cell r="Q108" t="str">
            <v/>
          </cell>
          <cell r="R108" t="str">
            <v/>
          </cell>
        </row>
        <row r="109">
          <cell r="N109">
            <v>0</v>
          </cell>
          <cell r="O109" t="str">
            <v/>
          </cell>
          <cell r="P109" t="str">
            <v/>
          </cell>
          <cell r="Q109" t="str">
            <v/>
          </cell>
          <cell r="R109" t="str">
            <v/>
          </cell>
        </row>
        <row r="110">
          <cell r="N110">
            <v>0</v>
          </cell>
          <cell r="O110" t="str">
            <v/>
          </cell>
          <cell r="P110" t="str">
            <v/>
          </cell>
          <cell r="Q110" t="str">
            <v/>
          </cell>
          <cell r="R110" t="str">
            <v/>
          </cell>
        </row>
        <row r="111">
          <cell r="N111">
            <v>0</v>
          </cell>
          <cell r="O111" t="str">
            <v/>
          </cell>
          <cell r="P111" t="str">
            <v/>
          </cell>
          <cell r="Q111" t="str">
            <v/>
          </cell>
          <cell r="R111" t="str">
            <v/>
          </cell>
        </row>
        <row r="112">
          <cell r="N112">
            <v>0</v>
          </cell>
          <cell r="O112" t="str">
            <v/>
          </cell>
          <cell r="P112" t="str">
            <v/>
          </cell>
          <cell r="Q112" t="str">
            <v/>
          </cell>
          <cell r="R112" t="str">
            <v/>
          </cell>
        </row>
        <row r="113">
          <cell r="N113">
            <v>0</v>
          </cell>
          <cell r="O113" t="str">
            <v/>
          </cell>
          <cell r="P113" t="str">
            <v/>
          </cell>
          <cell r="Q113" t="str">
            <v/>
          </cell>
          <cell r="R113" t="str">
            <v/>
          </cell>
        </row>
        <row r="114">
          <cell r="N114">
            <v>0</v>
          </cell>
          <cell r="O114" t="str">
            <v/>
          </cell>
          <cell r="P114" t="str">
            <v/>
          </cell>
          <cell r="Q114" t="str">
            <v/>
          </cell>
          <cell r="R114" t="str">
            <v/>
          </cell>
        </row>
        <row r="115">
          <cell r="N115">
            <v>0</v>
          </cell>
          <cell r="O115" t="str">
            <v/>
          </cell>
          <cell r="P115" t="str">
            <v/>
          </cell>
          <cell r="Q115" t="str">
            <v/>
          </cell>
          <cell r="R115" t="str">
            <v/>
          </cell>
        </row>
        <row r="116">
          <cell r="N116">
            <v>0</v>
          </cell>
          <cell r="O116" t="str">
            <v/>
          </cell>
          <cell r="P116" t="str">
            <v/>
          </cell>
          <cell r="Q116" t="str">
            <v/>
          </cell>
          <cell r="R116" t="str">
            <v/>
          </cell>
        </row>
        <row r="117">
          <cell r="N117">
            <v>0</v>
          </cell>
          <cell r="O117" t="str">
            <v/>
          </cell>
          <cell r="P117" t="str">
            <v/>
          </cell>
          <cell r="Q117" t="str">
            <v/>
          </cell>
          <cell r="R117" t="str">
            <v/>
          </cell>
        </row>
        <row r="118">
          <cell r="N118">
            <v>0</v>
          </cell>
          <cell r="O118" t="str">
            <v/>
          </cell>
          <cell r="P118" t="str">
            <v/>
          </cell>
          <cell r="Q118" t="str">
            <v/>
          </cell>
          <cell r="R118" t="str">
            <v/>
          </cell>
        </row>
        <row r="119">
          <cell r="N119">
            <v>0</v>
          </cell>
          <cell r="O119" t="str">
            <v/>
          </cell>
          <cell r="P119" t="str">
            <v/>
          </cell>
          <cell r="Q119" t="str">
            <v/>
          </cell>
          <cell r="R119" t="str">
            <v/>
          </cell>
        </row>
        <row r="120">
          <cell r="N120">
            <v>0</v>
          </cell>
          <cell r="O120" t="str">
            <v/>
          </cell>
          <cell r="P120" t="str">
            <v/>
          </cell>
          <cell r="Q120" t="str">
            <v/>
          </cell>
          <cell r="R120" t="str">
            <v/>
          </cell>
        </row>
        <row r="121">
          <cell r="N121">
            <v>0</v>
          </cell>
          <cell r="O121" t="str">
            <v/>
          </cell>
          <cell r="P121" t="str">
            <v/>
          </cell>
          <cell r="Q121" t="str">
            <v/>
          </cell>
          <cell r="R121" t="str">
            <v/>
          </cell>
        </row>
        <row r="122">
          <cell r="N122">
            <v>0</v>
          </cell>
          <cell r="O122" t="str">
            <v/>
          </cell>
          <cell r="P122" t="str">
            <v/>
          </cell>
          <cell r="Q122" t="str">
            <v/>
          </cell>
          <cell r="R122" t="str">
            <v/>
          </cell>
        </row>
        <row r="123">
          <cell r="N123">
            <v>0</v>
          </cell>
          <cell r="O123" t="str">
            <v/>
          </cell>
          <cell r="P123" t="str">
            <v/>
          </cell>
          <cell r="Q123" t="str">
            <v/>
          </cell>
          <cell r="R123" t="str">
            <v/>
          </cell>
        </row>
        <row r="124">
          <cell r="N124">
            <v>0</v>
          </cell>
          <cell r="O124" t="str">
            <v/>
          </cell>
          <cell r="P124" t="str">
            <v/>
          </cell>
          <cell r="Q124" t="str">
            <v/>
          </cell>
          <cell r="R124" t="str">
            <v/>
          </cell>
        </row>
        <row r="125">
          <cell r="N125">
            <v>0</v>
          </cell>
          <cell r="O125" t="str">
            <v/>
          </cell>
          <cell r="P125" t="str">
            <v/>
          </cell>
          <cell r="Q125" t="str">
            <v/>
          </cell>
          <cell r="R125" t="str">
            <v/>
          </cell>
        </row>
        <row r="126">
          <cell r="N126">
            <v>0</v>
          </cell>
          <cell r="O126" t="str">
            <v/>
          </cell>
          <cell r="P126" t="str">
            <v/>
          </cell>
          <cell r="Q126" t="str">
            <v/>
          </cell>
          <cell r="R126" t="str">
            <v/>
          </cell>
        </row>
        <row r="127">
          <cell r="N127">
            <v>0</v>
          </cell>
          <cell r="O127" t="str">
            <v/>
          </cell>
          <cell r="P127" t="str">
            <v/>
          </cell>
          <cell r="Q127" t="str">
            <v/>
          </cell>
          <cell r="R127" t="str">
            <v/>
          </cell>
        </row>
        <row r="128">
          <cell r="N128">
            <v>0</v>
          </cell>
          <cell r="O128" t="str">
            <v/>
          </cell>
          <cell r="P128" t="str">
            <v/>
          </cell>
          <cell r="Q128" t="str">
            <v/>
          </cell>
          <cell r="R128" t="str">
            <v/>
          </cell>
        </row>
        <row r="129">
          <cell r="N129">
            <v>0</v>
          </cell>
          <cell r="O129" t="str">
            <v/>
          </cell>
          <cell r="P129" t="str">
            <v/>
          </cell>
          <cell r="Q129" t="str">
            <v/>
          </cell>
          <cell r="R129" t="str">
            <v/>
          </cell>
        </row>
        <row r="130">
          <cell r="N130">
            <v>0</v>
          </cell>
          <cell r="O130" t="str">
            <v/>
          </cell>
          <cell r="P130" t="str">
            <v/>
          </cell>
          <cell r="Q130" t="str">
            <v/>
          </cell>
          <cell r="R130" t="str">
            <v/>
          </cell>
        </row>
        <row r="131">
          <cell r="N131">
            <v>0</v>
          </cell>
          <cell r="O131" t="str">
            <v/>
          </cell>
          <cell r="P131" t="str">
            <v/>
          </cell>
          <cell r="Q131" t="str">
            <v/>
          </cell>
          <cell r="R131" t="str">
            <v/>
          </cell>
        </row>
        <row r="132">
          <cell r="N132">
            <v>0</v>
          </cell>
          <cell r="O132" t="str">
            <v/>
          </cell>
          <cell r="P132" t="str">
            <v/>
          </cell>
          <cell r="Q132" t="str">
            <v/>
          </cell>
          <cell r="R132" t="str">
            <v/>
          </cell>
        </row>
        <row r="133">
          <cell r="N133">
            <v>0</v>
          </cell>
          <cell r="O133" t="str">
            <v/>
          </cell>
          <cell r="P133" t="str">
            <v/>
          </cell>
          <cell r="Q133" t="str">
            <v/>
          </cell>
          <cell r="R133" t="str">
            <v/>
          </cell>
        </row>
        <row r="134">
          <cell r="N134">
            <v>0</v>
          </cell>
          <cell r="O134" t="str">
            <v/>
          </cell>
          <cell r="P134" t="str">
            <v/>
          </cell>
          <cell r="Q134" t="str">
            <v/>
          </cell>
          <cell r="R134" t="str">
            <v/>
          </cell>
        </row>
        <row r="135">
          <cell r="N135">
            <v>0</v>
          </cell>
          <cell r="O135" t="str">
            <v/>
          </cell>
          <cell r="P135" t="str">
            <v/>
          </cell>
          <cell r="Q135" t="str">
            <v/>
          </cell>
          <cell r="R135" t="str">
            <v/>
          </cell>
        </row>
        <row r="136">
          <cell r="N136">
            <v>0</v>
          </cell>
          <cell r="O136" t="str">
            <v/>
          </cell>
          <cell r="P136" t="str">
            <v/>
          </cell>
          <cell r="Q136" t="str">
            <v/>
          </cell>
          <cell r="R136" t="str">
            <v/>
          </cell>
        </row>
        <row r="137">
          <cell r="N137">
            <v>0</v>
          </cell>
          <cell r="O137" t="str">
            <v/>
          </cell>
          <cell r="P137" t="str">
            <v/>
          </cell>
          <cell r="Q137" t="str">
            <v/>
          </cell>
          <cell r="R137" t="str">
            <v/>
          </cell>
        </row>
        <row r="138">
          <cell r="N138">
            <v>0</v>
          </cell>
          <cell r="O138" t="str">
            <v/>
          </cell>
          <cell r="P138" t="str">
            <v/>
          </cell>
          <cell r="Q138" t="str">
            <v/>
          </cell>
          <cell r="R138" t="str">
            <v/>
          </cell>
        </row>
        <row r="139">
          <cell r="N139">
            <v>0</v>
          </cell>
          <cell r="O139" t="str">
            <v/>
          </cell>
          <cell r="P139" t="str">
            <v/>
          </cell>
          <cell r="Q139" t="str">
            <v/>
          </cell>
          <cell r="R139" t="str">
            <v/>
          </cell>
        </row>
        <row r="140">
          <cell r="N140">
            <v>0</v>
          </cell>
          <cell r="O140" t="str">
            <v/>
          </cell>
          <cell r="P140" t="str">
            <v/>
          </cell>
          <cell r="Q140" t="str">
            <v/>
          </cell>
          <cell r="R140" t="str">
            <v/>
          </cell>
        </row>
        <row r="141">
          <cell r="N141">
            <v>0</v>
          </cell>
          <cell r="O141" t="str">
            <v/>
          </cell>
          <cell r="P141" t="str">
            <v/>
          </cell>
          <cell r="Q141" t="str">
            <v/>
          </cell>
          <cell r="R141" t="str">
            <v/>
          </cell>
        </row>
        <row r="142">
          <cell r="N142">
            <v>0</v>
          </cell>
          <cell r="O142" t="str">
            <v/>
          </cell>
          <cell r="P142" t="str">
            <v/>
          </cell>
          <cell r="Q142" t="str">
            <v/>
          </cell>
          <cell r="R142" t="str">
            <v/>
          </cell>
        </row>
        <row r="143">
          <cell r="N143">
            <v>0</v>
          </cell>
          <cell r="O143" t="str">
            <v/>
          </cell>
          <cell r="P143" t="str">
            <v/>
          </cell>
          <cell r="Q143" t="str">
            <v/>
          </cell>
          <cell r="R143" t="str">
            <v/>
          </cell>
        </row>
        <row r="144">
          <cell r="N144">
            <v>0</v>
          </cell>
          <cell r="O144" t="str">
            <v/>
          </cell>
          <cell r="P144" t="str">
            <v/>
          </cell>
          <cell r="Q144" t="str">
            <v/>
          </cell>
          <cell r="R144" t="str">
            <v/>
          </cell>
        </row>
        <row r="145">
          <cell r="N145">
            <v>0</v>
          </cell>
          <cell r="O145" t="str">
            <v/>
          </cell>
          <cell r="P145" t="str">
            <v/>
          </cell>
          <cell r="Q145" t="str">
            <v/>
          </cell>
          <cell r="R145" t="str">
            <v/>
          </cell>
        </row>
        <row r="146">
          <cell r="N146">
            <v>0</v>
          </cell>
          <cell r="O146" t="str">
            <v/>
          </cell>
          <cell r="P146" t="str">
            <v/>
          </cell>
          <cell r="Q146" t="str">
            <v/>
          </cell>
          <cell r="R146" t="str">
            <v/>
          </cell>
        </row>
        <row r="147">
          <cell r="N147">
            <v>0</v>
          </cell>
          <cell r="O147" t="str">
            <v/>
          </cell>
          <cell r="P147" t="str">
            <v/>
          </cell>
          <cell r="Q147" t="str">
            <v/>
          </cell>
          <cell r="R147" t="str">
            <v/>
          </cell>
        </row>
        <row r="148">
          <cell r="N148">
            <v>0</v>
          </cell>
          <cell r="O148" t="str">
            <v/>
          </cell>
          <cell r="P148" t="str">
            <v/>
          </cell>
          <cell r="Q148" t="str">
            <v/>
          </cell>
          <cell r="R148" t="str">
            <v/>
          </cell>
        </row>
        <row r="149">
          <cell r="N149">
            <v>0</v>
          </cell>
          <cell r="O149" t="str">
            <v/>
          </cell>
          <cell r="P149" t="str">
            <v/>
          </cell>
          <cell r="Q149" t="str">
            <v/>
          </cell>
          <cell r="R149" t="str">
            <v/>
          </cell>
        </row>
        <row r="150">
          <cell r="N150">
            <v>0</v>
          </cell>
          <cell r="O150" t="str">
            <v/>
          </cell>
          <cell r="P150" t="str">
            <v/>
          </cell>
          <cell r="Q150" t="str">
            <v/>
          </cell>
          <cell r="R150" t="str">
            <v/>
          </cell>
        </row>
        <row r="151">
          <cell r="N151">
            <v>0</v>
          </cell>
          <cell r="O151" t="str">
            <v/>
          </cell>
          <cell r="P151" t="str">
            <v/>
          </cell>
          <cell r="Q151" t="str">
            <v/>
          </cell>
          <cell r="R151" t="str">
            <v/>
          </cell>
        </row>
        <row r="152">
          <cell r="N152">
            <v>0</v>
          </cell>
          <cell r="O152" t="str">
            <v/>
          </cell>
          <cell r="P152" t="str">
            <v/>
          </cell>
          <cell r="Q152" t="str">
            <v/>
          </cell>
          <cell r="R152" t="str">
            <v/>
          </cell>
        </row>
        <row r="153">
          <cell r="N153">
            <v>0</v>
          </cell>
          <cell r="O153" t="str">
            <v/>
          </cell>
          <cell r="P153" t="str">
            <v/>
          </cell>
          <cell r="Q153" t="str">
            <v/>
          </cell>
          <cell r="R153" t="str">
            <v/>
          </cell>
        </row>
        <row r="154">
          <cell r="N154">
            <v>0</v>
          </cell>
          <cell r="O154" t="str">
            <v/>
          </cell>
          <cell r="P154" t="str">
            <v/>
          </cell>
          <cell r="Q154" t="str">
            <v/>
          </cell>
          <cell r="R154" t="str">
            <v/>
          </cell>
        </row>
        <row r="155">
          <cell r="N155">
            <v>0</v>
          </cell>
          <cell r="O155" t="str">
            <v/>
          </cell>
          <cell r="P155" t="str">
            <v/>
          </cell>
          <cell r="Q155" t="str">
            <v/>
          </cell>
          <cell r="R155" t="str">
            <v/>
          </cell>
        </row>
        <row r="156">
          <cell r="N156">
            <v>0</v>
          </cell>
          <cell r="O156" t="str">
            <v/>
          </cell>
          <cell r="P156" t="str">
            <v/>
          </cell>
          <cell r="Q156" t="str">
            <v/>
          </cell>
          <cell r="R156" t="str">
            <v/>
          </cell>
        </row>
        <row r="157">
          <cell r="N157">
            <v>0</v>
          </cell>
          <cell r="O157" t="str">
            <v/>
          </cell>
          <cell r="P157" t="str">
            <v/>
          </cell>
          <cell r="Q157" t="str">
            <v/>
          </cell>
          <cell r="R157" t="str">
            <v/>
          </cell>
        </row>
        <row r="158">
          <cell r="N158">
            <v>0</v>
          </cell>
          <cell r="O158" t="str">
            <v/>
          </cell>
          <cell r="P158" t="str">
            <v/>
          </cell>
          <cell r="Q158" t="str">
            <v/>
          </cell>
          <cell r="R158" t="str">
            <v/>
          </cell>
        </row>
        <row r="159">
          <cell r="N159">
            <v>0</v>
          </cell>
          <cell r="O159" t="str">
            <v/>
          </cell>
          <cell r="P159" t="str">
            <v/>
          </cell>
          <cell r="Q159" t="str">
            <v/>
          </cell>
          <cell r="R159" t="str">
            <v/>
          </cell>
        </row>
        <row r="160">
          <cell r="N160">
            <v>0</v>
          </cell>
          <cell r="O160" t="str">
            <v/>
          </cell>
          <cell r="P160" t="str">
            <v/>
          </cell>
          <cell r="Q160" t="str">
            <v/>
          </cell>
          <cell r="R160" t="str">
            <v/>
          </cell>
        </row>
        <row r="161">
          <cell r="N161">
            <v>0</v>
          </cell>
          <cell r="O161" t="str">
            <v/>
          </cell>
          <cell r="P161" t="str">
            <v/>
          </cell>
          <cell r="Q161" t="str">
            <v/>
          </cell>
          <cell r="R161" t="str">
            <v/>
          </cell>
        </row>
        <row r="164">
          <cell r="N164">
            <v>0</v>
          </cell>
          <cell r="O164" t="str">
            <v/>
          </cell>
          <cell r="P164" t="str">
            <v/>
          </cell>
          <cell r="Q164" t="str">
            <v/>
          </cell>
          <cell r="R164" t="str">
            <v/>
          </cell>
        </row>
        <row r="165">
          <cell r="N165">
            <v>0</v>
          </cell>
          <cell r="O165" t="str">
            <v/>
          </cell>
          <cell r="P165" t="str">
            <v/>
          </cell>
          <cell r="Q165" t="str">
            <v/>
          </cell>
          <cell r="R165" t="str">
            <v/>
          </cell>
        </row>
        <row r="166">
          <cell r="F166" t="str">
            <v>414</v>
          </cell>
          <cell r="G166" t="str">
            <v>25.07</v>
          </cell>
          <cell r="N166">
            <v>0</v>
          </cell>
          <cell r="O166" t="str">
            <v>414</v>
          </cell>
          <cell r="P166" t="str">
            <v/>
          </cell>
          <cell r="Q166" t="str">
            <v/>
          </cell>
          <cell r="R166" t="str">
            <v/>
          </cell>
        </row>
        <row r="167">
          <cell r="N167">
            <v>0</v>
          </cell>
          <cell r="O167" t="str">
            <v/>
          </cell>
          <cell r="P167" t="str">
            <v/>
          </cell>
          <cell r="Q167" t="str">
            <v/>
          </cell>
          <cell r="R167" t="str">
            <v/>
          </cell>
        </row>
        <row r="168">
          <cell r="N168">
            <v>0</v>
          </cell>
          <cell r="O168" t="str">
            <v/>
          </cell>
          <cell r="P168" t="str">
            <v/>
          </cell>
          <cell r="Q168" t="str">
            <v/>
          </cell>
          <cell r="R168" t="str">
            <v/>
          </cell>
        </row>
        <row r="169">
          <cell r="N169">
            <v>0</v>
          </cell>
          <cell r="O169" t="str">
            <v/>
          </cell>
          <cell r="P169" t="str">
            <v/>
          </cell>
          <cell r="Q169" t="str">
            <v/>
          </cell>
          <cell r="R169" t="str">
            <v/>
          </cell>
        </row>
        <row r="170">
          <cell r="N170">
            <v>0</v>
          </cell>
          <cell r="O170" t="str">
            <v/>
          </cell>
          <cell r="P170" t="str">
            <v/>
          </cell>
          <cell r="Q170" t="str">
            <v/>
          </cell>
          <cell r="R170" t="str">
            <v/>
          </cell>
        </row>
        <row r="171">
          <cell r="N171">
            <v>0</v>
          </cell>
          <cell r="O171" t="str">
            <v/>
          </cell>
          <cell r="P171" t="str">
            <v/>
          </cell>
          <cell r="Q171" t="str">
            <v/>
          </cell>
          <cell r="R171" t="str">
            <v/>
          </cell>
        </row>
        <row r="172">
          <cell r="N172">
            <v>0</v>
          </cell>
          <cell r="O172" t="str">
            <v/>
          </cell>
          <cell r="P172" t="str">
            <v/>
          </cell>
          <cell r="Q172" t="str">
            <v/>
          </cell>
          <cell r="R172" t="str">
            <v/>
          </cell>
        </row>
        <row r="173">
          <cell r="N173">
            <v>0</v>
          </cell>
          <cell r="O173" t="str">
            <v/>
          </cell>
          <cell r="P173" t="str">
            <v/>
          </cell>
          <cell r="Q173" t="str">
            <v/>
          </cell>
          <cell r="R173" t="str">
            <v/>
          </cell>
        </row>
        <row r="174">
          <cell r="N174">
            <v>0</v>
          </cell>
          <cell r="O174" t="str">
            <v/>
          </cell>
          <cell r="P174" t="str">
            <v/>
          </cell>
          <cell r="Q174" t="str">
            <v/>
          </cell>
          <cell r="R174" t="str">
            <v/>
          </cell>
        </row>
        <row r="175">
          <cell r="N175">
            <v>0</v>
          </cell>
          <cell r="O175" t="str">
            <v/>
          </cell>
          <cell r="P175" t="str">
            <v/>
          </cell>
          <cell r="Q175" t="str">
            <v/>
          </cell>
          <cell r="R175" t="str">
            <v/>
          </cell>
        </row>
        <row r="176">
          <cell r="N176">
            <v>0</v>
          </cell>
          <cell r="O176" t="str">
            <v/>
          </cell>
          <cell r="P176" t="str">
            <v/>
          </cell>
          <cell r="Q176" t="str">
            <v/>
          </cell>
          <cell r="R176" t="str">
            <v/>
          </cell>
        </row>
        <row r="177">
          <cell r="N177">
            <v>0</v>
          </cell>
          <cell r="O177" t="str">
            <v/>
          </cell>
          <cell r="P177" t="str">
            <v/>
          </cell>
          <cell r="Q177" t="str">
            <v/>
          </cell>
          <cell r="R177" t="str">
            <v/>
          </cell>
        </row>
        <row r="178">
          <cell r="N178">
            <v>0</v>
          </cell>
          <cell r="O178" t="str">
            <v/>
          </cell>
          <cell r="P178" t="str">
            <v/>
          </cell>
          <cell r="Q178" t="str">
            <v/>
          </cell>
          <cell r="R178" t="str">
            <v/>
          </cell>
        </row>
        <row r="179">
          <cell r="N179">
            <v>0</v>
          </cell>
          <cell r="O179" t="str">
            <v/>
          </cell>
          <cell r="P179" t="str">
            <v/>
          </cell>
          <cell r="Q179" t="str">
            <v/>
          </cell>
          <cell r="R179" t="str">
            <v/>
          </cell>
        </row>
        <row r="180">
          <cell r="N180">
            <v>0</v>
          </cell>
          <cell r="O180" t="str">
            <v/>
          </cell>
          <cell r="P180" t="str">
            <v/>
          </cell>
          <cell r="Q180" t="str">
            <v/>
          </cell>
          <cell r="R180" t="str">
            <v/>
          </cell>
        </row>
        <row r="181">
          <cell r="N181">
            <v>0</v>
          </cell>
          <cell r="O181" t="str">
            <v/>
          </cell>
          <cell r="P181" t="str">
            <v/>
          </cell>
          <cell r="Q181" t="str">
            <v/>
          </cell>
          <cell r="R181" t="str">
            <v/>
          </cell>
        </row>
        <row r="182">
          <cell r="N182">
            <v>0</v>
          </cell>
          <cell r="O182" t="str">
            <v/>
          </cell>
          <cell r="P182" t="str">
            <v/>
          </cell>
          <cell r="Q182" t="str">
            <v/>
          </cell>
          <cell r="R182" t="str">
            <v/>
          </cell>
        </row>
        <row r="183">
          <cell r="N183">
            <v>0</v>
          </cell>
          <cell r="O183" t="str">
            <v/>
          </cell>
          <cell r="P183" t="str">
            <v/>
          </cell>
          <cell r="Q183" t="str">
            <v/>
          </cell>
          <cell r="R183" t="str">
            <v/>
          </cell>
        </row>
        <row r="184">
          <cell r="N184">
            <v>0</v>
          </cell>
          <cell r="O184" t="str">
            <v/>
          </cell>
          <cell r="P184" t="str">
            <v/>
          </cell>
          <cell r="Q184" t="str">
            <v/>
          </cell>
          <cell r="R184" t="str">
            <v/>
          </cell>
        </row>
        <row r="185">
          <cell r="N185">
            <v>0</v>
          </cell>
          <cell r="O185" t="str">
            <v/>
          </cell>
          <cell r="P185" t="str">
            <v/>
          </cell>
          <cell r="Q185" t="str">
            <v/>
          </cell>
          <cell r="R185" t="str">
            <v/>
          </cell>
        </row>
        <row r="186">
          <cell r="N186">
            <v>0</v>
          </cell>
          <cell r="O186" t="str">
            <v/>
          </cell>
          <cell r="P186" t="str">
            <v/>
          </cell>
          <cell r="Q186" t="str">
            <v/>
          </cell>
          <cell r="R186" t="str">
            <v/>
          </cell>
        </row>
        <row r="187">
          <cell r="N187">
            <v>0</v>
          </cell>
          <cell r="O187" t="str">
            <v/>
          </cell>
          <cell r="P187" t="str">
            <v/>
          </cell>
          <cell r="Q187" t="str">
            <v/>
          </cell>
          <cell r="R187" t="str">
            <v/>
          </cell>
        </row>
        <row r="188">
          <cell r="N188">
            <v>0</v>
          </cell>
          <cell r="O188" t="str">
            <v/>
          </cell>
          <cell r="P188" t="str">
            <v/>
          </cell>
          <cell r="Q188" t="str">
            <v/>
          </cell>
          <cell r="R188" t="str">
            <v/>
          </cell>
        </row>
        <row r="189">
          <cell r="N189">
            <v>0</v>
          </cell>
          <cell r="O189" t="str">
            <v/>
          </cell>
          <cell r="P189" t="str">
            <v/>
          </cell>
          <cell r="Q189" t="str">
            <v/>
          </cell>
          <cell r="R189" t="str">
            <v/>
          </cell>
        </row>
        <row r="190">
          <cell r="N190">
            <v>0</v>
          </cell>
          <cell r="O190" t="str">
            <v/>
          </cell>
          <cell r="P190" t="str">
            <v/>
          </cell>
          <cell r="Q190" t="str">
            <v/>
          </cell>
          <cell r="R190" t="str">
            <v/>
          </cell>
        </row>
        <row r="191">
          <cell r="N191">
            <v>0</v>
          </cell>
          <cell r="O191" t="str">
            <v/>
          </cell>
          <cell r="P191" t="str">
            <v/>
          </cell>
          <cell r="Q191" t="str">
            <v/>
          </cell>
          <cell r="R191" t="str">
            <v/>
          </cell>
        </row>
        <row r="192">
          <cell r="N192">
            <v>0</v>
          </cell>
          <cell r="O192" t="str">
            <v/>
          </cell>
          <cell r="P192" t="str">
            <v/>
          </cell>
          <cell r="Q192" t="str">
            <v/>
          </cell>
          <cell r="R192" t="str">
            <v/>
          </cell>
        </row>
        <row r="193">
          <cell r="N193">
            <v>0</v>
          </cell>
          <cell r="O193" t="str">
            <v/>
          </cell>
          <cell r="P193" t="str">
            <v/>
          </cell>
          <cell r="Q193" t="str">
            <v/>
          </cell>
          <cell r="R193" t="str">
            <v/>
          </cell>
        </row>
        <row r="194">
          <cell r="N194">
            <v>0</v>
          </cell>
          <cell r="O194" t="str">
            <v/>
          </cell>
          <cell r="P194" t="str">
            <v/>
          </cell>
          <cell r="Q194" t="str">
            <v/>
          </cell>
          <cell r="R194" t="str">
            <v/>
          </cell>
        </row>
        <row r="195">
          <cell r="N195">
            <v>0</v>
          </cell>
          <cell r="O195" t="str">
            <v/>
          </cell>
          <cell r="P195" t="str">
            <v/>
          </cell>
          <cell r="Q195" t="str">
            <v/>
          </cell>
          <cell r="R195" t="str">
            <v/>
          </cell>
        </row>
        <row r="196">
          <cell r="N196">
            <v>0</v>
          </cell>
          <cell r="O196" t="str">
            <v/>
          </cell>
          <cell r="P196" t="str">
            <v/>
          </cell>
          <cell r="Q196" t="str">
            <v/>
          </cell>
          <cell r="R196" t="str">
            <v/>
          </cell>
        </row>
        <row r="197">
          <cell r="N197">
            <v>0</v>
          </cell>
          <cell r="O197" t="str">
            <v/>
          </cell>
          <cell r="P197" t="str">
            <v/>
          </cell>
          <cell r="Q197" t="str">
            <v/>
          </cell>
          <cell r="R197" t="str">
            <v/>
          </cell>
        </row>
        <row r="198">
          <cell r="N198">
            <v>0</v>
          </cell>
          <cell r="O198" t="str">
            <v/>
          </cell>
          <cell r="P198" t="str">
            <v/>
          </cell>
          <cell r="Q198" t="str">
            <v/>
          </cell>
          <cell r="R198" t="str">
            <v/>
          </cell>
        </row>
        <row r="199">
          <cell r="N199">
            <v>0</v>
          </cell>
          <cell r="O199" t="str">
            <v/>
          </cell>
          <cell r="P199" t="str">
            <v/>
          </cell>
          <cell r="Q199" t="str">
            <v/>
          </cell>
          <cell r="R199" t="str">
            <v/>
          </cell>
        </row>
        <row r="200">
          <cell r="N200">
            <v>0</v>
          </cell>
          <cell r="O200" t="str">
            <v/>
          </cell>
          <cell r="P200" t="str">
            <v/>
          </cell>
          <cell r="Q200" t="str">
            <v/>
          </cell>
          <cell r="R200" t="str">
            <v/>
          </cell>
        </row>
        <row r="201">
          <cell r="N201">
            <v>0</v>
          </cell>
          <cell r="O201" t="str">
            <v/>
          </cell>
          <cell r="P201" t="str">
            <v/>
          </cell>
          <cell r="Q201" t="str">
            <v/>
          </cell>
          <cell r="R201" t="str">
            <v/>
          </cell>
        </row>
        <row r="202">
          <cell r="N202">
            <v>0</v>
          </cell>
          <cell r="O202" t="str">
            <v/>
          </cell>
          <cell r="P202" t="str">
            <v/>
          </cell>
          <cell r="Q202" t="str">
            <v/>
          </cell>
          <cell r="R202" t="str">
            <v/>
          </cell>
        </row>
        <row r="203">
          <cell r="N203">
            <v>0</v>
          </cell>
          <cell r="O203" t="str">
            <v/>
          </cell>
          <cell r="P203" t="str">
            <v/>
          </cell>
          <cell r="Q203" t="str">
            <v/>
          </cell>
          <cell r="R203" t="str">
            <v/>
          </cell>
        </row>
        <row r="204">
          <cell r="N204">
            <v>0</v>
          </cell>
          <cell r="O204" t="str">
            <v/>
          </cell>
          <cell r="P204" t="str">
            <v/>
          </cell>
          <cell r="Q204" t="str">
            <v/>
          </cell>
          <cell r="R204" t="str">
            <v/>
          </cell>
        </row>
        <row r="205">
          <cell r="N205">
            <v>0</v>
          </cell>
          <cell r="O205" t="str">
            <v/>
          </cell>
          <cell r="P205" t="str">
            <v/>
          </cell>
          <cell r="Q205" t="str">
            <v/>
          </cell>
          <cell r="R205" t="str">
            <v/>
          </cell>
        </row>
        <row r="206">
          <cell r="N206">
            <v>0</v>
          </cell>
          <cell r="O206" t="str">
            <v/>
          </cell>
          <cell r="P206" t="str">
            <v/>
          </cell>
          <cell r="Q206" t="str">
            <v/>
          </cell>
          <cell r="R206" t="str">
            <v/>
          </cell>
        </row>
        <row r="207">
          <cell r="N207">
            <v>0</v>
          </cell>
          <cell r="O207" t="str">
            <v/>
          </cell>
          <cell r="P207" t="str">
            <v/>
          </cell>
          <cell r="Q207" t="str">
            <v/>
          </cell>
          <cell r="R207" t="str">
            <v/>
          </cell>
        </row>
        <row r="208">
          <cell r="N208">
            <v>0</v>
          </cell>
          <cell r="O208" t="str">
            <v/>
          </cell>
          <cell r="P208" t="str">
            <v/>
          </cell>
          <cell r="Q208" t="str">
            <v/>
          </cell>
          <cell r="R208" t="str">
            <v/>
          </cell>
        </row>
        <row r="209">
          <cell r="N209">
            <v>0</v>
          </cell>
          <cell r="O209" t="str">
            <v/>
          </cell>
          <cell r="P209" t="str">
            <v/>
          </cell>
          <cell r="Q209" t="str">
            <v/>
          </cell>
          <cell r="R209" t="str">
            <v/>
          </cell>
        </row>
        <row r="210">
          <cell r="N210">
            <v>0</v>
          </cell>
          <cell r="O210" t="str">
            <v/>
          </cell>
          <cell r="P210" t="str">
            <v/>
          </cell>
          <cell r="Q210" t="str">
            <v/>
          </cell>
          <cell r="R210" t="str">
            <v/>
          </cell>
        </row>
        <row r="211">
          <cell r="N211">
            <v>0</v>
          </cell>
          <cell r="O211" t="str">
            <v/>
          </cell>
          <cell r="P211" t="str">
            <v/>
          </cell>
          <cell r="Q211" t="str">
            <v/>
          </cell>
          <cell r="R211" t="str">
            <v/>
          </cell>
        </row>
        <row r="212">
          <cell r="N212">
            <v>0</v>
          </cell>
          <cell r="O212" t="str">
            <v/>
          </cell>
          <cell r="P212" t="str">
            <v/>
          </cell>
          <cell r="Q212" t="str">
            <v/>
          </cell>
          <cell r="R212" t="str">
            <v/>
          </cell>
        </row>
        <row r="213">
          <cell r="N213">
            <v>0</v>
          </cell>
          <cell r="O213" t="str">
            <v/>
          </cell>
          <cell r="P213" t="str">
            <v/>
          </cell>
          <cell r="Q213" t="str">
            <v/>
          </cell>
          <cell r="R213" t="str">
            <v/>
          </cell>
        </row>
        <row r="214">
          <cell r="N214">
            <v>0</v>
          </cell>
          <cell r="O214" t="str">
            <v/>
          </cell>
          <cell r="P214" t="str">
            <v/>
          </cell>
          <cell r="Q214" t="str">
            <v/>
          </cell>
          <cell r="R214" t="str">
            <v/>
          </cell>
        </row>
        <row r="215">
          <cell r="N215">
            <v>0</v>
          </cell>
          <cell r="O215" t="str">
            <v/>
          </cell>
          <cell r="P215" t="str">
            <v/>
          </cell>
          <cell r="Q215" t="str">
            <v/>
          </cell>
          <cell r="R215" t="str">
            <v/>
          </cell>
        </row>
        <row r="216">
          <cell r="N216">
            <v>0</v>
          </cell>
          <cell r="O216" t="str">
            <v/>
          </cell>
          <cell r="P216" t="str">
            <v/>
          </cell>
          <cell r="Q216" t="str">
            <v/>
          </cell>
          <cell r="R216" t="str">
            <v/>
          </cell>
        </row>
        <row r="217">
          <cell r="N217">
            <v>0</v>
          </cell>
          <cell r="O217" t="str">
            <v/>
          </cell>
          <cell r="P217" t="str">
            <v/>
          </cell>
          <cell r="Q217" t="str">
            <v/>
          </cell>
          <cell r="R217" t="str">
            <v/>
          </cell>
        </row>
        <row r="218">
          <cell r="N218">
            <v>0</v>
          </cell>
          <cell r="O218" t="str">
            <v/>
          </cell>
          <cell r="P218" t="str">
            <v/>
          </cell>
          <cell r="Q218" t="str">
            <v/>
          </cell>
          <cell r="R218" t="str">
            <v/>
          </cell>
        </row>
        <row r="219">
          <cell r="N219">
            <v>0</v>
          </cell>
          <cell r="O219" t="str">
            <v/>
          </cell>
          <cell r="P219" t="str">
            <v/>
          </cell>
          <cell r="Q219" t="str">
            <v/>
          </cell>
          <cell r="R219" t="str">
            <v/>
          </cell>
        </row>
        <row r="220">
          <cell r="N220">
            <v>0</v>
          </cell>
          <cell r="O220" t="str">
            <v/>
          </cell>
          <cell r="P220" t="str">
            <v/>
          </cell>
          <cell r="Q220" t="str">
            <v/>
          </cell>
          <cell r="R220" t="str">
            <v/>
          </cell>
        </row>
        <row r="221">
          <cell r="N221">
            <v>0</v>
          </cell>
          <cell r="O221" t="str">
            <v/>
          </cell>
          <cell r="P221" t="str">
            <v/>
          </cell>
          <cell r="Q221" t="str">
            <v/>
          </cell>
          <cell r="R221" t="str">
            <v/>
          </cell>
        </row>
        <row r="222">
          <cell r="N222">
            <v>0</v>
          </cell>
          <cell r="O222" t="str">
            <v/>
          </cell>
          <cell r="P222" t="str">
            <v/>
          </cell>
          <cell r="Q222" t="str">
            <v/>
          </cell>
          <cell r="R222" t="str">
            <v/>
          </cell>
        </row>
        <row r="223">
          <cell r="N223">
            <v>0</v>
          </cell>
          <cell r="O223" t="str">
            <v/>
          </cell>
          <cell r="P223" t="str">
            <v/>
          </cell>
          <cell r="Q223" t="str">
            <v/>
          </cell>
          <cell r="R223" t="str">
            <v/>
          </cell>
        </row>
        <row r="224">
          <cell r="N224">
            <v>0</v>
          </cell>
          <cell r="O224" t="str">
            <v/>
          </cell>
          <cell r="P224" t="str">
            <v/>
          </cell>
          <cell r="Q224" t="str">
            <v/>
          </cell>
          <cell r="R224" t="str">
            <v/>
          </cell>
        </row>
        <row r="225">
          <cell r="N225">
            <v>0</v>
          </cell>
          <cell r="O225" t="str">
            <v/>
          </cell>
          <cell r="P225" t="str">
            <v/>
          </cell>
          <cell r="Q225" t="str">
            <v/>
          </cell>
          <cell r="R225" t="str">
            <v/>
          </cell>
        </row>
        <row r="226">
          <cell r="N226">
            <v>0</v>
          </cell>
          <cell r="O226" t="str">
            <v/>
          </cell>
          <cell r="P226" t="str">
            <v/>
          </cell>
          <cell r="Q226" t="str">
            <v/>
          </cell>
          <cell r="R226" t="str">
            <v/>
          </cell>
        </row>
        <row r="227">
          <cell r="N227">
            <v>0</v>
          </cell>
          <cell r="O227" t="str">
            <v/>
          </cell>
          <cell r="P227" t="str">
            <v/>
          </cell>
          <cell r="Q227" t="str">
            <v/>
          </cell>
          <cell r="R227" t="str">
            <v/>
          </cell>
        </row>
        <row r="228">
          <cell r="N228">
            <v>0</v>
          </cell>
          <cell r="O228" t="str">
            <v/>
          </cell>
          <cell r="P228" t="str">
            <v/>
          </cell>
          <cell r="Q228" t="str">
            <v/>
          </cell>
          <cell r="R228" t="str">
            <v/>
          </cell>
        </row>
        <row r="229">
          <cell r="N229">
            <v>0</v>
          </cell>
          <cell r="O229" t="str">
            <v/>
          </cell>
          <cell r="P229" t="str">
            <v/>
          </cell>
          <cell r="Q229" t="str">
            <v/>
          </cell>
          <cell r="R229" t="str">
            <v/>
          </cell>
        </row>
        <row r="230">
          <cell r="N230">
            <v>0</v>
          </cell>
          <cell r="O230" t="str">
            <v/>
          </cell>
          <cell r="P230" t="str">
            <v/>
          </cell>
          <cell r="Q230" t="str">
            <v/>
          </cell>
          <cell r="R230" t="str">
            <v/>
          </cell>
        </row>
        <row r="231">
          <cell r="N231">
            <v>0</v>
          </cell>
          <cell r="O231" t="str">
            <v/>
          </cell>
          <cell r="P231" t="str">
            <v/>
          </cell>
          <cell r="Q231" t="str">
            <v/>
          </cell>
          <cell r="R231" t="str">
            <v/>
          </cell>
        </row>
        <row r="232">
          <cell r="N232">
            <v>0</v>
          </cell>
          <cell r="O232" t="str">
            <v/>
          </cell>
          <cell r="P232" t="str">
            <v/>
          </cell>
          <cell r="Q232" t="str">
            <v/>
          </cell>
          <cell r="R232" t="str">
            <v/>
          </cell>
        </row>
        <row r="233">
          <cell r="N233">
            <v>0</v>
          </cell>
          <cell r="O233" t="str">
            <v/>
          </cell>
          <cell r="P233" t="str">
            <v/>
          </cell>
          <cell r="Q233" t="str">
            <v/>
          </cell>
          <cell r="R233" t="str">
            <v/>
          </cell>
        </row>
        <row r="234">
          <cell r="N234">
            <v>0</v>
          </cell>
          <cell r="O234" t="str">
            <v/>
          </cell>
          <cell r="P234" t="str">
            <v/>
          </cell>
          <cell r="Q234" t="str">
            <v/>
          </cell>
          <cell r="R234" t="str">
            <v/>
          </cell>
        </row>
        <row r="235">
          <cell r="N235">
            <v>0</v>
          </cell>
          <cell r="O235" t="str">
            <v/>
          </cell>
          <cell r="P235" t="str">
            <v/>
          </cell>
          <cell r="Q235" t="str">
            <v/>
          </cell>
          <cell r="R235" t="str">
            <v/>
          </cell>
        </row>
        <row r="236">
          <cell r="N236">
            <v>0</v>
          </cell>
          <cell r="O236" t="str">
            <v/>
          </cell>
          <cell r="P236" t="str">
            <v/>
          </cell>
          <cell r="Q236" t="str">
            <v/>
          </cell>
          <cell r="R236" t="str">
            <v/>
          </cell>
        </row>
        <row r="237">
          <cell r="N237">
            <v>0</v>
          </cell>
          <cell r="O237" t="str">
            <v/>
          </cell>
          <cell r="P237" t="str">
            <v/>
          </cell>
          <cell r="Q237" t="str">
            <v/>
          </cell>
          <cell r="R237" t="str">
            <v/>
          </cell>
        </row>
        <row r="238">
          <cell r="N238">
            <v>0</v>
          </cell>
          <cell r="O238" t="str">
            <v/>
          </cell>
          <cell r="P238" t="str">
            <v/>
          </cell>
          <cell r="Q238" t="str">
            <v/>
          </cell>
          <cell r="R238" t="str">
            <v/>
          </cell>
        </row>
        <row r="239">
          <cell r="N239">
            <v>0</v>
          </cell>
          <cell r="O239" t="str">
            <v/>
          </cell>
          <cell r="P239" t="str">
            <v/>
          </cell>
          <cell r="Q239" t="str">
            <v/>
          </cell>
          <cell r="R239" t="str">
            <v/>
          </cell>
        </row>
        <row r="240">
          <cell r="N240">
            <v>0</v>
          </cell>
          <cell r="O240" t="str">
            <v/>
          </cell>
          <cell r="P240" t="str">
            <v/>
          </cell>
          <cell r="Q240" t="str">
            <v/>
          </cell>
          <cell r="R240" t="str">
            <v/>
          </cell>
        </row>
        <row r="241">
          <cell r="N241">
            <v>0</v>
          </cell>
          <cell r="O241" t="str">
            <v/>
          </cell>
          <cell r="P241" t="str">
            <v/>
          </cell>
          <cell r="Q241" t="str">
            <v/>
          </cell>
          <cell r="R241" t="str">
            <v/>
          </cell>
        </row>
        <row r="242">
          <cell r="N242">
            <v>0</v>
          </cell>
          <cell r="O242" t="str">
            <v/>
          </cell>
          <cell r="P242" t="str">
            <v/>
          </cell>
          <cell r="Q242" t="str">
            <v/>
          </cell>
          <cell r="R242" t="str">
            <v/>
          </cell>
        </row>
        <row r="243">
          <cell r="N243">
            <v>0</v>
          </cell>
          <cell r="O243" t="str">
            <v/>
          </cell>
          <cell r="P243" t="str">
            <v/>
          </cell>
          <cell r="Q243" t="str">
            <v/>
          </cell>
          <cell r="R243" t="str">
            <v/>
          </cell>
        </row>
        <row r="244">
          <cell r="N244">
            <v>0</v>
          </cell>
          <cell r="O244" t="str">
            <v/>
          </cell>
          <cell r="P244" t="str">
            <v/>
          </cell>
          <cell r="Q244" t="str">
            <v/>
          </cell>
          <cell r="R244" t="str">
            <v/>
          </cell>
        </row>
        <row r="245">
          <cell r="N245">
            <v>0</v>
          </cell>
          <cell r="O245" t="str">
            <v/>
          </cell>
          <cell r="P245" t="str">
            <v/>
          </cell>
          <cell r="Q245" t="str">
            <v/>
          </cell>
          <cell r="R245" t="str">
            <v/>
          </cell>
        </row>
        <row r="246">
          <cell r="N246">
            <v>0</v>
          </cell>
          <cell r="O246" t="str">
            <v/>
          </cell>
          <cell r="P246" t="str">
            <v/>
          </cell>
          <cell r="Q246" t="str">
            <v/>
          </cell>
          <cell r="R246" t="str">
            <v/>
          </cell>
        </row>
        <row r="247">
          <cell r="N247">
            <v>0</v>
          </cell>
          <cell r="O247" t="str">
            <v/>
          </cell>
          <cell r="P247" t="str">
            <v/>
          </cell>
          <cell r="Q247" t="str">
            <v/>
          </cell>
          <cell r="R247" t="str">
            <v/>
          </cell>
        </row>
        <row r="248">
          <cell r="N248">
            <v>0</v>
          </cell>
          <cell r="O248" t="str">
            <v/>
          </cell>
          <cell r="P248" t="str">
            <v/>
          </cell>
          <cell r="Q248" t="str">
            <v/>
          </cell>
          <cell r="R248" t="str">
            <v/>
          </cell>
        </row>
        <row r="249">
          <cell r="N249">
            <v>0</v>
          </cell>
          <cell r="O249" t="str">
            <v/>
          </cell>
          <cell r="P249" t="str">
            <v/>
          </cell>
          <cell r="Q249" t="str">
            <v/>
          </cell>
          <cell r="R249" t="str">
            <v/>
          </cell>
        </row>
        <row r="250">
          <cell r="N250">
            <v>0</v>
          </cell>
          <cell r="O250" t="str">
            <v/>
          </cell>
          <cell r="P250" t="str">
            <v/>
          </cell>
          <cell r="Q250" t="str">
            <v/>
          </cell>
          <cell r="R250" t="str">
            <v/>
          </cell>
        </row>
        <row r="251">
          <cell r="N251">
            <v>0</v>
          </cell>
          <cell r="O251" t="str">
            <v/>
          </cell>
          <cell r="P251" t="str">
            <v/>
          </cell>
          <cell r="Q251" t="str">
            <v/>
          </cell>
          <cell r="R251" t="str">
            <v/>
          </cell>
        </row>
        <row r="252">
          <cell r="N252">
            <v>0</v>
          </cell>
          <cell r="O252" t="str">
            <v/>
          </cell>
          <cell r="P252" t="str">
            <v/>
          </cell>
          <cell r="Q252" t="str">
            <v/>
          </cell>
          <cell r="R252" t="str">
            <v/>
          </cell>
        </row>
        <row r="253">
          <cell r="N253">
            <v>0</v>
          </cell>
          <cell r="O253" t="str">
            <v/>
          </cell>
          <cell r="P253" t="str">
            <v/>
          </cell>
          <cell r="Q253" t="str">
            <v/>
          </cell>
          <cell r="R253" t="str">
            <v/>
          </cell>
        </row>
        <row r="254">
          <cell r="N254">
            <v>0</v>
          </cell>
          <cell r="O254" t="str">
            <v/>
          </cell>
          <cell r="P254" t="str">
            <v/>
          </cell>
          <cell r="Q254" t="str">
            <v/>
          </cell>
          <cell r="R254" t="str">
            <v/>
          </cell>
        </row>
        <row r="255">
          <cell r="N255">
            <v>0</v>
          </cell>
          <cell r="O255" t="str">
            <v/>
          </cell>
          <cell r="P255" t="str">
            <v/>
          </cell>
          <cell r="Q255" t="str">
            <v/>
          </cell>
          <cell r="R255" t="str">
            <v/>
          </cell>
        </row>
        <row r="256">
          <cell r="N256">
            <v>0</v>
          </cell>
          <cell r="O256" t="str">
            <v/>
          </cell>
          <cell r="P256" t="str">
            <v/>
          </cell>
          <cell r="Q256" t="str">
            <v/>
          </cell>
          <cell r="R256" t="str">
            <v/>
          </cell>
        </row>
        <row r="257">
          <cell r="N257">
            <v>0</v>
          </cell>
          <cell r="O257" t="str">
            <v/>
          </cell>
          <cell r="P257" t="str">
            <v/>
          </cell>
          <cell r="Q257" t="str">
            <v/>
          </cell>
          <cell r="R257" t="str">
            <v/>
          </cell>
        </row>
        <row r="258">
          <cell r="N258">
            <v>0</v>
          </cell>
          <cell r="O258" t="str">
            <v/>
          </cell>
          <cell r="P258" t="str">
            <v/>
          </cell>
          <cell r="Q258" t="str">
            <v/>
          </cell>
          <cell r="R258" t="str">
            <v/>
          </cell>
        </row>
        <row r="259">
          <cell r="N259">
            <v>0</v>
          </cell>
          <cell r="O259" t="str">
            <v/>
          </cell>
          <cell r="P259" t="str">
            <v/>
          </cell>
          <cell r="Q259" t="str">
            <v/>
          </cell>
          <cell r="R259" t="str">
            <v/>
          </cell>
        </row>
        <row r="260">
          <cell r="N260">
            <v>0</v>
          </cell>
          <cell r="O260" t="str">
            <v/>
          </cell>
          <cell r="P260" t="str">
            <v/>
          </cell>
          <cell r="Q260" t="str">
            <v/>
          </cell>
          <cell r="R260" t="str">
            <v/>
          </cell>
        </row>
        <row r="261">
          <cell r="N261">
            <v>0</v>
          </cell>
          <cell r="O261" t="str">
            <v/>
          </cell>
          <cell r="P261" t="str">
            <v/>
          </cell>
          <cell r="Q261" t="str">
            <v/>
          </cell>
          <cell r="R261" t="str">
            <v/>
          </cell>
        </row>
        <row r="262">
          <cell r="N262">
            <v>0</v>
          </cell>
          <cell r="O262" t="str">
            <v/>
          </cell>
          <cell r="P262" t="str">
            <v/>
          </cell>
          <cell r="Q262" t="str">
            <v/>
          </cell>
          <cell r="R262" t="str">
            <v/>
          </cell>
        </row>
        <row r="263">
          <cell r="N263">
            <v>0</v>
          </cell>
          <cell r="O263" t="str">
            <v/>
          </cell>
          <cell r="P263" t="str">
            <v/>
          </cell>
          <cell r="Q263" t="str">
            <v/>
          </cell>
          <cell r="R263" t="str">
            <v/>
          </cell>
        </row>
        <row r="264">
          <cell r="N264">
            <v>0</v>
          </cell>
          <cell r="O264" t="str">
            <v/>
          </cell>
          <cell r="P264" t="str">
            <v/>
          </cell>
          <cell r="Q264" t="str">
            <v/>
          </cell>
          <cell r="R264" t="str">
            <v/>
          </cell>
        </row>
        <row r="265">
          <cell r="N265">
            <v>0</v>
          </cell>
          <cell r="O265" t="str">
            <v/>
          </cell>
          <cell r="P265" t="str">
            <v/>
          </cell>
          <cell r="Q265" t="str">
            <v/>
          </cell>
          <cell r="R265" t="str">
            <v/>
          </cell>
        </row>
        <row r="266">
          <cell r="N266">
            <v>0</v>
          </cell>
          <cell r="O266" t="str">
            <v/>
          </cell>
          <cell r="P266" t="str">
            <v/>
          </cell>
          <cell r="Q266" t="str">
            <v/>
          </cell>
          <cell r="R266" t="str">
            <v/>
          </cell>
        </row>
        <row r="267">
          <cell r="N267">
            <v>0</v>
          </cell>
          <cell r="O267" t="str">
            <v/>
          </cell>
          <cell r="P267" t="str">
            <v/>
          </cell>
          <cell r="Q267" t="str">
            <v/>
          </cell>
          <cell r="R267" t="str">
            <v/>
          </cell>
        </row>
        <row r="268">
          <cell r="N268">
            <v>0</v>
          </cell>
          <cell r="O268" t="str">
            <v/>
          </cell>
          <cell r="P268" t="str">
            <v/>
          </cell>
          <cell r="Q268" t="str">
            <v/>
          </cell>
          <cell r="R268" t="str">
            <v/>
          </cell>
        </row>
        <row r="269">
          <cell r="N269">
            <v>0</v>
          </cell>
          <cell r="O269" t="str">
            <v/>
          </cell>
          <cell r="P269" t="str">
            <v/>
          </cell>
          <cell r="Q269" t="str">
            <v/>
          </cell>
          <cell r="R269" t="str">
            <v/>
          </cell>
        </row>
        <row r="270">
          <cell r="N270">
            <v>0</v>
          </cell>
          <cell r="O270" t="str">
            <v/>
          </cell>
          <cell r="P270" t="str">
            <v/>
          </cell>
          <cell r="Q270" t="str">
            <v/>
          </cell>
          <cell r="R270" t="str">
            <v/>
          </cell>
        </row>
        <row r="271">
          <cell r="N271">
            <v>0</v>
          </cell>
          <cell r="O271" t="str">
            <v/>
          </cell>
          <cell r="P271" t="str">
            <v/>
          </cell>
          <cell r="Q271" t="str">
            <v/>
          </cell>
          <cell r="R271" t="str">
            <v/>
          </cell>
        </row>
        <row r="272">
          <cell r="N272">
            <v>0</v>
          </cell>
          <cell r="O272" t="str">
            <v/>
          </cell>
          <cell r="P272" t="str">
            <v/>
          </cell>
          <cell r="Q272" t="str">
            <v/>
          </cell>
          <cell r="R272" t="str">
            <v/>
          </cell>
        </row>
        <row r="273">
          <cell r="N273">
            <v>0</v>
          </cell>
          <cell r="O273" t="str">
            <v/>
          </cell>
          <cell r="P273" t="str">
            <v/>
          </cell>
          <cell r="Q273" t="str">
            <v/>
          </cell>
          <cell r="R273" t="str">
            <v/>
          </cell>
        </row>
        <row r="274">
          <cell r="N274">
            <v>0</v>
          </cell>
          <cell r="O274" t="str">
            <v/>
          </cell>
          <cell r="P274" t="str">
            <v/>
          </cell>
          <cell r="Q274" t="str">
            <v/>
          </cell>
          <cell r="R274" t="str">
            <v/>
          </cell>
        </row>
        <row r="275">
          <cell r="N275">
            <v>0</v>
          </cell>
          <cell r="O275" t="str">
            <v/>
          </cell>
          <cell r="P275" t="str">
            <v/>
          </cell>
          <cell r="Q275" t="str">
            <v/>
          </cell>
          <cell r="R275" t="str">
            <v/>
          </cell>
        </row>
        <row r="276">
          <cell r="N276">
            <v>0</v>
          </cell>
          <cell r="O276" t="str">
            <v/>
          </cell>
          <cell r="P276" t="str">
            <v/>
          </cell>
          <cell r="Q276" t="str">
            <v/>
          </cell>
          <cell r="R276" t="str">
            <v/>
          </cell>
        </row>
        <row r="277">
          <cell r="N277">
            <v>0</v>
          </cell>
          <cell r="O277" t="str">
            <v/>
          </cell>
          <cell r="P277" t="str">
            <v/>
          </cell>
          <cell r="Q277" t="str">
            <v/>
          </cell>
          <cell r="R277" t="str">
            <v/>
          </cell>
        </row>
        <row r="278">
          <cell r="N278">
            <v>0</v>
          </cell>
          <cell r="O278" t="str">
            <v/>
          </cell>
          <cell r="P278" t="str">
            <v/>
          </cell>
          <cell r="Q278" t="str">
            <v/>
          </cell>
          <cell r="R278" t="str">
            <v/>
          </cell>
        </row>
        <row r="279">
          <cell r="N279">
            <v>0</v>
          </cell>
          <cell r="O279" t="str">
            <v/>
          </cell>
          <cell r="P279" t="str">
            <v/>
          </cell>
          <cell r="Q279" t="str">
            <v/>
          </cell>
          <cell r="R279" t="str">
            <v/>
          </cell>
        </row>
        <row r="280">
          <cell r="N280">
            <v>0</v>
          </cell>
          <cell r="O280" t="str">
            <v/>
          </cell>
          <cell r="P280" t="str">
            <v/>
          </cell>
          <cell r="Q280" t="str">
            <v/>
          </cell>
          <cell r="R280" t="str">
            <v/>
          </cell>
        </row>
        <row r="281">
          <cell r="N281">
            <v>0</v>
          </cell>
          <cell r="O281" t="str">
            <v/>
          </cell>
          <cell r="P281" t="str">
            <v/>
          </cell>
          <cell r="Q281" t="str">
            <v/>
          </cell>
          <cell r="R281" t="str">
            <v/>
          </cell>
        </row>
        <row r="282">
          <cell r="N282">
            <v>0</v>
          </cell>
          <cell r="O282" t="str">
            <v/>
          </cell>
          <cell r="P282" t="str">
            <v/>
          </cell>
          <cell r="Q282" t="str">
            <v/>
          </cell>
          <cell r="R282" t="str">
            <v/>
          </cell>
        </row>
        <row r="283">
          <cell r="N283">
            <v>0</v>
          </cell>
          <cell r="O283" t="str">
            <v/>
          </cell>
          <cell r="P283" t="str">
            <v/>
          </cell>
          <cell r="Q283" t="str">
            <v/>
          </cell>
          <cell r="R283" t="str">
            <v/>
          </cell>
        </row>
        <row r="284">
          <cell r="N284">
            <v>0</v>
          </cell>
          <cell r="O284" t="str">
            <v/>
          </cell>
          <cell r="P284" t="str">
            <v/>
          </cell>
          <cell r="Q284" t="str">
            <v/>
          </cell>
          <cell r="R284" t="str">
            <v/>
          </cell>
        </row>
        <row r="285">
          <cell r="N285">
            <v>0</v>
          </cell>
          <cell r="O285" t="str">
            <v/>
          </cell>
          <cell r="P285" t="str">
            <v/>
          </cell>
          <cell r="Q285" t="str">
            <v/>
          </cell>
          <cell r="R285" t="str">
            <v/>
          </cell>
        </row>
        <row r="286">
          <cell r="N286">
            <v>0</v>
          </cell>
          <cell r="O286" t="str">
            <v/>
          </cell>
          <cell r="P286" t="str">
            <v/>
          </cell>
          <cell r="Q286" t="str">
            <v/>
          </cell>
          <cell r="R286" t="str">
            <v/>
          </cell>
        </row>
        <row r="287">
          <cell r="N287">
            <v>0</v>
          </cell>
          <cell r="O287" t="str">
            <v/>
          </cell>
          <cell r="P287" t="str">
            <v/>
          </cell>
          <cell r="Q287" t="str">
            <v/>
          </cell>
          <cell r="R287" t="str">
            <v/>
          </cell>
        </row>
        <row r="288">
          <cell r="N288">
            <v>0</v>
          </cell>
          <cell r="O288" t="str">
            <v/>
          </cell>
          <cell r="P288" t="str">
            <v/>
          </cell>
          <cell r="Q288" t="str">
            <v/>
          </cell>
          <cell r="R288" t="str">
            <v/>
          </cell>
        </row>
        <row r="289">
          <cell r="N289">
            <v>0</v>
          </cell>
          <cell r="O289" t="str">
            <v/>
          </cell>
          <cell r="P289" t="str">
            <v/>
          </cell>
          <cell r="Q289" t="str">
            <v/>
          </cell>
          <cell r="R289" t="str">
            <v/>
          </cell>
        </row>
        <row r="290">
          <cell r="N290">
            <v>0</v>
          </cell>
          <cell r="O290" t="str">
            <v/>
          </cell>
          <cell r="P290" t="str">
            <v/>
          </cell>
          <cell r="Q290" t="str">
            <v/>
          </cell>
          <cell r="R290" t="str">
            <v/>
          </cell>
        </row>
        <row r="291">
          <cell r="N291">
            <v>0</v>
          </cell>
          <cell r="O291" t="str">
            <v/>
          </cell>
          <cell r="P291" t="str">
            <v/>
          </cell>
          <cell r="Q291" t="str">
            <v/>
          </cell>
          <cell r="R291" t="str">
            <v/>
          </cell>
        </row>
        <row r="292">
          <cell r="N292">
            <v>0</v>
          </cell>
          <cell r="O292" t="str">
            <v/>
          </cell>
          <cell r="P292" t="str">
            <v/>
          </cell>
          <cell r="Q292" t="str">
            <v/>
          </cell>
          <cell r="R292" t="str">
            <v/>
          </cell>
        </row>
        <row r="293">
          <cell r="N293">
            <v>0</v>
          </cell>
          <cell r="O293" t="str">
            <v/>
          </cell>
          <cell r="P293" t="str">
            <v/>
          </cell>
          <cell r="Q293" t="str">
            <v/>
          </cell>
          <cell r="R293" t="str">
            <v/>
          </cell>
        </row>
        <row r="294">
          <cell r="N294">
            <v>0</v>
          </cell>
          <cell r="O294" t="str">
            <v/>
          </cell>
          <cell r="P294" t="str">
            <v/>
          </cell>
          <cell r="Q294" t="str">
            <v/>
          </cell>
          <cell r="R294" t="str">
            <v/>
          </cell>
        </row>
        <row r="295">
          <cell r="N295">
            <v>0</v>
          </cell>
          <cell r="O295" t="str">
            <v/>
          </cell>
          <cell r="P295" t="str">
            <v/>
          </cell>
          <cell r="Q295" t="str">
            <v/>
          </cell>
          <cell r="R295" t="str">
            <v/>
          </cell>
        </row>
        <row r="296">
          <cell r="N296">
            <v>0</v>
          </cell>
          <cell r="O296" t="str">
            <v/>
          </cell>
          <cell r="P296" t="str">
            <v/>
          </cell>
          <cell r="Q296" t="str">
            <v/>
          </cell>
          <cell r="R296" t="str">
            <v/>
          </cell>
        </row>
        <row r="297">
          <cell r="N297">
            <v>0</v>
          </cell>
          <cell r="O297" t="str">
            <v/>
          </cell>
          <cell r="P297" t="str">
            <v/>
          </cell>
          <cell r="Q297" t="str">
            <v/>
          </cell>
          <cell r="R297" t="str">
            <v/>
          </cell>
        </row>
        <row r="298">
          <cell r="N298">
            <v>0</v>
          </cell>
          <cell r="O298" t="str">
            <v/>
          </cell>
          <cell r="P298" t="str">
            <v/>
          </cell>
          <cell r="Q298" t="str">
            <v/>
          </cell>
          <cell r="R298" t="str">
            <v/>
          </cell>
        </row>
        <row r="299">
          <cell r="N299">
            <v>0</v>
          </cell>
          <cell r="O299" t="str">
            <v/>
          </cell>
          <cell r="P299" t="str">
            <v/>
          </cell>
          <cell r="Q299" t="str">
            <v/>
          </cell>
          <cell r="R299" t="str">
            <v/>
          </cell>
        </row>
        <row r="300">
          <cell r="N300">
            <v>0</v>
          </cell>
          <cell r="O300" t="str">
            <v/>
          </cell>
          <cell r="P300" t="str">
            <v/>
          </cell>
          <cell r="Q300" t="str">
            <v/>
          </cell>
          <cell r="R300" t="str">
            <v/>
          </cell>
        </row>
        <row r="301">
          <cell r="N301">
            <v>0</v>
          </cell>
          <cell r="O301" t="str">
            <v/>
          </cell>
          <cell r="P301" t="str">
            <v/>
          </cell>
          <cell r="Q301" t="str">
            <v/>
          </cell>
          <cell r="R301" t="str">
            <v/>
          </cell>
        </row>
        <row r="302">
          <cell r="N302">
            <v>0</v>
          </cell>
          <cell r="O302" t="str">
            <v/>
          </cell>
          <cell r="P302" t="str">
            <v/>
          </cell>
          <cell r="Q302" t="str">
            <v/>
          </cell>
          <cell r="R302" t="str">
            <v/>
          </cell>
        </row>
        <row r="303">
          <cell r="N303">
            <v>0</v>
          </cell>
          <cell r="O303" t="str">
            <v/>
          </cell>
          <cell r="P303" t="str">
            <v/>
          </cell>
          <cell r="Q303" t="str">
            <v/>
          </cell>
          <cell r="R303" t="str">
            <v/>
          </cell>
        </row>
        <row r="304">
          <cell r="N304">
            <v>0</v>
          </cell>
          <cell r="O304" t="str">
            <v/>
          </cell>
          <cell r="P304" t="str">
            <v/>
          </cell>
          <cell r="Q304" t="str">
            <v/>
          </cell>
          <cell r="R304" t="str">
            <v/>
          </cell>
        </row>
        <row r="305">
          <cell r="N305">
            <v>0</v>
          </cell>
          <cell r="O305" t="str">
            <v/>
          </cell>
          <cell r="P305" t="str">
            <v/>
          </cell>
          <cell r="Q305" t="str">
            <v/>
          </cell>
          <cell r="R305" t="str">
            <v/>
          </cell>
        </row>
        <row r="306">
          <cell r="N306">
            <v>0</v>
          </cell>
          <cell r="O306" t="str">
            <v/>
          </cell>
          <cell r="P306" t="str">
            <v/>
          </cell>
          <cell r="Q306" t="str">
            <v/>
          </cell>
          <cell r="R306" t="str">
            <v/>
          </cell>
        </row>
        <row r="307">
          <cell r="N307">
            <v>0</v>
          </cell>
          <cell r="O307" t="str">
            <v/>
          </cell>
          <cell r="P307" t="str">
            <v/>
          </cell>
          <cell r="Q307" t="str">
            <v/>
          </cell>
          <cell r="R307" t="str">
            <v/>
          </cell>
        </row>
        <row r="308">
          <cell r="N308">
            <v>0</v>
          </cell>
          <cell r="O308" t="str">
            <v/>
          </cell>
          <cell r="P308" t="str">
            <v/>
          </cell>
          <cell r="Q308" t="str">
            <v/>
          </cell>
          <cell r="R308" t="str">
            <v/>
          </cell>
        </row>
        <row r="309">
          <cell r="N309">
            <v>0</v>
          </cell>
          <cell r="O309" t="str">
            <v/>
          </cell>
          <cell r="P309" t="str">
            <v/>
          </cell>
          <cell r="Q309" t="str">
            <v/>
          </cell>
          <cell r="R309" t="str">
            <v/>
          </cell>
        </row>
        <row r="310">
          <cell r="N310">
            <v>0</v>
          </cell>
          <cell r="O310" t="str">
            <v/>
          </cell>
          <cell r="P310" t="str">
            <v/>
          </cell>
          <cell r="Q310" t="str">
            <v/>
          </cell>
          <cell r="R310" t="str">
            <v/>
          </cell>
        </row>
        <row r="311">
          <cell r="N311">
            <v>0</v>
          </cell>
          <cell r="O311" t="str">
            <v/>
          </cell>
          <cell r="P311" t="str">
            <v/>
          </cell>
          <cell r="Q311" t="str">
            <v/>
          </cell>
          <cell r="R311" t="str">
            <v/>
          </cell>
        </row>
        <row r="312">
          <cell r="N312">
            <v>0</v>
          </cell>
          <cell r="O312" t="str">
            <v/>
          </cell>
          <cell r="P312" t="str">
            <v/>
          </cell>
          <cell r="Q312" t="str">
            <v/>
          </cell>
          <cell r="R312" t="str">
            <v/>
          </cell>
        </row>
        <row r="313">
          <cell r="N313">
            <v>0</v>
          </cell>
          <cell r="O313" t="str">
            <v/>
          </cell>
          <cell r="P313" t="str">
            <v/>
          </cell>
          <cell r="Q313" t="str">
            <v/>
          </cell>
          <cell r="R313" t="str">
            <v/>
          </cell>
        </row>
        <row r="314">
          <cell r="N314">
            <v>0</v>
          </cell>
          <cell r="O314" t="str">
            <v/>
          </cell>
          <cell r="P314" t="str">
            <v/>
          </cell>
          <cell r="Q314" t="str">
            <v/>
          </cell>
          <cell r="R314" t="str">
            <v/>
          </cell>
        </row>
        <row r="315">
          <cell r="N315">
            <v>0</v>
          </cell>
          <cell r="O315" t="str">
            <v/>
          </cell>
          <cell r="P315" t="str">
            <v/>
          </cell>
          <cell r="Q315" t="str">
            <v/>
          </cell>
          <cell r="R315" t="str">
            <v/>
          </cell>
        </row>
      </sheetData>
      <sheetData sheetId="6"/>
      <sheetData sheetId="7"/>
      <sheetData sheetId="8"/>
      <sheetData sheetId="9">
        <row r="5">
          <cell r="A5" t="str">
            <v>TKTB</v>
          </cell>
          <cell r="B5" t="str">
            <v>TKCD</v>
          </cell>
          <cell r="C5" t="str">
            <v>TKBS</v>
          </cell>
          <cell r="D5" t="str">
            <v>TKPL</v>
          </cell>
        </row>
        <row r="6">
          <cell r="B6" t="str">
            <v>111</v>
          </cell>
        </row>
        <row r="7">
          <cell r="B7" t="str">
            <v>1111</v>
          </cell>
        </row>
        <row r="8">
          <cell r="B8" t="str">
            <v>1112</v>
          </cell>
        </row>
        <row r="9">
          <cell r="B9" t="str">
            <v>1113</v>
          </cell>
        </row>
        <row r="10">
          <cell r="B10" t="str">
            <v>112</v>
          </cell>
        </row>
        <row r="11">
          <cell r="B11" t="str">
            <v>1121</v>
          </cell>
        </row>
        <row r="12">
          <cell r="B12" t="str">
            <v>1122</v>
          </cell>
        </row>
        <row r="13">
          <cell r="B13" t="str">
            <v>1123</v>
          </cell>
        </row>
        <row r="14">
          <cell r="B14" t="str">
            <v>113</v>
          </cell>
        </row>
        <row r="15">
          <cell r="B15" t="str">
            <v>1131</v>
          </cell>
        </row>
        <row r="16">
          <cell r="B16" t="str">
            <v>1132</v>
          </cell>
        </row>
        <row r="17">
          <cell r="B17" t="str">
            <v>121</v>
          </cell>
        </row>
        <row r="18">
          <cell r="B18" t="str">
            <v>1211</v>
          </cell>
        </row>
        <row r="19">
          <cell r="B19" t="str">
            <v>1212</v>
          </cell>
        </row>
        <row r="20">
          <cell r="B20" t="str">
            <v>1218</v>
          </cell>
        </row>
        <row r="21">
          <cell r="B21" t="str">
            <v>128</v>
          </cell>
        </row>
        <row r="22">
          <cell r="B22" t="str">
            <v>1281</v>
          </cell>
        </row>
        <row r="23">
          <cell r="B23" t="str">
            <v>1281</v>
          </cell>
        </row>
        <row r="24">
          <cell r="B24" t="str">
            <v>1281</v>
          </cell>
        </row>
        <row r="25">
          <cell r="B25" t="str">
            <v>1282</v>
          </cell>
        </row>
        <row r="26">
          <cell r="B26" t="str">
            <v>1282</v>
          </cell>
        </row>
        <row r="27">
          <cell r="B27" t="str">
            <v>1282</v>
          </cell>
        </row>
        <row r="28">
          <cell r="B28" t="str">
            <v>1283</v>
          </cell>
        </row>
        <row r="29">
          <cell r="B29" t="str">
            <v>1283</v>
          </cell>
        </row>
        <row r="30">
          <cell r="B30" t="str">
            <v>1283</v>
          </cell>
        </row>
        <row r="31">
          <cell r="B31" t="str">
            <v>1288</v>
          </cell>
        </row>
        <row r="32">
          <cell r="B32" t="str">
            <v>1288</v>
          </cell>
        </row>
        <row r="33">
          <cell r="B33" t="str">
            <v>1288</v>
          </cell>
        </row>
        <row r="34">
          <cell r="B34" t="str">
            <v>1281</v>
          </cell>
        </row>
        <row r="35">
          <cell r="B35" t="str">
            <v>1288</v>
          </cell>
        </row>
        <row r="36">
          <cell r="B36" t="str">
            <v>131</v>
          </cell>
        </row>
        <row r="37">
          <cell r="B37" t="str">
            <v>131</v>
          </cell>
        </row>
        <row r="38">
          <cell r="B38" t="str">
            <v>131</v>
          </cell>
        </row>
        <row r="39">
          <cell r="B39" t="str">
            <v>131</v>
          </cell>
        </row>
        <row r="40">
          <cell r="B40" t="str">
            <v>131</v>
          </cell>
        </row>
        <row r="41">
          <cell r="B41" t="str">
            <v>133</v>
          </cell>
        </row>
        <row r="42">
          <cell r="B42" t="str">
            <v>1331</v>
          </cell>
        </row>
        <row r="43">
          <cell r="B43" t="str">
            <v>1331</v>
          </cell>
        </row>
        <row r="44">
          <cell r="B44" t="str">
            <v>1331</v>
          </cell>
        </row>
        <row r="45">
          <cell r="B45" t="str">
            <v>1332</v>
          </cell>
        </row>
        <row r="46">
          <cell r="B46" t="str">
            <v>1332</v>
          </cell>
        </row>
        <row r="47">
          <cell r="B47" t="str">
            <v>1332</v>
          </cell>
        </row>
        <row r="48">
          <cell r="B48" t="str">
            <v>136</v>
          </cell>
        </row>
        <row r="49">
          <cell r="B49" t="str">
            <v>1361</v>
          </cell>
        </row>
        <row r="50">
          <cell r="B50" t="str">
            <v>1361</v>
          </cell>
        </row>
        <row r="51">
          <cell r="B51" t="str">
            <v>1361</v>
          </cell>
        </row>
        <row r="52">
          <cell r="B52" t="str">
            <v>1362</v>
          </cell>
        </row>
        <row r="53">
          <cell r="B53" t="str">
            <v>1362</v>
          </cell>
        </row>
        <row r="54">
          <cell r="B54" t="str">
            <v>1362</v>
          </cell>
        </row>
        <row r="55">
          <cell r="B55" t="str">
            <v>1362</v>
          </cell>
        </row>
        <row r="56">
          <cell r="B56" t="str">
            <v>1362</v>
          </cell>
        </row>
        <row r="57">
          <cell r="B57" t="str">
            <v>1363</v>
          </cell>
        </row>
        <row r="58">
          <cell r="B58" t="str">
            <v>1363</v>
          </cell>
        </row>
        <row r="59">
          <cell r="B59" t="str">
            <v>1363</v>
          </cell>
        </row>
        <row r="60">
          <cell r="B60" t="str">
            <v>1363</v>
          </cell>
        </row>
        <row r="61">
          <cell r="B61" t="str">
            <v>1363</v>
          </cell>
        </row>
        <row r="62">
          <cell r="B62" t="str">
            <v>1368</v>
          </cell>
        </row>
        <row r="63">
          <cell r="B63" t="str">
            <v>1368</v>
          </cell>
        </row>
        <row r="64">
          <cell r="B64" t="str">
            <v>1368</v>
          </cell>
        </row>
        <row r="65">
          <cell r="B65" t="str">
            <v>1368</v>
          </cell>
        </row>
        <row r="66">
          <cell r="B66" t="str">
            <v>1368</v>
          </cell>
        </row>
        <row r="67">
          <cell r="B67" t="str">
            <v>138</v>
          </cell>
        </row>
        <row r="68">
          <cell r="B68" t="str">
            <v>1381</v>
          </cell>
        </row>
        <row r="69">
          <cell r="B69" t="str">
            <v>1385</v>
          </cell>
        </row>
        <row r="70">
          <cell r="B70" t="str">
            <v>1385</v>
          </cell>
        </row>
        <row r="71">
          <cell r="B71" t="str">
            <v>1385</v>
          </cell>
        </row>
        <row r="72">
          <cell r="B72" t="str">
            <v>1385</v>
          </cell>
        </row>
        <row r="73">
          <cell r="B73" t="str">
            <v>1385</v>
          </cell>
        </row>
        <row r="74">
          <cell r="B74" t="str">
            <v>1388</v>
          </cell>
        </row>
        <row r="75">
          <cell r="B75" t="str">
            <v>1388</v>
          </cell>
        </row>
        <row r="76">
          <cell r="B76" t="str">
            <v>1388</v>
          </cell>
        </row>
        <row r="77">
          <cell r="B77" t="str">
            <v>1388</v>
          </cell>
        </row>
        <row r="78">
          <cell r="B78" t="str">
            <v>1388</v>
          </cell>
        </row>
        <row r="79">
          <cell r="B79" t="str">
            <v>1388</v>
          </cell>
        </row>
        <row r="80">
          <cell r="B80" t="str">
            <v>1388</v>
          </cell>
        </row>
        <row r="81">
          <cell r="B81" t="str">
            <v>1388</v>
          </cell>
        </row>
        <row r="82">
          <cell r="B82" t="str">
            <v>1388</v>
          </cell>
        </row>
        <row r="83">
          <cell r="B83" t="str">
            <v>1388</v>
          </cell>
        </row>
        <row r="84">
          <cell r="B84" t="str">
            <v>1388</v>
          </cell>
        </row>
        <row r="85">
          <cell r="B85" t="str">
            <v>141</v>
          </cell>
        </row>
        <row r="86">
          <cell r="B86" t="str">
            <v>141a</v>
          </cell>
        </row>
        <row r="87">
          <cell r="B87" t="str">
            <v>141a</v>
          </cell>
        </row>
        <row r="88">
          <cell r="B88" t="str">
            <v>141a</v>
          </cell>
        </row>
        <row r="89">
          <cell r="B89" t="str">
            <v>141b</v>
          </cell>
        </row>
        <row r="90">
          <cell r="B90" t="str">
            <v>151</v>
          </cell>
        </row>
        <row r="91">
          <cell r="B91" t="str">
            <v>152</v>
          </cell>
        </row>
        <row r="92">
          <cell r="B92" t="str">
            <v>153</v>
          </cell>
        </row>
        <row r="93">
          <cell r="B93" t="str">
            <v>1531</v>
          </cell>
        </row>
        <row r="94">
          <cell r="B94" t="str">
            <v>1532</v>
          </cell>
        </row>
        <row r="95">
          <cell r="B95" t="str">
            <v>1533</v>
          </cell>
        </row>
        <row r="96">
          <cell r="B96" t="str">
            <v>1534</v>
          </cell>
        </row>
        <row r="97">
          <cell r="B97" t="str">
            <v>1534</v>
          </cell>
        </row>
        <row r="98">
          <cell r="B98" t="str">
            <v>1534</v>
          </cell>
        </row>
        <row r="99">
          <cell r="B99" t="str">
            <v>154</v>
          </cell>
        </row>
        <row r="100">
          <cell r="B100" t="str">
            <v>154</v>
          </cell>
        </row>
        <row r="101">
          <cell r="B101" t="str">
            <v>154</v>
          </cell>
        </row>
        <row r="102">
          <cell r="B102" t="str">
            <v>155</v>
          </cell>
        </row>
        <row r="103">
          <cell r="B103" t="str">
            <v>1551</v>
          </cell>
        </row>
        <row r="104">
          <cell r="B104" t="str">
            <v>1557</v>
          </cell>
        </row>
        <row r="105">
          <cell r="B105" t="str">
            <v>156</v>
          </cell>
        </row>
        <row r="106">
          <cell r="B106" t="str">
            <v>1561</v>
          </cell>
        </row>
        <row r="107">
          <cell r="B107" t="str">
            <v>1562</v>
          </cell>
        </row>
        <row r="108">
          <cell r="B108" t="str">
            <v>1567</v>
          </cell>
        </row>
        <row r="109">
          <cell r="B109" t="str">
            <v>157</v>
          </cell>
        </row>
        <row r="110">
          <cell r="B110" t="str">
            <v>158</v>
          </cell>
        </row>
        <row r="111">
          <cell r="B111" t="str">
            <v>161</v>
          </cell>
        </row>
        <row r="112">
          <cell r="B112" t="str">
            <v>1611</v>
          </cell>
        </row>
        <row r="113">
          <cell r="B113" t="str">
            <v>1612</v>
          </cell>
        </row>
        <row r="114">
          <cell r="B114" t="str">
            <v>171</v>
          </cell>
        </row>
        <row r="115">
          <cell r="B115" t="str">
            <v>171</v>
          </cell>
        </row>
        <row r="116">
          <cell r="B116" t="str">
            <v>171</v>
          </cell>
        </row>
        <row r="117">
          <cell r="B117" t="str">
            <v>211</v>
          </cell>
        </row>
        <row r="118">
          <cell r="B118" t="str">
            <v>2111</v>
          </cell>
        </row>
        <row r="119">
          <cell r="B119" t="str">
            <v>2112</v>
          </cell>
        </row>
        <row r="120">
          <cell r="B120" t="str">
            <v>2113</v>
          </cell>
        </row>
        <row r="121">
          <cell r="B121" t="str">
            <v>2114</v>
          </cell>
        </row>
        <row r="122">
          <cell r="B122" t="str">
            <v>2115</v>
          </cell>
        </row>
        <row r="123">
          <cell r="B123" t="str">
            <v>2118</v>
          </cell>
        </row>
        <row r="124">
          <cell r="B124" t="str">
            <v>212</v>
          </cell>
        </row>
        <row r="125">
          <cell r="B125" t="str">
            <v>2121</v>
          </cell>
        </row>
        <row r="126">
          <cell r="B126" t="str">
            <v>2121</v>
          </cell>
        </row>
        <row r="127">
          <cell r="B127" t="str">
            <v>2121</v>
          </cell>
        </row>
        <row r="128">
          <cell r="B128" t="str">
            <v>2121</v>
          </cell>
        </row>
        <row r="129">
          <cell r="B129" t="str">
            <v>2121</v>
          </cell>
        </row>
        <row r="130">
          <cell r="B130" t="str">
            <v>2121</v>
          </cell>
        </row>
        <row r="131">
          <cell r="B131" t="str">
            <v>2122</v>
          </cell>
        </row>
        <row r="132">
          <cell r="B132" t="str">
            <v>213</v>
          </cell>
        </row>
        <row r="133">
          <cell r="B133" t="str">
            <v>2131</v>
          </cell>
        </row>
        <row r="134">
          <cell r="B134" t="str">
            <v>2132</v>
          </cell>
        </row>
        <row r="135">
          <cell r="B135" t="str">
            <v>2133</v>
          </cell>
        </row>
        <row r="136">
          <cell r="B136" t="str">
            <v>2134</v>
          </cell>
        </row>
        <row r="137">
          <cell r="B137" t="str">
            <v>2135</v>
          </cell>
        </row>
        <row r="138">
          <cell r="B138" t="str">
            <v>2136</v>
          </cell>
        </row>
        <row r="139">
          <cell r="B139" t="str">
            <v>2138</v>
          </cell>
        </row>
        <row r="140">
          <cell r="B140" t="str">
            <v>214</v>
          </cell>
        </row>
        <row r="141">
          <cell r="B141" t="str">
            <v>2141</v>
          </cell>
        </row>
        <row r="142">
          <cell r="B142" t="str">
            <v>2141</v>
          </cell>
        </row>
        <row r="143">
          <cell r="B143" t="str">
            <v>2141</v>
          </cell>
        </row>
        <row r="144">
          <cell r="B144" t="str">
            <v>2141</v>
          </cell>
        </row>
        <row r="145">
          <cell r="B145" t="str">
            <v>2141</v>
          </cell>
        </row>
        <row r="146">
          <cell r="B146" t="str">
            <v>2141</v>
          </cell>
        </row>
        <row r="147">
          <cell r="B147" t="str">
            <v>2141</v>
          </cell>
        </row>
        <row r="148">
          <cell r="B148" t="str">
            <v>2142</v>
          </cell>
        </row>
        <row r="149">
          <cell r="B149" t="str">
            <v>2142</v>
          </cell>
        </row>
        <row r="150">
          <cell r="B150" t="str">
            <v>2142</v>
          </cell>
        </row>
        <row r="151">
          <cell r="B151" t="str">
            <v>2142</v>
          </cell>
        </row>
        <row r="152">
          <cell r="B152" t="str">
            <v>2142</v>
          </cell>
        </row>
        <row r="153">
          <cell r="B153" t="str">
            <v>2142</v>
          </cell>
        </row>
        <row r="154">
          <cell r="B154" t="str">
            <v>2142</v>
          </cell>
        </row>
        <row r="155">
          <cell r="B155" t="str">
            <v>2143</v>
          </cell>
        </row>
        <row r="156">
          <cell r="B156" t="str">
            <v>2143</v>
          </cell>
        </row>
        <row r="157">
          <cell r="B157" t="str">
            <v>2143</v>
          </cell>
        </row>
        <row r="158">
          <cell r="B158" t="str">
            <v>2143</v>
          </cell>
        </row>
        <row r="159">
          <cell r="B159" t="str">
            <v>2143</v>
          </cell>
        </row>
        <row r="160">
          <cell r="B160" t="str">
            <v>2143</v>
          </cell>
        </row>
        <row r="161">
          <cell r="B161" t="str">
            <v>2143</v>
          </cell>
        </row>
        <row r="162">
          <cell r="B162" t="str">
            <v>2143</v>
          </cell>
        </row>
        <row r="163">
          <cell r="B163" t="str">
            <v>2147</v>
          </cell>
        </row>
        <row r="164">
          <cell r="B164" t="str">
            <v>217</v>
          </cell>
        </row>
        <row r="165">
          <cell r="B165" t="str">
            <v>217</v>
          </cell>
        </row>
        <row r="166">
          <cell r="B166" t="str">
            <v>217</v>
          </cell>
        </row>
        <row r="167">
          <cell r="B167" t="str">
            <v>221</v>
          </cell>
        </row>
        <row r="168">
          <cell r="B168" t="str">
            <v>222</v>
          </cell>
        </row>
        <row r="169">
          <cell r="B169" t="str">
            <v>228</v>
          </cell>
        </row>
        <row r="170">
          <cell r="B170" t="str">
            <v>2281</v>
          </cell>
        </row>
        <row r="171">
          <cell r="B171" t="str">
            <v>2288</v>
          </cell>
        </row>
        <row r="172">
          <cell r="B172" t="str">
            <v>2288</v>
          </cell>
        </row>
        <row r="173">
          <cell r="B173" t="str">
            <v>2288</v>
          </cell>
        </row>
        <row r="174">
          <cell r="B174" t="str">
            <v>229</v>
          </cell>
        </row>
        <row r="175">
          <cell r="B175" t="str">
            <v>2291</v>
          </cell>
        </row>
        <row r="176">
          <cell r="B176" t="str">
            <v>2292</v>
          </cell>
        </row>
        <row r="177">
          <cell r="B177" t="str">
            <v>2293</v>
          </cell>
        </row>
        <row r="178">
          <cell r="B178" t="str">
            <v>2293</v>
          </cell>
        </row>
        <row r="179">
          <cell r="B179" t="str">
            <v>2293</v>
          </cell>
        </row>
        <row r="180">
          <cell r="B180" t="str">
            <v>2294</v>
          </cell>
        </row>
        <row r="181">
          <cell r="B181" t="str">
            <v>2294</v>
          </cell>
        </row>
        <row r="182">
          <cell r="B182" t="str">
            <v>2294</v>
          </cell>
        </row>
        <row r="183">
          <cell r="B183" t="str">
            <v>2294</v>
          </cell>
        </row>
        <row r="184">
          <cell r="B184" t="str">
            <v>241</v>
          </cell>
        </row>
        <row r="185">
          <cell r="B185" t="str">
            <v>2411</v>
          </cell>
        </row>
        <row r="186">
          <cell r="B186" t="str">
            <v>2412</v>
          </cell>
        </row>
        <row r="187">
          <cell r="B187" t="str">
            <v>2413</v>
          </cell>
        </row>
        <row r="188">
          <cell r="B188" t="str">
            <v>242</v>
          </cell>
        </row>
        <row r="189">
          <cell r="B189" t="str">
            <v>242</v>
          </cell>
        </row>
        <row r="190">
          <cell r="B190" t="str">
            <v>242</v>
          </cell>
        </row>
        <row r="191">
          <cell r="B191" t="str">
            <v>243</v>
          </cell>
        </row>
        <row r="192">
          <cell r="B192" t="str">
            <v>243</v>
          </cell>
        </row>
        <row r="193">
          <cell r="B193" t="str">
            <v>243</v>
          </cell>
        </row>
        <row r="194">
          <cell r="B194" t="str">
            <v>243</v>
          </cell>
        </row>
        <row r="195">
          <cell r="B195" t="str">
            <v>243</v>
          </cell>
        </row>
        <row r="196">
          <cell r="B196" t="str">
            <v>244</v>
          </cell>
        </row>
        <row r="197">
          <cell r="B197" t="str">
            <v>244</v>
          </cell>
        </row>
        <row r="198">
          <cell r="B198" t="str">
            <v>244</v>
          </cell>
        </row>
        <row r="199">
          <cell r="B199" t="str">
            <v>244</v>
          </cell>
        </row>
        <row r="200">
          <cell r="B200" t="str">
            <v>244</v>
          </cell>
        </row>
        <row r="201">
          <cell r="B201" t="str">
            <v>331</v>
          </cell>
        </row>
        <row r="202">
          <cell r="B202" t="str">
            <v>331</v>
          </cell>
        </row>
        <row r="203">
          <cell r="B203" t="str">
            <v>331</v>
          </cell>
        </row>
        <row r="204">
          <cell r="B204" t="str">
            <v>331</v>
          </cell>
        </row>
        <row r="205">
          <cell r="B205" t="str">
            <v>331</v>
          </cell>
        </row>
        <row r="206">
          <cell r="B206" t="str">
            <v>333</v>
          </cell>
        </row>
        <row r="207">
          <cell r="B207" t="str">
            <v>3331</v>
          </cell>
        </row>
        <row r="208">
          <cell r="B208" t="str">
            <v>33311</v>
          </cell>
        </row>
        <row r="209">
          <cell r="B209" t="str">
            <v>33311</v>
          </cell>
        </row>
        <row r="210">
          <cell r="B210" t="str">
            <v>33311</v>
          </cell>
        </row>
        <row r="211">
          <cell r="B211" t="str">
            <v>33312</v>
          </cell>
        </row>
        <row r="212">
          <cell r="B212" t="str">
            <v>33312</v>
          </cell>
        </row>
        <row r="213">
          <cell r="B213" t="str">
            <v>33312</v>
          </cell>
        </row>
        <row r="214">
          <cell r="B214" t="str">
            <v>3332</v>
          </cell>
        </row>
        <row r="215">
          <cell r="B215" t="str">
            <v>3332</v>
          </cell>
        </row>
        <row r="216">
          <cell r="B216" t="str">
            <v>3332</v>
          </cell>
        </row>
        <row r="217">
          <cell r="B217" t="str">
            <v>3333</v>
          </cell>
        </row>
        <row r="218">
          <cell r="B218" t="str">
            <v>3333</v>
          </cell>
        </row>
        <row r="219">
          <cell r="B219" t="str">
            <v>3333</v>
          </cell>
        </row>
        <row r="220">
          <cell r="B220" t="str">
            <v>3334</v>
          </cell>
        </row>
        <row r="221">
          <cell r="B221" t="str">
            <v>3334</v>
          </cell>
        </row>
        <row r="222">
          <cell r="B222" t="str">
            <v>3334</v>
          </cell>
        </row>
        <row r="223">
          <cell r="B223" t="str">
            <v>3335</v>
          </cell>
        </row>
        <row r="224">
          <cell r="B224" t="str">
            <v>3335</v>
          </cell>
        </row>
        <row r="225">
          <cell r="B225" t="str">
            <v>3335</v>
          </cell>
        </row>
        <row r="226">
          <cell r="B226" t="str">
            <v>3336</v>
          </cell>
        </row>
        <row r="227">
          <cell r="B227" t="str">
            <v>3336</v>
          </cell>
        </row>
        <row r="228">
          <cell r="B228" t="str">
            <v>3336</v>
          </cell>
        </row>
        <row r="229">
          <cell r="B229" t="str">
            <v>3337</v>
          </cell>
        </row>
        <row r="230">
          <cell r="B230" t="str">
            <v>3337</v>
          </cell>
        </row>
        <row r="231">
          <cell r="B231" t="str">
            <v>3337</v>
          </cell>
        </row>
        <row r="232">
          <cell r="B232" t="str">
            <v>3338</v>
          </cell>
        </row>
        <row r="233">
          <cell r="B233" t="str">
            <v>33381</v>
          </cell>
        </row>
        <row r="234">
          <cell r="B234" t="str">
            <v>33381</v>
          </cell>
        </row>
        <row r="235">
          <cell r="B235" t="str">
            <v>33381</v>
          </cell>
        </row>
        <row r="236">
          <cell r="B236" t="str">
            <v>33382</v>
          </cell>
        </row>
        <row r="237">
          <cell r="B237" t="str">
            <v>33382</v>
          </cell>
        </row>
        <row r="238">
          <cell r="B238" t="str">
            <v>33382</v>
          </cell>
        </row>
        <row r="239">
          <cell r="B239" t="str">
            <v>3339</v>
          </cell>
        </row>
        <row r="240">
          <cell r="B240" t="str">
            <v>3339</v>
          </cell>
        </row>
        <row r="241">
          <cell r="B241" t="str">
            <v>3339</v>
          </cell>
        </row>
        <row r="242">
          <cell r="B242" t="str">
            <v>334</v>
          </cell>
        </row>
        <row r="243">
          <cell r="B243" t="str">
            <v>3341</v>
          </cell>
        </row>
        <row r="244">
          <cell r="B244" t="str">
            <v>3341</v>
          </cell>
        </row>
        <row r="245">
          <cell r="B245" t="str">
            <v>3341</v>
          </cell>
        </row>
        <row r="246">
          <cell r="B246" t="str">
            <v>3341</v>
          </cell>
        </row>
        <row r="247">
          <cell r="B247" t="str">
            <v>3348</v>
          </cell>
        </row>
        <row r="248">
          <cell r="B248" t="str">
            <v>3348</v>
          </cell>
        </row>
        <row r="249">
          <cell r="B249" t="str">
            <v>3348</v>
          </cell>
        </row>
        <row r="250">
          <cell r="B250" t="str">
            <v>3348</v>
          </cell>
        </row>
        <row r="251">
          <cell r="B251" t="str">
            <v>335</v>
          </cell>
        </row>
        <row r="252">
          <cell r="B252" t="str">
            <v>335</v>
          </cell>
        </row>
        <row r="253">
          <cell r="B253" t="str">
            <v>335</v>
          </cell>
        </row>
        <row r="254">
          <cell r="B254" t="str">
            <v>336</v>
          </cell>
        </row>
        <row r="255">
          <cell r="B255" t="str">
            <v>3361</v>
          </cell>
        </row>
        <row r="256">
          <cell r="B256" t="str">
            <v>3361</v>
          </cell>
        </row>
        <row r="257">
          <cell r="B257" t="str">
            <v>3361</v>
          </cell>
        </row>
        <row r="258">
          <cell r="B258" t="str">
            <v>3362</v>
          </cell>
        </row>
        <row r="259">
          <cell r="B259" t="str">
            <v>3362</v>
          </cell>
        </row>
        <row r="260">
          <cell r="B260" t="str">
            <v>3362</v>
          </cell>
        </row>
        <row r="261">
          <cell r="B261" t="str">
            <v>3362</v>
          </cell>
        </row>
        <row r="262">
          <cell r="B262" t="str">
            <v>3362</v>
          </cell>
        </row>
        <row r="263">
          <cell r="B263" t="str">
            <v>3363</v>
          </cell>
        </row>
        <row r="264">
          <cell r="B264" t="str">
            <v>3363</v>
          </cell>
        </row>
        <row r="265">
          <cell r="B265" t="str">
            <v>3363</v>
          </cell>
        </row>
        <row r="266">
          <cell r="B266" t="str">
            <v>3363</v>
          </cell>
        </row>
        <row r="267">
          <cell r="B267" t="str">
            <v>3363</v>
          </cell>
        </row>
        <row r="268">
          <cell r="B268" t="str">
            <v>3368</v>
          </cell>
        </row>
        <row r="269">
          <cell r="B269" t="str">
            <v>3368</v>
          </cell>
        </row>
        <row r="270">
          <cell r="B270" t="str">
            <v>3368</v>
          </cell>
        </row>
        <row r="271">
          <cell r="B271" t="str">
            <v>3368</v>
          </cell>
        </row>
        <row r="272">
          <cell r="B272" t="str">
            <v>3368</v>
          </cell>
        </row>
        <row r="273">
          <cell r="B273" t="str">
            <v>337</v>
          </cell>
        </row>
        <row r="274">
          <cell r="B274" t="str">
            <v>337</v>
          </cell>
        </row>
        <row r="275">
          <cell r="B275" t="str">
            <v>337</v>
          </cell>
        </row>
        <row r="276">
          <cell r="B276" t="str">
            <v>338</v>
          </cell>
        </row>
        <row r="277">
          <cell r="B277" t="str">
            <v>3381</v>
          </cell>
        </row>
        <row r="278">
          <cell r="B278" t="str">
            <v>3382</v>
          </cell>
        </row>
        <row r="279">
          <cell r="B279" t="str">
            <v>3382</v>
          </cell>
        </row>
        <row r="280">
          <cell r="B280" t="str">
            <v>3382</v>
          </cell>
        </row>
        <row r="281">
          <cell r="B281" t="str">
            <v>3383</v>
          </cell>
        </row>
        <row r="282">
          <cell r="B282" t="str">
            <v>3383</v>
          </cell>
        </row>
        <row r="283">
          <cell r="B283" t="str">
            <v>3383</v>
          </cell>
        </row>
        <row r="284">
          <cell r="B284" t="str">
            <v>3384</v>
          </cell>
        </row>
        <row r="285">
          <cell r="B285" t="str">
            <v>3384</v>
          </cell>
        </row>
        <row r="286">
          <cell r="B286" t="str">
            <v>3384</v>
          </cell>
        </row>
        <row r="287">
          <cell r="B287" t="str">
            <v>3385</v>
          </cell>
        </row>
        <row r="288">
          <cell r="B288" t="str">
            <v>3385</v>
          </cell>
        </row>
        <row r="289">
          <cell r="B289" t="str">
            <v>3385</v>
          </cell>
        </row>
        <row r="290">
          <cell r="B290" t="str">
            <v>3385</v>
          </cell>
        </row>
        <row r="291">
          <cell r="B291" t="str">
            <v>3385</v>
          </cell>
        </row>
        <row r="292">
          <cell r="B292" t="str">
            <v>3386</v>
          </cell>
        </row>
        <row r="293">
          <cell r="B293" t="str">
            <v>3386</v>
          </cell>
        </row>
        <row r="294">
          <cell r="B294" t="str">
            <v>3386</v>
          </cell>
        </row>
        <row r="295">
          <cell r="B295" t="str">
            <v>3387</v>
          </cell>
        </row>
        <row r="296">
          <cell r="B296" t="str">
            <v>3387</v>
          </cell>
        </row>
        <row r="297">
          <cell r="B297" t="str">
            <v>3387</v>
          </cell>
        </row>
        <row r="298">
          <cell r="B298" t="str">
            <v>3388</v>
          </cell>
        </row>
        <row r="299">
          <cell r="B299" t="str">
            <v>3388</v>
          </cell>
        </row>
        <row r="300">
          <cell r="B300" t="str">
            <v>3388</v>
          </cell>
        </row>
        <row r="301">
          <cell r="B301" t="str">
            <v>3388</v>
          </cell>
        </row>
        <row r="302">
          <cell r="B302" t="str">
            <v>3388</v>
          </cell>
        </row>
        <row r="303">
          <cell r="B303" t="str">
            <v>3388</v>
          </cell>
        </row>
        <row r="304">
          <cell r="B304" t="str">
            <v>3388</v>
          </cell>
        </row>
        <row r="305">
          <cell r="B305" t="str">
            <v>341</v>
          </cell>
        </row>
        <row r="306">
          <cell r="B306" t="str">
            <v>3411</v>
          </cell>
        </row>
        <row r="307">
          <cell r="B307" t="str">
            <v>3411</v>
          </cell>
        </row>
        <row r="308">
          <cell r="B308" t="str">
            <v>3411</v>
          </cell>
        </row>
        <row r="309">
          <cell r="B309" t="str">
            <v>3412</v>
          </cell>
        </row>
        <row r="310">
          <cell r="B310" t="str">
            <v>3412</v>
          </cell>
        </row>
        <row r="311">
          <cell r="B311" t="str">
            <v>3412</v>
          </cell>
        </row>
        <row r="312">
          <cell r="B312" t="str">
            <v>343</v>
          </cell>
        </row>
        <row r="313">
          <cell r="B313" t="str">
            <v>3431</v>
          </cell>
        </row>
        <row r="314">
          <cell r="B314" t="str">
            <v>34311</v>
          </cell>
        </row>
        <row r="315">
          <cell r="B315" t="str">
            <v>34311</v>
          </cell>
        </row>
        <row r="316">
          <cell r="B316" t="str">
            <v>34311</v>
          </cell>
        </row>
        <row r="317">
          <cell r="B317" t="str">
            <v>34312</v>
          </cell>
        </row>
        <row r="318">
          <cell r="B318" t="str">
            <v>34312</v>
          </cell>
        </row>
        <row r="319">
          <cell r="B319" t="str">
            <v>34312</v>
          </cell>
        </row>
        <row r="320">
          <cell r="B320" t="str">
            <v>34313</v>
          </cell>
        </row>
        <row r="321">
          <cell r="B321" t="str">
            <v>34313</v>
          </cell>
        </row>
        <row r="322">
          <cell r="B322" t="str">
            <v>34313</v>
          </cell>
        </row>
        <row r="323">
          <cell r="B323" t="str">
            <v>3432</v>
          </cell>
        </row>
        <row r="324">
          <cell r="B324" t="str">
            <v>344</v>
          </cell>
        </row>
        <row r="325">
          <cell r="B325" t="str">
            <v>344</v>
          </cell>
        </row>
        <row r="326">
          <cell r="B326" t="str">
            <v>344</v>
          </cell>
        </row>
        <row r="327">
          <cell r="B327" t="str">
            <v>344</v>
          </cell>
        </row>
        <row r="328">
          <cell r="B328" t="str">
            <v>344</v>
          </cell>
        </row>
        <row r="329">
          <cell r="B329" t="str">
            <v>347</v>
          </cell>
        </row>
        <row r="330">
          <cell r="B330" t="str">
            <v>347</v>
          </cell>
        </row>
        <row r="331">
          <cell r="B331" t="str">
            <v>347</v>
          </cell>
        </row>
        <row r="332">
          <cell r="B332" t="str">
            <v>352</v>
          </cell>
        </row>
        <row r="333">
          <cell r="B333" t="str">
            <v>3521</v>
          </cell>
        </row>
        <row r="334">
          <cell r="B334" t="str">
            <v>3521</v>
          </cell>
        </row>
        <row r="335">
          <cell r="B335" t="str">
            <v>3521</v>
          </cell>
        </row>
        <row r="336">
          <cell r="B336" t="str">
            <v>3522</v>
          </cell>
        </row>
        <row r="337">
          <cell r="B337" t="str">
            <v>3522</v>
          </cell>
        </row>
        <row r="338">
          <cell r="B338" t="str">
            <v>3522</v>
          </cell>
        </row>
        <row r="339">
          <cell r="B339" t="str">
            <v>3523</v>
          </cell>
        </row>
        <row r="340">
          <cell r="B340" t="str">
            <v>3523</v>
          </cell>
        </row>
        <row r="341">
          <cell r="B341" t="str">
            <v>3523</v>
          </cell>
        </row>
        <row r="342">
          <cell r="B342" t="str">
            <v>3524</v>
          </cell>
        </row>
        <row r="343">
          <cell r="B343" t="str">
            <v>3524</v>
          </cell>
        </row>
        <row r="344">
          <cell r="B344" t="str">
            <v>3524</v>
          </cell>
        </row>
        <row r="345">
          <cell r="B345" t="str">
            <v>353</v>
          </cell>
        </row>
        <row r="346">
          <cell r="B346" t="str">
            <v>3531</v>
          </cell>
        </row>
        <row r="347">
          <cell r="B347" t="str">
            <v>3532</v>
          </cell>
        </row>
        <row r="348">
          <cell r="B348" t="str">
            <v>3533</v>
          </cell>
        </row>
        <row r="349">
          <cell r="B349" t="str">
            <v>3534</v>
          </cell>
        </row>
        <row r="350">
          <cell r="B350" t="str">
            <v>356</v>
          </cell>
        </row>
        <row r="351">
          <cell r="B351" t="str">
            <v>3561</v>
          </cell>
        </row>
        <row r="352">
          <cell r="B352" t="str">
            <v>3562</v>
          </cell>
        </row>
        <row r="353">
          <cell r="B353" t="str">
            <v>357</v>
          </cell>
        </row>
        <row r="354">
          <cell r="B354" t="str">
            <v>411</v>
          </cell>
        </row>
        <row r="355">
          <cell r="B355" t="str">
            <v>4111</v>
          </cell>
        </row>
        <row r="356">
          <cell r="B356" t="str">
            <v>41111</v>
          </cell>
        </row>
        <row r="357">
          <cell r="B357" t="str">
            <v>41111</v>
          </cell>
        </row>
        <row r="358">
          <cell r="B358" t="str">
            <v>41112</v>
          </cell>
        </row>
        <row r="359">
          <cell r="B359" t="str">
            <v>41112</v>
          </cell>
        </row>
        <row r="360">
          <cell r="B360" t="str">
            <v>41112</v>
          </cell>
        </row>
        <row r="361">
          <cell r="B361" t="str">
            <v>4112</v>
          </cell>
        </row>
        <row r="362">
          <cell r="B362" t="str">
            <v>4113</v>
          </cell>
        </row>
        <row r="363">
          <cell r="B363" t="str">
            <v>4118</v>
          </cell>
        </row>
        <row r="364">
          <cell r="B364" t="str">
            <v>412</v>
          </cell>
        </row>
        <row r="365">
          <cell r="B365" t="str">
            <v>413</v>
          </cell>
        </row>
        <row r="366">
          <cell r="B366" t="str">
            <v>4131</v>
          </cell>
        </row>
        <row r="367">
          <cell r="B367" t="str">
            <v>4132</v>
          </cell>
        </row>
        <row r="368">
          <cell r="B368" t="str">
            <v>414</v>
          </cell>
        </row>
        <row r="369">
          <cell r="B369" t="str">
            <v>417</v>
          </cell>
        </row>
        <row r="370">
          <cell r="B370" t="str">
            <v>418</v>
          </cell>
        </row>
        <row r="371">
          <cell r="B371" t="str">
            <v>419</v>
          </cell>
        </row>
        <row r="372">
          <cell r="B372" t="str">
            <v>421</v>
          </cell>
        </row>
        <row r="373">
          <cell r="B373" t="str">
            <v>4211</v>
          </cell>
        </row>
        <row r="374">
          <cell r="B374" t="str">
            <v>4212</v>
          </cell>
        </row>
        <row r="375">
          <cell r="B375" t="str">
            <v>441</v>
          </cell>
        </row>
        <row r="376">
          <cell r="B376" t="str">
            <v>461</v>
          </cell>
        </row>
        <row r="377">
          <cell r="B377" t="str">
            <v>4611</v>
          </cell>
        </row>
        <row r="378">
          <cell r="B378" t="str">
            <v>4612</v>
          </cell>
        </row>
        <row r="379">
          <cell r="B379" t="str">
            <v>466</v>
          </cell>
        </row>
        <row r="380">
          <cell r="B380" t="str">
            <v>511</v>
          </cell>
        </row>
        <row r="381">
          <cell r="B381" t="str">
            <v>5111</v>
          </cell>
        </row>
        <row r="382">
          <cell r="B382" t="str">
            <v>5112</v>
          </cell>
        </row>
        <row r="383">
          <cell r="B383" t="str">
            <v>5113</v>
          </cell>
        </row>
        <row r="384">
          <cell r="B384" t="str">
            <v>5114</v>
          </cell>
        </row>
        <row r="385">
          <cell r="B385" t="str">
            <v>5117</v>
          </cell>
        </row>
        <row r="386">
          <cell r="B386" t="str">
            <v>5118</v>
          </cell>
        </row>
        <row r="387">
          <cell r="B387" t="str">
            <v>515</v>
          </cell>
        </row>
        <row r="388">
          <cell r="B388" t="str">
            <v>515</v>
          </cell>
        </row>
        <row r="389">
          <cell r="B389" t="str">
            <v>515</v>
          </cell>
        </row>
        <row r="390">
          <cell r="B390" t="str">
            <v>515</v>
          </cell>
        </row>
        <row r="391">
          <cell r="B391" t="str">
            <v>515</v>
          </cell>
        </row>
        <row r="392">
          <cell r="B392" t="str">
            <v>515</v>
          </cell>
        </row>
        <row r="393">
          <cell r="B393" t="str">
            <v>515</v>
          </cell>
        </row>
        <row r="394">
          <cell r="B394" t="str">
            <v>521</v>
          </cell>
        </row>
        <row r="395">
          <cell r="B395" t="str">
            <v>5211</v>
          </cell>
        </row>
        <row r="396">
          <cell r="B396" t="str">
            <v>5212</v>
          </cell>
        </row>
        <row r="397">
          <cell r="B397" t="str">
            <v>5213</v>
          </cell>
        </row>
        <row r="398">
          <cell r="B398" t="str">
            <v>611</v>
          </cell>
        </row>
        <row r="399">
          <cell r="B399" t="str">
            <v>6111</v>
          </cell>
        </row>
        <row r="400">
          <cell r="B400" t="str">
            <v>6112</v>
          </cell>
        </row>
        <row r="401">
          <cell r="B401" t="str">
            <v>621</v>
          </cell>
        </row>
        <row r="402">
          <cell r="B402" t="str">
            <v>622</v>
          </cell>
        </row>
        <row r="403">
          <cell r="B403" t="str">
            <v>623</v>
          </cell>
        </row>
        <row r="404">
          <cell r="B404" t="str">
            <v>6231</v>
          </cell>
        </row>
        <row r="405">
          <cell r="B405" t="str">
            <v>6232</v>
          </cell>
        </row>
        <row r="406">
          <cell r="B406" t="str">
            <v>6233</v>
          </cell>
        </row>
        <row r="407">
          <cell r="B407" t="str">
            <v>6234</v>
          </cell>
        </row>
        <row r="408">
          <cell r="B408" t="str">
            <v>6237</v>
          </cell>
        </row>
        <row r="409">
          <cell r="B409" t="str">
            <v>6238</v>
          </cell>
        </row>
        <row r="410">
          <cell r="B410" t="str">
            <v>627</v>
          </cell>
        </row>
        <row r="411">
          <cell r="B411" t="str">
            <v>6271</v>
          </cell>
        </row>
        <row r="412">
          <cell r="B412" t="str">
            <v>6272</v>
          </cell>
        </row>
        <row r="413">
          <cell r="B413" t="str">
            <v>6273</v>
          </cell>
        </row>
        <row r="414">
          <cell r="B414" t="str">
            <v>6274</v>
          </cell>
        </row>
        <row r="415">
          <cell r="B415" t="str">
            <v>6277</v>
          </cell>
        </row>
        <row r="416">
          <cell r="B416" t="str">
            <v>6278</v>
          </cell>
        </row>
        <row r="417">
          <cell r="B417" t="str">
            <v>631</v>
          </cell>
        </row>
        <row r="418">
          <cell r="B418" t="str">
            <v>632</v>
          </cell>
        </row>
        <row r="419">
          <cell r="B419" t="str">
            <v>632</v>
          </cell>
        </row>
        <row r="420">
          <cell r="B420" t="str">
            <v>632</v>
          </cell>
        </row>
        <row r="421">
          <cell r="B421" t="str">
            <v>632</v>
          </cell>
        </row>
        <row r="422">
          <cell r="B422" t="str">
            <v>632</v>
          </cell>
        </row>
        <row r="423">
          <cell r="B423" t="str">
            <v>632</v>
          </cell>
        </row>
        <row r="424">
          <cell r="B424" t="str">
            <v>632</v>
          </cell>
        </row>
        <row r="425">
          <cell r="B425" t="str">
            <v>632</v>
          </cell>
        </row>
        <row r="426">
          <cell r="B426" t="str">
            <v>632</v>
          </cell>
        </row>
        <row r="427">
          <cell r="B427" t="str">
            <v>632</v>
          </cell>
        </row>
        <row r="428">
          <cell r="B428" t="str">
            <v>632</v>
          </cell>
        </row>
        <row r="429">
          <cell r="B429" t="str">
            <v>635</v>
          </cell>
        </row>
        <row r="430">
          <cell r="B430" t="str">
            <v>635</v>
          </cell>
        </row>
        <row r="431">
          <cell r="B431" t="str">
            <v>635</v>
          </cell>
        </row>
        <row r="432">
          <cell r="B432" t="str">
            <v>635</v>
          </cell>
        </row>
        <row r="433">
          <cell r="B433" t="str">
            <v>635</v>
          </cell>
        </row>
        <row r="434">
          <cell r="B434" t="str">
            <v>635</v>
          </cell>
        </row>
        <row r="435">
          <cell r="B435" t="str">
            <v>635</v>
          </cell>
        </row>
        <row r="436">
          <cell r="B436" t="str">
            <v>635</v>
          </cell>
        </row>
        <row r="437">
          <cell r="B437" t="str">
            <v>641</v>
          </cell>
        </row>
        <row r="438">
          <cell r="B438" t="str">
            <v>6411</v>
          </cell>
        </row>
        <row r="439">
          <cell r="B439" t="str">
            <v>6412</v>
          </cell>
        </row>
        <row r="440">
          <cell r="B440" t="str">
            <v>6413</v>
          </cell>
        </row>
        <row r="441">
          <cell r="B441" t="str">
            <v>6414</v>
          </cell>
        </row>
        <row r="442">
          <cell r="B442" t="str">
            <v>6415</v>
          </cell>
        </row>
        <row r="443">
          <cell r="B443" t="str">
            <v>6417</v>
          </cell>
        </row>
        <row r="444">
          <cell r="B444" t="str">
            <v>6418</v>
          </cell>
        </row>
        <row r="445">
          <cell r="B445" t="str">
            <v>642</v>
          </cell>
        </row>
        <row r="446">
          <cell r="B446" t="str">
            <v>6421</v>
          </cell>
        </row>
        <row r="447">
          <cell r="B447" t="str">
            <v>6422</v>
          </cell>
        </row>
        <row r="448">
          <cell r="B448" t="str">
            <v>6423</v>
          </cell>
        </row>
        <row r="449">
          <cell r="B449" t="str">
            <v>6424</v>
          </cell>
        </row>
        <row r="450">
          <cell r="B450" t="str">
            <v>6425</v>
          </cell>
        </row>
        <row r="451">
          <cell r="B451" t="str">
            <v>6426</v>
          </cell>
        </row>
        <row r="452">
          <cell r="B452" t="str">
            <v>6427</v>
          </cell>
        </row>
        <row r="453">
          <cell r="B453" t="str">
            <v>6428</v>
          </cell>
        </row>
        <row r="454">
          <cell r="B454" t="str">
            <v>711</v>
          </cell>
        </row>
        <row r="455">
          <cell r="B455" t="str">
            <v>811</v>
          </cell>
        </row>
        <row r="456">
          <cell r="B456" t="str">
            <v>821</v>
          </cell>
        </row>
        <row r="457">
          <cell r="B457" t="str">
            <v>8211</v>
          </cell>
        </row>
        <row r="458">
          <cell r="B458" t="str">
            <v>8211</v>
          </cell>
        </row>
        <row r="459">
          <cell r="B459" t="str">
            <v>8211</v>
          </cell>
        </row>
        <row r="460">
          <cell r="B460" t="str">
            <v>8212</v>
          </cell>
        </row>
        <row r="461">
          <cell r="B461" t="str">
            <v>8212</v>
          </cell>
        </row>
        <row r="462">
          <cell r="B462" t="str">
            <v>8212</v>
          </cell>
        </row>
        <row r="463">
          <cell r="B463" t="str">
            <v>8212</v>
          </cell>
        </row>
        <row r="464">
          <cell r="B464" t="str">
            <v>8212</v>
          </cell>
        </row>
        <row r="465">
          <cell r="B465" t="str">
            <v>8212</v>
          </cell>
        </row>
        <row r="466">
          <cell r="B466" t="str">
            <v>911</v>
          </cell>
        </row>
        <row r="467">
          <cell r="B467" t="str">
            <v>LC01</v>
          </cell>
        </row>
        <row r="468">
          <cell r="B468" t="str">
            <v>LC02</v>
          </cell>
        </row>
        <row r="469">
          <cell r="B469" t="str">
            <v>LC03</v>
          </cell>
        </row>
        <row r="470">
          <cell r="B470" t="str">
            <v>LC04</v>
          </cell>
        </row>
        <row r="471">
          <cell r="B471" t="str">
            <v>LC05</v>
          </cell>
        </row>
        <row r="472">
          <cell r="B472" t="str">
            <v>LC06</v>
          </cell>
        </row>
        <row r="473">
          <cell r="B473" t="str">
            <v>LC07</v>
          </cell>
        </row>
        <row r="474">
          <cell r="B474" t="str">
            <v>LC21</v>
          </cell>
        </row>
        <row r="475">
          <cell r="B475" t="str">
            <v>LC22</v>
          </cell>
        </row>
        <row r="476">
          <cell r="B476" t="str">
            <v>LC23</v>
          </cell>
        </row>
        <row r="477">
          <cell r="B477" t="str">
            <v>LC24</v>
          </cell>
        </row>
        <row r="478">
          <cell r="B478" t="str">
            <v>LC25</v>
          </cell>
        </row>
        <row r="479">
          <cell r="B479" t="str">
            <v>LC26</v>
          </cell>
        </row>
        <row r="480">
          <cell r="B480" t="str">
            <v>LC27</v>
          </cell>
        </row>
        <row r="481">
          <cell r="B481" t="str">
            <v>LC31</v>
          </cell>
        </row>
        <row r="482">
          <cell r="B482" t="str">
            <v>LC32</v>
          </cell>
        </row>
        <row r="483">
          <cell r="B483" t="str">
            <v>LC33</v>
          </cell>
        </row>
        <row r="484">
          <cell r="B484" t="str">
            <v>LC34</v>
          </cell>
        </row>
        <row r="485">
          <cell r="B485" t="str">
            <v>LC35</v>
          </cell>
        </row>
        <row r="486">
          <cell r="B486" t="str">
            <v>LC36</v>
          </cell>
        </row>
        <row r="487">
          <cell r="B487" t="str">
            <v>LC61</v>
          </cell>
        </row>
      </sheetData>
      <sheetData sheetId="10">
        <row r="7">
          <cell r="F7" t="str">
            <v>Từ Sơn</v>
          </cell>
          <cell r="G7" t="str">
            <v>Hải Dương</v>
          </cell>
          <cell r="H7" t="str">
            <v>Dv03</v>
          </cell>
          <cell r="I7" t="str">
            <v>Dv04</v>
          </cell>
          <cell r="J7" t="str">
            <v>Dv05</v>
          </cell>
          <cell r="K7" t="str">
            <v>Dv06</v>
          </cell>
          <cell r="L7" t="str">
            <v>Dv07</v>
          </cell>
          <cell r="M7" t="str">
            <v>Dv08</v>
          </cell>
          <cell r="N7" t="str">
            <v>Dv09</v>
          </cell>
          <cell r="O7" t="str">
            <v>Dv10</v>
          </cell>
        </row>
        <row r="8">
          <cell r="D8" t="str">
            <v>1</v>
          </cell>
          <cell r="E8" t="str">
            <v>2</v>
          </cell>
          <cell r="F8" t="str">
            <v>3.01</v>
          </cell>
          <cell r="G8" t="str">
            <v>3.02</v>
          </cell>
          <cell r="H8" t="str">
            <v>3.03</v>
          </cell>
          <cell r="I8" t="str">
            <v>3.04</v>
          </cell>
          <cell r="J8" t="str">
            <v>3.05</v>
          </cell>
          <cell r="K8" t="str">
            <v>3.06</v>
          </cell>
          <cell r="L8" t="str">
            <v>3.07</v>
          </cell>
          <cell r="M8" t="str">
            <v>3.08</v>
          </cell>
          <cell r="N8" t="str">
            <v>3.09</v>
          </cell>
          <cell r="O8" t="str">
            <v>3.10</v>
          </cell>
          <cell r="P8" t="str">
            <v>3</v>
          </cell>
          <cell r="Q8" t="str">
            <v>4</v>
          </cell>
          <cell r="R8" t="str">
            <v>5</v>
          </cell>
          <cell r="S8" t="str">
            <v>6</v>
          </cell>
          <cell r="T8" t="str">
            <v>7.01</v>
          </cell>
          <cell r="U8" t="str">
            <v>7.02</v>
          </cell>
          <cell r="V8" t="str">
            <v>7.03</v>
          </cell>
          <cell r="W8" t="str">
            <v>7.04</v>
          </cell>
          <cell r="X8" t="str">
            <v>7.05</v>
          </cell>
          <cell r="Y8" t="str">
            <v>7.06</v>
          </cell>
          <cell r="Z8" t="str">
            <v>7.07</v>
          </cell>
          <cell r="AA8" t="str">
            <v>7.08</v>
          </cell>
          <cell r="AB8" t="str">
            <v>7.09</v>
          </cell>
          <cell r="AC8" t="str">
            <v>7.10</v>
          </cell>
          <cell r="AD8" t="str">
            <v>7</v>
          </cell>
          <cell r="AE8" t="str">
            <v>8</v>
          </cell>
          <cell r="AF8" t="str">
            <v>9</v>
          </cell>
          <cell r="AG8" t="str">
            <v>10</v>
          </cell>
        </row>
        <row r="10">
          <cell r="D10" t="str">
            <v>100</v>
          </cell>
          <cell r="E10" t="str">
            <v>A. TÀI SẢN NGẮN HẠN</v>
          </cell>
          <cell r="F10">
            <v>43714420108</v>
          </cell>
          <cell r="G10">
            <v>11012238551</v>
          </cell>
          <cell r="H10">
            <v>0</v>
          </cell>
          <cell r="I10">
            <v>0</v>
          </cell>
          <cell r="J10">
            <v>0</v>
          </cell>
          <cell r="K10">
            <v>0</v>
          </cell>
          <cell r="L10">
            <v>0</v>
          </cell>
          <cell r="M10">
            <v>0</v>
          </cell>
          <cell r="N10">
            <v>0</v>
          </cell>
          <cell r="O10">
            <v>0</v>
          </cell>
          <cell r="P10">
            <v>54726658659</v>
          </cell>
          <cell r="Q10">
            <v>594622378</v>
          </cell>
          <cell r="R10">
            <v>11978075746</v>
          </cell>
          <cell r="S10">
            <v>43343205291</v>
          </cell>
          <cell r="T10">
            <v>38440069026</v>
          </cell>
          <cell r="U10">
            <v>0</v>
          </cell>
          <cell r="V10">
            <v>0</v>
          </cell>
          <cell r="W10">
            <v>0</v>
          </cell>
          <cell r="X10">
            <v>0</v>
          </cell>
          <cell r="Y10">
            <v>0</v>
          </cell>
          <cell r="Z10">
            <v>0</v>
          </cell>
          <cell r="AA10">
            <v>0</v>
          </cell>
          <cell r="AB10">
            <v>0</v>
          </cell>
          <cell r="AC10">
            <v>0</v>
          </cell>
          <cell r="AD10">
            <v>38440069026</v>
          </cell>
          <cell r="AE10">
            <v>0</v>
          </cell>
          <cell r="AF10">
            <v>0</v>
          </cell>
          <cell r="AG10">
            <v>38440069026</v>
          </cell>
        </row>
        <row r="12">
          <cell r="D12" t="str">
            <v>110</v>
          </cell>
          <cell r="E12" t="str">
            <v>I. Tiền và các khoản tương đương tiền</v>
          </cell>
          <cell r="F12">
            <v>3370107732</v>
          </cell>
          <cell r="G12">
            <v>379599477</v>
          </cell>
          <cell r="H12">
            <v>0</v>
          </cell>
          <cell r="I12">
            <v>0</v>
          </cell>
          <cell r="J12">
            <v>0</v>
          </cell>
          <cell r="K12">
            <v>0</v>
          </cell>
          <cell r="L12">
            <v>0</v>
          </cell>
          <cell r="M12">
            <v>0</v>
          </cell>
          <cell r="N12">
            <v>0</v>
          </cell>
          <cell r="O12">
            <v>0</v>
          </cell>
          <cell r="P12">
            <v>3749707209</v>
          </cell>
          <cell r="Q12">
            <v>0</v>
          </cell>
          <cell r="R12">
            <v>0</v>
          </cell>
          <cell r="S12">
            <v>3749707209</v>
          </cell>
          <cell r="T12">
            <v>3971638435</v>
          </cell>
          <cell r="U12">
            <v>0</v>
          </cell>
          <cell r="V12">
            <v>0</v>
          </cell>
          <cell r="W12">
            <v>0</v>
          </cell>
          <cell r="X12">
            <v>0</v>
          </cell>
          <cell r="Y12">
            <v>0</v>
          </cell>
          <cell r="Z12">
            <v>0</v>
          </cell>
          <cell r="AA12">
            <v>0</v>
          </cell>
          <cell r="AB12">
            <v>0</v>
          </cell>
          <cell r="AC12">
            <v>0</v>
          </cell>
          <cell r="AD12">
            <v>3971638435</v>
          </cell>
          <cell r="AE12">
            <v>0</v>
          </cell>
          <cell r="AF12">
            <v>0</v>
          </cell>
          <cell r="AG12">
            <v>3971638435</v>
          </cell>
        </row>
        <row r="13">
          <cell r="D13" t="str">
            <v>111</v>
          </cell>
          <cell r="E13" t="str">
            <v>1. Tiền</v>
          </cell>
          <cell r="F13">
            <v>1370107732</v>
          </cell>
          <cell r="G13">
            <v>379599477</v>
          </cell>
          <cell r="H13">
            <v>0</v>
          </cell>
          <cell r="I13">
            <v>0</v>
          </cell>
          <cell r="J13">
            <v>0</v>
          </cell>
          <cell r="K13">
            <v>0</v>
          </cell>
          <cell r="L13">
            <v>0</v>
          </cell>
          <cell r="M13">
            <v>0</v>
          </cell>
          <cell r="N13">
            <v>0</v>
          </cell>
          <cell r="O13">
            <v>0</v>
          </cell>
          <cell r="P13">
            <v>1749707209</v>
          </cell>
          <cell r="Q13">
            <v>0</v>
          </cell>
          <cell r="R13">
            <v>0</v>
          </cell>
          <cell r="S13">
            <v>1749707209</v>
          </cell>
          <cell r="T13">
            <v>971638435</v>
          </cell>
          <cell r="U13">
            <v>0</v>
          </cell>
          <cell r="V13">
            <v>0</v>
          </cell>
          <cell r="W13">
            <v>0</v>
          </cell>
          <cell r="X13">
            <v>0</v>
          </cell>
          <cell r="Y13">
            <v>0</v>
          </cell>
          <cell r="Z13">
            <v>0</v>
          </cell>
          <cell r="AA13">
            <v>0</v>
          </cell>
          <cell r="AB13">
            <v>0</v>
          </cell>
          <cell r="AC13">
            <v>0</v>
          </cell>
          <cell r="AD13">
            <v>971638435</v>
          </cell>
          <cell r="AE13">
            <v>0</v>
          </cell>
          <cell r="AF13">
            <v>0</v>
          </cell>
          <cell r="AG13">
            <v>971638435</v>
          </cell>
        </row>
        <row r="14">
          <cell r="B14" t="str">
            <v>1111</v>
          </cell>
          <cell r="D14" t="str">
            <v>111a</v>
          </cell>
          <cell r="E14" t="str">
            <v xml:space="preserve"> - Tiền mặt - Tiền VN</v>
          </cell>
          <cell r="F14">
            <v>25778803</v>
          </cell>
          <cell r="G14">
            <v>52041765</v>
          </cell>
          <cell r="H14">
            <v>0</v>
          </cell>
          <cell r="I14">
            <v>0</v>
          </cell>
          <cell r="J14">
            <v>0</v>
          </cell>
          <cell r="K14">
            <v>0</v>
          </cell>
          <cell r="L14">
            <v>0</v>
          </cell>
          <cell r="M14">
            <v>0</v>
          </cell>
          <cell r="N14">
            <v>0</v>
          </cell>
          <cell r="O14">
            <v>0</v>
          </cell>
          <cell r="P14">
            <v>77820568</v>
          </cell>
          <cell r="Q14">
            <v>0</v>
          </cell>
          <cell r="R14">
            <v>0</v>
          </cell>
          <cell r="S14">
            <v>77820568</v>
          </cell>
          <cell r="T14">
            <v>136975427</v>
          </cell>
          <cell r="U14">
            <v>0</v>
          </cell>
          <cell r="V14">
            <v>0</v>
          </cell>
          <cell r="W14">
            <v>0</v>
          </cell>
          <cell r="X14">
            <v>0</v>
          </cell>
          <cell r="Y14">
            <v>0</v>
          </cell>
          <cell r="Z14">
            <v>0</v>
          </cell>
          <cell r="AA14">
            <v>0</v>
          </cell>
          <cell r="AB14">
            <v>0</v>
          </cell>
          <cell r="AC14">
            <v>0</v>
          </cell>
          <cell r="AD14">
            <v>136975427</v>
          </cell>
          <cell r="AE14">
            <v>0</v>
          </cell>
          <cell r="AF14">
            <v>0</v>
          </cell>
          <cell r="AG14">
            <v>136975427</v>
          </cell>
        </row>
        <row r="15">
          <cell r="B15" t="str">
            <v>1112</v>
          </cell>
          <cell r="D15" t="str">
            <v>111b</v>
          </cell>
          <cell r="E15" t="str">
            <v xml:space="preserve"> - Tiền mặt - Ngoại tệ</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B16" t="str">
            <v>1113</v>
          </cell>
          <cell r="D16" t="str">
            <v>111c</v>
          </cell>
          <cell r="E16" t="str">
            <v xml:space="preserve"> - Tiền mặt - Vàng tiền tệ</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row>
        <row r="17">
          <cell r="B17" t="str">
            <v>1121</v>
          </cell>
          <cell r="D17" t="str">
            <v>111d</v>
          </cell>
          <cell r="E17" t="str">
            <v xml:space="preserve"> - Tiền gửi ngân hàng - Tiền VN</v>
          </cell>
          <cell r="F17">
            <v>1243813734</v>
          </cell>
          <cell r="G17">
            <v>327557712</v>
          </cell>
          <cell r="H17">
            <v>0</v>
          </cell>
          <cell r="I17">
            <v>0</v>
          </cell>
          <cell r="J17">
            <v>0</v>
          </cell>
          <cell r="K17">
            <v>0</v>
          </cell>
          <cell r="L17">
            <v>0</v>
          </cell>
          <cell r="M17">
            <v>0</v>
          </cell>
          <cell r="N17">
            <v>0</v>
          </cell>
          <cell r="O17">
            <v>0</v>
          </cell>
          <cell r="P17">
            <v>1571371446</v>
          </cell>
          <cell r="Q17">
            <v>0</v>
          </cell>
          <cell r="R17">
            <v>0</v>
          </cell>
          <cell r="S17">
            <v>1571371446</v>
          </cell>
          <cell r="T17">
            <v>733992594</v>
          </cell>
          <cell r="U17">
            <v>0</v>
          </cell>
          <cell r="V17">
            <v>0</v>
          </cell>
          <cell r="W17">
            <v>0</v>
          </cell>
          <cell r="X17">
            <v>0</v>
          </cell>
          <cell r="Y17">
            <v>0</v>
          </cell>
          <cell r="Z17">
            <v>0</v>
          </cell>
          <cell r="AA17">
            <v>0</v>
          </cell>
          <cell r="AB17">
            <v>0</v>
          </cell>
          <cell r="AC17">
            <v>0</v>
          </cell>
          <cell r="AD17">
            <v>733992594</v>
          </cell>
          <cell r="AE17">
            <v>0</v>
          </cell>
          <cell r="AF17">
            <v>0</v>
          </cell>
          <cell r="AG17">
            <v>733992594</v>
          </cell>
        </row>
        <row r="18">
          <cell r="B18" t="str">
            <v>1122</v>
          </cell>
          <cell r="D18" t="str">
            <v>111e</v>
          </cell>
          <cell r="E18" t="str">
            <v xml:space="preserve"> - Tiền gửi ngân hàng - Ngoại tệ</v>
          </cell>
          <cell r="F18">
            <v>100515195</v>
          </cell>
          <cell r="G18">
            <v>0</v>
          </cell>
          <cell r="H18">
            <v>0</v>
          </cell>
          <cell r="I18">
            <v>0</v>
          </cell>
          <cell r="J18">
            <v>0</v>
          </cell>
          <cell r="K18">
            <v>0</v>
          </cell>
          <cell r="L18">
            <v>0</v>
          </cell>
          <cell r="M18">
            <v>0</v>
          </cell>
          <cell r="N18">
            <v>0</v>
          </cell>
          <cell r="O18">
            <v>0</v>
          </cell>
          <cell r="P18">
            <v>100515195</v>
          </cell>
          <cell r="Q18">
            <v>0</v>
          </cell>
          <cell r="R18">
            <v>0</v>
          </cell>
          <cell r="S18">
            <v>100515195</v>
          </cell>
          <cell r="T18">
            <v>100670414</v>
          </cell>
          <cell r="U18">
            <v>0</v>
          </cell>
          <cell r="V18">
            <v>0</v>
          </cell>
          <cell r="W18">
            <v>0</v>
          </cell>
          <cell r="X18">
            <v>0</v>
          </cell>
          <cell r="Y18">
            <v>0</v>
          </cell>
          <cell r="Z18">
            <v>0</v>
          </cell>
          <cell r="AA18">
            <v>0</v>
          </cell>
          <cell r="AB18">
            <v>0</v>
          </cell>
          <cell r="AC18">
            <v>0</v>
          </cell>
          <cell r="AD18">
            <v>100670414</v>
          </cell>
          <cell r="AE18">
            <v>0</v>
          </cell>
          <cell r="AF18">
            <v>0</v>
          </cell>
          <cell r="AG18">
            <v>100670414</v>
          </cell>
        </row>
        <row r="19">
          <cell r="B19" t="str">
            <v>1123</v>
          </cell>
          <cell r="D19" t="str">
            <v>111f</v>
          </cell>
          <cell r="E19" t="str">
            <v xml:space="preserve"> - Tiền gửi ngân hàng - Vàng tiền tệ</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B20" t="str">
            <v>1131</v>
          </cell>
          <cell r="D20" t="str">
            <v>111g</v>
          </cell>
          <cell r="E20" t="str">
            <v xml:space="preserve"> - Tiền đang chuyển - Tiền VN</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row>
        <row r="21">
          <cell r="B21" t="str">
            <v>1132</v>
          </cell>
          <cell r="D21" t="str">
            <v>111h</v>
          </cell>
          <cell r="E21" t="str">
            <v xml:space="preserve"> - Tiền đang chuyển - Ngoại tệ</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row>
        <row r="22">
          <cell r="D22" t="str">
            <v>112</v>
          </cell>
          <cell r="E22" t="str">
            <v>2. Các khoản tương đương tiền</v>
          </cell>
          <cell r="F22">
            <v>2000000000</v>
          </cell>
          <cell r="G22">
            <v>0</v>
          </cell>
          <cell r="H22">
            <v>0</v>
          </cell>
          <cell r="I22">
            <v>0</v>
          </cell>
          <cell r="J22">
            <v>0</v>
          </cell>
          <cell r="K22">
            <v>0</v>
          </cell>
          <cell r="L22">
            <v>0</v>
          </cell>
          <cell r="M22">
            <v>0</v>
          </cell>
          <cell r="N22">
            <v>0</v>
          </cell>
          <cell r="O22">
            <v>0</v>
          </cell>
          <cell r="P22">
            <v>2000000000</v>
          </cell>
          <cell r="Q22">
            <v>0</v>
          </cell>
          <cell r="R22">
            <v>0</v>
          </cell>
          <cell r="S22">
            <v>2000000000</v>
          </cell>
          <cell r="T22">
            <v>3000000000</v>
          </cell>
          <cell r="U22">
            <v>0</v>
          </cell>
          <cell r="V22">
            <v>0</v>
          </cell>
          <cell r="W22">
            <v>0</v>
          </cell>
          <cell r="X22">
            <v>0</v>
          </cell>
          <cell r="Y22">
            <v>0</v>
          </cell>
          <cell r="Z22">
            <v>0</v>
          </cell>
          <cell r="AA22">
            <v>0</v>
          </cell>
          <cell r="AB22">
            <v>0</v>
          </cell>
          <cell r="AC22">
            <v>0</v>
          </cell>
          <cell r="AD22">
            <v>3000000000</v>
          </cell>
          <cell r="AE22">
            <v>0</v>
          </cell>
          <cell r="AF22">
            <v>0</v>
          </cell>
          <cell r="AG22">
            <v>3000000000</v>
          </cell>
        </row>
        <row r="23">
          <cell r="B23" t="str">
            <v>1281t</v>
          </cell>
          <cell r="D23" t="str">
            <v>112b</v>
          </cell>
          <cell r="E23" t="str">
            <v xml:space="preserve"> - Tiền gửi có kỳ hạn (không quá 3 tháng)</v>
          </cell>
          <cell r="F23">
            <v>2000000000</v>
          </cell>
          <cell r="G23">
            <v>0</v>
          </cell>
          <cell r="H23">
            <v>0</v>
          </cell>
          <cell r="I23">
            <v>0</v>
          </cell>
          <cell r="J23">
            <v>0</v>
          </cell>
          <cell r="K23">
            <v>0</v>
          </cell>
          <cell r="L23">
            <v>0</v>
          </cell>
          <cell r="M23">
            <v>0</v>
          </cell>
          <cell r="N23">
            <v>0</v>
          </cell>
          <cell r="O23">
            <v>0</v>
          </cell>
          <cell r="P23">
            <v>2000000000</v>
          </cell>
          <cell r="Q23">
            <v>0</v>
          </cell>
          <cell r="R23">
            <v>0</v>
          </cell>
          <cell r="S23">
            <v>2000000000</v>
          </cell>
          <cell r="T23">
            <v>3000000000</v>
          </cell>
          <cell r="U23">
            <v>0</v>
          </cell>
          <cell r="V23">
            <v>0</v>
          </cell>
          <cell r="W23">
            <v>0</v>
          </cell>
          <cell r="X23">
            <v>0</v>
          </cell>
          <cell r="Y23">
            <v>0</v>
          </cell>
          <cell r="Z23">
            <v>0</v>
          </cell>
          <cell r="AA23">
            <v>0</v>
          </cell>
          <cell r="AB23">
            <v>0</v>
          </cell>
          <cell r="AC23">
            <v>0</v>
          </cell>
          <cell r="AD23">
            <v>3000000000</v>
          </cell>
          <cell r="AE23">
            <v>0</v>
          </cell>
          <cell r="AF23">
            <v>0</v>
          </cell>
          <cell r="AG23">
            <v>3000000000</v>
          </cell>
        </row>
        <row r="24">
          <cell r="B24" t="str">
            <v>1288t</v>
          </cell>
          <cell r="D24" t="str">
            <v>112c</v>
          </cell>
          <cell r="E24" t="str">
            <v xml:space="preserve"> - Các khoản đầu tư khác nắm đến ngày đáo hạn (không quá 3 tháng)</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6">
          <cell r="D26" t="str">
            <v>120</v>
          </cell>
          <cell r="E26" t="str">
            <v>II. Đầu tư tài chính ngắn hạn</v>
          </cell>
          <cell r="F26">
            <v>21115802846</v>
          </cell>
          <cell r="G26">
            <v>4700000000</v>
          </cell>
          <cell r="H26">
            <v>0</v>
          </cell>
          <cell r="I26">
            <v>0</v>
          </cell>
          <cell r="J26">
            <v>0</v>
          </cell>
          <cell r="K26">
            <v>0</v>
          </cell>
          <cell r="L26">
            <v>0</v>
          </cell>
          <cell r="M26">
            <v>0</v>
          </cell>
          <cell r="N26">
            <v>0</v>
          </cell>
          <cell r="O26">
            <v>0</v>
          </cell>
          <cell r="P26">
            <v>25815802846</v>
          </cell>
          <cell r="Q26">
            <v>0</v>
          </cell>
          <cell r="R26">
            <v>0</v>
          </cell>
          <cell r="S26">
            <v>25815802846</v>
          </cell>
          <cell r="T26">
            <v>20000000000</v>
          </cell>
          <cell r="U26">
            <v>0</v>
          </cell>
          <cell r="V26">
            <v>0</v>
          </cell>
          <cell r="W26">
            <v>0</v>
          </cell>
          <cell r="X26">
            <v>0</v>
          </cell>
          <cell r="Y26">
            <v>0</v>
          </cell>
          <cell r="Z26">
            <v>0</v>
          </cell>
          <cell r="AA26">
            <v>0</v>
          </cell>
          <cell r="AB26">
            <v>0</v>
          </cell>
          <cell r="AC26">
            <v>0</v>
          </cell>
          <cell r="AD26">
            <v>20000000000</v>
          </cell>
          <cell r="AE26">
            <v>0</v>
          </cell>
          <cell r="AF26">
            <v>0</v>
          </cell>
          <cell r="AG26">
            <v>20000000000</v>
          </cell>
        </row>
        <row r="27">
          <cell r="D27" t="str">
            <v>121</v>
          </cell>
          <cell r="E27" t="str">
            <v>1. Chứng khoán kinh doanh</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B28" t="str">
            <v>1211</v>
          </cell>
          <cell r="D28" t="str">
            <v>121a</v>
          </cell>
          <cell r="E28" t="str">
            <v xml:space="preserve"> - Cổ phiếu</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B29" t="str">
            <v>1212</v>
          </cell>
          <cell r="D29" t="str">
            <v>121b</v>
          </cell>
          <cell r="E29" t="str">
            <v xml:space="preserve"> - Trái phiếu</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row>
        <row r="30">
          <cell r="B30" t="str">
            <v>1218</v>
          </cell>
          <cell r="D30" t="str">
            <v>121c</v>
          </cell>
          <cell r="E30" t="str">
            <v xml:space="preserve"> - Chứng khoán và công cụ tài chính khác</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B31" t="str">
            <v>2291</v>
          </cell>
          <cell r="D31" t="str">
            <v>122</v>
          </cell>
          <cell r="E31" t="str">
            <v>2. Dự phòng giảm giá chứng khoán kinh doanh</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D32" t="str">
            <v>123</v>
          </cell>
          <cell r="E32" t="str">
            <v>3. Đầu tư nắm giữ đến ngày đáo hạn</v>
          </cell>
          <cell r="F32">
            <v>21115802846</v>
          </cell>
          <cell r="G32">
            <v>4700000000</v>
          </cell>
          <cell r="H32">
            <v>0</v>
          </cell>
          <cell r="I32">
            <v>0</v>
          </cell>
          <cell r="J32">
            <v>0</v>
          </cell>
          <cell r="K32">
            <v>0</v>
          </cell>
          <cell r="L32">
            <v>0</v>
          </cell>
          <cell r="M32">
            <v>0</v>
          </cell>
          <cell r="N32">
            <v>0</v>
          </cell>
          <cell r="O32">
            <v>0</v>
          </cell>
          <cell r="P32">
            <v>25815802846</v>
          </cell>
          <cell r="Q32">
            <v>0</v>
          </cell>
          <cell r="R32">
            <v>0</v>
          </cell>
          <cell r="S32">
            <v>25815802846</v>
          </cell>
          <cell r="T32">
            <v>20000000000</v>
          </cell>
          <cell r="U32">
            <v>0</v>
          </cell>
          <cell r="V32">
            <v>0</v>
          </cell>
          <cell r="W32">
            <v>0</v>
          </cell>
          <cell r="X32">
            <v>0</v>
          </cell>
          <cell r="Y32">
            <v>0</v>
          </cell>
          <cell r="Z32">
            <v>0</v>
          </cell>
          <cell r="AA32">
            <v>0</v>
          </cell>
          <cell r="AB32">
            <v>0</v>
          </cell>
          <cell r="AC32">
            <v>0</v>
          </cell>
          <cell r="AD32">
            <v>20000000000</v>
          </cell>
          <cell r="AE32">
            <v>0</v>
          </cell>
          <cell r="AF32">
            <v>0</v>
          </cell>
          <cell r="AG32">
            <v>20000000000</v>
          </cell>
        </row>
        <row r="33">
          <cell r="B33" t="str">
            <v>1281n</v>
          </cell>
          <cell r="D33" t="str">
            <v>123a</v>
          </cell>
          <cell r="E33" t="str">
            <v xml:space="preserve"> - Tiền gửi có kỳ hạn ngắn hạn</v>
          </cell>
          <cell r="F33">
            <v>21115802846</v>
          </cell>
          <cell r="G33">
            <v>4700000000</v>
          </cell>
          <cell r="H33">
            <v>0</v>
          </cell>
          <cell r="I33">
            <v>0</v>
          </cell>
          <cell r="J33">
            <v>0</v>
          </cell>
          <cell r="K33">
            <v>0</v>
          </cell>
          <cell r="L33">
            <v>0</v>
          </cell>
          <cell r="M33">
            <v>0</v>
          </cell>
          <cell r="N33">
            <v>0</v>
          </cell>
          <cell r="O33">
            <v>0</v>
          </cell>
          <cell r="P33">
            <v>25815802846</v>
          </cell>
          <cell r="Q33">
            <v>0</v>
          </cell>
          <cell r="R33">
            <v>0</v>
          </cell>
          <cell r="S33">
            <v>25815802846</v>
          </cell>
          <cell r="T33">
            <v>20000000000</v>
          </cell>
          <cell r="U33">
            <v>0</v>
          </cell>
          <cell r="V33">
            <v>0</v>
          </cell>
          <cell r="W33">
            <v>0</v>
          </cell>
          <cell r="X33">
            <v>0</v>
          </cell>
          <cell r="Y33">
            <v>0</v>
          </cell>
          <cell r="Z33">
            <v>0</v>
          </cell>
          <cell r="AA33">
            <v>0</v>
          </cell>
          <cell r="AB33">
            <v>0</v>
          </cell>
          <cell r="AC33">
            <v>0</v>
          </cell>
          <cell r="AD33">
            <v>20000000000</v>
          </cell>
          <cell r="AE33">
            <v>0</v>
          </cell>
          <cell r="AF33">
            <v>0</v>
          </cell>
          <cell r="AG33">
            <v>20000000000</v>
          </cell>
        </row>
        <row r="34">
          <cell r="B34" t="str">
            <v>1282n</v>
          </cell>
          <cell r="D34" t="str">
            <v>123b</v>
          </cell>
          <cell r="E34" t="str">
            <v xml:space="preserve"> - Trái phiếu ngắn hạn</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row>
        <row r="35">
          <cell r="B35" t="str">
            <v>1288n</v>
          </cell>
          <cell r="D35" t="str">
            <v>123c</v>
          </cell>
          <cell r="E35" t="str">
            <v xml:space="preserve"> - Các khoản đầu tư khác nắm giữ đến ngày đáo hạn ngắn hạn</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7">
          <cell r="D37" t="str">
            <v>130</v>
          </cell>
          <cell r="E37" t="str">
            <v>III. Các khoản phải thu ngắn hạn</v>
          </cell>
          <cell r="F37">
            <v>13671730353</v>
          </cell>
          <cell r="G37">
            <v>381744371</v>
          </cell>
          <cell r="H37">
            <v>0</v>
          </cell>
          <cell r="I37">
            <v>0</v>
          </cell>
          <cell r="J37">
            <v>0</v>
          </cell>
          <cell r="K37">
            <v>0</v>
          </cell>
          <cell r="L37">
            <v>0</v>
          </cell>
          <cell r="M37">
            <v>0</v>
          </cell>
          <cell r="N37">
            <v>0</v>
          </cell>
          <cell r="O37">
            <v>0</v>
          </cell>
          <cell r="P37">
            <v>14053474724</v>
          </cell>
          <cell r="Q37">
            <v>302583600</v>
          </cell>
          <cell r="R37">
            <v>11978075746</v>
          </cell>
          <cell r="S37">
            <v>2377982578</v>
          </cell>
          <cell r="T37">
            <v>3474122053</v>
          </cell>
          <cell r="U37">
            <v>0</v>
          </cell>
          <cell r="V37">
            <v>0</v>
          </cell>
          <cell r="W37">
            <v>0</v>
          </cell>
          <cell r="X37">
            <v>0</v>
          </cell>
          <cell r="Y37">
            <v>0</v>
          </cell>
          <cell r="Z37">
            <v>0</v>
          </cell>
          <cell r="AA37">
            <v>0</v>
          </cell>
          <cell r="AB37">
            <v>0</v>
          </cell>
          <cell r="AC37">
            <v>0</v>
          </cell>
          <cell r="AD37">
            <v>3474122053</v>
          </cell>
          <cell r="AE37">
            <v>0</v>
          </cell>
          <cell r="AF37">
            <v>0</v>
          </cell>
          <cell r="AG37">
            <v>3474122053</v>
          </cell>
        </row>
        <row r="38">
          <cell r="B38" t="str">
            <v>131an</v>
          </cell>
          <cell r="D38" t="str">
            <v>131</v>
          </cell>
          <cell r="E38" t="str">
            <v>1. Phải thu ngắn hạn của khách hàng</v>
          </cell>
          <cell r="F38">
            <v>933263279</v>
          </cell>
          <cell r="G38">
            <v>1787746586</v>
          </cell>
          <cell r="H38">
            <v>0</v>
          </cell>
          <cell r="I38">
            <v>0</v>
          </cell>
          <cell r="J38">
            <v>0</v>
          </cell>
          <cell r="K38">
            <v>0</v>
          </cell>
          <cell r="L38">
            <v>0</v>
          </cell>
          <cell r="M38">
            <v>0</v>
          </cell>
          <cell r="N38">
            <v>0</v>
          </cell>
          <cell r="O38">
            <v>0</v>
          </cell>
          <cell r="P38">
            <v>2721009865</v>
          </cell>
          <cell r="Q38">
            <v>156370000</v>
          </cell>
          <cell r="R38">
            <v>0</v>
          </cell>
          <cell r="S38">
            <v>2877379865</v>
          </cell>
          <cell r="T38">
            <v>3530001965</v>
          </cell>
          <cell r="U38">
            <v>0</v>
          </cell>
          <cell r="V38">
            <v>0</v>
          </cell>
          <cell r="W38">
            <v>0</v>
          </cell>
          <cell r="X38">
            <v>0</v>
          </cell>
          <cell r="Y38">
            <v>0</v>
          </cell>
          <cell r="Z38">
            <v>0</v>
          </cell>
          <cell r="AA38">
            <v>0</v>
          </cell>
          <cell r="AB38">
            <v>0</v>
          </cell>
          <cell r="AC38">
            <v>0</v>
          </cell>
          <cell r="AD38">
            <v>3530001965</v>
          </cell>
          <cell r="AE38">
            <v>0</v>
          </cell>
          <cell r="AF38">
            <v>0</v>
          </cell>
          <cell r="AG38">
            <v>3530001965</v>
          </cell>
        </row>
        <row r="39">
          <cell r="B39" t="str">
            <v>331an</v>
          </cell>
          <cell r="D39" t="str">
            <v>132</v>
          </cell>
          <cell r="E39" t="str">
            <v>2. Trả trước cho người bán ngắn hạn</v>
          </cell>
          <cell r="F39">
            <v>204161265</v>
          </cell>
          <cell r="G39">
            <v>240300</v>
          </cell>
          <cell r="H39">
            <v>0</v>
          </cell>
          <cell r="I39">
            <v>0</v>
          </cell>
          <cell r="J39">
            <v>0</v>
          </cell>
          <cell r="K39">
            <v>0</v>
          </cell>
          <cell r="L39">
            <v>0</v>
          </cell>
          <cell r="M39">
            <v>0</v>
          </cell>
          <cell r="N39">
            <v>0</v>
          </cell>
          <cell r="O39">
            <v>0</v>
          </cell>
          <cell r="P39">
            <v>204401565</v>
          </cell>
          <cell r="Q39">
            <v>0</v>
          </cell>
          <cell r="R39">
            <v>0</v>
          </cell>
          <cell r="S39">
            <v>204401565</v>
          </cell>
          <cell r="T39">
            <v>1574616651</v>
          </cell>
          <cell r="U39">
            <v>0</v>
          </cell>
          <cell r="V39">
            <v>0</v>
          </cell>
          <cell r="W39">
            <v>0</v>
          </cell>
          <cell r="X39">
            <v>0</v>
          </cell>
          <cell r="Y39">
            <v>0</v>
          </cell>
          <cell r="Z39">
            <v>0</v>
          </cell>
          <cell r="AA39">
            <v>0</v>
          </cell>
          <cell r="AB39">
            <v>0</v>
          </cell>
          <cell r="AC39">
            <v>0</v>
          </cell>
          <cell r="AD39">
            <v>1574616651</v>
          </cell>
          <cell r="AE39">
            <v>0</v>
          </cell>
          <cell r="AF39">
            <v>0</v>
          </cell>
          <cell r="AG39">
            <v>1574616651</v>
          </cell>
        </row>
        <row r="40">
          <cell r="D40" t="str">
            <v>133</v>
          </cell>
          <cell r="E40" t="str">
            <v>3. Phải thu nội bộ ngắn hạn</v>
          </cell>
          <cell r="F40">
            <v>11757227666</v>
          </cell>
          <cell r="G40">
            <v>0</v>
          </cell>
          <cell r="H40">
            <v>0</v>
          </cell>
          <cell r="I40">
            <v>0</v>
          </cell>
          <cell r="J40">
            <v>0</v>
          </cell>
          <cell r="K40">
            <v>0</v>
          </cell>
          <cell r="L40">
            <v>0</v>
          </cell>
          <cell r="M40">
            <v>0</v>
          </cell>
          <cell r="N40">
            <v>0</v>
          </cell>
          <cell r="O40">
            <v>0</v>
          </cell>
          <cell r="P40">
            <v>11757227666</v>
          </cell>
          <cell r="Q40">
            <v>0</v>
          </cell>
          <cell r="R40">
            <v>11757227666</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row>
        <row r="41">
          <cell r="B41" t="str">
            <v>1362an</v>
          </cell>
          <cell r="D41" t="str">
            <v>133a</v>
          </cell>
          <cell r="E41" t="str">
            <v xml:space="preserve"> - Phải thu nội bộ về chênh lệch tỷ giá ngắn hạn (dư Nợ)</v>
          </cell>
          <cell r="F41">
            <v>11757227666</v>
          </cell>
          <cell r="G41">
            <v>0</v>
          </cell>
          <cell r="H41">
            <v>0</v>
          </cell>
          <cell r="I41">
            <v>0</v>
          </cell>
          <cell r="J41">
            <v>0</v>
          </cell>
          <cell r="K41">
            <v>0</v>
          </cell>
          <cell r="L41">
            <v>0</v>
          </cell>
          <cell r="M41">
            <v>0</v>
          </cell>
          <cell r="N41">
            <v>0</v>
          </cell>
          <cell r="O41">
            <v>0</v>
          </cell>
          <cell r="P41">
            <v>11757227666</v>
          </cell>
          <cell r="Q41">
            <v>0</v>
          </cell>
          <cell r="R41">
            <v>0</v>
          </cell>
          <cell r="S41">
            <v>11757227666</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row>
        <row r="42">
          <cell r="B42" t="str">
            <v>1363an</v>
          </cell>
          <cell r="D42" t="str">
            <v>133b</v>
          </cell>
          <cell r="E42" t="str">
            <v xml:space="preserve"> - Phải thu nội bộ về chi phí đi vay đủ điều kiện được vốn hóa ngắn hạn (dư Nợ)</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row>
        <row r="43">
          <cell r="B43" t="str">
            <v>1368an</v>
          </cell>
          <cell r="D43" t="str">
            <v>133c</v>
          </cell>
          <cell r="E43" t="str">
            <v xml:space="preserve"> - Phải thu nội bộ khác ngắn hạn (dư Nợ)</v>
          </cell>
          <cell r="F43">
            <v>0</v>
          </cell>
          <cell r="G43">
            <v>0</v>
          </cell>
          <cell r="H43">
            <v>0</v>
          </cell>
          <cell r="I43">
            <v>0</v>
          </cell>
          <cell r="J43">
            <v>0</v>
          </cell>
          <cell r="K43">
            <v>0</v>
          </cell>
          <cell r="L43">
            <v>0</v>
          </cell>
          <cell r="M43">
            <v>0</v>
          </cell>
          <cell r="N43">
            <v>0</v>
          </cell>
          <cell r="O43">
            <v>0</v>
          </cell>
          <cell r="P43">
            <v>0</v>
          </cell>
          <cell r="Q43">
            <v>0</v>
          </cell>
          <cell r="R43">
            <v>11757227666</v>
          </cell>
          <cell r="S43">
            <v>-11757227666</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B44" t="str">
            <v>3362an</v>
          </cell>
          <cell r="D44" t="str">
            <v>133d</v>
          </cell>
          <cell r="E44" t="str">
            <v xml:space="preserve"> - Phải trả nội bộ về chênh lệch tỷ giá ngắn hạn (dư Nợ)</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B45" t="str">
            <v>3363an</v>
          </cell>
          <cell r="D45" t="str">
            <v>133e</v>
          </cell>
          <cell r="E45" t="str">
            <v xml:space="preserve"> - Phải trả nội bộ về chi phí đi vay đủ điều kiện được vốn hóa ngắn hạn (dư Nợ)</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B46" t="str">
            <v>3368an</v>
          </cell>
          <cell r="D46" t="str">
            <v>133f</v>
          </cell>
          <cell r="E46" t="str">
            <v xml:space="preserve"> - Phải trả nội bộ khác ngắn hạn (dư Nợ)</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B47" t="str">
            <v>337a</v>
          </cell>
          <cell r="D47" t="str">
            <v>134</v>
          </cell>
          <cell r="E47" t="str">
            <v>4. Phải thu theo tiến độ kế hoạch HĐXD</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row>
        <row r="48">
          <cell r="B48" t="str">
            <v>1283n</v>
          </cell>
          <cell r="D48" t="str">
            <v>135</v>
          </cell>
          <cell r="E48" t="str">
            <v>5. Phải thu về cho vay ngắn hạn</v>
          </cell>
          <cell r="F48">
            <v>746700000</v>
          </cell>
          <cell r="G48">
            <v>65000000</v>
          </cell>
          <cell r="H48">
            <v>0</v>
          </cell>
          <cell r="I48">
            <v>0</v>
          </cell>
          <cell r="J48">
            <v>0</v>
          </cell>
          <cell r="K48">
            <v>0</v>
          </cell>
          <cell r="L48">
            <v>0</v>
          </cell>
          <cell r="M48">
            <v>0</v>
          </cell>
          <cell r="N48">
            <v>0</v>
          </cell>
          <cell r="O48">
            <v>0</v>
          </cell>
          <cell r="P48">
            <v>811700000</v>
          </cell>
          <cell r="Q48">
            <v>150000000</v>
          </cell>
          <cell r="R48">
            <v>0</v>
          </cell>
          <cell r="S48">
            <v>961700000</v>
          </cell>
          <cell r="T48">
            <v>336800000</v>
          </cell>
          <cell r="U48">
            <v>0</v>
          </cell>
          <cell r="V48">
            <v>0</v>
          </cell>
          <cell r="W48">
            <v>0</v>
          </cell>
          <cell r="X48">
            <v>0</v>
          </cell>
          <cell r="Y48">
            <v>0</v>
          </cell>
          <cell r="Z48">
            <v>0</v>
          </cell>
          <cell r="AA48">
            <v>0</v>
          </cell>
          <cell r="AB48">
            <v>0</v>
          </cell>
          <cell r="AC48">
            <v>0</v>
          </cell>
          <cell r="AD48">
            <v>336800000</v>
          </cell>
          <cell r="AE48">
            <v>0</v>
          </cell>
          <cell r="AF48">
            <v>0</v>
          </cell>
          <cell r="AG48">
            <v>336800000</v>
          </cell>
        </row>
        <row r="49">
          <cell r="D49" t="str">
            <v>136</v>
          </cell>
          <cell r="E49" t="str">
            <v>6. Các khoản phải thu khác</v>
          </cell>
          <cell r="F49">
            <v>651498859</v>
          </cell>
          <cell r="G49">
            <v>157393139</v>
          </cell>
          <cell r="H49">
            <v>0</v>
          </cell>
          <cell r="I49">
            <v>0</v>
          </cell>
          <cell r="J49">
            <v>0</v>
          </cell>
          <cell r="K49">
            <v>0</v>
          </cell>
          <cell r="L49">
            <v>0</v>
          </cell>
          <cell r="M49">
            <v>0</v>
          </cell>
          <cell r="N49">
            <v>0</v>
          </cell>
          <cell r="O49">
            <v>0</v>
          </cell>
          <cell r="P49">
            <v>808891998</v>
          </cell>
          <cell r="Q49">
            <v>-3786400</v>
          </cell>
          <cell r="R49">
            <v>156370000</v>
          </cell>
          <cell r="S49">
            <v>648735598</v>
          </cell>
          <cell r="T49">
            <v>1594632045</v>
          </cell>
          <cell r="U49">
            <v>0</v>
          </cell>
          <cell r="V49">
            <v>0</v>
          </cell>
          <cell r="W49">
            <v>0</v>
          </cell>
          <cell r="X49">
            <v>0</v>
          </cell>
          <cell r="Y49">
            <v>0</v>
          </cell>
          <cell r="Z49">
            <v>0</v>
          </cell>
          <cell r="AA49">
            <v>0</v>
          </cell>
          <cell r="AB49">
            <v>0</v>
          </cell>
          <cell r="AC49">
            <v>0</v>
          </cell>
          <cell r="AD49">
            <v>1594632045</v>
          </cell>
          <cell r="AE49">
            <v>0</v>
          </cell>
          <cell r="AF49">
            <v>0</v>
          </cell>
          <cell r="AG49">
            <v>1594632045</v>
          </cell>
        </row>
        <row r="50">
          <cell r="B50" t="str">
            <v>1385an</v>
          </cell>
          <cell r="D50" t="str">
            <v>136a</v>
          </cell>
          <cell r="E50" t="str">
            <v xml:space="preserve"> - Phải thu về cổ phần hóa ngắn hạn (dư Nợ)</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row>
        <row r="51">
          <cell r="B51" t="str">
            <v>3385an</v>
          </cell>
          <cell r="D51" t="str">
            <v>136b</v>
          </cell>
          <cell r="E51" t="str">
            <v xml:space="preserve"> - Phải trả về cổ phần hóa ngắn hạn (dư Nợ)</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B52" t="str">
            <v>13881n</v>
          </cell>
          <cell r="D52" t="str">
            <v>136c</v>
          </cell>
          <cell r="E52" t="str">
            <v xml:space="preserve"> - Phải thu về cổ tức và ln được chia ngắn hạn (dư Nợ)</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3341an</v>
          </cell>
          <cell r="D53" t="str">
            <v>136d</v>
          </cell>
          <cell r="E53" t="str">
            <v xml:space="preserve"> - Phải thu CNV ngắn hạn (dư Nợ)</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B54" t="str">
            <v>3348an</v>
          </cell>
          <cell r="D54" t="str">
            <v>136e</v>
          </cell>
          <cell r="E54" t="str">
            <v xml:space="preserve"> - Phải thu người lao động khác ngắn hạn (dư Nợ)</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B55" t="str">
            <v>141an</v>
          </cell>
          <cell r="D55" t="str">
            <v>136f</v>
          </cell>
          <cell r="E55" t="str">
            <v xml:space="preserve"> - Tạm ứng ngắn hạn (dư Nợ)</v>
          </cell>
          <cell r="F55">
            <v>30705582</v>
          </cell>
          <cell r="G55">
            <v>15000000</v>
          </cell>
          <cell r="H55">
            <v>0</v>
          </cell>
          <cell r="I55">
            <v>0</v>
          </cell>
          <cell r="J55">
            <v>0</v>
          </cell>
          <cell r="K55">
            <v>0</v>
          </cell>
          <cell r="L55">
            <v>0</v>
          </cell>
          <cell r="M55">
            <v>0</v>
          </cell>
          <cell r="N55">
            <v>0</v>
          </cell>
          <cell r="O55">
            <v>0</v>
          </cell>
          <cell r="P55">
            <v>45705582</v>
          </cell>
          <cell r="Q55">
            <v>0</v>
          </cell>
          <cell r="R55">
            <v>0</v>
          </cell>
          <cell r="S55">
            <v>45705582</v>
          </cell>
          <cell r="T55">
            <v>40017562</v>
          </cell>
          <cell r="U55">
            <v>0</v>
          </cell>
          <cell r="V55">
            <v>0</v>
          </cell>
          <cell r="W55">
            <v>0</v>
          </cell>
          <cell r="X55">
            <v>0</v>
          </cell>
          <cell r="Y55">
            <v>0</v>
          </cell>
          <cell r="Z55">
            <v>0</v>
          </cell>
          <cell r="AA55">
            <v>0</v>
          </cell>
          <cell r="AB55">
            <v>0</v>
          </cell>
          <cell r="AC55">
            <v>0</v>
          </cell>
          <cell r="AD55">
            <v>40017562</v>
          </cell>
          <cell r="AE55">
            <v>0</v>
          </cell>
          <cell r="AF55">
            <v>0</v>
          </cell>
          <cell r="AG55">
            <v>40017562</v>
          </cell>
        </row>
        <row r="56">
          <cell r="B56" t="str">
            <v>244an</v>
          </cell>
          <cell r="D56" t="str">
            <v>136g</v>
          </cell>
          <cell r="E56" t="str">
            <v xml:space="preserve"> - Cầm cố, thế chấp, ký quỹ, ký cược ngắn hạn (dư Nợ</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row>
        <row r="57">
          <cell r="B57" t="str">
            <v>344an</v>
          </cell>
          <cell r="D57" t="str">
            <v>136h</v>
          </cell>
          <cell r="E57" t="str">
            <v xml:space="preserve"> - Nhận ký quỹ, ký cược ngắn hạn (dư Nợ)</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B58" t="str">
            <v>13882n</v>
          </cell>
          <cell r="D58" t="str">
            <v>136i</v>
          </cell>
          <cell r="E58" t="str">
            <v xml:space="preserve"> - Cho mượn ngắn hạn không tính lãi ngắn hạn</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B59" t="str">
            <v>13883n</v>
          </cell>
          <cell r="D59" t="str">
            <v>136j</v>
          </cell>
          <cell r="E59" t="str">
            <v xml:space="preserve"> - Các khoản chi hộ ngắn hạn</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B60" t="str">
            <v>1388an</v>
          </cell>
          <cell r="D60" t="str">
            <v>136k</v>
          </cell>
          <cell r="E60" t="str">
            <v xml:space="preserve"> - Phải thu khác ngắn hạn (dư Nợ)</v>
          </cell>
          <cell r="F60">
            <v>620793277</v>
          </cell>
          <cell r="G60">
            <v>142393139</v>
          </cell>
          <cell r="H60">
            <v>0</v>
          </cell>
          <cell r="I60">
            <v>0</v>
          </cell>
          <cell r="J60">
            <v>0</v>
          </cell>
          <cell r="K60">
            <v>0</v>
          </cell>
          <cell r="L60">
            <v>0</v>
          </cell>
          <cell r="M60">
            <v>0</v>
          </cell>
          <cell r="N60">
            <v>0</v>
          </cell>
          <cell r="O60">
            <v>0</v>
          </cell>
          <cell r="P60">
            <v>763186416</v>
          </cell>
          <cell r="Q60">
            <v>-3786400</v>
          </cell>
          <cell r="R60">
            <v>156370000</v>
          </cell>
          <cell r="S60">
            <v>603030016</v>
          </cell>
          <cell r="T60">
            <v>1553494483</v>
          </cell>
          <cell r="U60">
            <v>0</v>
          </cell>
          <cell r="V60">
            <v>0</v>
          </cell>
          <cell r="W60">
            <v>0</v>
          </cell>
          <cell r="X60">
            <v>0</v>
          </cell>
          <cell r="Y60">
            <v>0</v>
          </cell>
          <cell r="Z60">
            <v>0</v>
          </cell>
          <cell r="AA60">
            <v>0</v>
          </cell>
          <cell r="AB60">
            <v>0</v>
          </cell>
          <cell r="AC60">
            <v>0</v>
          </cell>
          <cell r="AD60">
            <v>1553494483</v>
          </cell>
          <cell r="AE60">
            <v>0</v>
          </cell>
          <cell r="AF60">
            <v>0</v>
          </cell>
          <cell r="AG60">
            <v>1553494483</v>
          </cell>
        </row>
        <row r="61">
          <cell r="B61" t="str">
            <v>3382a</v>
          </cell>
          <cell r="D61" t="str">
            <v>136l</v>
          </cell>
          <cell r="E61" t="str">
            <v xml:space="preserve"> - Kinh phí công đoàn (dư Nợ)</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B62" t="str">
            <v>3383a</v>
          </cell>
          <cell r="D62" t="str">
            <v>136m</v>
          </cell>
          <cell r="E62" t="str">
            <v xml:space="preserve"> - Bảo hiểm xã hội (dư Nợ)</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B63" t="str">
            <v>3384a</v>
          </cell>
          <cell r="D63" t="str">
            <v>136n</v>
          </cell>
          <cell r="E63" t="str">
            <v xml:space="preserve"> - Bảo hiểm y tế (dư Nợ)</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B64" t="str">
            <v>3386a</v>
          </cell>
          <cell r="D64" t="str">
            <v>136m</v>
          </cell>
          <cell r="E64" t="str">
            <v xml:space="preserve"> - Bảo hiểm thất nghiệp (dư Nợ)</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B65" t="str">
            <v>3388an</v>
          </cell>
          <cell r="D65" t="str">
            <v>136o</v>
          </cell>
          <cell r="E65" t="str">
            <v xml:space="preserve"> - Phải trả, phải nộp khác ngắn hạn (dư Nợ)</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1120000</v>
          </cell>
          <cell r="U65">
            <v>0</v>
          </cell>
          <cell r="V65">
            <v>0</v>
          </cell>
          <cell r="W65">
            <v>0</v>
          </cell>
          <cell r="X65">
            <v>0</v>
          </cell>
          <cell r="Y65">
            <v>0</v>
          </cell>
          <cell r="Z65">
            <v>0</v>
          </cell>
          <cell r="AA65">
            <v>0</v>
          </cell>
          <cell r="AB65">
            <v>0</v>
          </cell>
          <cell r="AC65">
            <v>0</v>
          </cell>
          <cell r="AD65">
            <v>1120000</v>
          </cell>
          <cell r="AE65">
            <v>0</v>
          </cell>
          <cell r="AF65">
            <v>0</v>
          </cell>
          <cell r="AG65">
            <v>1120000</v>
          </cell>
        </row>
        <row r="66">
          <cell r="B66" t="str">
            <v>2293n</v>
          </cell>
          <cell r="D66" t="str">
            <v>137</v>
          </cell>
          <cell r="E66" t="str">
            <v>7. Dự phòng phải thu ngắn hạn khó đòi (*)</v>
          </cell>
          <cell r="F66">
            <v>-621120716</v>
          </cell>
          <cell r="G66">
            <v>-1628635654</v>
          </cell>
          <cell r="H66">
            <v>0</v>
          </cell>
          <cell r="I66">
            <v>0</v>
          </cell>
          <cell r="J66">
            <v>0</v>
          </cell>
          <cell r="K66">
            <v>0</v>
          </cell>
          <cell r="L66">
            <v>0</v>
          </cell>
          <cell r="M66">
            <v>0</v>
          </cell>
          <cell r="N66">
            <v>0</v>
          </cell>
          <cell r="O66">
            <v>0</v>
          </cell>
          <cell r="P66">
            <v>-2249756370</v>
          </cell>
          <cell r="Q66">
            <v>0</v>
          </cell>
          <cell r="R66">
            <v>64478080</v>
          </cell>
          <cell r="S66">
            <v>-2314234450</v>
          </cell>
          <cell r="T66">
            <v>-3561928608</v>
          </cell>
          <cell r="U66">
            <v>0</v>
          </cell>
          <cell r="V66">
            <v>0</v>
          </cell>
          <cell r="W66">
            <v>0</v>
          </cell>
          <cell r="X66">
            <v>0</v>
          </cell>
          <cell r="Y66">
            <v>0</v>
          </cell>
          <cell r="Z66">
            <v>0</v>
          </cell>
          <cell r="AA66">
            <v>0</v>
          </cell>
          <cell r="AB66">
            <v>0</v>
          </cell>
          <cell r="AC66">
            <v>0</v>
          </cell>
          <cell r="AD66">
            <v>-3561928608</v>
          </cell>
          <cell r="AE66">
            <v>0</v>
          </cell>
          <cell r="AF66">
            <v>0</v>
          </cell>
          <cell r="AG66">
            <v>-3561928608</v>
          </cell>
        </row>
        <row r="67">
          <cell r="B67" t="str">
            <v>1381</v>
          </cell>
          <cell r="D67" t="str">
            <v>139</v>
          </cell>
          <cell r="E67" t="str">
            <v>8. Tài sản thiếu chờ xử lý</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row>
        <row r="69">
          <cell r="D69" t="str">
            <v>140</v>
          </cell>
          <cell r="E69" t="str">
            <v>IV. Hàng tồn kho</v>
          </cell>
          <cell r="F69">
            <v>5556779177</v>
          </cell>
          <cell r="G69">
            <v>5550894703</v>
          </cell>
          <cell r="H69">
            <v>0</v>
          </cell>
          <cell r="I69">
            <v>0</v>
          </cell>
          <cell r="J69">
            <v>0</v>
          </cell>
          <cell r="K69">
            <v>0</v>
          </cell>
          <cell r="L69">
            <v>0</v>
          </cell>
          <cell r="M69">
            <v>0</v>
          </cell>
          <cell r="N69">
            <v>0</v>
          </cell>
          <cell r="O69">
            <v>0</v>
          </cell>
          <cell r="P69">
            <v>11107673880</v>
          </cell>
          <cell r="Q69">
            <v>292038778</v>
          </cell>
          <cell r="R69">
            <v>0</v>
          </cell>
          <cell r="S69">
            <v>11399712658</v>
          </cell>
          <cell r="T69">
            <v>10855961973</v>
          </cell>
          <cell r="U69">
            <v>0</v>
          </cell>
          <cell r="V69">
            <v>0</v>
          </cell>
          <cell r="W69">
            <v>0</v>
          </cell>
          <cell r="X69">
            <v>0</v>
          </cell>
          <cell r="Y69">
            <v>0</v>
          </cell>
          <cell r="Z69">
            <v>0</v>
          </cell>
          <cell r="AA69">
            <v>0</v>
          </cell>
          <cell r="AB69">
            <v>0</v>
          </cell>
          <cell r="AC69">
            <v>0</v>
          </cell>
          <cell r="AD69">
            <v>10855961973</v>
          </cell>
          <cell r="AE69">
            <v>0</v>
          </cell>
          <cell r="AF69">
            <v>0</v>
          </cell>
          <cell r="AG69">
            <v>10855961973</v>
          </cell>
        </row>
        <row r="70">
          <cell r="D70" t="str">
            <v>141</v>
          </cell>
          <cell r="E70" t="str">
            <v>1. Hàng tồn kho</v>
          </cell>
          <cell r="F70">
            <v>8106729476</v>
          </cell>
          <cell r="G70">
            <v>7742996774</v>
          </cell>
          <cell r="H70">
            <v>0</v>
          </cell>
          <cell r="I70">
            <v>0</v>
          </cell>
          <cell r="J70">
            <v>0</v>
          </cell>
          <cell r="K70">
            <v>0</v>
          </cell>
          <cell r="L70">
            <v>0</v>
          </cell>
          <cell r="M70">
            <v>0</v>
          </cell>
          <cell r="N70">
            <v>0</v>
          </cell>
          <cell r="O70">
            <v>0</v>
          </cell>
          <cell r="P70">
            <v>15849726250</v>
          </cell>
          <cell r="Q70">
            <v>292038778</v>
          </cell>
          <cell r="R70">
            <v>0</v>
          </cell>
          <cell r="S70">
            <v>16141765028</v>
          </cell>
          <cell r="T70">
            <v>12875003042</v>
          </cell>
          <cell r="U70">
            <v>0</v>
          </cell>
          <cell r="V70">
            <v>0</v>
          </cell>
          <cell r="W70">
            <v>0</v>
          </cell>
          <cell r="X70">
            <v>0</v>
          </cell>
          <cell r="Y70">
            <v>0</v>
          </cell>
          <cell r="Z70">
            <v>0</v>
          </cell>
          <cell r="AA70">
            <v>0</v>
          </cell>
          <cell r="AB70">
            <v>0</v>
          </cell>
          <cell r="AC70">
            <v>0</v>
          </cell>
          <cell r="AD70">
            <v>12875003042</v>
          </cell>
          <cell r="AE70">
            <v>0</v>
          </cell>
          <cell r="AF70">
            <v>0</v>
          </cell>
          <cell r="AG70">
            <v>12875003042</v>
          </cell>
        </row>
        <row r="71">
          <cell r="B71" t="str">
            <v>151</v>
          </cell>
          <cell r="D71" t="str">
            <v>141a</v>
          </cell>
          <cell r="E71" t="str">
            <v xml:space="preserve"> - Hàng mua đang đi đường</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row>
        <row r="72">
          <cell r="B72" t="str">
            <v>152</v>
          </cell>
          <cell r="D72" t="str">
            <v>141b</v>
          </cell>
          <cell r="E72" t="str">
            <v xml:space="preserve"> - Nguyên vật liệu</v>
          </cell>
          <cell r="F72">
            <v>967047135</v>
          </cell>
          <cell r="G72">
            <v>2537445418</v>
          </cell>
          <cell r="H72">
            <v>0</v>
          </cell>
          <cell r="I72">
            <v>0</v>
          </cell>
          <cell r="J72">
            <v>0</v>
          </cell>
          <cell r="K72">
            <v>0</v>
          </cell>
          <cell r="L72">
            <v>0</v>
          </cell>
          <cell r="M72">
            <v>0</v>
          </cell>
          <cell r="N72">
            <v>0</v>
          </cell>
          <cell r="O72">
            <v>0</v>
          </cell>
          <cell r="P72">
            <v>3504492553</v>
          </cell>
          <cell r="Q72">
            <v>292038778</v>
          </cell>
          <cell r="R72">
            <v>0</v>
          </cell>
          <cell r="S72">
            <v>3796531331</v>
          </cell>
          <cell r="T72">
            <v>4786586444</v>
          </cell>
          <cell r="U72">
            <v>0</v>
          </cell>
          <cell r="V72">
            <v>0</v>
          </cell>
          <cell r="W72">
            <v>0</v>
          </cell>
          <cell r="X72">
            <v>0</v>
          </cell>
          <cell r="Y72">
            <v>0</v>
          </cell>
          <cell r="Z72">
            <v>0</v>
          </cell>
          <cell r="AA72">
            <v>0</v>
          </cell>
          <cell r="AB72">
            <v>0</v>
          </cell>
          <cell r="AC72">
            <v>0</v>
          </cell>
          <cell r="AD72">
            <v>4786586444</v>
          </cell>
          <cell r="AE72">
            <v>0</v>
          </cell>
          <cell r="AF72">
            <v>0</v>
          </cell>
          <cell r="AG72">
            <v>4786586444</v>
          </cell>
        </row>
        <row r="73">
          <cell r="B73" t="str">
            <v>1531</v>
          </cell>
          <cell r="D73" t="str">
            <v>141c</v>
          </cell>
          <cell r="E73" t="str">
            <v xml:space="preserve"> - Công cụ, dụng cụ</v>
          </cell>
          <cell r="F73">
            <v>664138879</v>
          </cell>
          <cell r="G73">
            <v>222788221</v>
          </cell>
          <cell r="H73">
            <v>0</v>
          </cell>
          <cell r="I73">
            <v>0</v>
          </cell>
          <cell r="J73">
            <v>0</v>
          </cell>
          <cell r="K73">
            <v>0</v>
          </cell>
          <cell r="L73">
            <v>0</v>
          </cell>
          <cell r="M73">
            <v>0</v>
          </cell>
          <cell r="N73">
            <v>0</v>
          </cell>
          <cell r="O73">
            <v>0</v>
          </cell>
          <cell r="P73">
            <v>886927100</v>
          </cell>
          <cell r="Q73">
            <v>0</v>
          </cell>
          <cell r="R73">
            <v>0</v>
          </cell>
          <cell r="S73">
            <v>886927100</v>
          </cell>
          <cell r="T73">
            <v>955637711</v>
          </cell>
          <cell r="U73">
            <v>0</v>
          </cell>
          <cell r="V73">
            <v>0</v>
          </cell>
          <cell r="W73">
            <v>0</v>
          </cell>
          <cell r="X73">
            <v>0</v>
          </cell>
          <cell r="Y73">
            <v>0</v>
          </cell>
          <cell r="Z73">
            <v>0</v>
          </cell>
          <cell r="AA73">
            <v>0</v>
          </cell>
          <cell r="AB73">
            <v>0</v>
          </cell>
          <cell r="AC73">
            <v>0</v>
          </cell>
          <cell r="AD73">
            <v>955637711</v>
          </cell>
          <cell r="AE73">
            <v>0</v>
          </cell>
          <cell r="AF73">
            <v>0</v>
          </cell>
          <cell r="AG73">
            <v>955637711</v>
          </cell>
        </row>
        <row r="74">
          <cell r="B74" t="str">
            <v>1532</v>
          </cell>
          <cell r="D74" t="str">
            <v>141d</v>
          </cell>
          <cell r="E74" t="str">
            <v xml:space="preserve"> - Bao bì luân chuyển</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B75" t="str">
            <v>1533</v>
          </cell>
          <cell r="D75" t="str">
            <v>141e</v>
          </cell>
          <cell r="E75" t="str">
            <v xml:space="preserve"> - Đồ dùng cho thuê</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B76" t="str">
            <v>1534n</v>
          </cell>
          <cell r="D76" t="str">
            <v>141f</v>
          </cell>
          <cell r="E76" t="str">
            <v xml:space="preserve"> - Thiết bị, phụ tùng thay thế ngắn hạn</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B77" t="str">
            <v>154n</v>
          </cell>
          <cell r="D77" t="str">
            <v>141g</v>
          </cell>
          <cell r="E77" t="str">
            <v xml:space="preserve"> - Chi phí SXKD dở dang ngắn hạn</v>
          </cell>
          <cell r="F77">
            <v>179648398.84</v>
          </cell>
          <cell r="G77">
            <v>278154744.23000002</v>
          </cell>
          <cell r="H77">
            <v>0</v>
          </cell>
          <cell r="I77">
            <v>0</v>
          </cell>
          <cell r="J77">
            <v>0</v>
          </cell>
          <cell r="K77">
            <v>0</v>
          </cell>
          <cell r="L77">
            <v>0</v>
          </cell>
          <cell r="M77">
            <v>0</v>
          </cell>
          <cell r="N77">
            <v>0</v>
          </cell>
          <cell r="O77">
            <v>0</v>
          </cell>
          <cell r="P77">
            <v>457803143.07000005</v>
          </cell>
          <cell r="Q77">
            <v>0</v>
          </cell>
          <cell r="R77">
            <v>0</v>
          </cell>
          <cell r="S77">
            <v>457803143.07000005</v>
          </cell>
          <cell r="T77">
            <v>676436086.04999995</v>
          </cell>
          <cell r="U77">
            <v>0</v>
          </cell>
          <cell r="V77">
            <v>0</v>
          </cell>
          <cell r="W77">
            <v>0</v>
          </cell>
          <cell r="X77">
            <v>0</v>
          </cell>
          <cell r="Y77">
            <v>0</v>
          </cell>
          <cell r="Z77">
            <v>0</v>
          </cell>
          <cell r="AA77">
            <v>0</v>
          </cell>
          <cell r="AB77">
            <v>0</v>
          </cell>
          <cell r="AC77">
            <v>0</v>
          </cell>
          <cell r="AD77">
            <v>676436086.04999995</v>
          </cell>
          <cell r="AE77">
            <v>0</v>
          </cell>
          <cell r="AF77">
            <v>0</v>
          </cell>
          <cell r="AG77">
            <v>676436086.04999995</v>
          </cell>
        </row>
        <row r="78">
          <cell r="B78" t="str">
            <v>1551</v>
          </cell>
          <cell r="D78" t="str">
            <v>141h</v>
          </cell>
          <cell r="E78" t="str">
            <v xml:space="preserve"> - Thành phẩm nhập kho</v>
          </cell>
          <cell r="F78">
            <v>6295895063.1599998</v>
          </cell>
          <cell r="G78">
            <v>4704608390.7700005</v>
          </cell>
          <cell r="H78">
            <v>0</v>
          </cell>
          <cell r="I78">
            <v>0</v>
          </cell>
          <cell r="J78">
            <v>0</v>
          </cell>
          <cell r="K78">
            <v>0</v>
          </cell>
          <cell r="L78">
            <v>0</v>
          </cell>
          <cell r="M78">
            <v>0</v>
          </cell>
          <cell r="N78">
            <v>0</v>
          </cell>
          <cell r="O78">
            <v>0</v>
          </cell>
          <cell r="P78">
            <v>11000503453.93</v>
          </cell>
          <cell r="Q78">
            <v>0</v>
          </cell>
          <cell r="R78">
            <v>0</v>
          </cell>
          <cell r="S78">
            <v>11000503453.93</v>
          </cell>
          <cell r="T78">
            <v>6456342800.9500008</v>
          </cell>
          <cell r="U78">
            <v>0</v>
          </cell>
          <cell r="V78">
            <v>0</v>
          </cell>
          <cell r="W78">
            <v>0</v>
          </cell>
          <cell r="X78">
            <v>0</v>
          </cell>
          <cell r="Y78">
            <v>0</v>
          </cell>
          <cell r="Z78">
            <v>0</v>
          </cell>
          <cell r="AA78">
            <v>0</v>
          </cell>
          <cell r="AB78">
            <v>0</v>
          </cell>
          <cell r="AC78">
            <v>0</v>
          </cell>
          <cell r="AD78">
            <v>6456342800.9500008</v>
          </cell>
          <cell r="AE78">
            <v>0</v>
          </cell>
          <cell r="AF78">
            <v>0</v>
          </cell>
          <cell r="AG78">
            <v>6456342800.9500008</v>
          </cell>
        </row>
        <row r="79">
          <cell r="B79" t="str">
            <v>1557</v>
          </cell>
          <cell r="D79" t="str">
            <v>141i</v>
          </cell>
          <cell r="E79" t="str">
            <v xml:space="preserve"> - Thành phẩm bất động sản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row>
        <row r="80">
          <cell r="B80" t="str">
            <v>1561</v>
          </cell>
          <cell r="D80" t="str">
            <v>141j</v>
          </cell>
          <cell r="E80" t="str">
            <v xml:space="preserve"> - Giá mua hàng hóa</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B81" t="str">
            <v>1562</v>
          </cell>
          <cell r="D81" t="str">
            <v>141k</v>
          </cell>
          <cell r="E81" t="str">
            <v xml:space="preserve"> - Chi phí thu mua hàng hóa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row>
        <row r="82">
          <cell r="B82" t="str">
            <v>1567</v>
          </cell>
          <cell r="D82" t="str">
            <v>141l</v>
          </cell>
          <cell r="E82" t="str">
            <v xml:space="preserve"> - Hàng hóa bất động sản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B83" t="str">
            <v>157</v>
          </cell>
          <cell r="D83" t="str">
            <v>141m</v>
          </cell>
          <cell r="E83" t="str">
            <v xml:space="preserve"> - Hàng gửi bán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row>
        <row r="84">
          <cell r="B84" t="str">
            <v>158</v>
          </cell>
          <cell r="D84" t="str">
            <v>141n</v>
          </cell>
          <cell r="E84" t="str">
            <v xml:space="preserve"> - Hàng hóa kho bảo thuế</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B85" t="str">
            <v>2294n</v>
          </cell>
          <cell r="D85" t="str">
            <v>149</v>
          </cell>
          <cell r="E85" t="str">
            <v>2. Dự phòng giảm giá hàng tồn kho (*)</v>
          </cell>
          <cell r="F85">
            <v>-2549950299</v>
          </cell>
          <cell r="G85">
            <v>-2192102071</v>
          </cell>
          <cell r="H85">
            <v>0</v>
          </cell>
          <cell r="I85">
            <v>0</v>
          </cell>
          <cell r="J85">
            <v>0</v>
          </cell>
          <cell r="K85">
            <v>0</v>
          </cell>
          <cell r="L85">
            <v>0</v>
          </cell>
          <cell r="M85">
            <v>0</v>
          </cell>
          <cell r="N85">
            <v>0</v>
          </cell>
          <cell r="O85">
            <v>0</v>
          </cell>
          <cell r="P85">
            <v>-4742052370</v>
          </cell>
          <cell r="Q85">
            <v>0</v>
          </cell>
          <cell r="R85">
            <v>0</v>
          </cell>
          <cell r="S85">
            <v>-4742052370</v>
          </cell>
          <cell r="T85">
            <v>-2019041069</v>
          </cell>
          <cell r="U85">
            <v>0</v>
          </cell>
          <cell r="V85">
            <v>0</v>
          </cell>
          <cell r="W85">
            <v>0</v>
          </cell>
          <cell r="X85">
            <v>0</v>
          </cell>
          <cell r="Y85">
            <v>0</v>
          </cell>
          <cell r="Z85">
            <v>0</v>
          </cell>
          <cell r="AA85">
            <v>0</v>
          </cell>
          <cell r="AB85">
            <v>0</v>
          </cell>
          <cell r="AC85">
            <v>0</v>
          </cell>
          <cell r="AD85">
            <v>-2019041069</v>
          </cell>
          <cell r="AE85">
            <v>0</v>
          </cell>
          <cell r="AF85">
            <v>0</v>
          </cell>
          <cell r="AG85">
            <v>-2019041069</v>
          </cell>
        </row>
        <row r="87">
          <cell r="D87" t="str">
            <v>150</v>
          </cell>
          <cell r="E87" t="str">
            <v>V. Tài sản ngắn hạn khác</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138346565</v>
          </cell>
          <cell r="U87">
            <v>0</v>
          </cell>
          <cell r="V87">
            <v>0</v>
          </cell>
          <cell r="W87">
            <v>0</v>
          </cell>
          <cell r="X87">
            <v>0</v>
          </cell>
          <cell r="Y87">
            <v>0</v>
          </cell>
          <cell r="Z87">
            <v>0</v>
          </cell>
          <cell r="AA87">
            <v>0</v>
          </cell>
          <cell r="AB87">
            <v>0</v>
          </cell>
          <cell r="AC87">
            <v>0</v>
          </cell>
          <cell r="AD87">
            <v>138346565</v>
          </cell>
          <cell r="AE87">
            <v>0</v>
          </cell>
          <cell r="AF87">
            <v>0</v>
          </cell>
          <cell r="AG87">
            <v>138346565</v>
          </cell>
        </row>
        <row r="88">
          <cell r="B88" t="str">
            <v>242n</v>
          </cell>
          <cell r="D88" t="str">
            <v>151</v>
          </cell>
          <cell r="E88" t="str">
            <v>1. Chi phí trả trước ngắn hạn</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row>
        <row r="89">
          <cell r="D89" t="str">
            <v>152</v>
          </cell>
          <cell r="E89" t="str">
            <v>2. Thuế GTGT được khấu trừ</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138346565</v>
          </cell>
          <cell r="U89">
            <v>0</v>
          </cell>
          <cell r="V89">
            <v>0</v>
          </cell>
          <cell r="W89">
            <v>0</v>
          </cell>
          <cell r="X89">
            <v>0</v>
          </cell>
          <cell r="Y89">
            <v>0</v>
          </cell>
          <cell r="Z89">
            <v>0</v>
          </cell>
          <cell r="AA89">
            <v>0</v>
          </cell>
          <cell r="AB89">
            <v>0</v>
          </cell>
          <cell r="AC89">
            <v>0</v>
          </cell>
          <cell r="AD89">
            <v>138346565</v>
          </cell>
          <cell r="AE89">
            <v>0</v>
          </cell>
          <cell r="AF89">
            <v>0</v>
          </cell>
          <cell r="AG89">
            <v>138346565</v>
          </cell>
        </row>
        <row r="90">
          <cell r="B90" t="str">
            <v>1331a</v>
          </cell>
          <cell r="D90" t="str">
            <v>152a</v>
          </cell>
          <cell r="E90" t="str">
            <v xml:space="preserve"> - Thuế GTGT được khấu trừ của hh, dv (dư Nợ)</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138346565</v>
          </cell>
          <cell r="U90">
            <v>0</v>
          </cell>
          <cell r="V90">
            <v>0</v>
          </cell>
          <cell r="W90">
            <v>0</v>
          </cell>
          <cell r="X90">
            <v>0</v>
          </cell>
          <cell r="Y90">
            <v>0</v>
          </cell>
          <cell r="Z90">
            <v>0</v>
          </cell>
          <cell r="AA90">
            <v>0</v>
          </cell>
          <cell r="AB90">
            <v>0</v>
          </cell>
          <cell r="AC90">
            <v>0</v>
          </cell>
          <cell r="AD90">
            <v>138346565</v>
          </cell>
          <cell r="AE90">
            <v>0</v>
          </cell>
          <cell r="AF90">
            <v>0</v>
          </cell>
          <cell r="AG90">
            <v>138346565</v>
          </cell>
        </row>
        <row r="91">
          <cell r="B91" t="str">
            <v>1332a</v>
          </cell>
          <cell r="D91" t="str">
            <v>152b</v>
          </cell>
          <cell r="E91" t="str">
            <v xml:space="preserve"> - Thuế GTGT được khấu trừ của TSCĐ (dư Nợ)</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B92" t="str">
            <v>1331b</v>
          </cell>
          <cell r="D92" t="str">
            <v>152c</v>
          </cell>
          <cell r="E92" t="str">
            <v xml:space="preserve"> - Thuế GTGT được khấu trừ của hh, dv (dư Có)</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B93" t="str">
            <v>1332b</v>
          </cell>
          <cell r="D93" t="str">
            <v>152d</v>
          </cell>
          <cell r="E93" t="str">
            <v xml:space="preserve"> - Thuế GTGT được khấu trừ của TSCĐ (dư Có)</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row>
        <row r="94">
          <cell r="D94" t="str">
            <v>153</v>
          </cell>
          <cell r="E94" t="str">
            <v>3. Thuế và các khoản khác phải thu Nhà nước</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row>
        <row r="95">
          <cell r="B95" t="str">
            <v>33311a</v>
          </cell>
          <cell r="D95" t="str">
            <v>153a</v>
          </cell>
          <cell r="E95" t="str">
            <v xml:space="preserve"> - Thuế GTGT đầu ra (dư Nợ)</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B96" t="str">
            <v>33312a</v>
          </cell>
          <cell r="D96" t="str">
            <v>153b</v>
          </cell>
          <cell r="E96" t="str">
            <v xml:space="preserve"> - Thuế GTGT hàng NK (dư Nợ)</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row>
        <row r="97">
          <cell r="B97" t="str">
            <v>3332a</v>
          </cell>
          <cell r="D97" t="str">
            <v>153c</v>
          </cell>
          <cell r="E97" t="str">
            <v xml:space="preserve"> - Thuế tiêu thụ đặc biệt (dư Nợ)</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B98" t="str">
            <v>3333a</v>
          </cell>
          <cell r="D98" t="str">
            <v>153d</v>
          </cell>
          <cell r="E98" t="str">
            <v xml:space="preserve"> - Thuế xuất, nhập khẩu (dư Nợ)</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B99" t="str">
            <v>3334a</v>
          </cell>
          <cell r="D99" t="str">
            <v>153e</v>
          </cell>
          <cell r="E99" t="str">
            <v xml:space="preserve"> - Thuế thu nhập doanh nghiệp (dư Nợ)</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row>
        <row r="100">
          <cell r="B100" t="str">
            <v>3335a</v>
          </cell>
          <cell r="D100" t="str">
            <v>153f</v>
          </cell>
          <cell r="E100" t="str">
            <v xml:space="preserve"> - Thuế thu nhập cá nhân (dư Nợ)</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B101" t="str">
            <v>3336a</v>
          </cell>
          <cell r="D101" t="str">
            <v>153g</v>
          </cell>
          <cell r="E101" t="str">
            <v xml:space="preserve"> - Thuế tài nguyên (dư Nợ)</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B102" t="str">
            <v>3337a</v>
          </cell>
          <cell r="D102" t="str">
            <v>153h</v>
          </cell>
          <cell r="E102" t="str">
            <v xml:space="preserve"> - Thuế nhà đất, tiền thuê đất (dư Nợ)</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B103" t="str">
            <v>33381a</v>
          </cell>
          <cell r="D103" t="str">
            <v>153i</v>
          </cell>
          <cell r="E103" t="str">
            <v xml:space="preserve"> - Thuế bảo vệ môi trường (dư Nợ)</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B104" t="str">
            <v>33382a</v>
          </cell>
          <cell r="D104" t="str">
            <v>153j</v>
          </cell>
          <cell r="E104" t="str">
            <v xml:space="preserve"> - Các loại thuế khác (dư Nợ)</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row>
        <row r="105">
          <cell r="B105" t="str">
            <v>3339a</v>
          </cell>
          <cell r="D105" t="str">
            <v>153k</v>
          </cell>
          <cell r="E105" t="str">
            <v xml:space="preserve"> - Phí, lệ phí và các khoản phải nộp khác (dư Nợ)</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B106" t="str">
            <v>171a</v>
          </cell>
          <cell r="D106" t="str">
            <v>154</v>
          </cell>
          <cell r="E106" t="str">
            <v>4. Giao dịch mua bán lại trái phiếu Chính phủ</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row>
        <row r="107">
          <cell r="B107" t="str">
            <v>2288n</v>
          </cell>
          <cell r="D107" t="str">
            <v>155</v>
          </cell>
          <cell r="E107" t="str">
            <v>5. Tài sản ngắn hạn khác</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9">
          <cell r="D109" t="str">
            <v>200</v>
          </cell>
          <cell r="E109" t="str">
            <v>B. TÀI SẢN DÀI HẠN</v>
          </cell>
          <cell r="F109">
            <v>10573237685</v>
          </cell>
          <cell r="G109">
            <v>5799490049</v>
          </cell>
          <cell r="H109">
            <v>0</v>
          </cell>
          <cell r="I109">
            <v>0</v>
          </cell>
          <cell r="J109">
            <v>0</v>
          </cell>
          <cell r="K109">
            <v>0</v>
          </cell>
          <cell r="L109">
            <v>0</v>
          </cell>
          <cell r="M109">
            <v>0</v>
          </cell>
          <cell r="N109">
            <v>0</v>
          </cell>
          <cell r="O109">
            <v>0</v>
          </cell>
          <cell r="P109">
            <v>16372727734</v>
          </cell>
          <cell r="Q109">
            <v>37033636</v>
          </cell>
          <cell r="R109">
            <v>187033636</v>
          </cell>
          <cell r="S109">
            <v>16222727734</v>
          </cell>
          <cell r="T109">
            <v>17856313406</v>
          </cell>
          <cell r="U109">
            <v>0</v>
          </cell>
          <cell r="V109">
            <v>0</v>
          </cell>
          <cell r="W109">
            <v>0</v>
          </cell>
          <cell r="X109">
            <v>0</v>
          </cell>
          <cell r="Y109">
            <v>0</v>
          </cell>
          <cell r="Z109">
            <v>0</v>
          </cell>
          <cell r="AA109">
            <v>0</v>
          </cell>
          <cell r="AB109">
            <v>0</v>
          </cell>
          <cell r="AC109">
            <v>0</v>
          </cell>
          <cell r="AD109">
            <v>17856313406</v>
          </cell>
          <cell r="AE109">
            <v>0</v>
          </cell>
          <cell r="AF109">
            <v>0</v>
          </cell>
          <cell r="AG109">
            <v>17856313406</v>
          </cell>
        </row>
        <row r="111">
          <cell r="D111" t="str">
            <v>210</v>
          </cell>
          <cell r="E111" t="str">
            <v>I. Các khoản phải thu dài hạn</v>
          </cell>
          <cell r="F111">
            <v>150000000</v>
          </cell>
          <cell r="G111">
            <v>0</v>
          </cell>
          <cell r="H111">
            <v>0</v>
          </cell>
          <cell r="I111">
            <v>0</v>
          </cell>
          <cell r="J111">
            <v>0</v>
          </cell>
          <cell r="K111">
            <v>0</v>
          </cell>
          <cell r="L111">
            <v>0</v>
          </cell>
          <cell r="M111">
            <v>0</v>
          </cell>
          <cell r="N111">
            <v>0</v>
          </cell>
          <cell r="O111">
            <v>0</v>
          </cell>
          <cell r="P111">
            <v>150000000</v>
          </cell>
          <cell r="Q111">
            <v>0</v>
          </cell>
          <cell r="R111">
            <v>150000000</v>
          </cell>
          <cell r="S111">
            <v>0</v>
          </cell>
          <cell r="T111">
            <v>205000000</v>
          </cell>
          <cell r="U111">
            <v>0</v>
          </cell>
          <cell r="V111">
            <v>0</v>
          </cell>
          <cell r="W111">
            <v>0</v>
          </cell>
          <cell r="X111">
            <v>0</v>
          </cell>
          <cell r="Y111">
            <v>0</v>
          </cell>
          <cell r="Z111">
            <v>0</v>
          </cell>
          <cell r="AA111">
            <v>0</v>
          </cell>
          <cell r="AB111">
            <v>0</v>
          </cell>
          <cell r="AC111">
            <v>0</v>
          </cell>
          <cell r="AD111">
            <v>205000000</v>
          </cell>
          <cell r="AE111">
            <v>0</v>
          </cell>
          <cell r="AF111">
            <v>0</v>
          </cell>
          <cell r="AG111">
            <v>205000000</v>
          </cell>
        </row>
        <row r="112">
          <cell r="B112" t="str">
            <v>131ad</v>
          </cell>
          <cell r="D112" t="str">
            <v>211</v>
          </cell>
          <cell r="E112" t="str">
            <v>1. Phải thu dài hạn của khách hàng</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row>
        <row r="113">
          <cell r="B113" t="str">
            <v>331ad</v>
          </cell>
          <cell r="D113" t="str">
            <v>212</v>
          </cell>
          <cell r="E113" t="str">
            <v>2. Trả trước cho người bán dài hạn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D114" t="str">
            <v>213</v>
          </cell>
          <cell r="E114" t="str">
            <v>3. Vốn kinh doanh ở đơn vị trực thuộc</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B115" t="str">
            <v>1361ad</v>
          </cell>
          <cell r="D115" t="str">
            <v>213a</v>
          </cell>
          <cell r="E115" t="str">
            <v xml:space="preserve"> - Vốn kinh doanh ở đơn vị trực thuộc dài hạn (dư Nợ)</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B116" t="str">
            <v>3361ad</v>
          </cell>
          <cell r="D116" t="str">
            <v>213b</v>
          </cell>
          <cell r="E116" t="str">
            <v xml:space="preserve"> - Phải trả nội bộ về vốn kinh doanh dài hạn (dư Nợ)</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D117" t="str">
            <v>214</v>
          </cell>
          <cell r="E117" t="str">
            <v>4. Phải thu nội bộ dài hạn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B118" t="str">
            <v>1362ad</v>
          </cell>
          <cell r="D118" t="str">
            <v>214a</v>
          </cell>
          <cell r="E118" t="str">
            <v xml:space="preserve"> - Phải thu nội bộ về chênh lệch tỷ giá dài hạn (dư Nợ)</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B119" t="str">
            <v>1363ad</v>
          </cell>
          <cell r="D119" t="str">
            <v>214b</v>
          </cell>
          <cell r="E119" t="str">
            <v xml:space="preserve"> - Phải thu nội bộ về chi phí đi vay đủ điều kiện được vốn hoá dài hạn (dư Nợ)</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row>
        <row r="120">
          <cell r="B120" t="str">
            <v>1368ad</v>
          </cell>
          <cell r="D120" t="str">
            <v>214c</v>
          </cell>
          <cell r="E120" t="str">
            <v xml:space="preserve"> - Phải thu nội bộ khác dài hạn (dư Nợ)</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row>
        <row r="121">
          <cell r="B121" t="str">
            <v>3362ad</v>
          </cell>
          <cell r="D121" t="str">
            <v>214d</v>
          </cell>
          <cell r="E121" t="str">
            <v xml:space="preserve"> - Phải trả nội bộ về chênh lệch tỷ giá dài hạn (dư Nợ)</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B122" t="str">
            <v>3363ad</v>
          </cell>
          <cell r="D122" t="str">
            <v>214e</v>
          </cell>
          <cell r="E122" t="str">
            <v xml:space="preserve"> - Phải trả nội bộ về chi phí đi vay đủ điều kiện được vốn hoá dài hạn (dư Nợ)</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row>
        <row r="123">
          <cell r="B123" t="str">
            <v>3368ad</v>
          </cell>
          <cell r="D123" t="str">
            <v>214f</v>
          </cell>
          <cell r="E123" t="str">
            <v xml:space="preserve"> - Phải trả nội bộ khác dài hạn (dư Nợ)</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B124" t="str">
            <v>1283d</v>
          </cell>
          <cell r="D124" t="str">
            <v>215</v>
          </cell>
          <cell r="E124" t="str">
            <v>5. Phải thu về cho vay dài hạn</v>
          </cell>
          <cell r="F124">
            <v>150000000</v>
          </cell>
          <cell r="G124">
            <v>0</v>
          </cell>
          <cell r="H124">
            <v>0</v>
          </cell>
          <cell r="I124">
            <v>0</v>
          </cell>
          <cell r="J124">
            <v>0</v>
          </cell>
          <cell r="K124">
            <v>0</v>
          </cell>
          <cell r="L124">
            <v>0</v>
          </cell>
          <cell r="M124">
            <v>0</v>
          </cell>
          <cell r="N124">
            <v>0</v>
          </cell>
          <cell r="O124">
            <v>0</v>
          </cell>
          <cell r="P124">
            <v>150000000</v>
          </cell>
          <cell r="Q124">
            <v>0</v>
          </cell>
          <cell r="R124">
            <v>150000000</v>
          </cell>
          <cell r="S124">
            <v>0</v>
          </cell>
          <cell r="T124">
            <v>205000000</v>
          </cell>
          <cell r="U124">
            <v>0</v>
          </cell>
          <cell r="V124">
            <v>0</v>
          </cell>
          <cell r="W124">
            <v>0</v>
          </cell>
          <cell r="X124">
            <v>0</v>
          </cell>
          <cell r="Y124">
            <v>0</v>
          </cell>
          <cell r="Z124">
            <v>0</v>
          </cell>
          <cell r="AA124">
            <v>0</v>
          </cell>
          <cell r="AB124">
            <v>0</v>
          </cell>
          <cell r="AC124">
            <v>0</v>
          </cell>
          <cell r="AD124">
            <v>205000000</v>
          </cell>
          <cell r="AE124">
            <v>0</v>
          </cell>
          <cell r="AF124">
            <v>0</v>
          </cell>
          <cell r="AG124">
            <v>205000000</v>
          </cell>
        </row>
        <row r="125">
          <cell r="D125" t="str">
            <v>216</v>
          </cell>
          <cell r="E125" t="str">
            <v>6. Phải thu dài hạn khác</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B126" t="str">
            <v>1385ad</v>
          </cell>
          <cell r="D126" t="str">
            <v>216a</v>
          </cell>
          <cell r="E126" t="str">
            <v xml:space="preserve"> - Phải thu về cổ phần hóa dài hạn (dư Nợ)</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B127" t="str">
            <v>3385ad</v>
          </cell>
          <cell r="D127" t="str">
            <v>216b</v>
          </cell>
          <cell r="E127" t="str">
            <v xml:space="preserve"> - Phải trả về cổ phần hóa dài hạn (dư Nợ)</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B128" t="str">
            <v>13881d</v>
          </cell>
          <cell r="D128" t="str">
            <v>216c</v>
          </cell>
          <cell r="E128" t="str">
            <v xml:space="preserve"> - Phải thu về cổ tức và ln được chia dài hạn (dư Nợ)</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row>
        <row r="129">
          <cell r="B129" t="str">
            <v>3341ad</v>
          </cell>
          <cell r="D129" t="str">
            <v>216d</v>
          </cell>
          <cell r="E129" t="str">
            <v xml:space="preserve"> - Phải thu CNV  dài hạn (dư Nợ)</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B130" t="str">
            <v>3348ad</v>
          </cell>
          <cell r="D130" t="str">
            <v>216e</v>
          </cell>
          <cell r="E130" t="str">
            <v xml:space="preserve"> - Phải thu người lao động khác dài hạn (dư Nợ)</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B131" t="str">
            <v>141ad</v>
          </cell>
          <cell r="D131" t="str">
            <v>216f</v>
          </cell>
          <cell r="E131" t="str">
            <v xml:space="preserve"> - Tạm ứng dài hạn (dư Nợ)</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B132" t="str">
            <v>244ad</v>
          </cell>
          <cell r="D132" t="str">
            <v>216g</v>
          </cell>
          <cell r="E132" t="str">
            <v xml:space="preserve"> - Cầm cố, thế chấp, ký quỹ, ký cược dài hạn (dư Nợ</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B133" t="str">
            <v>344ad</v>
          </cell>
          <cell r="D133" t="str">
            <v>216h</v>
          </cell>
          <cell r="E133" t="str">
            <v xml:space="preserve"> - Nhận ký quỹ, ký cược dài hạn (dư Nợ)</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B134" t="str">
            <v>13882d</v>
          </cell>
          <cell r="D134" t="str">
            <v>216i</v>
          </cell>
          <cell r="E134" t="str">
            <v xml:space="preserve"> - Cho mượn dài hạn không tính lãi dài hạn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B135" t="str">
            <v>13883d</v>
          </cell>
          <cell r="D135" t="str">
            <v>216j</v>
          </cell>
          <cell r="E135" t="str">
            <v xml:space="preserve"> - Các khoản chi hộ dài hạn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B136" t="str">
            <v>1388ad</v>
          </cell>
          <cell r="D136" t="str">
            <v>216k</v>
          </cell>
          <cell r="E136" t="str">
            <v xml:space="preserve"> - Phải thu khác dài hạn (dư Nợ)</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B137" t="str">
            <v>3388ad</v>
          </cell>
          <cell r="D137" t="str">
            <v>216l</v>
          </cell>
          <cell r="E137" t="str">
            <v xml:space="preserve"> - Phải trả, phải nộp khác dài hạn (dư Nợ)</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B138" t="str">
            <v>2293d</v>
          </cell>
          <cell r="D138" t="str">
            <v>219</v>
          </cell>
          <cell r="E138" t="str">
            <v>7. Dự phòng phải thu dài hạn khó đòi</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40">
          <cell r="D140" t="str">
            <v>220</v>
          </cell>
          <cell r="E140" t="str">
            <v>II. Tài sản cố định</v>
          </cell>
          <cell r="F140">
            <v>9957772625</v>
          </cell>
          <cell r="G140">
            <v>3714838725</v>
          </cell>
          <cell r="H140">
            <v>0</v>
          </cell>
          <cell r="I140">
            <v>0</v>
          </cell>
          <cell r="J140">
            <v>0</v>
          </cell>
          <cell r="K140">
            <v>0</v>
          </cell>
          <cell r="L140">
            <v>0</v>
          </cell>
          <cell r="M140">
            <v>0</v>
          </cell>
          <cell r="N140">
            <v>0</v>
          </cell>
          <cell r="O140">
            <v>0</v>
          </cell>
          <cell r="P140">
            <v>13672611350</v>
          </cell>
          <cell r="Q140">
            <v>28083830</v>
          </cell>
          <cell r="R140">
            <v>37033636</v>
          </cell>
          <cell r="S140">
            <v>13663661544</v>
          </cell>
          <cell r="T140">
            <v>16846103211</v>
          </cell>
          <cell r="U140">
            <v>0</v>
          </cell>
          <cell r="V140">
            <v>0</v>
          </cell>
          <cell r="W140">
            <v>0</v>
          </cell>
          <cell r="X140">
            <v>0</v>
          </cell>
          <cell r="Y140">
            <v>0</v>
          </cell>
          <cell r="Z140">
            <v>0</v>
          </cell>
          <cell r="AA140">
            <v>0</v>
          </cell>
          <cell r="AB140">
            <v>0</v>
          </cell>
          <cell r="AC140">
            <v>0</v>
          </cell>
          <cell r="AD140">
            <v>16846103211</v>
          </cell>
          <cell r="AE140">
            <v>0</v>
          </cell>
          <cell r="AF140">
            <v>0</v>
          </cell>
          <cell r="AG140">
            <v>16846103211</v>
          </cell>
        </row>
        <row r="141">
          <cell r="D141" t="str">
            <v>221</v>
          </cell>
          <cell r="E141" t="str">
            <v>1. Tài sản cố định hữu hình</v>
          </cell>
          <cell r="F141">
            <v>9891397618</v>
          </cell>
          <cell r="G141">
            <v>3714838725</v>
          </cell>
          <cell r="H141">
            <v>0</v>
          </cell>
          <cell r="I141">
            <v>0</v>
          </cell>
          <cell r="J141">
            <v>0</v>
          </cell>
          <cell r="K141">
            <v>0</v>
          </cell>
          <cell r="L141">
            <v>0</v>
          </cell>
          <cell r="M141">
            <v>0</v>
          </cell>
          <cell r="N141">
            <v>0</v>
          </cell>
          <cell r="O141">
            <v>0</v>
          </cell>
          <cell r="P141">
            <v>13606236343</v>
          </cell>
          <cell r="Q141">
            <v>28083830</v>
          </cell>
          <cell r="R141">
            <v>37033636</v>
          </cell>
          <cell r="S141">
            <v>13597286537</v>
          </cell>
          <cell r="T141">
            <v>16750228208</v>
          </cell>
          <cell r="U141">
            <v>0</v>
          </cell>
          <cell r="V141">
            <v>0</v>
          </cell>
          <cell r="W141">
            <v>0</v>
          </cell>
          <cell r="X141">
            <v>0</v>
          </cell>
          <cell r="Y141">
            <v>0</v>
          </cell>
          <cell r="Z141">
            <v>0</v>
          </cell>
          <cell r="AA141">
            <v>0</v>
          </cell>
          <cell r="AB141">
            <v>0</v>
          </cell>
          <cell r="AC141">
            <v>0</v>
          </cell>
          <cell r="AD141">
            <v>16750228208</v>
          </cell>
          <cell r="AE141">
            <v>0</v>
          </cell>
          <cell r="AF141">
            <v>0</v>
          </cell>
          <cell r="AG141">
            <v>16750228208</v>
          </cell>
        </row>
        <row r="142">
          <cell r="D142" t="str">
            <v>222</v>
          </cell>
          <cell r="E142" t="str">
            <v xml:space="preserve"> - Nguyên giá</v>
          </cell>
          <cell r="F142">
            <v>45971385988</v>
          </cell>
          <cell r="G142">
            <v>25880749735</v>
          </cell>
          <cell r="H142">
            <v>0</v>
          </cell>
          <cell r="I142">
            <v>0</v>
          </cell>
          <cell r="J142">
            <v>0</v>
          </cell>
          <cell r="K142">
            <v>0</v>
          </cell>
          <cell r="L142">
            <v>0</v>
          </cell>
          <cell r="M142">
            <v>0</v>
          </cell>
          <cell r="N142">
            <v>0</v>
          </cell>
          <cell r="O142">
            <v>0</v>
          </cell>
          <cell r="P142">
            <v>71852135723</v>
          </cell>
          <cell r="Q142">
            <v>0</v>
          </cell>
          <cell r="R142">
            <v>37033636</v>
          </cell>
          <cell r="S142">
            <v>71815102087</v>
          </cell>
          <cell r="T142">
            <v>75152051369</v>
          </cell>
          <cell r="U142">
            <v>0</v>
          </cell>
          <cell r="V142">
            <v>0</v>
          </cell>
          <cell r="W142">
            <v>0</v>
          </cell>
          <cell r="X142">
            <v>0</v>
          </cell>
          <cell r="Y142">
            <v>0</v>
          </cell>
          <cell r="Z142">
            <v>0</v>
          </cell>
          <cell r="AA142">
            <v>0</v>
          </cell>
          <cell r="AB142">
            <v>0</v>
          </cell>
          <cell r="AC142">
            <v>0</v>
          </cell>
          <cell r="AD142">
            <v>75152051369</v>
          </cell>
          <cell r="AE142">
            <v>0</v>
          </cell>
          <cell r="AF142">
            <v>0</v>
          </cell>
          <cell r="AG142">
            <v>75152051369</v>
          </cell>
        </row>
        <row r="143">
          <cell r="B143" t="str">
            <v>2111</v>
          </cell>
          <cell r="D143" t="str">
            <v>222a</v>
          </cell>
          <cell r="E143" t="str">
            <v xml:space="preserve"> + Nhà cửa, vật kiến trúc</v>
          </cell>
          <cell r="F143">
            <v>19042876524</v>
          </cell>
          <cell r="G143">
            <v>11314243479</v>
          </cell>
          <cell r="H143">
            <v>0</v>
          </cell>
          <cell r="I143">
            <v>0</v>
          </cell>
          <cell r="J143">
            <v>0</v>
          </cell>
          <cell r="K143">
            <v>0</v>
          </cell>
          <cell r="L143">
            <v>0</v>
          </cell>
          <cell r="M143">
            <v>0</v>
          </cell>
          <cell r="N143">
            <v>0</v>
          </cell>
          <cell r="O143">
            <v>0</v>
          </cell>
          <cell r="P143">
            <v>30357120003</v>
          </cell>
          <cell r="Q143">
            <v>0</v>
          </cell>
          <cell r="R143">
            <v>0</v>
          </cell>
          <cell r="S143">
            <v>30357120003</v>
          </cell>
          <cell r="T143">
            <v>33204676403</v>
          </cell>
          <cell r="U143">
            <v>0</v>
          </cell>
          <cell r="V143">
            <v>0</v>
          </cell>
          <cell r="W143">
            <v>0</v>
          </cell>
          <cell r="X143">
            <v>0</v>
          </cell>
          <cell r="Y143">
            <v>0</v>
          </cell>
          <cell r="Z143">
            <v>0</v>
          </cell>
          <cell r="AA143">
            <v>0</v>
          </cell>
          <cell r="AB143">
            <v>0</v>
          </cell>
          <cell r="AC143">
            <v>0</v>
          </cell>
          <cell r="AD143">
            <v>33204676403</v>
          </cell>
          <cell r="AE143">
            <v>0</v>
          </cell>
          <cell r="AF143">
            <v>0</v>
          </cell>
          <cell r="AG143">
            <v>33204676403</v>
          </cell>
        </row>
        <row r="144">
          <cell r="B144" t="str">
            <v>2112</v>
          </cell>
          <cell r="D144" t="str">
            <v>222b</v>
          </cell>
          <cell r="E144" t="str">
            <v xml:space="preserve"> + Máy móc, thiết bị</v>
          </cell>
          <cell r="F144">
            <v>25814475828</v>
          </cell>
          <cell r="G144">
            <v>14566506256</v>
          </cell>
          <cell r="H144">
            <v>0</v>
          </cell>
          <cell r="I144">
            <v>0</v>
          </cell>
          <cell r="J144">
            <v>0</v>
          </cell>
          <cell r="K144">
            <v>0</v>
          </cell>
          <cell r="L144">
            <v>0</v>
          </cell>
          <cell r="M144">
            <v>0</v>
          </cell>
          <cell r="N144">
            <v>0</v>
          </cell>
          <cell r="O144">
            <v>0</v>
          </cell>
          <cell r="P144">
            <v>40380982084</v>
          </cell>
          <cell r="Q144">
            <v>0</v>
          </cell>
          <cell r="R144">
            <v>0</v>
          </cell>
          <cell r="S144">
            <v>40380982084</v>
          </cell>
          <cell r="T144">
            <v>39164821619</v>
          </cell>
          <cell r="U144">
            <v>0</v>
          </cell>
          <cell r="V144">
            <v>0</v>
          </cell>
          <cell r="W144">
            <v>0</v>
          </cell>
          <cell r="X144">
            <v>0</v>
          </cell>
          <cell r="Y144">
            <v>0</v>
          </cell>
          <cell r="Z144">
            <v>0</v>
          </cell>
          <cell r="AA144">
            <v>0</v>
          </cell>
          <cell r="AB144">
            <v>0</v>
          </cell>
          <cell r="AC144">
            <v>0</v>
          </cell>
          <cell r="AD144">
            <v>39164821619</v>
          </cell>
          <cell r="AE144">
            <v>0</v>
          </cell>
          <cell r="AF144">
            <v>0</v>
          </cell>
          <cell r="AG144">
            <v>39164821619</v>
          </cell>
        </row>
        <row r="145">
          <cell r="B145" t="str">
            <v>2113</v>
          </cell>
          <cell r="D145" t="str">
            <v>222c</v>
          </cell>
          <cell r="E145" t="str">
            <v xml:space="preserve"> + Phương tiện vận tải, truyền dẫn</v>
          </cell>
          <cell r="F145">
            <v>1022000000</v>
          </cell>
          <cell r="G145">
            <v>0</v>
          </cell>
          <cell r="H145">
            <v>0</v>
          </cell>
          <cell r="I145">
            <v>0</v>
          </cell>
          <cell r="J145">
            <v>0</v>
          </cell>
          <cell r="K145">
            <v>0</v>
          </cell>
          <cell r="L145">
            <v>0</v>
          </cell>
          <cell r="M145">
            <v>0</v>
          </cell>
          <cell r="N145">
            <v>0</v>
          </cell>
          <cell r="O145">
            <v>0</v>
          </cell>
          <cell r="P145">
            <v>1022000000</v>
          </cell>
          <cell r="Q145">
            <v>0</v>
          </cell>
          <cell r="R145">
            <v>0</v>
          </cell>
          <cell r="S145">
            <v>1022000000</v>
          </cell>
          <cell r="T145">
            <v>2690519711</v>
          </cell>
          <cell r="U145">
            <v>0</v>
          </cell>
          <cell r="V145">
            <v>0</v>
          </cell>
          <cell r="W145">
            <v>0</v>
          </cell>
          <cell r="X145">
            <v>0</v>
          </cell>
          <cell r="Y145">
            <v>0</v>
          </cell>
          <cell r="Z145">
            <v>0</v>
          </cell>
          <cell r="AA145">
            <v>0</v>
          </cell>
          <cell r="AB145">
            <v>0</v>
          </cell>
          <cell r="AC145">
            <v>0</v>
          </cell>
          <cell r="AD145">
            <v>2690519711</v>
          </cell>
          <cell r="AE145">
            <v>0</v>
          </cell>
          <cell r="AF145">
            <v>0</v>
          </cell>
          <cell r="AG145">
            <v>2690519711</v>
          </cell>
        </row>
        <row r="146">
          <cell r="B146" t="str">
            <v>2114</v>
          </cell>
          <cell r="D146" t="str">
            <v>222d</v>
          </cell>
          <cell r="E146" t="str">
            <v xml:space="preserve"> + Thiết bị, dụng cụ quản lý</v>
          </cell>
          <cell r="F146">
            <v>92033636</v>
          </cell>
          <cell r="G146">
            <v>0</v>
          </cell>
          <cell r="H146">
            <v>0</v>
          </cell>
          <cell r="I146">
            <v>0</v>
          </cell>
          <cell r="J146">
            <v>0</v>
          </cell>
          <cell r="K146">
            <v>0</v>
          </cell>
          <cell r="L146">
            <v>0</v>
          </cell>
          <cell r="M146">
            <v>0</v>
          </cell>
          <cell r="N146">
            <v>0</v>
          </cell>
          <cell r="O146">
            <v>0</v>
          </cell>
          <cell r="P146">
            <v>92033636</v>
          </cell>
          <cell r="Q146">
            <v>0</v>
          </cell>
          <cell r="R146">
            <v>37033636</v>
          </cell>
          <cell r="S146">
            <v>55000000</v>
          </cell>
          <cell r="T146">
            <v>92033636</v>
          </cell>
          <cell r="U146">
            <v>0</v>
          </cell>
          <cell r="V146">
            <v>0</v>
          </cell>
          <cell r="W146">
            <v>0</v>
          </cell>
          <cell r="X146">
            <v>0</v>
          </cell>
          <cell r="Y146">
            <v>0</v>
          </cell>
          <cell r="Z146">
            <v>0</v>
          </cell>
          <cell r="AA146">
            <v>0</v>
          </cell>
          <cell r="AB146">
            <v>0</v>
          </cell>
          <cell r="AC146">
            <v>0</v>
          </cell>
          <cell r="AD146">
            <v>92033636</v>
          </cell>
          <cell r="AE146">
            <v>0</v>
          </cell>
          <cell r="AF146">
            <v>0</v>
          </cell>
          <cell r="AG146">
            <v>92033636</v>
          </cell>
        </row>
        <row r="147">
          <cell r="B147" t="str">
            <v>2115</v>
          </cell>
          <cell r="D147" t="str">
            <v>222e</v>
          </cell>
          <cell r="E147" t="str">
            <v xml:space="preserve"> + Cây lâu năm, súc vật lv và cho sp</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B148" t="str">
            <v>2118</v>
          </cell>
          <cell r="D148" t="str">
            <v>222f</v>
          </cell>
          <cell r="E148" t="str">
            <v xml:space="preserve"> + TSCĐ khác</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row>
        <row r="149">
          <cell r="D149" t="str">
            <v>223</v>
          </cell>
          <cell r="E149" t="str">
            <v xml:space="preserve"> - Giá trị hao mòn lũy kế (*)</v>
          </cell>
          <cell r="F149">
            <v>-36079988370</v>
          </cell>
          <cell r="G149">
            <v>-22165911010</v>
          </cell>
          <cell r="H149">
            <v>0</v>
          </cell>
          <cell r="I149">
            <v>0</v>
          </cell>
          <cell r="J149">
            <v>0</v>
          </cell>
          <cell r="K149">
            <v>0</v>
          </cell>
          <cell r="L149">
            <v>0</v>
          </cell>
          <cell r="M149">
            <v>0</v>
          </cell>
          <cell r="N149">
            <v>0</v>
          </cell>
          <cell r="O149">
            <v>0</v>
          </cell>
          <cell r="P149">
            <v>-58245899380</v>
          </cell>
          <cell r="Q149">
            <v>28083830</v>
          </cell>
          <cell r="R149">
            <v>0</v>
          </cell>
          <cell r="S149">
            <v>-58217815550</v>
          </cell>
          <cell r="T149">
            <v>-58401823161</v>
          </cell>
          <cell r="U149">
            <v>0</v>
          </cell>
          <cell r="V149">
            <v>0</v>
          </cell>
          <cell r="W149">
            <v>0</v>
          </cell>
          <cell r="X149">
            <v>0</v>
          </cell>
          <cell r="Y149">
            <v>0</v>
          </cell>
          <cell r="Z149">
            <v>0</v>
          </cell>
          <cell r="AA149">
            <v>0</v>
          </cell>
          <cell r="AB149">
            <v>0</v>
          </cell>
          <cell r="AC149">
            <v>0</v>
          </cell>
          <cell r="AD149">
            <v>-58401823161</v>
          </cell>
          <cell r="AE149">
            <v>0</v>
          </cell>
          <cell r="AF149">
            <v>0</v>
          </cell>
          <cell r="AG149">
            <v>-58401823161</v>
          </cell>
        </row>
        <row r="150">
          <cell r="B150" t="str">
            <v>21411</v>
          </cell>
          <cell r="D150" t="str">
            <v>223a</v>
          </cell>
          <cell r="E150" t="str">
            <v xml:space="preserve"> + HM Nhà cửa, vật kiến trúc (*)</v>
          </cell>
          <cell r="F150">
            <v>-36079988370</v>
          </cell>
          <cell r="G150">
            <v>-22165911010</v>
          </cell>
          <cell r="H150">
            <v>0</v>
          </cell>
          <cell r="I150">
            <v>0</v>
          </cell>
          <cell r="J150">
            <v>0</v>
          </cell>
          <cell r="K150">
            <v>0</v>
          </cell>
          <cell r="L150">
            <v>0</v>
          </cell>
          <cell r="M150">
            <v>0</v>
          </cell>
          <cell r="N150">
            <v>0</v>
          </cell>
          <cell r="O150">
            <v>0</v>
          </cell>
          <cell r="P150">
            <v>-58245899380</v>
          </cell>
          <cell r="Q150">
            <v>0</v>
          </cell>
          <cell r="R150">
            <v>0</v>
          </cell>
          <cell r="S150">
            <v>-58245899380</v>
          </cell>
          <cell r="T150">
            <v>-58401823161</v>
          </cell>
          <cell r="U150">
            <v>0</v>
          </cell>
          <cell r="V150">
            <v>0</v>
          </cell>
          <cell r="W150">
            <v>0</v>
          </cell>
          <cell r="X150">
            <v>0</v>
          </cell>
          <cell r="Y150">
            <v>0</v>
          </cell>
          <cell r="Z150">
            <v>0</v>
          </cell>
          <cell r="AA150">
            <v>0</v>
          </cell>
          <cell r="AB150">
            <v>0</v>
          </cell>
          <cell r="AC150">
            <v>0</v>
          </cell>
          <cell r="AD150">
            <v>-58401823161</v>
          </cell>
          <cell r="AE150">
            <v>0</v>
          </cell>
          <cell r="AF150">
            <v>0</v>
          </cell>
          <cell r="AG150">
            <v>-58401823161</v>
          </cell>
        </row>
        <row r="151">
          <cell r="B151" t="str">
            <v>21412</v>
          </cell>
          <cell r="D151" t="str">
            <v>223b</v>
          </cell>
          <cell r="E151" t="str">
            <v xml:space="preserve"> + HM Máy móc, thiết bị (*)</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row>
        <row r="152">
          <cell r="B152" t="str">
            <v>21413</v>
          </cell>
          <cell r="D152" t="str">
            <v>223c</v>
          </cell>
          <cell r="E152" t="str">
            <v xml:space="preserve"> + HM Phương tiện vận tải, truyền dẫn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B153" t="str">
            <v>21414</v>
          </cell>
          <cell r="D153" t="str">
            <v>223d</v>
          </cell>
          <cell r="E153" t="str">
            <v xml:space="preserve"> + HM Thiết bị, dụng cụ quản lý (*)</v>
          </cell>
          <cell r="F153">
            <v>0</v>
          </cell>
          <cell r="G153">
            <v>0</v>
          </cell>
          <cell r="H153">
            <v>0</v>
          </cell>
          <cell r="I153">
            <v>0</v>
          </cell>
          <cell r="J153">
            <v>0</v>
          </cell>
          <cell r="K153">
            <v>0</v>
          </cell>
          <cell r="L153">
            <v>0</v>
          </cell>
          <cell r="M153">
            <v>0</v>
          </cell>
          <cell r="N153">
            <v>0</v>
          </cell>
          <cell r="O153">
            <v>0</v>
          </cell>
          <cell r="P153">
            <v>0</v>
          </cell>
          <cell r="Q153">
            <v>28083830</v>
          </cell>
          <cell r="R153">
            <v>0</v>
          </cell>
          <cell r="S153">
            <v>28083830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row>
        <row r="154">
          <cell r="B154" t="str">
            <v>21415</v>
          </cell>
          <cell r="D154" t="str">
            <v>223e</v>
          </cell>
          <cell r="E154" t="str">
            <v xml:space="preserve"> + HM Cây lâu năm, súc vật làm việc và cho sản phẩm (*)</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B155" t="str">
            <v>21418</v>
          </cell>
          <cell r="D155" t="str">
            <v>223f</v>
          </cell>
          <cell r="E155" t="str">
            <v xml:space="preserve"> + HM TSCĐ khác (*)</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D156" t="str">
            <v>224</v>
          </cell>
          <cell r="E156" t="str">
            <v>2. Tài sản cố định thuê tài chính</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row>
        <row r="157">
          <cell r="D157" t="str">
            <v>225</v>
          </cell>
          <cell r="E157" t="str">
            <v xml:space="preserve"> - Nguyên giá</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B158" t="str">
            <v>21211</v>
          </cell>
          <cell r="D158" t="str">
            <v>225a</v>
          </cell>
          <cell r="E158" t="str">
            <v xml:space="preserve"> + Nhà cửa, vật kiến trúc</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B159" t="str">
            <v>21212</v>
          </cell>
          <cell r="D159" t="str">
            <v>225b</v>
          </cell>
          <cell r="E159" t="str">
            <v xml:space="preserve"> + Máy móc, thiết bị</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B160" t="str">
            <v>21213</v>
          </cell>
          <cell r="D160" t="str">
            <v>225c</v>
          </cell>
          <cell r="E160" t="str">
            <v xml:space="preserve"> + Phương tiện vận tải, truyền dẫn</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B161" t="str">
            <v>21214</v>
          </cell>
          <cell r="D161" t="str">
            <v>225d</v>
          </cell>
          <cell r="E161" t="str">
            <v xml:space="preserve"> + Thiết bị, dụng cụ quản lý</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B162" t="str">
            <v>21218</v>
          </cell>
          <cell r="D162" t="str">
            <v>225e</v>
          </cell>
          <cell r="E162" t="str">
            <v xml:space="preserve"> + TSCĐHH khác</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B163" t="str">
            <v>2122</v>
          </cell>
          <cell r="D163" t="str">
            <v>225f</v>
          </cell>
          <cell r="E163" t="str">
            <v xml:space="preserve"> + TSCĐVH</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D164" t="str">
            <v>226</v>
          </cell>
          <cell r="E164" t="str">
            <v xml:space="preserve"> - Giá trị hao mòn lũy kế (*)</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row>
        <row r="165">
          <cell r="B165" t="str">
            <v>214211</v>
          </cell>
          <cell r="D165" t="str">
            <v>226a</v>
          </cell>
          <cell r="E165" t="str">
            <v xml:space="preserve"> + HM Nhà cửa, vật kiến trúc (*)</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B166" t="str">
            <v>214212</v>
          </cell>
          <cell r="D166" t="str">
            <v>226b</v>
          </cell>
          <cell r="E166" t="str">
            <v xml:space="preserve"> + HM Máy móc, thiết bị (*)</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row>
        <row r="167">
          <cell r="B167" t="str">
            <v>214213</v>
          </cell>
          <cell r="D167" t="str">
            <v>226c</v>
          </cell>
          <cell r="E167" t="str">
            <v xml:space="preserve"> + HM Phương tiện vận tải, truyền dẫn (*)</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row>
        <row r="168">
          <cell r="B168" t="str">
            <v>214214</v>
          </cell>
          <cell r="D168" t="str">
            <v>226d</v>
          </cell>
          <cell r="E168" t="str">
            <v xml:space="preserve"> + HM Thiết bị, dụng cụ quản lý (*)</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row>
        <row r="169">
          <cell r="B169" t="str">
            <v>214218</v>
          </cell>
          <cell r="D169" t="str">
            <v>226e</v>
          </cell>
          <cell r="E169" t="str">
            <v xml:space="preserve"> + HM TSCĐHH khác (*)</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B170" t="str">
            <v>21422</v>
          </cell>
          <cell r="D170" t="str">
            <v>226f</v>
          </cell>
          <cell r="E170" t="str">
            <v xml:space="preserve"> + HM TSCĐVH (*)</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row>
        <row r="171">
          <cell r="D171" t="str">
            <v>227</v>
          </cell>
          <cell r="E171" t="str">
            <v>3. Tài sản cố định vô hình</v>
          </cell>
          <cell r="F171">
            <v>66375007</v>
          </cell>
          <cell r="G171">
            <v>0</v>
          </cell>
          <cell r="H171">
            <v>0</v>
          </cell>
          <cell r="I171">
            <v>0</v>
          </cell>
          <cell r="J171">
            <v>0</v>
          </cell>
          <cell r="K171">
            <v>0</v>
          </cell>
          <cell r="L171">
            <v>0</v>
          </cell>
          <cell r="M171">
            <v>0</v>
          </cell>
          <cell r="N171">
            <v>0</v>
          </cell>
          <cell r="O171">
            <v>0</v>
          </cell>
          <cell r="P171">
            <v>66375007</v>
          </cell>
          <cell r="Q171">
            <v>0</v>
          </cell>
          <cell r="R171">
            <v>0</v>
          </cell>
          <cell r="S171">
            <v>66375007</v>
          </cell>
          <cell r="T171">
            <v>95875003</v>
          </cell>
          <cell r="U171">
            <v>0</v>
          </cell>
          <cell r="V171">
            <v>0</v>
          </cell>
          <cell r="W171">
            <v>0</v>
          </cell>
          <cell r="X171">
            <v>0</v>
          </cell>
          <cell r="Y171">
            <v>0</v>
          </cell>
          <cell r="Z171">
            <v>0</v>
          </cell>
          <cell r="AA171">
            <v>0</v>
          </cell>
          <cell r="AB171">
            <v>0</v>
          </cell>
          <cell r="AC171">
            <v>0</v>
          </cell>
          <cell r="AD171">
            <v>95875003</v>
          </cell>
          <cell r="AE171">
            <v>0</v>
          </cell>
          <cell r="AF171">
            <v>0</v>
          </cell>
          <cell r="AG171">
            <v>95875003</v>
          </cell>
        </row>
        <row r="172">
          <cell r="D172" t="str">
            <v>228</v>
          </cell>
          <cell r="E172" t="str">
            <v xml:space="preserve"> - Nguyên giá</v>
          </cell>
          <cell r="F172">
            <v>118000000</v>
          </cell>
          <cell r="G172">
            <v>0</v>
          </cell>
          <cell r="H172">
            <v>0</v>
          </cell>
          <cell r="I172">
            <v>0</v>
          </cell>
          <cell r="J172">
            <v>0</v>
          </cell>
          <cell r="K172">
            <v>0</v>
          </cell>
          <cell r="L172">
            <v>0</v>
          </cell>
          <cell r="M172">
            <v>0</v>
          </cell>
          <cell r="N172">
            <v>0</v>
          </cell>
          <cell r="O172">
            <v>0</v>
          </cell>
          <cell r="P172">
            <v>118000000</v>
          </cell>
          <cell r="Q172">
            <v>0</v>
          </cell>
          <cell r="R172">
            <v>0</v>
          </cell>
          <cell r="S172">
            <v>118000000</v>
          </cell>
          <cell r="T172">
            <v>118000000</v>
          </cell>
          <cell r="U172">
            <v>0</v>
          </cell>
          <cell r="V172">
            <v>0</v>
          </cell>
          <cell r="W172">
            <v>0</v>
          </cell>
          <cell r="X172">
            <v>0</v>
          </cell>
          <cell r="Y172">
            <v>0</v>
          </cell>
          <cell r="Z172">
            <v>0</v>
          </cell>
          <cell r="AA172">
            <v>0</v>
          </cell>
          <cell r="AB172">
            <v>0</v>
          </cell>
          <cell r="AC172">
            <v>0</v>
          </cell>
          <cell r="AD172">
            <v>118000000</v>
          </cell>
          <cell r="AE172">
            <v>0</v>
          </cell>
          <cell r="AF172">
            <v>0</v>
          </cell>
          <cell r="AG172">
            <v>118000000</v>
          </cell>
        </row>
        <row r="173">
          <cell r="B173" t="str">
            <v>2131</v>
          </cell>
          <cell r="D173" t="str">
            <v>228a</v>
          </cell>
          <cell r="E173" t="str">
            <v xml:space="preserve"> - Quyền sử dụng đất</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row>
        <row r="174">
          <cell r="B174" t="str">
            <v>2132</v>
          </cell>
          <cell r="D174" t="str">
            <v>228b</v>
          </cell>
          <cell r="E174" t="str">
            <v xml:space="preserve"> - Quyền phát hành</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B175" t="str">
            <v>2133</v>
          </cell>
          <cell r="D175" t="str">
            <v>228c</v>
          </cell>
          <cell r="E175" t="str">
            <v xml:space="preserve"> - Bản quyền, bằng sáng chế</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row>
        <row r="176">
          <cell r="B176" t="str">
            <v>2134</v>
          </cell>
          <cell r="D176" t="str">
            <v>228d</v>
          </cell>
          <cell r="E176" t="str">
            <v xml:space="preserve"> - Nhãn hiệu, tên thương mại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B177" t="str">
            <v>2135</v>
          </cell>
          <cell r="D177" t="str">
            <v>228e</v>
          </cell>
          <cell r="E177" t="str">
            <v xml:space="preserve"> - Chương trình phần mềm</v>
          </cell>
          <cell r="F177">
            <v>118000000</v>
          </cell>
          <cell r="G177">
            <v>0</v>
          </cell>
          <cell r="H177">
            <v>0</v>
          </cell>
          <cell r="I177">
            <v>0</v>
          </cell>
          <cell r="J177">
            <v>0</v>
          </cell>
          <cell r="K177">
            <v>0</v>
          </cell>
          <cell r="L177">
            <v>0</v>
          </cell>
          <cell r="M177">
            <v>0</v>
          </cell>
          <cell r="N177">
            <v>0</v>
          </cell>
          <cell r="O177">
            <v>0</v>
          </cell>
          <cell r="P177">
            <v>118000000</v>
          </cell>
          <cell r="Q177">
            <v>0</v>
          </cell>
          <cell r="R177">
            <v>0</v>
          </cell>
          <cell r="S177">
            <v>118000000</v>
          </cell>
          <cell r="T177">
            <v>118000000</v>
          </cell>
          <cell r="U177">
            <v>0</v>
          </cell>
          <cell r="V177">
            <v>0</v>
          </cell>
          <cell r="W177">
            <v>0</v>
          </cell>
          <cell r="X177">
            <v>0</v>
          </cell>
          <cell r="Y177">
            <v>0</v>
          </cell>
          <cell r="Z177">
            <v>0</v>
          </cell>
          <cell r="AA177">
            <v>0</v>
          </cell>
          <cell r="AB177">
            <v>0</v>
          </cell>
          <cell r="AC177">
            <v>0</v>
          </cell>
          <cell r="AD177">
            <v>118000000</v>
          </cell>
          <cell r="AE177">
            <v>0</v>
          </cell>
          <cell r="AF177">
            <v>0</v>
          </cell>
          <cell r="AG177">
            <v>118000000</v>
          </cell>
        </row>
        <row r="178">
          <cell r="B178" t="str">
            <v>2136</v>
          </cell>
          <cell r="D178" t="str">
            <v>228f</v>
          </cell>
          <cell r="E178" t="str">
            <v xml:space="preserve"> - Giấy phép và giấy nhượng quyền</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row>
        <row r="179">
          <cell r="B179" t="str">
            <v>2138</v>
          </cell>
          <cell r="D179" t="str">
            <v>228g</v>
          </cell>
          <cell r="E179" t="str">
            <v xml:space="preserve"> - TSCĐ vô hình khác</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row>
        <row r="180">
          <cell r="D180" t="str">
            <v>229</v>
          </cell>
          <cell r="E180" t="str">
            <v xml:space="preserve"> - Giá trị hao mòn lũy kế (*)</v>
          </cell>
          <cell r="F180">
            <v>-51624993</v>
          </cell>
          <cell r="G180">
            <v>0</v>
          </cell>
          <cell r="H180">
            <v>0</v>
          </cell>
          <cell r="I180">
            <v>0</v>
          </cell>
          <cell r="J180">
            <v>0</v>
          </cell>
          <cell r="K180">
            <v>0</v>
          </cell>
          <cell r="L180">
            <v>0</v>
          </cell>
          <cell r="M180">
            <v>0</v>
          </cell>
          <cell r="N180">
            <v>0</v>
          </cell>
          <cell r="O180">
            <v>0</v>
          </cell>
          <cell r="P180">
            <v>-51624993</v>
          </cell>
          <cell r="Q180">
            <v>0</v>
          </cell>
          <cell r="R180">
            <v>0</v>
          </cell>
          <cell r="S180">
            <v>-51624993</v>
          </cell>
          <cell r="T180">
            <v>-22124997</v>
          </cell>
          <cell r="U180">
            <v>0</v>
          </cell>
          <cell r="V180">
            <v>0</v>
          </cell>
          <cell r="W180">
            <v>0</v>
          </cell>
          <cell r="X180">
            <v>0</v>
          </cell>
          <cell r="Y180">
            <v>0</v>
          </cell>
          <cell r="Z180">
            <v>0</v>
          </cell>
          <cell r="AA180">
            <v>0</v>
          </cell>
          <cell r="AB180">
            <v>0</v>
          </cell>
          <cell r="AC180">
            <v>0</v>
          </cell>
          <cell r="AD180">
            <v>-22124997</v>
          </cell>
          <cell r="AE180">
            <v>0</v>
          </cell>
          <cell r="AF180">
            <v>0</v>
          </cell>
          <cell r="AG180">
            <v>-22124997</v>
          </cell>
        </row>
        <row r="181">
          <cell r="B181" t="str">
            <v>21431</v>
          </cell>
          <cell r="D181" t="str">
            <v>229a</v>
          </cell>
          <cell r="E181" t="str">
            <v xml:space="preserve"> + HM Quyền sử dụng đất (*)</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row>
        <row r="182">
          <cell r="B182" t="str">
            <v>21432</v>
          </cell>
          <cell r="D182" t="str">
            <v>229b</v>
          </cell>
          <cell r="E182" t="str">
            <v xml:space="preserve"> + HM Quyền phát hành (*)</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row>
        <row r="183">
          <cell r="B183" t="str">
            <v>21433</v>
          </cell>
          <cell r="D183" t="str">
            <v>229c</v>
          </cell>
          <cell r="E183" t="str">
            <v xml:space="preserve"> + HM Bản quyền, bằng sáng chế (*)</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B184" t="str">
            <v>21434</v>
          </cell>
          <cell r="D184" t="str">
            <v>229d</v>
          </cell>
          <cell r="E184" t="str">
            <v xml:space="preserve"> + HM Nhãn hiệu hàng hóa (*)</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B185" t="str">
            <v>21435</v>
          </cell>
          <cell r="D185" t="str">
            <v>229e</v>
          </cell>
          <cell r="E185" t="str">
            <v xml:space="preserve"> + HM Phần mềm máy vi tính (*)</v>
          </cell>
          <cell r="F185">
            <v>-51624993</v>
          </cell>
          <cell r="G185">
            <v>0</v>
          </cell>
          <cell r="H185">
            <v>0</v>
          </cell>
          <cell r="I185">
            <v>0</v>
          </cell>
          <cell r="J185">
            <v>0</v>
          </cell>
          <cell r="K185">
            <v>0</v>
          </cell>
          <cell r="L185">
            <v>0</v>
          </cell>
          <cell r="M185">
            <v>0</v>
          </cell>
          <cell r="N185">
            <v>0</v>
          </cell>
          <cell r="O185">
            <v>0</v>
          </cell>
          <cell r="P185">
            <v>-51624993</v>
          </cell>
          <cell r="Q185">
            <v>0</v>
          </cell>
          <cell r="R185">
            <v>0</v>
          </cell>
          <cell r="S185">
            <v>-51624993</v>
          </cell>
          <cell r="T185">
            <v>-22124997</v>
          </cell>
          <cell r="U185">
            <v>0</v>
          </cell>
          <cell r="V185">
            <v>0</v>
          </cell>
          <cell r="W185">
            <v>0</v>
          </cell>
          <cell r="X185">
            <v>0</v>
          </cell>
          <cell r="Y185">
            <v>0</v>
          </cell>
          <cell r="Z185">
            <v>0</v>
          </cell>
          <cell r="AA185">
            <v>0</v>
          </cell>
          <cell r="AB185">
            <v>0</v>
          </cell>
          <cell r="AC185">
            <v>0</v>
          </cell>
          <cell r="AD185">
            <v>-22124997</v>
          </cell>
          <cell r="AE185">
            <v>0</v>
          </cell>
          <cell r="AF185">
            <v>0</v>
          </cell>
          <cell r="AG185">
            <v>-22124997</v>
          </cell>
        </row>
        <row r="186">
          <cell r="B186" t="str">
            <v>21436</v>
          </cell>
          <cell r="D186" t="str">
            <v>229f</v>
          </cell>
          <cell r="E186" t="str">
            <v xml:space="preserve"> + HM Giấy phép, giấy nhượng quyền (*)</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B187" t="str">
            <v>21438</v>
          </cell>
          <cell r="D187" t="str">
            <v>229g</v>
          </cell>
          <cell r="E187" t="str">
            <v xml:space="preserve"> + HM TSCĐ vô hình khác (*)</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row>
        <row r="189">
          <cell r="D189" t="str">
            <v>230</v>
          </cell>
          <cell r="E189" t="str">
            <v>III. Bất động sản đầu tư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D190" t="str">
            <v>231</v>
          </cell>
          <cell r="E190" t="str">
            <v xml:space="preserve"> - Nguyên giá</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row>
        <row r="191">
          <cell r="B191" t="str">
            <v>2171</v>
          </cell>
          <cell r="D191" t="str">
            <v>231a</v>
          </cell>
          <cell r="E191" t="str">
            <v xml:space="preserve"> + Bất động sản đầu tư cho thuê</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B192" t="str">
            <v>2172</v>
          </cell>
          <cell r="D192" t="str">
            <v>231b</v>
          </cell>
          <cell r="E192" t="str">
            <v xml:space="preserve"> + Bất động sản đầu tư nắm giữ chờ tăng giá</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B193" t="str">
            <v>2147</v>
          </cell>
          <cell r="D193" t="str">
            <v>232</v>
          </cell>
          <cell r="E193" t="str">
            <v xml:space="preserve"> - Giá trị hao mòn lũy kế (*)</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row>
        <row r="195">
          <cell r="D195" t="str">
            <v>240</v>
          </cell>
          <cell r="E195" t="str">
            <v>IV. Tài sản dở dang dài hạn</v>
          </cell>
          <cell r="F195">
            <v>0</v>
          </cell>
          <cell r="G195">
            <v>1598224389</v>
          </cell>
          <cell r="H195">
            <v>0</v>
          </cell>
          <cell r="I195">
            <v>0</v>
          </cell>
          <cell r="J195">
            <v>0</v>
          </cell>
          <cell r="K195">
            <v>0</v>
          </cell>
          <cell r="L195">
            <v>0</v>
          </cell>
          <cell r="M195">
            <v>0</v>
          </cell>
          <cell r="N195">
            <v>0</v>
          </cell>
          <cell r="O195">
            <v>0</v>
          </cell>
          <cell r="P195">
            <v>1598224389</v>
          </cell>
          <cell r="Q195">
            <v>0</v>
          </cell>
          <cell r="R195">
            <v>0</v>
          </cell>
          <cell r="S195">
            <v>1598224389</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row>
        <row r="196">
          <cell r="D196" t="str">
            <v>241</v>
          </cell>
          <cell r="E196" t="str">
            <v>1. Chi phí sản xuất dinh doanh dở dang dài hạn</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B197" t="str">
            <v>154d</v>
          </cell>
          <cell r="D197" t="str">
            <v>241a</v>
          </cell>
          <cell r="E197" t="str">
            <v xml:space="preserve"> - Chi phí sản xuất, kinh doanh dở dang dài hạn</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row>
        <row r="198">
          <cell r="B198" t="str">
            <v>2294d1</v>
          </cell>
          <cell r="D198" t="str">
            <v>241b</v>
          </cell>
          <cell r="E198" t="str">
            <v xml:space="preserve"> - Dự phòng giảm giá hàng tồn kho dài hạn (Chi phí sản xuất, kinh doanh dở dang dài hạn)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row>
        <row r="199">
          <cell r="D199" t="str">
            <v>242</v>
          </cell>
          <cell r="E199" t="str">
            <v>2. Chi phí xây dựng cơ bản dở dang</v>
          </cell>
          <cell r="F199">
            <v>0</v>
          </cell>
          <cell r="G199">
            <v>1598224389</v>
          </cell>
          <cell r="H199">
            <v>0</v>
          </cell>
          <cell r="I199">
            <v>0</v>
          </cell>
          <cell r="J199">
            <v>0</v>
          </cell>
          <cell r="K199">
            <v>0</v>
          </cell>
          <cell r="L199">
            <v>0</v>
          </cell>
          <cell r="M199">
            <v>0</v>
          </cell>
          <cell r="N199">
            <v>0</v>
          </cell>
          <cell r="O199">
            <v>0</v>
          </cell>
          <cell r="P199">
            <v>1598224389</v>
          </cell>
          <cell r="Q199">
            <v>0</v>
          </cell>
          <cell r="R199">
            <v>0</v>
          </cell>
          <cell r="S199">
            <v>1598224389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row>
        <row r="200">
          <cell r="B200" t="str">
            <v>2411</v>
          </cell>
          <cell r="D200" t="str">
            <v>242a</v>
          </cell>
          <cell r="E200" t="str">
            <v xml:space="preserve"> - Mua sắm TSCĐ</v>
          </cell>
          <cell r="F200">
            <v>0</v>
          </cell>
          <cell r="G200">
            <v>1598224389</v>
          </cell>
          <cell r="H200">
            <v>0</v>
          </cell>
          <cell r="I200">
            <v>0</v>
          </cell>
          <cell r="J200">
            <v>0</v>
          </cell>
          <cell r="K200">
            <v>0</v>
          </cell>
          <cell r="L200">
            <v>0</v>
          </cell>
          <cell r="M200">
            <v>0</v>
          </cell>
          <cell r="N200">
            <v>0</v>
          </cell>
          <cell r="O200">
            <v>0</v>
          </cell>
          <cell r="P200">
            <v>1598224389</v>
          </cell>
          <cell r="Q200">
            <v>0</v>
          </cell>
          <cell r="R200">
            <v>0</v>
          </cell>
          <cell r="S200">
            <v>1598224389</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row>
        <row r="201">
          <cell r="B201" t="str">
            <v>2412</v>
          </cell>
          <cell r="D201" t="str">
            <v>242b</v>
          </cell>
          <cell r="E201" t="str">
            <v xml:space="preserve"> - Xây dựng cơ bản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row>
        <row r="202">
          <cell r="B202" t="str">
            <v>2413</v>
          </cell>
          <cell r="D202" t="str">
            <v>242c</v>
          </cell>
          <cell r="E202" t="str">
            <v xml:space="preserve"> - Sửa chữa lớn TSCĐ</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row>
        <row r="204">
          <cell r="D204" t="str">
            <v>250</v>
          </cell>
          <cell r="E204" t="str">
            <v>V. Các khoản đầu tư tài chính dài hạn</v>
          </cell>
          <cell r="F204">
            <v>452901954</v>
          </cell>
          <cell r="G204">
            <v>0</v>
          </cell>
          <cell r="H204">
            <v>0</v>
          </cell>
          <cell r="I204">
            <v>0</v>
          </cell>
          <cell r="J204">
            <v>0</v>
          </cell>
          <cell r="K204">
            <v>0</v>
          </cell>
          <cell r="L204">
            <v>0</v>
          </cell>
          <cell r="M204">
            <v>0</v>
          </cell>
          <cell r="N204">
            <v>0</v>
          </cell>
          <cell r="O204">
            <v>0</v>
          </cell>
          <cell r="P204">
            <v>452901954</v>
          </cell>
          <cell r="Q204">
            <v>0</v>
          </cell>
          <cell r="R204">
            <v>0</v>
          </cell>
          <cell r="S204">
            <v>452901954</v>
          </cell>
          <cell r="T204">
            <v>452106383</v>
          </cell>
          <cell r="U204">
            <v>0</v>
          </cell>
          <cell r="V204">
            <v>0</v>
          </cell>
          <cell r="W204">
            <v>0</v>
          </cell>
          <cell r="X204">
            <v>0</v>
          </cell>
          <cell r="Y204">
            <v>0</v>
          </cell>
          <cell r="Z204">
            <v>0</v>
          </cell>
          <cell r="AA204">
            <v>0</v>
          </cell>
          <cell r="AB204">
            <v>0</v>
          </cell>
          <cell r="AC204">
            <v>0</v>
          </cell>
          <cell r="AD204">
            <v>452106383</v>
          </cell>
          <cell r="AE204">
            <v>0</v>
          </cell>
          <cell r="AF204">
            <v>0</v>
          </cell>
          <cell r="AG204">
            <v>452106383</v>
          </cell>
        </row>
        <row r="205">
          <cell r="B205" t="str">
            <v>221</v>
          </cell>
          <cell r="D205" t="str">
            <v>251</v>
          </cell>
          <cell r="E205" t="str">
            <v>1. Đầu tư vào công ty con</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B206" t="str">
            <v>222</v>
          </cell>
          <cell r="D206" t="str">
            <v>252</v>
          </cell>
          <cell r="E206" t="str">
            <v>2. Đầu tư vào công ty liên kết, liên doanh</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B207" t="str">
            <v>2281</v>
          </cell>
          <cell r="D207" t="str">
            <v>253</v>
          </cell>
          <cell r="E207" t="str">
            <v>3. Đầu tư góp vốn vào đơn vị khác</v>
          </cell>
          <cell r="F207">
            <v>1300000000</v>
          </cell>
          <cell r="G207">
            <v>0</v>
          </cell>
          <cell r="H207">
            <v>0</v>
          </cell>
          <cell r="I207">
            <v>0</v>
          </cell>
          <cell r="J207">
            <v>0</v>
          </cell>
          <cell r="K207">
            <v>0</v>
          </cell>
          <cell r="L207">
            <v>0</v>
          </cell>
          <cell r="M207">
            <v>0</v>
          </cell>
          <cell r="N207">
            <v>0</v>
          </cell>
          <cell r="O207">
            <v>0</v>
          </cell>
          <cell r="P207">
            <v>1300000000</v>
          </cell>
          <cell r="Q207">
            <v>0</v>
          </cell>
          <cell r="R207">
            <v>0</v>
          </cell>
          <cell r="S207">
            <v>1300000000</v>
          </cell>
          <cell r="T207">
            <v>1300000000</v>
          </cell>
          <cell r="U207">
            <v>0</v>
          </cell>
          <cell r="V207">
            <v>0</v>
          </cell>
          <cell r="W207">
            <v>0</v>
          </cell>
          <cell r="X207">
            <v>0</v>
          </cell>
          <cell r="Y207">
            <v>0</v>
          </cell>
          <cell r="Z207">
            <v>0</v>
          </cell>
          <cell r="AA207">
            <v>0</v>
          </cell>
          <cell r="AB207">
            <v>0</v>
          </cell>
          <cell r="AC207">
            <v>0</v>
          </cell>
          <cell r="AD207">
            <v>1300000000</v>
          </cell>
          <cell r="AE207">
            <v>0</v>
          </cell>
          <cell r="AF207">
            <v>0</v>
          </cell>
          <cell r="AG207">
            <v>1300000000</v>
          </cell>
        </row>
        <row r="208">
          <cell r="B208" t="str">
            <v>2292</v>
          </cell>
          <cell r="D208" t="str">
            <v>254</v>
          </cell>
          <cell r="E208" t="str">
            <v xml:space="preserve">4. Dự phòng giảm giá đầu tư tài chính dài hạn (*) </v>
          </cell>
          <cell r="F208">
            <v>-847098046</v>
          </cell>
          <cell r="G208">
            <v>0</v>
          </cell>
          <cell r="H208">
            <v>0</v>
          </cell>
          <cell r="I208">
            <v>0</v>
          </cell>
          <cell r="J208">
            <v>0</v>
          </cell>
          <cell r="K208">
            <v>0</v>
          </cell>
          <cell r="L208">
            <v>0</v>
          </cell>
          <cell r="M208">
            <v>0</v>
          </cell>
          <cell r="N208">
            <v>0</v>
          </cell>
          <cell r="O208">
            <v>0</v>
          </cell>
          <cell r="P208">
            <v>-847098046</v>
          </cell>
          <cell r="Q208">
            <v>0</v>
          </cell>
          <cell r="R208">
            <v>0</v>
          </cell>
          <cell r="S208">
            <v>-847098046</v>
          </cell>
          <cell r="T208">
            <v>-847893617</v>
          </cell>
          <cell r="U208">
            <v>0</v>
          </cell>
          <cell r="V208">
            <v>0</v>
          </cell>
          <cell r="W208">
            <v>0</v>
          </cell>
          <cell r="X208">
            <v>0</v>
          </cell>
          <cell r="Y208">
            <v>0</v>
          </cell>
          <cell r="Z208">
            <v>0</v>
          </cell>
          <cell r="AA208">
            <v>0</v>
          </cell>
          <cell r="AB208">
            <v>0</v>
          </cell>
          <cell r="AC208">
            <v>0</v>
          </cell>
          <cell r="AD208">
            <v>-847893617</v>
          </cell>
          <cell r="AE208">
            <v>0</v>
          </cell>
          <cell r="AF208">
            <v>0</v>
          </cell>
          <cell r="AG208">
            <v>-847893617</v>
          </cell>
        </row>
        <row r="209">
          <cell r="D209" t="str">
            <v>255</v>
          </cell>
          <cell r="E209" t="str">
            <v>5. Đầu tư nắm giữ đến ngày đáo hạn</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row>
        <row r="210">
          <cell r="B210" t="str">
            <v>1281d</v>
          </cell>
          <cell r="D210" t="str">
            <v>255a</v>
          </cell>
          <cell r="E210" t="str">
            <v xml:space="preserve"> - Tiền gửi có kỳ hạn dài hạn</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B211" t="str">
            <v>1282d</v>
          </cell>
          <cell r="D211" t="str">
            <v>255b</v>
          </cell>
          <cell r="E211" t="str">
            <v xml:space="preserve"> - Trái phiếu dài hạn</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row>
        <row r="212">
          <cell r="B212" t="str">
            <v>1288d</v>
          </cell>
          <cell r="D212" t="str">
            <v>255c</v>
          </cell>
          <cell r="E212" t="str">
            <v xml:space="preserve"> - Các khoản đầu tư khác nắm giữ đến ngày đáo hạn dài hạn</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4">
          <cell r="D214" t="str">
            <v>260</v>
          </cell>
          <cell r="E214" t="str">
            <v>VI. Tài sản dài hạn khác</v>
          </cell>
          <cell r="F214">
            <v>12563106</v>
          </cell>
          <cell r="G214">
            <v>486426935</v>
          </cell>
          <cell r="H214">
            <v>0</v>
          </cell>
          <cell r="I214">
            <v>0</v>
          </cell>
          <cell r="J214">
            <v>0</v>
          </cell>
          <cell r="K214">
            <v>0</v>
          </cell>
          <cell r="L214">
            <v>0</v>
          </cell>
          <cell r="M214">
            <v>0</v>
          </cell>
          <cell r="N214">
            <v>0</v>
          </cell>
          <cell r="O214">
            <v>0</v>
          </cell>
          <cell r="P214">
            <v>498990041</v>
          </cell>
          <cell r="Q214">
            <v>8949806</v>
          </cell>
          <cell r="R214">
            <v>0</v>
          </cell>
          <cell r="S214">
            <v>507939847</v>
          </cell>
          <cell r="T214">
            <v>353103812</v>
          </cell>
          <cell r="U214">
            <v>0</v>
          </cell>
          <cell r="V214">
            <v>0</v>
          </cell>
          <cell r="W214">
            <v>0</v>
          </cell>
          <cell r="X214">
            <v>0</v>
          </cell>
          <cell r="Y214">
            <v>0</v>
          </cell>
          <cell r="Z214">
            <v>0</v>
          </cell>
          <cell r="AA214">
            <v>0</v>
          </cell>
          <cell r="AB214">
            <v>0</v>
          </cell>
          <cell r="AC214">
            <v>0</v>
          </cell>
          <cell r="AD214">
            <v>353103812</v>
          </cell>
          <cell r="AE214">
            <v>0</v>
          </cell>
          <cell r="AF214">
            <v>0</v>
          </cell>
          <cell r="AG214">
            <v>353103812</v>
          </cell>
        </row>
        <row r="215">
          <cell r="B215" t="str">
            <v>242d</v>
          </cell>
          <cell r="D215" t="str">
            <v>261</v>
          </cell>
          <cell r="E215" t="str">
            <v>1. Chi phí trả trước dài hạn</v>
          </cell>
          <cell r="F215">
            <v>12563106</v>
          </cell>
          <cell r="G215">
            <v>486426935</v>
          </cell>
          <cell r="H215">
            <v>0</v>
          </cell>
          <cell r="I215">
            <v>0</v>
          </cell>
          <cell r="J215">
            <v>0</v>
          </cell>
          <cell r="K215">
            <v>0</v>
          </cell>
          <cell r="L215">
            <v>0</v>
          </cell>
          <cell r="M215">
            <v>0</v>
          </cell>
          <cell r="N215">
            <v>0</v>
          </cell>
          <cell r="O215">
            <v>0</v>
          </cell>
          <cell r="P215">
            <v>498990041</v>
          </cell>
          <cell r="Q215">
            <v>8949806</v>
          </cell>
          <cell r="R215">
            <v>0</v>
          </cell>
          <cell r="S215">
            <v>507939847</v>
          </cell>
          <cell r="T215">
            <v>353103812</v>
          </cell>
          <cell r="U215">
            <v>0</v>
          </cell>
          <cell r="V215">
            <v>0</v>
          </cell>
          <cell r="W215">
            <v>0</v>
          </cell>
          <cell r="X215">
            <v>0</v>
          </cell>
          <cell r="Y215">
            <v>0</v>
          </cell>
          <cell r="Z215">
            <v>0</v>
          </cell>
          <cell r="AA215">
            <v>0</v>
          </cell>
          <cell r="AB215">
            <v>0</v>
          </cell>
          <cell r="AC215">
            <v>0</v>
          </cell>
          <cell r="AD215">
            <v>353103812</v>
          </cell>
          <cell r="AE215">
            <v>0</v>
          </cell>
          <cell r="AF215">
            <v>0</v>
          </cell>
          <cell r="AG215">
            <v>353103812</v>
          </cell>
        </row>
        <row r="216">
          <cell r="D216" t="str">
            <v>262</v>
          </cell>
          <cell r="E216" t="str">
            <v>2. Tài sản thuế thu nhập hoãn lại</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row>
        <row r="217">
          <cell r="B217" t="str">
            <v>2431</v>
          </cell>
          <cell r="D217" t="str">
            <v>262a</v>
          </cell>
          <cell r="E217" t="str">
            <v xml:space="preserve"> - Tài sản thuế thu nhập hoãn lại liên quan đến khoản chênh lệch tạm thời được khấu trừ</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row>
        <row r="218">
          <cell r="B218" t="str">
            <v>2432</v>
          </cell>
          <cell r="D218" t="str">
            <v>262b</v>
          </cell>
          <cell r="E218" t="str">
            <v xml:space="preserve"> - Tài sản thuế thu nhập hoãn lại liên quan đến khoản lỗ tính thuế chưa sử dụng</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row>
        <row r="219">
          <cell r="B219" t="str">
            <v>2433</v>
          </cell>
          <cell r="D219" t="str">
            <v>262c</v>
          </cell>
          <cell r="E219" t="str">
            <v xml:space="preserve"> - Tài sản thuế thu nhập hoãn lại liên quan đến khoản ưu đãi tính thuế chưa sử dụng</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B220" t="str">
            <v>2434</v>
          </cell>
          <cell r="D220" t="str">
            <v>262d</v>
          </cell>
          <cell r="E220" t="str">
            <v xml:space="preserve"> - Khoản hoàn nhập tài sản thuế thu nhập hoãn lại đã được ghi nhận từ các kỳ trước</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D221" t="str">
            <v>263</v>
          </cell>
          <cell r="E221" t="str">
            <v>3. Thiết bị, vật tư, phụ tùng thay thế dài hạn</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B222" t="str">
            <v>1534d</v>
          </cell>
          <cell r="D222" t="str">
            <v>263a</v>
          </cell>
          <cell r="E222" t="str">
            <v xml:space="preserve"> - Thiết bị, phụ tùng thay thế dài hạn</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B223" t="str">
            <v>2294d2</v>
          </cell>
          <cell r="D223" t="str">
            <v>263b</v>
          </cell>
          <cell r="E223" t="str">
            <v xml:space="preserve"> - Dự phòng giảm giá hàng tồn kho dài hạn (Thiết bị, vật tư, phụ tùng thay thế dài hạn)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row>
        <row r="224">
          <cell r="B224" t="str">
            <v>2288d</v>
          </cell>
          <cell r="D224" t="str">
            <v>268</v>
          </cell>
          <cell r="E224" t="str">
            <v>4. Tài sản dài hạn khác</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6">
          <cell r="D226" t="str">
            <v>270</v>
          </cell>
          <cell r="E226" t="str">
            <v>TỔNG CỘNG TÀI SẢN</v>
          </cell>
          <cell r="F226">
            <v>54287657793</v>
          </cell>
          <cell r="G226">
            <v>16811728600</v>
          </cell>
          <cell r="H226">
            <v>0</v>
          </cell>
          <cell r="I226">
            <v>0</v>
          </cell>
          <cell r="J226">
            <v>0</v>
          </cell>
          <cell r="K226">
            <v>0</v>
          </cell>
          <cell r="L226">
            <v>0</v>
          </cell>
          <cell r="M226">
            <v>0</v>
          </cell>
          <cell r="N226">
            <v>0</v>
          </cell>
          <cell r="O226">
            <v>0</v>
          </cell>
          <cell r="P226">
            <v>71099386393</v>
          </cell>
          <cell r="Q226">
            <v>631656014</v>
          </cell>
          <cell r="R226">
            <v>12165109382</v>
          </cell>
          <cell r="S226">
            <v>59565933025</v>
          </cell>
          <cell r="T226">
            <v>56296382432</v>
          </cell>
          <cell r="U226">
            <v>0</v>
          </cell>
          <cell r="V226">
            <v>0</v>
          </cell>
          <cell r="W226">
            <v>0</v>
          </cell>
          <cell r="X226">
            <v>0</v>
          </cell>
          <cell r="Y226">
            <v>0</v>
          </cell>
          <cell r="Z226">
            <v>0</v>
          </cell>
          <cell r="AA226">
            <v>0</v>
          </cell>
          <cell r="AB226">
            <v>0</v>
          </cell>
          <cell r="AC226">
            <v>0</v>
          </cell>
          <cell r="AD226">
            <v>56296382432</v>
          </cell>
          <cell r="AE226">
            <v>0</v>
          </cell>
          <cell r="AF226">
            <v>0</v>
          </cell>
          <cell r="AG226">
            <v>56296382432</v>
          </cell>
        </row>
        <row r="229">
          <cell r="D229" t="str">
            <v>Mã số</v>
          </cell>
          <cell r="E229" t="str">
            <v>CHỈ TIÊU</v>
          </cell>
          <cell r="F229" t="str">
            <v>Từ Sơn</v>
          </cell>
          <cell r="G229" t="str">
            <v>Hải Dương</v>
          </cell>
          <cell r="H229" t="str">
            <v>Dv03</v>
          </cell>
          <cell r="I229" t="str">
            <v>Dv04</v>
          </cell>
          <cell r="J229" t="str">
            <v>Dv05</v>
          </cell>
          <cell r="K229" t="str">
            <v>Dv06</v>
          </cell>
          <cell r="L229" t="str">
            <v>Dv07</v>
          </cell>
          <cell r="M229" t="str">
            <v>Dv08</v>
          </cell>
          <cell r="N229" t="str">
            <v>Dv09</v>
          </cell>
          <cell r="O229" t="str">
            <v>Dv10</v>
          </cell>
          <cell r="P229" t="str">
            <v>Báo cáo</v>
          </cell>
          <cell r="Q229" t="str">
            <v>Đ/c Nợ</v>
          </cell>
          <cell r="R229" t="str">
            <v>Đ/c Có</v>
          </cell>
          <cell r="S229" t="str">
            <v>Sau điều chỉnh</v>
          </cell>
          <cell r="T229" t="str">
            <v>Từ Sơn</v>
          </cell>
          <cell r="U229" t="str">
            <v>Hải Dương</v>
          </cell>
          <cell r="V229" t="str">
            <v>Dv03</v>
          </cell>
          <cell r="W229" t="str">
            <v>Dv04</v>
          </cell>
          <cell r="X229" t="str">
            <v>Dv05</v>
          </cell>
          <cell r="Y229" t="str">
            <v>Dv06</v>
          </cell>
          <cell r="Z229" t="str">
            <v>Dv07</v>
          </cell>
          <cell r="AA229" t="str">
            <v>Dv08</v>
          </cell>
          <cell r="AB229" t="str">
            <v>Dv09</v>
          </cell>
          <cell r="AC229" t="str">
            <v>Dv10</v>
          </cell>
          <cell r="AD229" t="str">
            <v>Báo cáo</v>
          </cell>
          <cell r="AE229" t="str">
            <v>Đ/c Nợ</v>
          </cell>
          <cell r="AF229" t="str">
            <v>Đ/c Có</v>
          </cell>
          <cell r="AG229" t="str">
            <v>Sau điều chỉnh</v>
          </cell>
        </row>
        <row r="231">
          <cell r="D231" t="str">
            <v>300</v>
          </cell>
          <cell r="E231" t="str">
            <v>C. NỢ PHẢI TRẢ</v>
          </cell>
          <cell r="F231">
            <v>4736489331</v>
          </cell>
          <cell r="G231">
            <v>17789806221</v>
          </cell>
          <cell r="H231">
            <v>0</v>
          </cell>
          <cell r="I231">
            <v>0</v>
          </cell>
          <cell r="J231">
            <v>0</v>
          </cell>
          <cell r="K231">
            <v>0</v>
          </cell>
          <cell r="L231">
            <v>0</v>
          </cell>
          <cell r="M231">
            <v>0</v>
          </cell>
          <cell r="N231">
            <v>0</v>
          </cell>
          <cell r="O231">
            <v>0</v>
          </cell>
          <cell r="P231">
            <v>22526295552</v>
          </cell>
          <cell r="Q231">
            <v>12058798467</v>
          </cell>
          <cell r="R231">
            <v>654766797</v>
          </cell>
          <cell r="S231">
            <v>11122263882</v>
          </cell>
          <cell r="T231">
            <v>10058304147</v>
          </cell>
          <cell r="U231">
            <v>0</v>
          </cell>
          <cell r="V231">
            <v>0</v>
          </cell>
          <cell r="W231">
            <v>0</v>
          </cell>
          <cell r="X231">
            <v>0</v>
          </cell>
          <cell r="Y231">
            <v>0</v>
          </cell>
          <cell r="Z231">
            <v>0</v>
          </cell>
          <cell r="AA231">
            <v>0</v>
          </cell>
          <cell r="AB231">
            <v>0</v>
          </cell>
          <cell r="AC231">
            <v>0</v>
          </cell>
          <cell r="AD231">
            <v>10058304147</v>
          </cell>
          <cell r="AE231">
            <v>0</v>
          </cell>
          <cell r="AF231">
            <v>0</v>
          </cell>
          <cell r="AG231">
            <v>10058304147</v>
          </cell>
        </row>
        <row r="233">
          <cell r="D233" t="str">
            <v>310</v>
          </cell>
          <cell r="E233" t="str">
            <v>I. Nợ ngắn hạn</v>
          </cell>
          <cell r="F233">
            <v>4736489331</v>
          </cell>
          <cell r="G233">
            <v>17789806221</v>
          </cell>
          <cell r="H233">
            <v>0</v>
          </cell>
          <cell r="I233">
            <v>0</v>
          </cell>
          <cell r="J233">
            <v>0</v>
          </cell>
          <cell r="K233">
            <v>0</v>
          </cell>
          <cell r="L233">
            <v>0</v>
          </cell>
          <cell r="M233">
            <v>0</v>
          </cell>
          <cell r="N233">
            <v>0</v>
          </cell>
          <cell r="O233">
            <v>0</v>
          </cell>
          <cell r="P233">
            <v>22526295552</v>
          </cell>
          <cell r="Q233">
            <v>12058798467</v>
          </cell>
          <cell r="R233">
            <v>654766797</v>
          </cell>
          <cell r="S233">
            <v>11122263882</v>
          </cell>
          <cell r="T233">
            <v>10058304147</v>
          </cell>
          <cell r="U233">
            <v>0</v>
          </cell>
          <cell r="V233">
            <v>0</v>
          </cell>
          <cell r="W233">
            <v>0</v>
          </cell>
          <cell r="X233">
            <v>0</v>
          </cell>
          <cell r="Y233">
            <v>0</v>
          </cell>
          <cell r="Z233">
            <v>0</v>
          </cell>
          <cell r="AA233">
            <v>0</v>
          </cell>
          <cell r="AB233">
            <v>0</v>
          </cell>
          <cell r="AC233">
            <v>0</v>
          </cell>
          <cell r="AD233">
            <v>10058304147</v>
          </cell>
          <cell r="AE233">
            <v>0</v>
          </cell>
          <cell r="AF233">
            <v>0</v>
          </cell>
          <cell r="AG233">
            <v>10058304147</v>
          </cell>
        </row>
        <row r="234">
          <cell r="B234" t="str">
            <v>331bn</v>
          </cell>
          <cell r="D234" t="str">
            <v>311</v>
          </cell>
          <cell r="E234" t="str">
            <v>1. Phải trả người bán ngắn hạn</v>
          </cell>
          <cell r="F234">
            <v>865967032</v>
          </cell>
          <cell r="G234">
            <v>2394747811</v>
          </cell>
          <cell r="H234">
            <v>0</v>
          </cell>
          <cell r="I234">
            <v>0</v>
          </cell>
          <cell r="J234">
            <v>0</v>
          </cell>
          <cell r="K234">
            <v>0</v>
          </cell>
          <cell r="L234">
            <v>0</v>
          </cell>
          <cell r="M234">
            <v>0</v>
          </cell>
          <cell r="N234">
            <v>0</v>
          </cell>
          <cell r="O234">
            <v>0</v>
          </cell>
          <cell r="P234">
            <v>3260714843</v>
          </cell>
          <cell r="Q234">
            <v>0</v>
          </cell>
          <cell r="R234">
            <v>316238778</v>
          </cell>
          <cell r="S234">
            <v>3576953621</v>
          </cell>
          <cell r="T234">
            <v>1535920008</v>
          </cell>
          <cell r="U234">
            <v>0</v>
          </cell>
          <cell r="V234">
            <v>0</v>
          </cell>
          <cell r="W234">
            <v>0</v>
          </cell>
          <cell r="X234">
            <v>0</v>
          </cell>
          <cell r="Y234">
            <v>0</v>
          </cell>
          <cell r="Z234">
            <v>0</v>
          </cell>
          <cell r="AA234">
            <v>0</v>
          </cell>
          <cell r="AB234">
            <v>0</v>
          </cell>
          <cell r="AC234">
            <v>0</v>
          </cell>
          <cell r="AD234">
            <v>1535920008</v>
          </cell>
          <cell r="AE234">
            <v>0</v>
          </cell>
          <cell r="AF234">
            <v>0</v>
          </cell>
          <cell r="AG234">
            <v>1535920008</v>
          </cell>
        </row>
        <row r="235">
          <cell r="B235" t="str">
            <v>131bn</v>
          </cell>
          <cell r="D235" t="str">
            <v>312</v>
          </cell>
          <cell r="E235" t="str">
            <v>2. Người mua trả tiền trước ngắn hạn</v>
          </cell>
          <cell r="F235">
            <v>301678348</v>
          </cell>
          <cell r="G235">
            <v>176312400</v>
          </cell>
          <cell r="H235">
            <v>0</v>
          </cell>
          <cell r="I235">
            <v>0</v>
          </cell>
          <cell r="J235">
            <v>0</v>
          </cell>
          <cell r="K235">
            <v>0</v>
          </cell>
          <cell r="L235">
            <v>0</v>
          </cell>
          <cell r="M235">
            <v>0</v>
          </cell>
          <cell r="N235">
            <v>0</v>
          </cell>
          <cell r="O235">
            <v>0</v>
          </cell>
          <cell r="P235">
            <v>477990748</v>
          </cell>
          <cell r="Q235">
            <v>0</v>
          </cell>
          <cell r="R235">
            <v>0</v>
          </cell>
          <cell r="S235">
            <v>477990748</v>
          </cell>
          <cell r="T235">
            <v>531182479</v>
          </cell>
          <cell r="U235">
            <v>0</v>
          </cell>
          <cell r="V235">
            <v>0</v>
          </cell>
          <cell r="W235">
            <v>0</v>
          </cell>
          <cell r="X235">
            <v>0</v>
          </cell>
          <cell r="Y235">
            <v>0</v>
          </cell>
          <cell r="Z235">
            <v>0</v>
          </cell>
          <cell r="AA235">
            <v>0</v>
          </cell>
          <cell r="AB235">
            <v>0</v>
          </cell>
          <cell r="AC235">
            <v>0</v>
          </cell>
          <cell r="AD235">
            <v>531182479</v>
          </cell>
          <cell r="AE235">
            <v>0</v>
          </cell>
          <cell r="AF235">
            <v>0</v>
          </cell>
          <cell r="AG235">
            <v>531182479</v>
          </cell>
        </row>
        <row r="236">
          <cell r="D236" t="str">
            <v>313</v>
          </cell>
          <cell r="E236" t="str">
            <v xml:space="preserve">3. Thuế và các khoản phải nộp Nhà nước </v>
          </cell>
          <cell r="F236">
            <v>1313681369</v>
          </cell>
          <cell r="G236">
            <v>321372341</v>
          </cell>
          <cell r="H236">
            <v>0</v>
          </cell>
          <cell r="I236">
            <v>0</v>
          </cell>
          <cell r="J236">
            <v>0</v>
          </cell>
          <cell r="K236">
            <v>0</v>
          </cell>
          <cell r="L236">
            <v>0</v>
          </cell>
          <cell r="M236">
            <v>0</v>
          </cell>
          <cell r="N236">
            <v>0</v>
          </cell>
          <cell r="O236">
            <v>0</v>
          </cell>
          <cell r="P236">
            <v>1635053710</v>
          </cell>
          <cell r="Q236">
            <v>221570801</v>
          </cell>
          <cell r="R236">
            <v>224361352</v>
          </cell>
          <cell r="S236">
            <v>1637844261</v>
          </cell>
          <cell r="T236">
            <v>269948934</v>
          </cell>
          <cell r="U236">
            <v>0</v>
          </cell>
          <cell r="V236">
            <v>0</v>
          </cell>
          <cell r="W236">
            <v>0</v>
          </cell>
          <cell r="X236">
            <v>0</v>
          </cell>
          <cell r="Y236">
            <v>0</v>
          </cell>
          <cell r="Z236">
            <v>0</v>
          </cell>
          <cell r="AA236">
            <v>0</v>
          </cell>
          <cell r="AB236">
            <v>0</v>
          </cell>
          <cell r="AC236">
            <v>0</v>
          </cell>
          <cell r="AD236">
            <v>269948934</v>
          </cell>
          <cell r="AE236">
            <v>0</v>
          </cell>
          <cell r="AF236">
            <v>0</v>
          </cell>
          <cell r="AG236">
            <v>269948934</v>
          </cell>
        </row>
        <row r="237">
          <cell r="B237" t="str">
            <v>33311b</v>
          </cell>
          <cell r="D237" t="str">
            <v>313a</v>
          </cell>
          <cell r="E237" t="str">
            <v xml:space="preserve"> - Thuế GTGT đầu ra phải nộp</v>
          </cell>
          <cell r="F237">
            <v>844862942</v>
          </cell>
          <cell r="G237">
            <v>321369640</v>
          </cell>
          <cell r="H237">
            <v>0</v>
          </cell>
          <cell r="I237">
            <v>0</v>
          </cell>
          <cell r="J237">
            <v>0</v>
          </cell>
          <cell r="K237">
            <v>0</v>
          </cell>
          <cell r="L237">
            <v>0</v>
          </cell>
          <cell r="M237">
            <v>0</v>
          </cell>
          <cell r="N237">
            <v>0</v>
          </cell>
          <cell r="O237">
            <v>0</v>
          </cell>
          <cell r="P237">
            <v>1166232582</v>
          </cell>
          <cell r="Q237">
            <v>2200000</v>
          </cell>
          <cell r="R237">
            <v>0</v>
          </cell>
          <cell r="S237">
            <v>1164032582</v>
          </cell>
          <cell r="T237">
            <v>158106980</v>
          </cell>
          <cell r="U237">
            <v>0</v>
          </cell>
          <cell r="V237">
            <v>0</v>
          </cell>
          <cell r="W237">
            <v>0</v>
          </cell>
          <cell r="X237">
            <v>0</v>
          </cell>
          <cell r="Y237">
            <v>0</v>
          </cell>
          <cell r="Z237">
            <v>0</v>
          </cell>
          <cell r="AA237">
            <v>0</v>
          </cell>
          <cell r="AB237">
            <v>0</v>
          </cell>
          <cell r="AC237">
            <v>0</v>
          </cell>
          <cell r="AD237">
            <v>158106980</v>
          </cell>
          <cell r="AE237">
            <v>0</v>
          </cell>
          <cell r="AF237">
            <v>0</v>
          </cell>
          <cell r="AG237">
            <v>158106980</v>
          </cell>
        </row>
        <row r="238">
          <cell r="B238" t="str">
            <v>33312b</v>
          </cell>
          <cell r="D238" t="str">
            <v>313b</v>
          </cell>
          <cell r="E238" t="str">
            <v xml:space="preserve"> - Thuế GTGT hàng nhập khẩu</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B239" t="str">
            <v>3332b</v>
          </cell>
          <cell r="D239" t="str">
            <v>313c</v>
          </cell>
          <cell r="E239" t="str">
            <v xml:space="preserve"> - Thuế tiêu thụ đặc biệt</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row>
        <row r="240">
          <cell r="B240" t="str">
            <v>3333b</v>
          </cell>
          <cell r="D240" t="str">
            <v>313d</v>
          </cell>
          <cell r="E240" t="str">
            <v xml:space="preserve"> - Thuế xuất, nhập khẩu</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row>
        <row r="241">
          <cell r="B241" t="str">
            <v>3334b</v>
          </cell>
          <cell r="D241" t="str">
            <v>313e</v>
          </cell>
          <cell r="E241" t="str">
            <v xml:space="preserve"> - Thuế thu nhập doanh nghiệp</v>
          </cell>
          <cell r="F241">
            <v>468818427</v>
          </cell>
          <cell r="G241">
            <v>0</v>
          </cell>
          <cell r="H241">
            <v>0</v>
          </cell>
          <cell r="I241">
            <v>0</v>
          </cell>
          <cell r="J241">
            <v>0</v>
          </cell>
          <cell r="K241">
            <v>0</v>
          </cell>
          <cell r="L241">
            <v>0</v>
          </cell>
          <cell r="M241">
            <v>0</v>
          </cell>
          <cell r="N241">
            <v>0</v>
          </cell>
          <cell r="O241">
            <v>0</v>
          </cell>
          <cell r="P241">
            <v>468818427</v>
          </cell>
          <cell r="Q241">
            <v>0</v>
          </cell>
          <cell r="R241">
            <v>-23499349</v>
          </cell>
          <cell r="S241">
            <v>445319078</v>
          </cell>
          <cell r="T241">
            <v>74192816</v>
          </cell>
          <cell r="U241">
            <v>0</v>
          </cell>
          <cell r="V241">
            <v>0</v>
          </cell>
          <cell r="W241">
            <v>0</v>
          </cell>
          <cell r="X241">
            <v>0</v>
          </cell>
          <cell r="Y241">
            <v>0</v>
          </cell>
          <cell r="Z241">
            <v>0</v>
          </cell>
          <cell r="AA241">
            <v>0</v>
          </cell>
          <cell r="AB241">
            <v>0</v>
          </cell>
          <cell r="AC241">
            <v>0</v>
          </cell>
          <cell r="AD241">
            <v>74192816</v>
          </cell>
          <cell r="AE241">
            <v>0</v>
          </cell>
          <cell r="AF241">
            <v>0</v>
          </cell>
          <cell r="AG241">
            <v>74192816</v>
          </cell>
        </row>
        <row r="242">
          <cell r="B242" t="str">
            <v>3335b</v>
          </cell>
          <cell r="D242" t="str">
            <v>313f</v>
          </cell>
          <cell r="E242" t="str">
            <v xml:space="preserve"> - Thuế thu nhập cá nhân</v>
          </cell>
          <cell r="F242">
            <v>0</v>
          </cell>
          <cell r="G242">
            <v>0</v>
          </cell>
          <cell r="H242">
            <v>0</v>
          </cell>
          <cell r="I242">
            <v>0</v>
          </cell>
          <cell r="J242">
            <v>0</v>
          </cell>
          <cell r="K242">
            <v>0</v>
          </cell>
          <cell r="L242">
            <v>0</v>
          </cell>
          <cell r="M242">
            <v>0</v>
          </cell>
          <cell r="N242">
            <v>0</v>
          </cell>
          <cell r="O242">
            <v>0</v>
          </cell>
          <cell r="P242">
            <v>0</v>
          </cell>
          <cell r="Q242">
            <v>0</v>
          </cell>
          <cell r="R242">
            <v>2701</v>
          </cell>
          <cell r="S242">
            <v>2701</v>
          </cell>
          <cell r="T242">
            <v>37649138</v>
          </cell>
          <cell r="U242">
            <v>0</v>
          </cell>
          <cell r="V242">
            <v>0</v>
          </cell>
          <cell r="W242">
            <v>0</v>
          </cell>
          <cell r="X242">
            <v>0</v>
          </cell>
          <cell r="Y242">
            <v>0</v>
          </cell>
          <cell r="Z242">
            <v>0</v>
          </cell>
          <cell r="AA242">
            <v>0</v>
          </cell>
          <cell r="AB242">
            <v>0</v>
          </cell>
          <cell r="AC242">
            <v>0</v>
          </cell>
          <cell r="AD242">
            <v>37649138</v>
          </cell>
          <cell r="AE242">
            <v>0</v>
          </cell>
          <cell r="AF242">
            <v>0</v>
          </cell>
          <cell r="AG242">
            <v>37649138</v>
          </cell>
        </row>
        <row r="243">
          <cell r="B243" t="str">
            <v>3336b</v>
          </cell>
          <cell r="D243" t="str">
            <v>313g</v>
          </cell>
          <cell r="E243" t="str">
            <v xml:space="preserve"> - Thuế tài nguyên</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row>
        <row r="244">
          <cell r="B244" t="str">
            <v>3337b</v>
          </cell>
          <cell r="D244" t="str">
            <v>313h</v>
          </cell>
          <cell r="E244" t="str">
            <v xml:space="preserve"> - Thuế nhà đất, tiền thuê đất</v>
          </cell>
          <cell r="F244">
            <v>0</v>
          </cell>
          <cell r="G244">
            <v>0</v>
          </cell>
          <cell r="H244">
            <v>0</v>
          </cell>
          <cell r="I244">
            <v>0</v>
          </cell>
          <cell r="J244">
            <v>0</v>
          </cell>
          <cell r="K244">
            <v>0</v>
          </cell>
          <cell r="L244">
            <v>0</v>
          </cell>
          <cell r="M244">
            <v>0</v>
          </cell>
          <cell r="N244">
            <v>0</v>
          </cell>
          <cell r="O244">
            <v>0</v>
          </cell>
          <cell r="P244">
            <v>0</v>
          </cell>
          <cell r="Q244">
            <v>219368100</v>
          </cell>
          <cell r="R244">
            <v>247858000</v>
          </cell>
          <cell r="S244">
            <v>28489900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row>
        <row r="245">
          <cell r="B245" t="str">
            <v>33381b</v>
          </cell>
          <cell r="D245" t="str">
            <v>313i</v>
          </cell>
          <cell r="E245" t="str">
            <v xml:space="preserve"> - Thuế bảo vệ môi trường</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B246" t="str">
            <v>33382b</v>
          </cell>
          <cell r="D246" t="str">
            <v>313j</v>
          </cell>
          <cell r="E246" t="str">
            <v xml:space="preserve"> - Các loại thuế khác</v>
          </cell>
          <cell r="F246">
            <v>0</v>
          </cell>
          <cell r="G246">
            <v>2701</v>
          </cell>
          <cell r="H246">
            <v>0</v>
          </cell>
          <cell r="I246">
            <v>0</v>
          </cell>
          <cell r="J246">
            <v>0</v>
          </cell>
          <cell r="K246">
            <v>0</v>
          </cell>
          <cell r="L246">
            <v>0</v>
          </cell>
          <cell r="M246">
            <v>0</v>
          </cell>
          <cell r="N246">
            <v>0</v>
          </cell>
          <cell r="O246">
            <v>0</v>
          </cell>
          <cell r="P246">
            <v>2701</v>
          </cell>
          <cell r="Q246">
            <v>2701</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row>
        <row r="247">
          <cell r="B247" t="str">
            <v>3339b</v>
          </cell>
          <cell r="D247" t="str">
            <v>313k</v>
          </cell>
          <cell r="E247" t="str">
            <v xml:space="preserve"> - Phí, lệ phí và các khoản phải nộp khác</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row>
        <row r="248">
          <cell r="D248" t="str">
            <v>314</v>
          </cell>
          <cell r="E248" t="str">
            <v>4. Phải trả người lao động</v>
          </cell>
          <cell r="F248">
            <v>104511895</v>
          </cell>
          <cell r="G248">
            <v>2485951990</v>
          </cell>
          <cell r="H248">
            <v>0</v>
          </cell>
          <cell r="I248">
            <v>0</v>
          </cell>
          <cell r="J248">
            <v>0</v>
          </cell>
          <cell r="K248">
            <v>0</v>
          </cell>
          <cell r="L248">
            <v>0</v>
          </cell>
          <cell r="M248">
            <v>0</v>
          </cell>
          <cell r="N248">
            <v>0</v>
          </cell>
          <cell r="O248">
            <v>0</v>
          </cell>
          <cell r="P248">
            <v>2590463885</v>
          </cell>
          <cell r="Q248">
            <v>0</v>
          </cell>
          <cell r="R248">
            <v>0</v>
          </cell>
          <cell r="S248">
            <v>2590463885</v>
          </cell>
          <cell r="T248">
            <v>3286343171</v>
          </cell>
          <cell r="U248">
            <v>0</v>
          </cell>
          <cell r="V248">
            <v>0</v>
          </cell>
          <cell r="W248">
            <v>0</v>
          </cell>
          <cell r="X248">
            <v>0</v>
          </cell>
          <cell r="Y248">
            <v>0</v>
          </cell>
          <cell r="Z248">
            <v>0</v>
          </cell>
          <cell r="AA248">
            <v>0</v>
          </cell>
          <cell r="AB248">
            <v>0</v>
          </cell>
          <cell r="AC248">
            <v>0</v>
          </cell>
          <cell r="AD248">
            <v>3286343171</v>
          </cell>
          <cell r="AE248">
            <v>0</v>
          </cell>
          <cell r="AF248">
            <v>0</v>
          </cell>
          <cell r="AG248">
            <v>3286343171</v>
          </cell>
        </row>
        <row r="249">
          <cell r="B249" t="str">
            <v>3341b</v>
          </cell>
          <cell r="D249" t="str">
            <v>314a</v>
          </cell>
          <cell r="E249" t="str">
            <v xml:space="preserve"> - Phải trả CNV</v>
          </cell>
          <cell r="F249">
            <v>104511895</v>
          </cell>
          <cell r="G249">
            <v>2485951990</v>
          </cell>
          <cell r="H249">
            <v>0</v>
          </cell>
          <cell r="I249">
            <v>0</v>
          </cell>
          <cell r="J249">
            <v>0</v>
          </cell>
          <cell r="K249">
            <v>0</v>
          </cell>
          <cell r="L249">
            <v>0</v>
          </cell>
          <cell r="M249">
            <v>0</v>
          </cell>
          <cell r="N249">
            <v>0</v>
          </cell>
          <cell r="O249">
            <v>0</v>
          </cell>
          <cell r="P249">
            <v>2590463885</v>
          </cell>
          <cell r="Q249">
            <v>0</v>
          </cell>
          <cell r="R249">
            <v>0</v>
          </cell>
          <cell r="S249">
            <v>2590463885</v>
          </cell>
          <cell r="T249">
            <v>3286343171</v>
          </cell>
          <cell r="U249">
            <v>0</v>
          </cell>
          <cell r="V249">
            <v>0</v>
          </cell>
          <cell r="W249">
            <v>0</v>
          </cell>
          <cell r="X249">
            <v>0</v>
          </cell>
          <cell r="Y249">
            <v>0</v>
          </cell>
          <cell r="Z249">
            <v>0</v>
          </cell>
          <cell r="AA249">
            <v>0</v>
          </cell>
          <cell r="AB249">
            <v>0</v>
          </cell>
          <cell r="AC249">
            <v>0</v>
          </cell>
          <cell r="AD249">
            <v>3286343171</v>
          </cell>
          <cell r="AE249">
            <v>0</v>
          </cell>
          <cell r="AF249">
            <v>0</v>
          </cell>
          <cell r="AG249">
            <v>3286343171</v>
          </cell>
        </row>
        <row r="250">
          <cell r="B250" t="str">
            <v>3348b</v>
          </cell>
          <cell r="D250" t="str">
            <v>314b</v>
          </cell>
          <cell r="E250" t="str">
            <v xml:space="preserve"> - Phải trả người lao động khác</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row>
        <row r="251">
          <cell r="B251" t="str">
            <v>335n</v>
          </cell>
          <cell r="D251" t="str">
            <v>315</v>
          </cell>
          <cell r="E251" t="str">
            <v>5. Chi phí phải trả ngắn hạn</v>
          </cell>
          <cell r="F251">
            <v>90582192</v>
          </cell>
          <cell r="G251">
            <v>788721</v>
          </cell>
          <cell r="H251">
            <v>0</v>
          </cell>
          <cell r="I251">
            <v>0</v>
          </cell>
          <cell r="J251">
            <v>0</v>
          </cell>
          <cell r="K251">
            <v>0</v>
          </cell>
          <cell r="L251">
            <v>0</v>
          </cell>
          <cell r="M251">
            <v>0</v>
          </cell>
          <cell r="N251">
            <v>0</v>
          </cell>
          <cell r="O251">
            <v>0</v>
          </cell>
          <cell r="P251">
            <v>91370913</v>
          </cell>
          <cell r="Q251">
            <v>0</v>
          </cell>
          <cell r="R251">
            <v>34166667</v>
          </cell>
          <cell r="S251">
            <v>125537580</v>
          </cell>
          <cell r="T251">
            <v>93606333</v>
          </cell>
          <cell r="U251">
            <v>0</v>
          </cell>
          <cell r="V251">
            <v>0</v>
          </cell>
          <cell r="W251">
            <v>0</v>
          </cell>
          <cell r="X251">
            <v>0</v>
          </cell>
          <cell r="Y251">
            <v>0</v>
          </cell>
          <cell r="Z251">
            <v>0</v>
          </cell>
          <cell r="AA251">
            <v>0</v>
          </cell>
          <cell r="AB251">
            <v>0</v>
          </cell>
          <cell r="AC251">
            <v>0</v>
          </cell>
          <cell r="AD251">
            <v>93606333</v>
          </cell>
          <cell r="AE251">
            <v>0</v>
          </cell>
          <cell r="AF251">
            <v>0</v>
          </cell>
          <cell r="AG251">
            <v>93606333</v>
          </cell>
        </row>
        <row r="252">
          <cell r="D252" t="str">
            <v>316</v>
          </cell>
          <cell r="E252" t="str">
            <v>6. Phải trả nội bộ ngắn hạn</v>
          </cell>
          <cell r="F252">
            <v>0</v>
          </cell>
          <cell r="G252">
            <v>11757227666</v>
          </cell>
          <cell r="H252">
            <v>0</v>
          </cell>
          <cell r="I252">
            <v>0</v>
          </cell>
          <cell r="J252">
            <v>0</v>
          </cell>
          <cell r="K252">
            <v>0</v>
          </cell>
          <cell r="L252">
            <v>0</v>
          </cell>
          <cell r="M252">
            <v>0</v>
          </cell>
          <cell r="N252">
            <v>0</v>
          </cell>
          <cell r="O252">
            <v>0</v>
          </cell>
          <cell r="P252">
            <v>11757227666</v>
          </cell>
          <cell r="Q252">
            <v>11757227666</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row>
        <row r="253">
          <cell r="B253" t="str">
            <v>1362bn</v>
          </cell>
          <cell r="D253" t="str">
            <v>316a</v>
          </cell>
          <cell r="E253" t="str">
            <v xml:space="preserve"> - Phải thu nội bộ về chênh lệch tỷ giá ngắn hạn (dư Có)</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row>
        <row r="254">
          <cell r="B254" t="str">
            <v>1363bn</v>
          </cell>
          <cell r="D254" t="str">
            <v>316b</v>
          </cell>
          <cell r="E254" t="str">
            <v xml:space="preserve"> - Phải thu nội bộ về chi phí đi vay đủ điều kiện được vốn hóa ngắn hạn (dư Có)</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B255" t="str">
            <v>1368bn</v>
          </cell>
          <cell r="D255" t="str">
            <v>316c</v>
          </cell>
          <cell r="E255" t="str">
            <v xml:space="preserve"> - Phải thu nội bộ khác ngắn hạn (dư Có)</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B256" t="str">
            <v>3362bn</v>
          </cell>
          <cell r="D256" t="str">
            <v>316d</v>
          </cell>
          <cell r="E256" t="str">
            <v xml:space="preserve"> - Phải trả nội bộ về chênh lệch tỷ giá ngắn hạn (dư Có)</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row>
        <row r="257">
          <cell r="B257" t="str">
            <v>3363bn</v>
          </cell>
          <cell r="D257" t="str">
            <v>316e</v>
          </cell>
          <cell r="E257" t="str">
            <v xml:space="preserve"> - Phải trả nội bộ về chi phí đi vay đủ điều kiện được vốn hóa ngắn hạn (dư Có)</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B258" t="str">
            <v>3368bn</v>
          </cell>
          <cell r="D258" t="str">
            <v>316f</v>
          </cell>
          <cell r="E258" t="str">
            <v xml:space="preserve"> - Phải trả nội bộ khác ngắn hạn (dư Có)</v>
          </cell>
          <cell r="F258">
            <v>0</v>
          </cell>
          <cell r="G258">
            <v>11757227666</v>
          </cell>
          <cell r="H258">
            <v>0</v>
          </cell>
          <cell r="I258">
            <v>0</v>
          </cell>
          <cell r="J258">
            <v>0</v>
          </cell>
          <cell r="K258">
            <v>0</v>
          </cell>
          <cell r="L258">
            <v>0</v>
          </cell>
          <cell r="M258">
            <v>0</v>
          </cell>
          <cell r="N258">
            <v>0</v>
          </cell>
          <cell r="O258">
            <v>0</v>
          </cell>
          <cell r="P258">
            <v>11757227666</v>
          </cell>
          <cell r="Q258">
            <v>11757227666</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row>
        <row r="259">
          <cell r="B259" t="str">
            <v>337b</v>
          </cell>
          <cell r="D259" t="str">
            <v>317</v>
          </cell>
          <cell r="E259" t="str">
            <v>7. Phải trả theo tiến độ kế hoạch HĐXD</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row>
        <row r="260">
          <cell r="B260" t="str">
            <v>3387n</v>
          </cell>
          <cell r="D260" t="str">
            <v>318</v>
          </cell>
          <cell r="E260" t="str">
            <v>8. Doanh thu chưa thực hiện ngắn hạn</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D261" t="str">
            <v>319</v>
          </cell>
          <cell r="E261" t="str">
            <v>9. Các khoản phải trả, phải nộp ngắn hạn khác</v>
          </cell>
          <cell r="F261">
            <v>803603448</v>
          </cell>
          <cell r="G261">
            <v>88928890</v>
          </cell>
          <cell r="H261">
            <v>0</v>
          </cell>
          <cell r="I261">
            <v>0</v>
          </cell>
          <cell r="J261">
            <v>0</v>
          </cell>
          <cell r="K261">
            <v>0</v>
          </cell>
          <cell r="L261">
            <v>0</v>
          </cell>
          <cell r="M261">
            <v>0</v>
          </cell>
          <cell r="N261">
            <v>0</v>
          </cell>
          <cell r="O261">
            <v>0</v>
          </cell>
          <cell r="P261">
            <v>892532338</v>
          </cell>
          <cell r="Q261">
            <v>80000000</v>
          </cell>
          <cell r="R261">
            <v>80000000</v>
          </cell>
          <cell r="S261">
            <v>892532338</v>
          </cell>
          <cell r="T261">
            <v>902619985</v>
          </cell>
          <cell r="U261">
            <v>0</v>
          </cell>
          <cell r="V261">
            <v>0</v>
          </cell>
          <cell r="W261">
            <v>0</v>
          </cell>
          <cell r="X261">
            <v>0</v>
          </cell>
          <cell r="Y261">
            <v>0</v>
          </cell>
          <cell r="Z261">
            <v>0</v>
          </cell>
          <cell r="AA261">
            <v>0</v>
          </cell>
          <cell r="AB261">
            <v>0</v>
          </cell>
          <cell r="AC261">
            <v>0</v>
          </cell>
          <cell r="AD261">
            <v>902619985</v>
          </cell>
          <cell r="AE261">
            <v>0</v>
          </cell>
          <cell r="AF261">
            <v>0</v>
          </cell>
          <cell r="AG261">
            <v>902619985</v>
          </cell>
        </row>
        <row r="262">
          <cell r="B262" t="str">
            <v>3381</v>
          </cell>
          <cell r="D262" t="str">
            <v>319a</v>
          </cell>
          <cell r="E262" t="str">
            <v xml:space="preserve"> - Tài sản thừa chờ giải quyết</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B263" t="str">
            <v>3382b</v>
          </cell>
          <cell r="D263" t="str">
            <v>319b</v>
          </cell>
          <cell r="E263" t="str">
            <v xml:space="preserve"> - Kinh phí công đoàn</v>
          </cell>
          <cell r="F263">
            <v>208901987</v>
          </cell>
          <cell r="G263">
            <v>0</v>
          </cell>
          <cell r="H263">
            <v>0</v>
          </cell>
          <cell r="I263">
            <v>0</v>
          </cell>
          <cell r="J263">
            <v>0</v>
          </cell>
          <cell r="K263">
            <v>0</v>
          </cell>
          <cell r="L263">
            <v>0</v>
          </cell>
          <cell r="M263">
            <v>0</v>
          </cell>
          <cell r="N263">
            <v>0</v>
          </cell>
          <cell r="O263">
            <v>0</v>
          </cell>
          <cell r="P263">
            <v>208901987</v>
          </cell>
          <cell r="Q263">
            <v>80000000</v>
          </cell>
          <cell r="R263">
            <v>0</v>
          </cell>
          <cell r="S263">
            <v>128901987</v>
          </cell>
          <cell r="T263">
            <v>186492207</v>
          </cell>
          <cell r="U263">
            <v>0</v>
          </cell>
          <cell r="V263">
            <v>0</v>
          </cell>
          <cell r="W263">
            <v>0</v>
          </cell>
          <cell r="X263">
            <v>0</v>
          </cell>
          <cell r="Y263">
            <v>0</v>
          </cell>
          <cell r="Z263">
            <v>0</v>
          </cell>
          <cell r="AA263">
            <v>0</v>
          </cell>
          <cell r="AB263">
            <v>0</v>
          </cell>
          <cell r="AC263">
            <v>0</v>
          </cell>
          <cell r="AD263">
            <v>186492207</v>
          </cell>
          <cell r="AE263">
            <v>0</v>
          </cell>
          <cell r="AF263">
            <v>0</v>
          </cell>
          <cell r="AG263">
            <v>186492207</v>
          </cell>
        </row>
        <row r="264">
          <cell r="B264" t="str">
            <v>3383b</v>
          </cell>
          <cell r="D264" t="str">
            <v>319c</v>
          </cell>
          <cell r="E264" t="str">
            <v xml:space="preserve"> - Bảo hiểm xã hội</v>
          </cell>
          <cell r="F264">
            <v>3187200</v>
          </cell>
          <cell r="G264">
            <v>3811900</v>
          </cell>
          <cell r="H264">
            <v>0</v>
          </cell>
          <cell r="I264">
            <v>0</v>
          </cell>
          <cell r="J264">
            <v>0</v>
          </cell>
          <cell r="K264">
            <v>0</v>
          </cell>
          <cell r="L264">
            <v>0</v>
          </cell>
          <cell r="M264">
            <v>0</v>
          </cell>
          <cell r="N264">
            <v>0</v>
          </cell>
          <cell r="O264">
            <v>0</v>
          </cell>
          <cell r="P264">
            <v>6999100</v>
          </cell>
          <cell r="Q264">
            <v>0</v>
          </cell>
          <cell r="R264">
            <v>0</v>
          </cell>
          <cell r="S264">
            <v>6999100</v>
          </cell>
          <cell r="T264">
            <v>5257338</v>
          </cell>
          <cell r="U264">
            <v>0</v>
          </cell>
          <cell r="V264">
            <v>0</v>
          </cell>
          <cell r="W264">
            <v>0</v>
          </cell>
          <cell r="X264">
            <v>0</v>
          </cell>
          <cell r="Y264">
            <v>0</v>
          </cell>
          <cell r="Z264">
            <v>0</v>
          </cell>
          <cell r="AA264">
            <v>0</v>
          </cell>
          <cell r="AB264">
            <v>0</v>
          </cell>
          <cell r="AC264">
            <v>0</v>
          </cell>
          <cell r="AD264">
            <v>5257338</v>
          </cell>
          <cell r="AE264">
            <v>0</v>
          </cell>
          <cell r="AF264">
            <v>0</v>
          </cell>
          <cell r="AG264">
            <v>5257338</v>
          </cell>
        </row>
        <row r="265">
          <cell r="B265" t="str">
            <v>3384b</v>
          </cell>
          <cell r="D265" t="str">
            <v>319d</v>
          </cell>
          <cell r="E265" t="str">
            <v xml:space="preserve"> - Bảo hiểm y tế</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B266" t="str">
            <v>3386b</v>
          </cell>
          <cell r="D266" t="str">
            <v>319e</v>
          </cell>
          <cell r="E266" t="str">
            <v xml:space="preserve"> - Bảo hiểm thất nghiệp</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row>
        <row r="267">
          <cell r="B267" t="str">
            <v>1385bn</v>
          </cell>
          <cell r="D267" t="str">
            <v>319f</v>
          </cell>
          <cell r="E267" t="str">
            <v xml:space="preserve"> - Phải thu về cổ phần hóa ngắn hạn (dư Có)</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B268" t="str">
            <v>3385bn</v>
          </cell>
          <cell r="D268" t="str">
            <v>319h</v>
          </cell>
          <cell r="E268" t="str">
            <v xml:space="preserve"> - Phải trả về cổ phần hóa ngắn hạn (dư Có)</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row>
        <row r="269">
          <cell r="B269" t="str">
            <v>244bn</v>
          </cell>
          <cell r="D269" t="str">
            <v>319i</v>
          </cell>
          <cell r="E269" t="str">
            <v xml:space="preserve"> - Cầm cố, thế chấp, ký quỹ, ký cược ngắn hạn (dư Có)</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row>
        <row r="270">
          <cell r="B270" t="str">
            <v>344bn</v>
          </cell>
          <cell r="D270" t="str">
            <v>319m</v>
          </cell>
          <cell r="E270" t="str">
            <v xml:space="preserve"> - Nhận ký quỹ, ký cược ngắn hạn (dư Có)</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row>
        <row r="271">
          <cell r="B271" t="str">
            <v>33881n</v>
          </cell>
          <cell r="D271" t="str">
            <v>319n</v>
          </cell>
          <cell r="E271" t="str">
            <v xml:space="preserve"> - Cổ tức, lợi nhuận phải trả ngắn hạn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B272" t="str">
            <v>3388bn</v>
          </cell>
          <cell r="D272" t="str">
            <v>319o</v>
          </cell>
          <cell r="E272" t="str">
            <v xml:space="preserve"> - Phải trả, phải nộp khác ngắn hạn</v>
          </cell>
          <cell r="F272">
            <v>566877645</v>
          </cell>
          <cell r="G272">
            <v>53032520</v>
          </cell>
          <cell r="H272">
            <v>0</v>
          </cell>
          <cell r="I272">
            <v>0</v>
          </cell>
          <cell r="J272">
            <v>0</v>
          </cell>
          <cell r="K272">
            <v>0</v>
          </cell>
          <cell r="L272">
            <v>0</v>
          </cell>
          <cell r="M272">
            <v>0</v>
          </cell>
          <cell r="N272">
            <v>0</v>
          </cell>
          <cell r="O272">
            <v>0</v>
          </cell>
          <cell r="P272">
            <v>619910165</v>
          </cell>
          <cell r="Q272">
            <v>0</v>
          </cell>
          <cell r="R272">
            <v>80000000</v>
          </cell>
          <cell r="S272">
            <v>699910165</v>
          </cell>
          <cell r="T272">
            <v>661244740</v>
          </cell>
          <cell r="U272">
            <v>0</v>
          </cell>
          <cell r="V272">
            <v>0</v>
          </cell>
          <cell r="W272">
            <v>0</v>
          </cell>
          <cell r="X272">
            <v>0</v>
          </cell>
          <cell r="Y272">
            <v>0</v>
          </cell>
          <cell r="Z272">
            <v>0</v>
          </cell>
          <cell r="AA272">
            <v>0</v>
          </cell>
          <cell r="AB272">
            <v>0</v>
          </cell>
          <cell r="AC272">
            <v>0</v>
          </cell>
          <cell r="AD272">
            <v>661244740</v>
          </cell>
          <cell r="AE272">
            <v>0</v>
          </cell>
          <cell r="AF272">
            <v>0</v>
          </cell>
          <cell r="AG272">
            <v>661244740</v>
          </cell>
        </row>
        <row r="273">
          <cell r="B273" t="str">
            <v>1388bn</v>
          </cell>
          <cell r="D273" t="str">
            <v>319p</v>
          </cell>
          <cell r="E273" t="str">
            <v xml:space="preserve"> - Phải thu khác ngắn hạn (dư Có)</v>
          </cell>
          <cell r="F273">
            <v>6636616</v>
          </cell>
          <cell r="G273">
            <v>8941170</v>
          </cell>
          <cell r="H273">
            <v>0</v>
          </cell>
          <cell r="I273">
            <v>0</v>
          </cell>
          <cell r="J273">
            <v>0</v>
          </cell>
          <cell r="K273">
            <v>0</v>
          </cell>
          <cell r="L273">
            <v>0</v>
          </cell>
          <cell r="M273">
            <v>0</v>
          </cell>
          <cell r="N273">
            <v>0</v>
          </cell>
          <cell r="O273">
            <v>0</v>
          </cell>
          <cell r="P273">
            <v>15577786</v>
          </cell>
          <cell r="Q273">
            <v>0</v>
          </cell>
          <cell r="R273">
            <v>0</v>
          </cell>
          <cell r="S273">
            <v>15577786</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row>
        <row r="274">
          <cell r="B274" t="str">
            <v>141b</v>
          </cell>
          <cell r="D274" t="str">
            <v>319q</v>
          </cell>
          <cell r="E274" t="str">
            <v xml:space="preserve"> - Tạm ứng ngắn hạn (dư Có)</v>
          </cell>
          <cell r="F274">
            <v>18000000</v>
          </cell>
          <cell r="G274">
            <v>23143300</v>
          </cell>
          <cell r="H274">
            <v>0</v>
          </cell>
          <cell r="I274">
            <v>0</v>
          </cell>
          <cell r="J274">
            <v>0</v>
          </cell>
          <cell r="K274">
            <v>0</v>
          </cell>
          <cell r="L274">
            <v>0</v>
          </cell>
          <cell r="M274">
            <v>0</v>
          </cell>
          <cell r="N274">
            <v>0</v>
          </cell>
          <cell r="O274">
            <v>0</v>
          </cell>
          <cell r="P274">
            <v>41143300</v>
          </cell>
          <cell r="Q274">
            <v>0</v>
          </cell>
          <cell r="R274">
            <v>0</v>
          </cell>
          <cell r="S274">
            <v>41143300</v>
          </cell>
          <cell r="T274">
            <v>49625700</v>
          </cell>
          <cell r="U274">
            <v>0</v>
          </cell>
          <cell r="V274">
            <v>0</v>
          </cell>
          <cell r="W274">
            <v>0</v>
          </cell>
          <cell r="X274">
            <v>0</v>
          </cell>
          <cell r="Y274">
            <v>0</v>
          </cell>
          <cell r="Z274">
            <v>0</v>
          </cell>
          <cell r="AA274">
            <v>0</v>
          </cell>
          <cell r="AB274">
            <v>0</v>
          </cell>
          <cell r="AC274">
            <v>0</v>
          </cell>
          <cell r="AD274">
            <v>49625700</v>
          </cell>
          <cell r="AE274">
            <v>0</v>
          </cell>
          <cell r="AF274">
            <v>0</v>
          </cell>
          <cell r="AG274">
            <v>49625700</v>
          </cell>
        </row>
        <row r="275">
          <cell r="D275" t="str">
            <v>320</v>
          </cell>
          <cell r="E275" t="str">
            <v>10. Vay và nợ thuê tài chính ngắn hạn</v>
          </cell>
          <cell r="F275">
            <v>510000000</v>
          </cell>
          <cell r="G275">
            <v>564476402</v>
          </cell>
          <cell r="H275">
            <v>0</v>
          </cell>
          <cell r="I275">
            <v>0</v>
          </cell>
          <cell r="J275">
            <v>0</v>
          </cell>
          <cell r="K275">
            <v>0</v>
          </cell>
          <cell r="L275">
            <v>0</v>
          </cell>
          <cell r="M275">
            <v>0</v>
          </cell>
          <cell r="N275">
            <v>0</v>
          </cell>
          <cell r="O275">
            <v>0</v>
          </cell>
          <cell r="P275">
            <v>1074476402</v>
          </cell>
          <cell r="Q275">
            <v>0</v>
          </cell>
          <cell r="R275">
            <v>0</v>
          </cell>
          <cell r="S275">
            <v>1074476402</v>
          </cell>
          <cell r="T275">
            <v>2627000000</v>
          </cell>
          <cell r="U275">
            <v>0</v>
          </cell>
          <cell r="V275">
            <v>0</v>
          </cell>
          <cell r="W275">
            <v>0</v>
          </cell>
          <cell r="X275">
            <v>0</v>
          </cell>
          <cell r="Y275">
            <v>0</v>
          </cell>
          <cell r="Z275">
            <v>0</v>
          </cell>
          <cell r="AA275">
            <v>0</v>
          </cell>
          <cell r="AB275">
            <v>0</v>
          </cell>
          <cell r="AC275">
            <v>0</v>
          </cell>
          <cell r="AD275">
            <v>2627000000</v>
          </cell>
          <cell r="AE275">
            <v>0</v>
          </cell>
          <cell r="AF275">
            <v>0</v>
          </cell>
          <cell r="AG275">
            <v>2627000000</v>
          </cell>
        </row>
        <row r="276">
          <cell r="B276" t="str">
            <v>3411n</v>
          </cell>
          <cell r="D276" t="str">
            <v>320a</v>
          </cell>
          <cell r="E276" t="str">
            <v xml:space="preserve"> - Các khoản đi vay ngắn hạn</v>
          </cell>
          <cell r="F276">
            <v>510000000</v>
          </cell>
          <cell r="G276">
            <v>564476402</v>
          </cell>
          <cell r="H276">
            <v>0</v>
          </cell>
          <cell r="I276">
            <v>0</v>
          </cell>
          <cell r="J276">
            <v>0</v>
          </cell>
          <cell r="K276">
            <v>0</v>
          </cell>
          <cell r="L276">
            <v>0</v>
          </cell>
          <cell r="M276">
            <v>0</v>
          </cell>
          <cell r="N276">
            <v>0</v>
          </cell>
          <cell r="O276">
            <v>0</v>
          </cell>
          <cell r="P276">
            <v>1074476402</v>
          </cell>
          <cell r="Q276">
            <v>0</v>
          </cell>
          <cell r="R276">
            <v>0</v>
          </cell>
          <cell r="S276">
            <v>1074476402</v>
          </cell>
          <cell r="T276">
            <v>2627000000</v>
          </cell>
          <cell r="U276">
            <v>0</v>
          </cell>
          <cell r="V276">
            <v>0</v>
          </cell>
          <cell r="W276">
            <v>0</v>
          </cell>
          <cell r="X276">
            <v>0</v>
          </cell>
          <cell r="Y276">
            <v>0</v>
          </cell>
          <cell r="Z276">
            <v>0</v>
          </cell>
          <cell r="AA276">
            <v>0</v>
          </cell>
          <cell r="AB276">
            <v>0</v>
          </cell>
          <cell r="AC276">
            <v>0</v>
          </cell>
          <cell r="AD276">
            <v>2627000000</v>
          </cell>
          <cell r="AE276">
            <v>0</v>
          </cell>
          <cell r="AF276">
            <v>0</v>
          </cell>
          <cell r="AG276">
            <v>2627000000</v>
          </cell>
        </row>
        <row r="277">
          <cell r="B277" t="str">
            <v>3412n</v>
          </cell>
          <cell r="D277" t="str">
            <v>320b</v>
          </cell>
          <cell r="E277" t="str">
            <v xml:space="preserve"> - Nợ thuê tài chính ngắn hạn</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B278" t="str">
            <v>34311n</v>
          </cell>
          <cell r="D278" t="str">
            <v>320c</v>
          </cell>
          <cell r="E278" t="str">
            <v xml:space="preserve"> - Mệnh giá trái phiếu ngắn hạn</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B279" t="str">
            <v>34312n</v>
          </cell>
          <cell r="D279" t="str">
            <v>320d</v>
          </cell>
          <cell r="E279" t="str">
            <v xml:space="preserve"> - Chiết khấu trái phiếu ngắn hạn</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row>
        <row r="280">
          <cell r="B280" t="str">
            <v>34313n</v>
          </cell>
          <cell r="D280" t="str">
            <v>320e</v>
          </cell>
          <cell r="E280" t="str">
            <v xml:space="preserve"> - Phụ trội trái phiếu ngắn hạn</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row>
        <row r="281">
          <cell r="D281" t="str">
            <v>321</v>
          </cell>
          <cell r="E281" t="str">
            <v>11. Dự phòng phải trả ngắn hạn</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B282" t="str">
            <v>3521n</v>
          </cell>
          <cell r="D282" t="str">
            <v>321a</v>
          </cell>
          <cell r="E282" t="str">
            <v xml:space="preserve"> - Dự phòng bảo hành sản phẩm hàng hóa ngắn hạn</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row>
        <row r="283">
          <cell r="B283" t="str">
            <v>3522n</v>
          </cell>
          <cell r="D283" t="str">
            <v>321b</v>
          </cell>
          <cell r="E283" t="str">
            <v xml:space="preserve"> - Dự phòng bảo hành công trình xây dựng ngắn hạn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row>
        <row r="284">
          <cell r="B284" t="str">
            <v>3523n</v>
          </cell>
          <cell r="D284" t="str">
            <v>321c</v>
          </cell>
          <cell r="E284" t="str">
            <v xml:space="preserve"> - Dự phòng tái cơ cấu doanh nghiệp ngắn hạn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row>
        <row r="285">
          <cell r="B285" t="str">
            <v>3524n</v>
          </cell>
          <cell r="D285" t="str">
            <v>321d</v>
          </cell>
          <cell r="E285" t="str">
            <v xml:space="preserve"> - Dự phòng phải trả khác ngắn hạn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D286" t="str">
            <v>322</v>
          </cell>
          <cell r="E286" t="str">
            <v>11. Quỹ khen thưởng, phúc lợi</v>
          </cell>
          <cell r="F286">
            <v>746465047</v>
          </cell>
          <cell r="G286">
            <v>0</v>
          </cell>
          <cell r="H286">
            <v>0</v>
          </cell>
          <cell r="I286">
            <v>0</v>
          </cell>
          <cell r="J286">
            <v>0</v>
          </cell>
          <cell r="K286">
            <v>0</v>
          </cell>
          <cell r="L286">
            <v>0</v>
          </cell>
          <cell r="M286">
            <v>0</v>
          </cell>
          <cell r="N286">
            <v>0</v>
          </cell>
          <cell r="O286">
            <v>0</v>
          </cell>
          <cell r="P286">
            <v>746465047</v>
          </cell>
          <cell r="Q286">
            <v>0</v>
          </cell>
          <cell r="R286">
            <v>0</v>
          </cell>
          <cell r="S286">
            <v>746465047</v>
          </cell>
          <cell r="T286">
            <v>811683237</v>
          </cell>
          <cell r="U286">
            <v>0</v>
          </cell>
          <cell r="V286">
            <v>0</v>
          </cell>
          <cell r="W286">
            <v>0</v>
          </cell>
          <cell r="X286">
            <v>0</v>
          </cell>
          <cell r="Y286">
            <v>0</v>
          </cell>
          <cell r="Z286">
            <v>0</v>
          </cell>
          <cell r="AA286">
            <v>0</v>
          </cell>
          <cell r="AB286">
            <v>0</v>
          </cell>
          <cell r="AC286">
            <v>0</v>
          </cell>
          <cell r="AD286">
            <v>811683237</v>
          </cell>
          <cell r="AE286">
            <v>0</v>
          </cell>
          <cell r="AF286">
            <v>0</v>
          </cell>
          <cell r="AG286">
            <v>811683237</v>
          </cell>
        </row>
        <row r="287">
          <cell r="B287" t="str">
            <v>3531</v>
          </cell>
          <cell r="D287" t="str">
            <v>323a</v>
          </cell>
          <cell r="E287" t="str">
            <v>- Quỹ khen thưởng</v>
          </cell>
          <cell r="F287">
            <v>370848530</v>
          </cell>
          <cell r="G287">
            <v>0</v>
          </cell>
          <cell r="H287">
            <v>0</v>
          </cell>
          <cell r="I287">
            <v>0</v>
          </cell>
          <cell r="J287">
            <v>0</v>
          </cell>
          <cell r="K287">
            <v>0</v>
          </cell>
          <cell r="L287">
            <v>0</v>
          </cell>
          <cell r="M287">
            <v>0</v>
          </cell>
          <cell r="N287">
            <v>0</v>
          </cell>
          <cell r="O287">
            <v>0</v>
          </cell>
          <cell r="P287">
            <v>370848530</v>
          </cell>
          <cell r="Q287">
            <v>0</v>
          </cell>
          <cell r="R287">
            <v>0</v>
          </cell>
          <cell r="S287">
            <v>370848530</v>
          </cell>
          <cell r="T287">
            <v>395668530</v>
          </cell>
          <cell r="U287">
            <v>0</v>
          </cell>
          <cell r="V287">
            <v>0</v>
          </cell>
          <cell r="W287">
            <v>0</v>
          </cell>
          <cell r="X287">
            <v>0</v>
          </cell>
          <cell r="Y287">
            <v>0</v>
          </cell>
          <cell r="Z287">
            <v>0</v>
          </cell>
          <cell r="AA287">
            <v>0</v>
          </cell>
          <cell r="AB287">
            <v>0</v>
          </cell>
          <cell r="AC287">
            <v>0</v>
          </cell>
          <cell r="AD287">
            <v>395668530</v>
          </cell>
          <cell r="AE287">
            <v>0</v>
          </cell>
          <cell r="AF287">
            <v>0</v>
          </cell>
          <cell r="AG287">
            <v>395668530</v>
          </cell>
        </row>
        <row r="288">
          <cell r="B288" t="str">
            <v>3532</v>
          </cell>
          <cell r="D288" t="str">
            <v>323b</v>
          </cell>
          <cell r="E288" t="str">
            <v>- Quỹ phúc lợi</v>
          </cell>
          <cell r="F288">
            <v>375616517</v>
          </cell>
          <cell r="G288">
            <v>0</v>
          </cell>
          <cell r="H288">
            <v>0</v>
          </cell>
          <cell r="I288">
            <v>0</v>
          </cell>
          <cell r="J288">
            <v>0</v>
          </cell>
          <cell r="K288">
            <v>0</v>
          </cell>
          <cell r="L288">
            <v>0</v>
          </cell>
          <cell r="M288">
            <v>0</v>
          </cell>
          <cell r="N288">
            <v>0</v>
          </cell>
          <cell r="O288">
            <v>0</v>
          </cell>
          <cell r="P288">
            <v>375616517</v>
          </cell>
          <cell r="Q288">
            <v>0</v>
          </cell>
          <cell r="R288">
            <v>0</v>
          </cell>
          <cell r="S288">
            <v>375616517</v>
          </cell>
          <cell r="T288">
            <v>416014707</v>
          </cell>
          <cell r="U288">
            <v>0</v>
          </cell>
          <cell r="V288">
            <v>0</v>
          </cell>
          <cell r="W288">
            <v>0</v>
          </cell>
          <cell r="X288">
            <v>0</v>
          </cell>
          <cell r="Y288">
            <v>0</v>
          </cell>
          <cell r="Z288">
            <v>0</v>
          </cell>
          <cell r="AA288">
            <v>0</v>
          </cell>
          <cell r="AB288">
            <v>0</v>
          </cell>
          <cell r="AC288">
            <v>0</v>
          </cell>
          <cell r="AD288">
            <v>416014707</v>
          </cell>
          <cell r="AE288">
            <v>0</v>
          </cell>
          <cell r="AF288">
            <v>0</v>
          </cell>
          <cell r="AG288">
            <v>416014707</v>
          </cell>
        </row>
        <row r="289">
          <cell r="B289" t="str">
            <v>3533</v>
          </cell>
          <cell r="D289" t="str">
            <v>323c</v>
          </cell>
          <cell r="E289" t="str">
            <v>- Quỹ phúc lợi đã hình thành TSCĐ</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B290" t="str">
            <v>3534</v>
          </cell>
          <cell r="D290" t="str">
            <v>323c</v>
          </cell>
          <cell r="E290" t="str">
            <v>- Quỹ thưởng ban quản lý điều hành Công ty</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B291" t="str">
            <v>357</v>
          </cell>
          <cell r="D291" t="str">
            <v>323</v>
          </cell>
          <cell r="E291" t="str">
            <v>13. Quỹ bình ổn giá</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B292" t="str">
            <v>171b</v>
          </cell>
          <cell r="D292" t="str">
            <v>324</v>
          </cell>
          <cell r="E292" t="str">
            <v>14. Giao dịch mua bán lại trái phiếu Chính phủ</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4">
          <cell r="D294" t="str">
            <v>330</v>
          </cell>
          <cell r="E294" t="str">
            <v>II. Nợ dài hạn</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B295" t="str">
            <v>331bd</v>
          </cell>
          <cell r="D295" t="str">
            <v>331</v>
          </cell>
          <cell r="E295" t="str">
            <v>1. Phải trả người bán dài hạn</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B296" t="str">
            <v>131bd</v>
          </cell>
          <cell r="D296" t="str">
            <v>332</v>
          </cell>
          <cell r="E296" t="str">
            <v>2. Người mua trả tiền trước dài hạn</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B297" t="str">
            <v>335d</v>
          </cell>
          <cell r="D297" t="str">
            <v>333</v>
          </cell>
          <cell r="E297" t="str">
            <v>3. Chi phí phải trả dài hạn</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D298" t="str">
            <v>334</v>
          </cell>
          <cell r="E298" t="str">
            <v>4. Phải trả nội bộ về vốn kinh doanh</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B299" t="str">
            <v>1361bd</v>
          </cell>
          <cell r="D299" t="str">
            <v>334a</v>
          </cell>
          <cell r="E299" t="str">
            <v xml:space="preserve"> - Vốn kinh doanh ở đơn vị trực thuộc dài hạn (dư Có)</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row>
        <row r="300">
          <cell r="B300" t="str">
            <v>3361bd</v>
          </cell>
          <cell r="D300" t="str">
            <v>334b</v>
          </cell>
          <cell r="E300" t="str">
            <v xml:space="preserve"> - Phải trả nội bộ về vốn kinh doanh dài hạn (dư Có)</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D301" t="str">
            <v>335</v>
          </cell>
          <cell r="E301" t="str">
            <v>5. Phải trả nội bộ dài hạn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B302" t="str">
            <v>1362bd</v>
          </cell>
          <cell r="D302" t="str">
            <v>335a</v>
          </cell>
          <cell r="E302" t="str">
            <v xml:space="preserve"> - Phải thu nội bộ về chênh lệch tỷ giá dài hạn (dư Có)</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row>
        <row r="303">
          <cell r="B303" t="str">
            <v>1363bd</v>
          </cell>
          <cell r="D303" t="str">
            <v>335b</v>
          </cell>
          <cell r="E303" t="str">
            <v xml:space="preserve"> - Phải thu nội bộ về chi phí đi vay đủ điều kiện được vốn hoá dài hạn (dư Có)</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row>
        <row r="304">
          <cell r="B304" t="str">
            <v>1368bd</v>
          </cell>
          <cell r="D304" t="str">
            <v>335c</v>
          </cell>
          <cell r="E304" t="str">
            <v xml:space="preserve"> - Phải thu nội bộ khác dài hạn (dư Có)</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B305" t="str">
            <v>3362bd</v>
          </cell>
          <cell r="D305" t="str">
            <v>335d</v>
          </cell>
          <cell r="E305" t="str">
            <v xml:space="preserve"> - Phải trả nội bộ về chênh lệch tỷ giá dài hạn (dư Có)</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row>
        <row r="306">
          <cell r="B306" t="str">
            <v>3363bd</v>
          </cell>
          <cell r="D306" t="str">
            <v>335e</v>
          </cell>
          <cell r="E306" t="str">
            <v xml:space="preserve"> - Phải trả nội bộ về chi phí đi vay đủ điều kiện được vốn hoá dài hạn (dư Có)</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row>
        <row r="307">
          <cell r="B307" t="str">
            <v>3368bd</v>
          </cell>
          <cell r="D307" t="str">
            <v>335f</v>
          </cell>
          <cell r="E307" t="str">
            <v xml:space="preserve"> - Phải trả nội bộ khác dài hạn (dư Có)</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row>
        <row r="308">
          <cell r="B308" t="str">
            <v>3387d</v>
          </cell>
          <cell r="D308" t="str">
            <v>336</v>
          </cell>
          <cell r="E308" t="str">
            <v>6. Doanh thu chưa thực hiện dài hạn</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row>
        <row r="309">
          <cell r="D309" t="str">
            <v>337</v>
          </cell>
          <cell r="E309" t="str">
            <v>7. Phải trả dài hạn khác</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row>
        <row r="310">
          <cell r="B310" t="str">
            <v>1385bd</v>
          </cell>
          <cell r="D310" t="str">
            <v>337a</v>
          </cell>
          <cell r="E310" t="str">
            <v xml:space="preserve"> - Phải thu về cổ phần hóa dài hạn (dư Có)</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row>
        <row r="311">
          <cell r="B311" t="str">
            <v>3385bd</v>
          </cell>
          <cell r="D311" t="str">
            <v>337b</v>
          </cell>
          <cell r="E311" t="str">
            <v xml:space="preserve"> - Phải trả về cổ phần hóa dài hạn (dư Có)</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row>
        <row r="312">
          <cell r="B312" t="str">
            <v>244bd</v>
          </cell>
          <cell r="D312" t="str">
            <v>337c</v>
          </cell>
          <cell r="E312" t="str">
            <v xml:space="preserve"> - Cầm cố, thế chấp, ký quỹ, ký cược dài hạn (dư Có)</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row>
        <row r="313">
          <cell r="B313" t="str">
            <v>344bd</v>
          </cell>
          <cell r="D313" t="str">
            <v>337d</v>
          </cell>
          <cell r="E313" t="str">
            <v xml:space="preserve"> - Nhận ký quỹ, ký cược dài hạn (dư Có)</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B314" t="str">
            <v>33881d</v>
          </cell>
          <cell r="D314" t="str">
            <v>337e</v>
          </cell>
          <cell r="E314" t="str">
            <v xml:space="preserve"> - Cổ tức, lợi nhuận phải trả dài hạn</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row>
        <row r="315">
          <cell r="B315" t="str">
            <v>3388bd</v>
          </cell>
          <cell r="D315" t="str">
            <v>337f</v>
          </cell>
          <cell r="E315" t="str">
            <v xml:space="preserve"> - Phải trả, phải nộp khác dài hạn</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row>
        <row r="316">
          <cell r="B316" t="str">
            <v>1388bd</v>
          </cell>
          <cell r="D316" t="str">
            <v>337g</v>
          </cell>
          <cell r="E316" t="str">
            <v xml:space="preserve"> - Phải thu khác dài hạn (dư Có)</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row>
        <row r="317">
          <cell r="D317" t="str">
            <v>338</v>
          </cell>
          <cell r="E317" t="str">
            <v>8. Vay và nợ thuê tài chính dài hạn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B318" t="str">
            <v>3411d</v>
          </cell>
          <cell r="D318" t="str">
            <v>334a</v>
          </cell>
          <cell r="E318" t="str">
            <v xml:space="preserve"> - Các khoản đi vay dài hạn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row>
        <row r="319">
          <cell r="B319" t="str">
            <v>3412d</v>
          </cell>
          <cell r="D319" t="str">
            <v>334b</v>
          </cell>
          <cell r="E319" t="str">
            <v xml:space="preserve"> - Nợ thuê tài chính dài hạn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row>
        <row r="320">
          <cell r="B320" t="str">
            <v>34311d</v>
          </cell>
          <cell r="D320" t="str">
            <v>334c</v>
          </cell>
          <cell r="E320" t="str">
            <v xml:space="preserve"> - Mệnh giá trái phiếu dài hạn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row>
        <row r="321">
          <cell r="B321" t="str">
            <v>34312d</v>
          </cell>
          <cell r="D321" t="str">
            <v>334d</v>
          </cell>
          <cell r="E321" t="str">
            <v xml:space="preserve"> - Chiết khấu trái phiếu dài hạn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row>
        <row r="322">
          <cell r="B322" t="str">
            <v>34313d</v>
          </cell>
          <cell r="D322" t="str">
            <v>334e</v>
          </cell>
          <cell r="E322" t="str">
            <v xml:space="preserve"> - Phụ trội trái phiếu dài hạn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row>
        <row r="323">
          <cell r="B323" t="str">
            <v>3432</v>
          </cell>
          <cell r="D323" t="str">
            <v>339</v>
          </cell>
          <cell r="E323" t="str">
            <v>9. Trái phiếu chuyển đổi</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row>
        <row r="324">
          <cell r="B324" t="str">
            <v>41112p</v>
          </cell>
          <cell r="D324" t="str">
            <v>340</v>
          </cell>
          <cell r="E324" t="str">
            <v>10. Cổ phiếu ưu đãi</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row>
        <row r="325">
          <cell r="D325" t="str">
            <v>341</v>
          </cell>
          <cell r="E325" t="str">
            <v>11. Thuế thu nhập hoãn lại phải trả</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row>
        <row r="326">
          <cell r="B326" t="str">
            <v>3471</v>
          </cell>
          <cell r="D326" t="str">
            <v>341a</v>
          </cell>
          <cell r="E326" t="str">
            <v xml:space="preserve"> - Thuế thu nhập hoãn lại phải trả phát sinh từ các khoản chênh lệch tạm thời chịu thuế</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B327" t="str">
            <v>3472</v>
          </cell>
          <cell r="D327" t="str">
            <v>341b</v>
          </cell>
          <cell r="E327" t="str">
            <v xml:space="preserve"> - Khoản hoàn nhập thuế thu nhập hoãn lại phải trả đã được ghi nhận từ các kỳ trước</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D328" t="str">
            <v>342</v>
          </cell>
          <cell r="E328" t="str">
            <v>12. Dự phòng phải trả dài hạn</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row>
        <row r="329">
          <cell r="B329" t="str">
            <v>3521d</v>
          </cell>
          <cell r="D329" t="str">
            <v>342a</v>
          </cell>
          <cell r="E329" t="str">
            <v xml:space="preserve"> - Dự phòng bảo hành sản phẩm hàng hóa dài hạn</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row>
        <row r="330">
          <cell r="B330" t="str">
            <v>3522d</v>
          </cell>
          <cell r="D330" t="str">
            <v>342b</v>
          </cell>
          <cell r="E330" t="str">
            <v xml:space="preserve"> - Dự phòng bảo hành công trình xây dựng dài hạn</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B331" t="str">
            <v>3523d</v>
          </cell>
          <cell r="D331" t="str">
            <v>342c</v>
          </cell>
          <cell r="E331" t="str">
            <v xml:space="preserve"> - Dự phòng tái cơ cấu doanh nghiệp dài hạn</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row>
        <row r="332">
          <cell r="B332" t="str">
            <v>3524d</v>
          </cell>
          <cell r="D332" t="str">
            <v>342d</v>
          </cell>
          <cell r="E332" t="str">
            <v xml:space="preserve"> - Dự phòng phải trả khác dài hạn</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row>
        <row r="333">
          <cell r="D333" t="str">
            <v>343</v>
          </cell>
          <cell r="E333" t="str">
            <v>9. Quỹ phát triển khoa học công nghệ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row>
        <row r="334">
          <cell r="B334" t="str">
            <v>3561</v>
          </cell>
          <cell r="D334" t="str">
            <v>343a</v>
          </cell>
          <cell r="E334" t="str">
            <v xml:space="preserve"> - Quỹ phát triển khoa học và công nghệ</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row>
        <row r="335">
          <cell r="B335" t="str">
            <v>3562</v>
          </cell>
          <cell r="D335" t="str">
            <v>343b</v>
          </cell>
          <cell r="E335" t="str">
            <v xml:space="preserve"> - Quỹ phát triển khoa học và công nghệ đã hình thành TSCĐ</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row>
        <row r="337">
          <cell r="D337" t="str">
            <v>400</v>
          </cell>
          <cell r="E337" t="str">
            <v>D. VỐN CHỦ SỞ HỮU</v>
          </cell>
          <cell r="F337">
            <v>49551168462</v>
          </cell>
          <cell r="G337">
            <v>-978077621</v>
          </cell>
          <cell r="H337">
            <v>0</v>
          </cell>
          <cell r="I337">
            <v>0</v>
          </cell>
          <cell r="J337">
            <v>0</v>
          </cell>
          <cell r="K337">
            <v>0</v>
          </cell>
          <cell r="L337">
            <v>0</v>
          </cell>
          <cell r="M337">
            <v>0</v>
          </cell>
          <cell r="N337">
            <v>0</v>
          </cell>
          <cell r="O337">
            <v>0</v>
          </cell>
          <cell r="P337">
            <v>48573090841</v>
          </cell>
          <cell r="Q337">
            <v>4645758011</v>
          </cell>
          <cell r="R337">
            <v>4516336313</v>
          </cell>
          <cell r="S337">
            <v>48443669143</v>
          </cell>
          <cell r="T337">
            <v>46238078285</v>
          </cell>
          <cell r="U337">
            <v>0</v>
          </cell>
          <cell r="V337">
            <v>0</v>
          </cell>
          <cell r="W337">
            <v>0</v>
          </cell>
          <cell r="X337">
            <v>0</v>
          </cell>
          <cell r="Y337">
            <v>0</v>
          </cell>
          <cell r="Z337">
            <v>0</v>
          </cell>
          <cell r="AA337">
            <v>0</v>
          </cell>
          <cell r="AB337">
            <v>0</v>
          </cell>
          <cell r="AC337">
            <v>0</v>
          </cell>
          <cell r="AD337">
            <v>46238078285</v>
          </cell>
          <cell r="AE337">
            <v>0</v>
          </cell>
          <cell r="AF337">
            <v>0</v>
          </cell>
          <cell r="AG337">
            <v>46238078285</v>
          </cell>
        </row>
        <row r="339">
          <cell r="D339" t="str">
            <v>410</v>
          </cell>
          <cell r="E339" t="str">
            <v>I. Vốn chủ sở hữu</v>
          </cell>
          <cell r="F339">
            <v>49551168462</v>
          </cell>
          <cell r="G339">
            <v>-978077621</v>
          </cell>
          <cell r="H339">
            <v>0</v>
          </cell>
          <cell r="I339">
            <v>0</v>
          </cell>
          <cell r="J339">
            <v>0</v>
          </cell>
          <cell r="K339">
            <v>0</v>
          </cell>
          <cell r="L339">
            <v>0</v>
          </cell>
          <cell r="M339">
            <v>0</v>
          </cell>
          <cell r="N339">
            <v>0</v>
          </cell>
          <cell r="O339">
            <v>0</v>
          </cell>
          <cell r="P339">
            <v>48573090841</v>
          </cell>
          <cell r="Q339">
            <v>4645758011</v>
          </cell>
          <cell r="R339">
            <v>4516336313</v>
          </cell>
          <cell r="S339">
            <v>48443669143</v>
          </cell>
          <cell r="T339">
            <v>46238078285</v>
          </cell>
          <cell r="U339">
            <v>0</v>
          </cell>
          <cell r="V339">
            <v>0</v>
          </cell>
          <cell r="W339">
            <v>0</v>
          </cell>
          <cell r="X339">
            <v>0</v>
          </cell>
          <cell r="Y339">
            <v>0</v>
          </cell>
          <cell r="Z339">
            <v>0</v>
          </cell>
          <cell r="AA339">
            <v>0</v>
          </cell>
          <cell r="AB339">
            <v>0</v>
          </cell>
          <cell r="AC339">
            <v>0</v>
          </cell>
          <cell r="AD339">
            <v>46238078285</v>
          </cell>
          <cell r="AE339">
            <v>0</v>
          </cell>
          <cell r="AF339">
            <v>0</v>
          </cell>
          <cell r="AG339">
            <v>46238078285</v>
          </cell>
        </row>
        <row r="340">
          <cell r="D340" t="str">
            <v>411</v>
          </cell>
          <cell r="E340" t="str">
            <v>1. Vốn đầu tư của chủ sở hữu</v>
          </cell>
          <cell r="F340">
            <v>20002050000</v>
          </cell>
          <cell r="G340">
            <v>0</v>
          </cell>
          <cell r="H340">
            <v>0</v>
          </cell>
          <cell r="I340">
            <v>0</v>
          </cell>
          <cell r="J340">
            <v>0</v>
          </cell>
          <cell r="K340">
            <v>0</v>
          </cell>
          <cell r="L340">
            <v>0</v>
          </cell>
          <cell r="M340">
            <v>0</v>
          </cell>
          <cell r="N340">
            <v>0</v>
          </cell>
          <cell r="O340">
            <v>0</v>
          </cell>
          <cell r="P340">
            <v>20002050000</v>
          </cell>
          <cell r="Q340">
            <v>0</v>
          </cell>
          <cell r="R340">
            <v>0</v>
          </cell>
          <cell r="S340">
            <v>20002050000</v>
          </cell>
          <cell r="T340">
            <v>20002050000</v>
          </cell>
          <cell r="U340">
            <v>0</v>
          </cell>
          <cell r="V340">
            <v>0</v>
          </cell>
          <cell r="W340">
            <v>0</v>
          </cell>
          <cell r="X340">
            <v>0</v>
          </cell>
          <cell r="Y340">
            <v>0</v>
          </cell>
          <cell r="Z340">
            <v>0</v>
          </cell>
          <cell r="AA340">
            <v>0</v>
          </cell>
          <cell r="AB340">
            <v>0</v>
          </cell>
          <cell r="AC340">
            <v>0</v>
          </cell>
          <cell r="AD340">
            <v>20002050000</v>
          </cell>
          <cell r="AE340">
            <v>0</v>
          </cell>
          <cell r="AF340">
            <v>0</v>
          </cell>
          <cell r="AG340">
            <v>20002050000</v>
          </cell>
        </row>
        <row r="341">
          <cell r="B341" t="str">
            <v>41111a</v>
          </cell>
          <cell r="D341" t="str">
            <v>411a</v>
          </cell>
          <cell r="E341" t="str">
            <v xml:space="preserve"> - Cổ phiếu phổ thông có quyền biểu quyết</v>
          </cell>
          <cell r="F341">
            <v>20002050000</v>
          </cell>
          <cell r="G341">
            <v>0</v>
          </cell>
          <cell r="H341">
            <v>0</v>
          </cell>
          <cell r="I341">
            <v>0</v>
          </cell>
          <cell r="J341">
            <v>0</v>
          </cell>
          <cell r="K341">
            <v>0</v>
          </cell>
          <cell r="L341">
            <v>0</v>
          </cell>
          <cell r="M341">
            <v>0</v>
          </cell>
          <cell r="N341">
            <v>0</v>
          </cell>
          <cell r="O341">
            <v>0</v>
          </cell>
          <cell r="P341">
            <v>20002050000</v>
          </cell>
          <cell r="Q341">
            <v>0</v>
          </cell>
          <cell r="R341">
            <v>0</v>
          </cell>
          <cell r="S341">
            <v>20002050000</v>
          </cell>
          <cell r="T341">
            <v>20002050000</v>
          </cell>
          <cell r="U341">
            <v>0</v>
          </cell>
          <cell r="V341">
            <v>0</v>
          </cell>
          <cell r="W341">
            <v>0</v>
          </cell>
          <cell r="X341">
            <v>0</v>
          </cell>
          <cell r="Y341">
            <v>0</v>
          </cell>
          <cell r="Z341">
            <v>0</v>
          </cell>
          <cell r="AA341">
            <v>0</v>
          </cell>
          <cell r="AB341">
            <v>0</v>
          </cell>
          <cell r="AC341">
            <v>0</v>
          </cell>
          <cell r="AD341">
            <v>20002050000</v>
          </cell>
          <cell r="AE341">
            <v>0</v>
          </cell>
          <cell r="AF341">
            <v>0</v>
          </cell>
          <cell r="AG341">
            <v>20002050000</v>
          </cell>
        </row>
        <row r="342">
          <cell r="B342" t="str">
            <v>41112v</v>
          </cell>
          <cell r="D342" t="str">
            <v>411b</v>
          </cell>
          <cell r="E342" t="str">
            <v xml:space="preserve"> - Cổ phiếu ưu đãi</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row>
        <row r="343">
          <cell r="B343" t="str">
            <v>41111b</v>
          </cell>
          <cell r="D343" t="str">
            <v>411c</v>
          </cell>
          <cell r="E343" t="str">
            <v xml:space="preserve"> - Vốn đầu tư của CSH - Công ty TNHH</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row>
        <row r="344">
          <cell r="B344" t="str">
            <v>4112</v>
          </cell>
          <cell r="D344" t="str">
            <v>412</v>
          </cell>
          <cell r="E344" t="str">
            <v>2. Thặng dư vốn cổ phần</v>
          </cell>
          <cell r="F344">
            <v>1593954840</v>
          </cell>
          <cell r="G344">
            <v>0</v>
          </cell>
          <cell r="H344">
            <v>0</v>
          </cell>
          <cell r="I344">
            <v>0</v>
          </cell>
          <cell r="J344">
            <v>0</v>
          </cell>
          <cell r="K344">
            <v>0</v>
          </cell>
          <cell r="L344">
            <v>0</v>
          </cell>
          <cell r="M344">
            <v>0</v>
          </cell>
          <cell r="N344">
            <v>0</v>
          </cell>
          <cell r="O344">
            <v>0</v>
          </cell>
          <cell r="P344">
            <v>1593954840</v>
          </cell>
          <cell r="Q344">
            <v>0</v>
          </cell>
          <cell r="R344">
            <v>0</v>
          </cell>
          <cell r="S344">
            <v>1593954840</v>
          </cell>
          <cell r="T344">
            <v>1593954840</v>
          </cell>
          <cell r="U344">
            <v>0</v>
          </cell>
          <cell r="V344">
            <v>0</v>
          </cell>
          <cell r="W344">
            <v>0</v>
          </cell>
          <cell r="X344">
            <v>0</v>
          </cell>
          <cell r="Y344">
            <v>0</v>
          </cell>
          <cell r="Z344">
            <v>0</v>
          </cell>
          <cell r="AA344">
            <v>0</v>
          </cell>
          <cell r="AB344">
            <v>0</v>
          </cell>
          <cell r="AC344">
            <v>0</v>
          </cell>
          <cell r="AD344">
            <v>1593954840</v>
          </cell>
          <cell r="AE344">
            <v>0</v>
          </cell>
          <cell r="AF344">
            <v>0</v>
          </cell>
          <cell r="AG344">
            <v>1593954840</v>
          </cell>
        </row>
        <row r="345">
          <cell r="B345" t="str">
            <v>4113</v>
          </cell>
          <cell r="D345" t="str">
            <v>413</v>
          </cell>
          <cell r="E345" t="str">
            <v>3. Quyền chọn chuyển đối trái phiếu</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row>
        <row r="346">
          <cell r="B346" t="str">
            <v>4118</v>
          </cell>
          <cell r="D346" t="str">
            <v>414</v>
          </cell>
          <cell r="E346" t="str">
            <v>4. Vốn khác của chủ sở hữu</v>
          </cell>
          <cell r="F346">
            <v>17380958861</v>
          </cell>
          <cell r="G346">
            <v>0</v>
          </cell>
          <cell r="H346">
            <v>0</v>
          </cell>
          <cell r="I346">
            <v>0</v>
          </cell>
          <cell r="J346">
            <v>0</v>
          </cell>
          <cell r="K346">
            <v>0</v>
          </cell>
          <cell r="L346">
            <v>0</v>
          </cell>
          <cell r="M346">
            <v>0</v>
          </cell>
          <cell r="N346">
            <v>0</v>
          </cell>
          <cell r="O346">
            <v>0</v>
          </cell>
          <cell r="P346">
            <v>17380958861</v>
          </cell>
          <cell r="Q346">
            <v>0</v>
          </cell>
          <cell r="R346">
            <v>0</v>
          </cell>
          <cell r="S346">
            <v>17380958861</v>
          </cell>
          <cell r="T346">
            <v>17380958861</v>
          </cell>
          <cell r="U346">
            <v>0</v>
          </cell>
          <cell r="V346">
            <v>0</v>
          </cell>
          <cell r="W346">
            <v>0</v>
          </cell>
          <cell r="X346">
            <v>0</v>
          </cell>
          <cell r="Y346">
            <v>0</v>
          </cell>
          <cell r="Z346">
            <v>0</v>
          </cell>
          <cell r="AA346">
            <v>0</v>
          </cell>
          <cell r="AB346">
            <v>0</v>
          </cell>
          <cell r="AC346">
            <v>0</v>
          </cell>
          <cell r="AD346">
            <v>17380958861</v>
          </cell>
          <cell r="AE346">
            <v>0</v>
          </cell>
          <cell r="AF346">
            <v>0</v>
          </cell>
          <cell r="AG346">
            <v>17380958861</v>
          </cell>
        </row>
        <row r="347">
          <cell r="B347" t="str">
            <v>419</v>
          </cell>
          <cell r="D347" t="str">
            <v>415</v>
          </cell>
          <cell r="E347" t="str">
            <v>5. Cổ phiếu quỹ (*)</v>
          </cell>
          <cell r="F347">
            <v>-2050000</v>
          </cell>
          <cell r="G347">
            <v>0</v>
          </cell>
          <cell r="H347">
            <v>0</v>
          </cell>
          <cell r="I347">
            <v>0</v>
          </cell>
          <cell r="J347">
            <v>0</v>
          </cell>
          <cell r="K347">
            <v>0</v>
          </cell>
          <cell r="L347">
            <v>0</v>
          </cell>
          <cell r="M347">
            <v>0</v>
          </cell>
          <cell r="N347">
            <v>0</v>
          </cell>
          <cell r="O347">
            <v>0</v>
          </cell>
          <cell r="P347">
            <v>-2050000</v>
          </cell>
          <cell r="Q347">
            <v>0</v>
          </cell>
          <cell r="R347">
            <v>0</v>
          </cell>
          <cell r="S347">
            <v>-2050000</v>
          </cell>
          <cell r="T347">
            <v>-2050000</v>
          </cell>
          <cell r="U347">
            <v>0</v>
          </cell>
          <cell r="V347">
            <v>0</v>
          </cell>
          <cell r="W347">
            <v>0</v>
          </cell>
          <cell r="X347">
            <v>0</v>
          </cell>
          <cell r="Y347">
            <v>0</v>
          </cell>
          <cell r="Z347">
            <v>0</v>
          </cell>
          <cell r="AA347">
            <v>0</v>
          </cell>
          <cell r="AB347">
            <v>0</v>
          </cell>
          <cell r="AC347">
            <v>0</v>
          </cell>
          <cell r="AD347">
            <v>-2050000</v>
          </cell>
          <cell r="AE347">
            <v>0</v>
          </cell>
          <cell r="AF347">
            <v>0</v>
          </cell>
          <cell r="AG347">
            <v>-2050000</v>
          </cell>
        </row>
        <row r="348">
          <cell r="B348" t="str">
            <v>412</v>
          </cell>
          <cell r="D348" t="str">
            <v>416</v>
          </cell>
          <cell r="E348" t="str">
            <v>6. Chênh lệch đánh giá lại tài sản</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row>
        <row r="349">
          <cell r="D349" t="str">
            <v>417</v>
          </cell>
          <cell r="E349" t="str">
            <v>7. Chênh lệch tỷ giá hối đoái</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row>
        <row r="350">
          <cell r="B350" t="str">
            <v>4131</v>
          </cell>
          <cell r="D350" t="str">
            <v>417a</v>
          </cell>
          <cell r="E350" t="str">
            <v xml:space="preserve"> - Chênh lệch tỷ giá do đánh giá lại các khoản mục tiền tệ có gốc ngoại tệ</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row>
        <row r="351">
          <cell r="B351" t="str">
            <v>4132</v>
          </cell>
          <cell r="D351" t="str">
            <v>417b</v>
          </cell>
          <cell r="E351" t="str">
            <v xml:space="preserve"> - Chênh lệch tỷ giá hối đoái trong giai đoạn trước hoạt động</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row>
        <row r="352">
          <cell r="B352" t="str">
            <v>414</v>
          </cell>
          <cell r="D352" t="str">
            <v>418</v>
          </cell>
          <cell r="E352" t="str">
            <v>8. Quỹ đầu tư phát triển</v>
          </cell>
          <cell r="F352">
            <v>9212585483</v>
          </cell>
          <cell r="G352">
            <v>0</v>
          </cell>
          <cell r="H352">
            <v>0</v>
          </cell>
          <cell r="I352">
            <v>0</v>
          </cell>
          <cell r="J352">
            <v>0</v>
          </cell>
          <cell r="K352">
            <v>0</v>
          </cell>
          <cell r="L352">
            <v>0</v>
          </cell>
          <cell r="M352">
            <v>0</v>
          </cell>
          <cell r="N352">
            <v>0</v>
          </cell>
          <cell r="O352">
            <v>0</v>
          </cell>
          <cell r="P352">
            <v>9212585483</v>
          </cell>
          <cell r="Q352">
            <v>0</v>
          </cell>
          <cell r="R352">
            <v>0</v>
          </cell>
          <cell r="S352">
            <v>9212585483</v>
          </cell>
          <cell r="T352">
            <v>9212585483</v>
          </cell>
          <cell r="U352">
            <v>0</v>
          </cell>
          <cell r="V352">
            <v>0</v>
          </cell>
          <cell r="W352">
            <v>0</v>
          </cell>
          <cell r="X352">
            <v>0</v>
          </cell>
          <cell r="Y352">
            <v>0</v>
          </cell>
          <cell r="Z352">
            <v>0</v>
          </cell>
          <cell r="AA352">
            <v>0</v>
          </cell>
          <cell r="AB352">
            <v>0</v>
          </cell>
          <cell r="AC352">
            <v>0</v>
          </cell>
          <cell r="AD352">
            <v>9212585483</v>
          </cell>
          <cell r="AE352">
            <v>0</v>
          </cell>
          <cell r="AF352">
            <v>0</v>
          </cell>
          <cell r="AG352">
            <v>9212585483</v>
          </cell>
        </row>
        <row r="353">
          <cell r="B353" t="str">
            <v>417</v>
          </cell>
          <cell r="D353" t="str">
            <v>419</v>
          </cell>
          <cell r="E353" t="str">
            <v>9. Quỹ hỗ trợ sắp xếp doanh nghiệp</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row>
        <row r="354">
          <cell r="B354" t="str">
            <v>418</v>
          </cell>
          <cell r="D354" t="str">
            <v>420</v>
          </cell>
          <cell r="E354" t="str">
            <v>10. Quỹ khác thuộc vốn chủ sở hữu</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row>
        <row r="355">
          <cell r="D355" t="str">
            <v>421</v>
          </cell>
          <cell r="E355" t="str">
            <v>10. Lợi nhuận sau thuế chưa phân phối</v>
          </cell>
          <cell r="F355">
            <v>1363669278</v>
          </cell>
          <cell r="G355">
            <v>-978077621</v>
          </cell>
          <cell r="H355">
            <v>0</v>
          </cell>
          <cell r="I355">
            <v>0</v>
          </cell>
          <cell r="J355">
            <v>0</v>
          </cell>
          <cell r="K355">
            <v>0</v>
          </cell>
          <cell r="L355">
            <v>0</v>
          </cell>
          <cell r="M355">
            <v>0</v>
          </cell>
          <cell r="N355">
            <v>0</v>
          </cell>
          <cell r="O355">
            <v>0</v>
          </cell>
          <cell r="P355">
            <v>385591657</v>
          </cell>
          <cell r="Q355">
            <v>4645758011</v>
          </cell>
          <cell r="R355">
            <v>4516336313</v>
          </cell>
          <cell r="S355">
            <v>256169959</v>
          </cell>
          <cell r="T355">
            <v>-1949420899</v>
          </cell>
          <cell r="U355">
            <v>0</v>
          </cell>
          <cell r="V355">
            <v>0</v>
          </cell>
          <cell r="W355">
            <v>0</v>
          </cell>
          <cell r="X355">
            <v>0</v>
          </cell>
          <cell r="Y355">
            <v>0</v>
          </cell>
          <cell r="Z355">
            <v>0</v>
          </cell>
          <cell r="AA355">
            <v>0</v>
          </cell>
          <cell r="AB355">
            <v>0</v>
          </cell>
          <cell r="AC355">
            <v>0</v>
          </cell>
          <cell r="AD355">
            <v>-1949420899</v>
          </cell>
          <cell r="AE355">
            <v>0</v>
          </cell>
          <cell r="AF355">
            <v>0</v>
          </cell>
          <cell r="AG355">
            <v>-1949420899</v>
          </cell>
        </row>
        <row r="356">
          <cell r="B356" t="str">
            <v>4211</v>
          </cell>
          <cell r="D356" t="str">
            <v>421a</v>
          </cell>
          <cell r="E356" t="str">
            <v xml:space="preserve"> - LNST chưa phân phối lũy kế đến cuối kỳ trước</v>
          </cell>
          <cell r="F356">
            <v>-1349633411</v>
          </cell>
          <cell r="G356">
            <v>-599787488</v>
          </cell>
          <cell r="H356">
            <v>0</v>
          </cell>
          <cell r="I356">
            <v>0</v>
          </cell>
          <cell r="J356">
            <v>0</v>
          </cell>
          <cell r="K356">
            <v>0</v>
          </cell>
          <cell r="L356">
            <v>0</v>
          </cell>
          <cell r="M356">
            <v>0</v>
          </cell>
          <cell r="N356">
            <v>0</v>
          </cell>
          <cell r="O356">
            <v>0</v>
          </cell>
          <cell r="P356">
            <v>-1949420899</v>
          </cell>
          <cell r="Q356">
            <v>0</v>
          </cell>
          <cell r="R356">
            <v>0</v>
          </cell>
          <cell r="S356">
            <v>-1949420899</v>
          </cell>
          <cell r="T356">
            <v>-2672843766</v>
          </cell>
          <cell r="U356">
            <v>0</v>
          </cell>
          <cell r="V356">
            <v>0</v>
          </cell>
          <cell r="W356">
            <v>0</v>
          </cell>
          <cell r="X356">
            <v>0</v>
          </cell>
          <cell r="Y356">
            <v>0</v>
          </cell>
          <cell r="Z356">
            <v>0</v>
          </cell>
          <cell r="AA356">
            <v>0</v>
          </cell>
          <cell r="AB356">
            <v>0</v>
          </cell>
          <cell r="AC356">
            <v>0</v>
          </cell>
          <cell r="AD356">
            <v>-2672843766</v>
          </cell>
          <cell r="AE356">
            <v>0</v>
          </cell>
          <cell r="AF356">
            <v>0</v>
          </cell>
          <cell r="AG356">
            <v>-2672843766</v>
          </cell>
        </row>
        <row r="357">
          <cell r="B357" t="str">
            <v>4212</v>
          </cell>
          <cell r="D357" t="str">
            <v>421b</v>
          </cell>
          <cell r="E357" t="str">
            <v xml:space="preserve"> - LNST chưa phân phối kỳ này</v>
          </cell>
          <cell r="F357">
            <v>2713302689</v>
          </cell>
          <cell r="G357">
            <v>-378290133</v>
          </cell>
          <cell r="H357">
            <v>0</v>
          </cell>
          <cell r="I357">
            <v>0</v>
          </cell>
          <cell r="J357">
            <v>0</v>
          </cell>
          <cell r="K357">
            <v>0</v>
          </cell>
          <cell r="L357">
            <v>0</v>
          </cell>
          <cell r="M357">
            <v>0</v>
          </cell>
          <cell r="N357">
            <v>0</v>
          </cell>
          <cell r="O357">
            <v>0</v>
          </cell>
          <cell r="P357">
            <v>2335012556</v>
          </cell>
          <cell r="Q357">
            <v>4645758011</v>
          </cell>
          <cell r="R357">
            <v>4516336313</v>
          </cell>
          <cell r="S357">
            <v>2205590858</v>
          </cell>
          <cell r="T357">
            <v>723422867</v>
          </cell>
          <cell r="U357">
            <v>0</v>
          </cell>
          <cell r="V357">
            <v>0</v>
          </cell>
          <cell r="W357">
            <v>0</v>
          </cell>
          <cell r="X357">
            <v>0</v>
          </cell>
          <cell r="Y357">
            <v>0</v>
          </cell>
          <cell r="Z357">
            <v>0</v>
          </cell>
          <cell r="AA357">
            <v>0</v>
          </cell>
          <cell r="AB357">
            <v>0</v>
          </cell>
          <cell r="AC357">
            <v>0</v>
          </cell>
          <cell r="AD357">
            <v>723422867</v>
          </cell>
          <cell r="AE357">
            <v>0</v>
          </cell>
          <cell r="AF357">
            <v>0</v>
          </cell>
          <cell r="AG357">
            <v>723422867</v>
          </cell>
        </row>
        <row r="358">
          <cell r="B358" t="str">
            <v>441</v>
          </cell>
          <cell r="D358" t="str">
            <v>422</v>
          </cell>
          <cell r="E358" t="str">
            <v>12. Nguồn vốn đầu tư XDCB</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row>
        <row r="360">
          <cell r="D360" t="str">
            <v>430</v>
          </cell>
          <cell r="E360" t="str">
            <v>II. Nguồn kinh phí và quỹ khác</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D361" t="str">
            <v>431</v>
          </cell>
          <cell r="E361" t="str">
            <v>1. Nguồn kinh phí</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row>
        <row r="362">
          <cell r="B362" t="str">
            <v>4611</v>
          </cell>
          <cell r="D362" t="str">
            <v>431a</v>
          </cell>
          <cell r="E362" t="str">
            <v xml:space="preserve"> - Nguồn kinh phí sự nghiệp năm trước</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row>
        <row r="363">
          <cell r="B363" t="str">
            <v>4612</v>
          </cell>
          <cell r="D363" t="str">
            <v>431b</v>
          </cell>
          <cell r="E363" t="str">
            <v xml:space="preserve"> - Nguồn kinh phí sự nghiệp năm nay</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B364" t="str">
            <v>1611</v>
          </cell>
          <cell r="D364" t="str">
            <v>431c</v>
          </cell>
          <cell r="E364" t="str">
            <v xml:space="preserve"> - Chi sự nghiệp năm trước (*)</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B365" t="str">
            <v>1612</v>
          </cell>
          <cell r="D365" t="str">
            <v>431d</v>
          </cell>
          <cell r="E365" t="str">
            <v xml:space="preserve"> - Chi sự nghiệp năm nay (*)</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B366" t="str">
            <v>466</v>
          </cell>
          <cell r="D366" t="str">
            <v>432</v>
          </cell>
          <cell r="E366" t="str">
            <v>2. Nguồn kinh phí đã hình thành TSCĐ</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row>
        <row r="368">
          <cell r="D368" t="str">
            <v>440</v>
          </cell>
          <cell r="E368" t="str">
            <v>TỔNG CỘNG NGUỒN VỐN</v>
          </cell>
          <cell r="F368">
            <v>54287657793</v>
          </cell>
          <cell r="G368">
            <v>16811728600</v>
          </cell>
          <cell r="H368">
            <v>0</v>
          </cell>
          <cell r="I368">
            <v>0</v>
          </cell>
          <cell r="J368">
            <v>0</v>
          </cell>
          <cell r="K368">
            <v>0</v>
          </cell>
          <cell r="L368">
            <v>0</v>
          </cell>
          <cell r="M368">
            <v>0</v>
          </cell>
          <cell r="N368">
            <v>0</v>
          </cell>
          <cell r="O368">
            <v>0</v>
          </cell>
          <cell r="P368">
            <v>71099386393</v>
          </cell>
          <cell r="Q368">
            <v>16704556478</v>
          </cell>
          <cell r="R368">
            <v>5171103110</v>
          </cell>
          <cell r="S368">
            <v>59565933025</v>
          </cell>
          <cell r="T368">
            <v>56296382432</v>
          </cell>
          <cell r="U368">
            <v>0</v>
          </cell>
          <cell r="V368">
            <v>0</v>
          </cell>
          <cell r="W368">
            <v>0</v>
          </cell>
          <cell r="X368">
            <v>0</v>
          </cell>
          <cell r="Y368">
            <v>0</v>
          </cell>
          <cell r="Z368">
            <v>0</v>
          </cell>
          <cell r="AA368">
            <v>0</v>
          </cell>
          <cell r="AB368">
            <v>0</v>
          </cell>
          <cell r="AC368">
            <v>0</v>
          </cell>
          <cell r="AD368">
            <v>56296382432</v>
          </cell>
          <cell r="AE368">
            <v>0</v>
          </cell>
          <cell r="AF368">
            <v>0</v>
          </cell>
          <cell r="AG368">
            <v>56296382432</v>
          </cell>
        </row>
        <row r="370">
          <cell r="D370" t="str">
            <v>BÁO CÁO KẾT QUẢ KINH DOANH</v>
          </cell>
        </row>
        <row r="372">
          <cell r="D372" t="str">
            <v>Mã số</v>
          </cell>
          <cell r="E372" t="str">
            <v>CHỈ TIÊU</v>
          </cell>
          <cell r="F372" t="str">
            <v>Từ Sơn</v>
          </cell>
          <cell r="G372" t="str">
            <v>Hải Dương</v>
          </cell>
          <cell r="H372" t="str">
            <v>Dv03</v>
          </cell>
          <cell r="I372" t="str">
            <v>Dv04</v>
          </cell>
          <cell r="J372" t="str">
            <v>Dv05</v>
          </cell>
          <cell r="K372" t="str">
            <v>Dv06</v>
          </cell>
          <cell r="L372" t="str">
            <v>Dv07</v>
          </cell>
          <cell r="M372" t="str">
            <v>Dv08</v>
          </cell>
          <cell r="N372" t="str">
            <v>Dv09</v>
          </cell>
          <cell r="O372" t="str">
            <v>Dv10</v>
          </cell>
          <cell r="P372" t="str">
            <v>Báo cáo</v>
          </cell>
          <cell r="Q372" t="str">
            <v>Đ/c Nợ</v>
          </cell>
          <cell r="R372" t="str">
            <v>Đ/c Có</v>
          </cell>
          <cell r="S372" t="str">
            <v>Sau điều chỉnh</v>
          </cell>
          <cell r="T372" t="str">
            <v>Từ Sơn</v>
          </cell>
          <cell r="U372" t="str">
            <v>Hải Dương</v>
          </cell>
          <cell r="V372" t="str">
            <v>Dv03</v>
          </cell>
          <cell r="W372" t="str">
            <v>Dv04</v>
          </cell>
          <cell r="X372" t="str">
            <v>Dv05</v>
          </cell>
          <cell r="Y372" t="str">
            <v>Dv06</v>
          </cell>
          <cell r="Z372" t="str">
            <v>Dv07</v>
          </cell>
          <cell r="AA372" t="str">
            <v>Dv08</v>
          </cell>
          <cell r="AB372" t="str">
            <v>Dv09</v>
          </cell>
          <cell r="AC372" t="str">
            <v>Dv10</v>
          </cell>
          <cell r="AD372" t="str">
            <v>Báo cáo</v>
          </cell>
          <cell r="AE372" t="str">
            <v>Đ/c Nợ</v>
          </cell>
          <cell r="AF372" t="str">
            <v>Đ/c Có</v>
          </cell>
          <cell r="AG372" t="str">
            <v>Sau điều chỉnh</v>
          </cell>
        </row>
        <row r="373">
          <cell r="D373" t="str">
            <v>1</v>
          </cell>
          <cell r="E373" t="str">
            <v>2</v>
          </cell>
          <cell r="F373" t="str">
            <v>3.01</v>
          </cell>
          <cell r="G373" t="str">
            <v>3.02</v>
          </cell>
          <cell r="H373" t="str">
            <v>3.03</v>
          </cell>
          <cell r="I373" t="str">
            <v>3.04</v>
          </cell>
          <cell r="J373" t="str">
            <v>3.05</v>
          </cell>
          <cell r="K373" t="str">
            <v>3.06</v>
          </cell>
          <cell r="L373" t="str">
            <v>3.07</v>
          </cell>
          <cell r="M373" t="str">
            <v>3.08</v>
          </cell>
          <cell r="N373" t="str">
            <v>3.09</v>
          </cell>
          <cell r="O373" t="str">
            <v>3.10</v>
          </cell>
          <cell r="P373" t="str">
            <v>3</v>
          </cell>
          <cell r="Q373" t="str">
            <v>4</v>
          </cell>
          <cell r="R373" t="str">
            <v>5</v>
          </cell>
          <cell r="S373" t="str">
            <v>6</v>
          </cell>
          <cell r="T373" t="str">
            <v>7.01</v>
          </cell>
          <cell r="U373" t="str">
            <v>7.02</v>
          </cell>
          <cell r="V373" t="str">
            <v>7.03</v>
          </cell>
          <cell r="W373" t="str">
            <v>7.04</v>
          </cell>
          <cell r="X373" t="str">
            <v>7.05</v>
          </cell>
          <cell r="Y373" t="str">
            <v>7.06</v>
          </cell>
          <cell r="Z373" t="str">
            <v>7.07</v>
          </cell>
          <cell r="AA373" t="str">
            <v>7.08</v>
          </cell>
          <cell r="AB373" t="str">
            <v>7.09</v>
          </cell>
          <cell r="AC373" t="str">
            <v>7.10</v>
          </cell>
          <cell r="AD373" t="str">
            <v>7</v>
          </cell>
          <cell r="AE373" t="str">
            <v>8</v>
          </cell>
          <cell r="AF373" t="str">
            <v>9</v>
          </cell>
          <cell r="AG373" t="str">
            <v>10</v>
          </cell>
        </row>
        <row r="375">
          <cell r="D375" t="str">
            <v>01</v>
          </cell>
          <cell r="E375" t="str">
            <v>1. Doanh thu bán hàng và cung cấp dịch vụ</v>
          </cell>
          <cell r="F375">
            <v>29678973194</v>
          </cell>
          <cell r="G375">
            <v>20061090604</v>
          </cell>
          <cell r="H375">
            <v>0</v>
          </cell>
          <cell r="I375">
            <v>0</v>
          </cell>
          <cell r="J375">
            <v>0</v>
          </cell>
          <cell r="K375">
            <v>0</v>
          </cell>
          <cell r="L375">
            <v>0</v>
          </cell>
          <cell r="M375">
            <v>0</v>
          </cell>
          <cell r="N375">
            <v>0</v>
          </cell>
          <cell r="O375">
            <v>0</v>
          </cell>
          <cell r="P375">
            <v>49740063798</v>
          </cell>
          <cell r="Q375">
            <v>2434120560</v>
          </cell>
          <cell r="R375">
            <v>0</v>
          </cell>
          <cell r="S375">
            <v>47305943238</v>
          </cell>
          <cell r="T375">
            <v>58097846033</v>
          </cell>
          <cell r="U375">
            <v>0</v>
          </cell>
          <cell r="V375">
            <v>0</v>
          </cell>
          <cell r="W375">
            <v>0</v>
          </cell>
          <cell r="X375">
            <v>0</v>
          </cell>
          <cell r="Y375">
            <v>0</v>
          </cell>
          <cell r="Z375">
            <v>0</v>
          </cell>
          <cell r="AA375">
            <v>0</v>
          </cell>
          <cell r="AB375">
            <v>0</v>
          </cell>
          <cell r="AC375">
            <v>0</v>
          </cell>
          <cell r="AD375">
            <v>58097846033</v>
          </cell>
          <cell r="AE375">
            <v>0</v>
          </cell>
          <cell r="AF375">
            <v>0</v>
          </cell>
          <cell r="AG375">
            <v>58097846033</v>
          </cell>
        </row>
        <row r="376">
          <cell r="B376" t="str">
            <v>5111</v>
          </cell>
          <cell r="D376" t="str">
            <v>01a</v>
          </cell>
          <cell r="E376" t="str">
            <v xml:space="preserve"> - Doanh thu bán hàng hóa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B377" t="str">
            <v>5112</v>
          </cell>
          <cell r="D377" t="str">
            <v>01b</v>
          </cell>
          <cell r="E377" t="str">
            <v xml:space="preserve"> - Doanh thu bán các thành phẩm</v>
          </cell>
          <cell r="F377">
            <v>29678973194</v>
          </cell>
          <cell r="G377">
            <v>20061090604</v>
          </cell>
          <cell r="H377">
            <v>0</v>
          </cell>
          <cell r="I377">
            <v>0</v>
          </cell>
          <cell r="J377">
            <v>0</v>
          </cell>
          <cell r="K377">
            <v>0</v>
          </cell>
          <cell r="L377">
            <v>0</v>
          </cell>
          <cell r="M377">
            <v>0</v>
          </cell>
          <cell r="N377">
            <v>0</v>
          </cell>
          <cell r="O377">
            <v>0</v>
          </cell>
          <cell r="P377">
            <v>49740063798</v>
          </cell>
          <cell r="Q377">
            <v>2434120560</v>
          </cell>
          <cell r="R377">
            <v>0</v>
          </cell>
          <cell r="S377">
            <v>47305943238</v>
          </cell>
          <cell r="T377">
            <v>58097846033</v>
          </cell>
          <cell r="U377">
            <v>0</v>
          </cell>
          <cell r="V377">
            <v>0</v>
          </cell>
          <cell r="W377">
            <v>0</v>
          </cell>
          <cell r="X377">
            <v>0</v>
          </cell>
          <cell r="Y377">
            <v>0</v>
          </cell>
          <cell r="Z377">
            <v>0</v>
          </cell>
          <cell r="AA377">
            <v>0</v>
          </cell>
          <cell r="AB377">
            <v>0</v>
          </cell>
          <cell r="AC377">
            <v>0</v>
          </cell>
          <cell r="AD377">
            <v>58097846033</v>
          </cell>
          <cell r="AE377">
            <v>0</v>
          </cell>
          <cell r="AF377">
            <v>0</v>
          </cell>
          <cell r="AG377">
            <v>58097846033</v>
          </cell>
        </row>
        <row r="378">
          <cell r="B378" t="str">
            <v>5113</v>
          </cell>
          <cell r="D378" t="str">
            <v>01c</v>
          </cell>
          <cell r="E378" t="str">
            <v xml:space="preserve"> - Doanh thu cung cấp dịch vụ</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B379" t="str">
            <v>5114</v>
          </cell>
          <cell r="D379" t="str">
            <v>01d</v>
          </cell>
          <cell r="E379" t="str">
            <v xml:space="preserve"> - Doanh thu trợ cấp, trợ giá</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row>
        <row r="380">
          <cell r="B380" t="str">
            <v>5117</v>
          </cell>
          <cell r="D380" t="str">
            <v>01e</v>
          </cell>
          <cell r="E380" t="str">
            <v xml:space="preserve"> - Doanh thu kinh doanh BĐS đầu tư</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B381" t="str">
            <v>5118</v>
          </cell>
          <cell r="D381" t="str">
            <v>01f</v>
          </cell>
          <cell r="E381" t="str">
            <v xml:space="preserve"> - Doanh thu khác</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D382" t="str">
            <v>02</v>
          </cell>
          <cell r="E382" t="str">
            <v>2. Các khoản giảm trừ</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row>
        <row r="383">
          <cell r="B383" t="str">
            <v>5211</v>
          </cell>
          <cell r="D383" t="str">
            <v>02a</v>
          </cell>
          <cell r="E383" t="str">
            <v xml:space="preserve"> - Chiết khấu thương mại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row>
        <row r="384">
          <cell r="B384" t="str">
            <v>5212</v>
          </cell>
          <cell r="D384" t="str">
            <v>02b</v>
          </cell>
          <cell r="E384" t="str">
            <v xml:space="preserve"> - Giảm giá hàng bán</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row>
        <row r="385">
          <cell r="B385" t="str">
            <v>5213</v>
          </cell>
          <cell r="D385" t="str">
            <v>02c</v>
          </cell>
          <cell r="E385" t="str">
            <v xml:space="preserve"> - Hàng bán bị trả lại</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D386" t="str">
            <v>10</v>
          </cell>
          <cell r="E386" t="str">
            <v>3. Doanh thu thuần về bán hàng 
và cung cấp dịch vụ (10 = 01 - 02 )</v>
          </cell>
          <cell r="F386">
            <v>29678973194</v>
          </cell>
          <cell r="G386">
            <v>20061090604</v>
          </cell>
          <cell r="H386">
            <v>0</v>
          </cell>
          <cell r="I386">
            <v>0</v>
          </cell>
          <cell r="J386">
            <v>0</v>
          </cell>
          <cell r="K386">
            <v>0</v>
          </cell>
          <cell r="L386">
            <v>0</v>
          </cell>
          <cell r="M386">
            <v>0</v>
          </cell>
          <cell r="N386">
            <v>0</v>
          </cell>
          <cell r="O386">
            <v>0</v>
          </cell>
          <cell r="P386">
            <v>49740063798</v>
          </cell>
          <cell r="Q386">
            <v>2434120560</v>
          </cell>
          <cell r="R386">
            <v>0</v>
          </cell>
          <cell r="S386">
            <v>47305943238</v>
          </cell>
          <cell r="T386">
            <v>58097846033</v>
          </cell>
          <cell r="U386">
            <v>0</v>
          </cell>
          <cell r="V386">
            <v>0</v>
          </cell>
          <cell r="W386">
            <v>0</v>
          </cell>
          <cell r="X386">
            <v>0</v>
          </cell>
          <cell r="Y386">
            <v>0</v>
          </cell>
          <cell r="Z386">
            <v>0</v>
          </cell>
          <cell r="AA386">
            <v>0</v>
          </cell>
          <cell r="AB386">
            <v>0</v>
          </cell>
          <cell r="AC386">
            <v>0</v>
          </cell>
          <cell r="AD386">
            <v>58097846033</v>
          </cell>
          <cell r="AE386">
            <v>0</v>
          </cell>
          <cell r="AF386">
            <v>0</v>
          </cell>
          <cell r="AG386">
            <v>58097846033</v>
          </cell>
        </row>
        <row r="388">
          <cell r="D388" t="str">
            <v>11</v>
          </cell>
          <cell r="E388" t="str">
            <v>4. Giá vốn hàng bán</v>
          </cell>
          <cell r="F388">
            <v>24204243865</v>
          </cell>
          <cell r="G388">
            <v>18584665443</v>
          </cell>
          <cell r="H388">
            <v>0</v>
          </cell>
          <cell r="I388">
            <v>0</v>
          </cell>
          <cell r="J388">
            <v>0</v>
          </cell>
          <cell r="K388">
            <v>0</v>
          </cell>
          <cell r="L388">
            <v>0</v>
          </cell>
          <cell r="M388">
            <v>0</v>
          </cell>
          <cell r="N388">
            <v>0</v>
          </cell>
          <cell r="O388">
            <v>0</v>
          </cell>
          <cell r="P388">
            <v>42788909308</v>
          </cell>
          <cell r="Q388">
            <v>247858000</v>
          </cell>
          <cell r="R388">
            <v>2591857060</v>
          </cell>
          <cell r="S388">
            <v>40444910248</v>
          </cell>
          <cell r="T388">
            <v>48420149798</v>
          </cell>
          <cell r="U388">
            <v>0</v>
          </cell>
          <cell r="V388">
            <v>0</v>
          </cell>
          <cell r="W388">
            <v>0</v>
          </cell>
          <cell r="X388">
            <v>0</v>
          </cell>
          <cell r="Y388">
            <v>0</v>
          </cell>
          <cell r="Z388">
            <v>0</v>
          </cell>
          <cell r="AA388">
            <v>0</v>
          </cell>
          <cell r="AB388">
            <v>0</v>
          </cell>
          <cell r="AC388">
            <v>0</v>
          </cell>
          <cell r="AD388">
            <v>48420149798</v>
          </cell>
          <cell r="AE388">
            <v>0</v>
          </cell>
          <cell r="AF388">
            <v>0</v>
          </cell>
          <cell r="AG388">
            <v>48420149798</v>
          </cell>
        </row>
        <row r="389">
          <cell r="B389" t="str">
            <v>6321</v>
          </cell>
          <cell r="D389" t="str">
            <v>11a</v>
          </cell>
          <cell r="E389" t="str">
            <v xml:space="preserve"> - Giá vốn của hàng hóa đã bán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B390" t="str">
            <v>6322</v>
          </cell>
          <cell r="D390" t="str">
            <v>11b</v>
          </cell>
          <cell r="E390" t="str">
            <v xml:space="preserve"> - Giá vốn của thành phẩm đã bán</v>
          </cell>
          <cell r="F390">
            <v>22838144549</v>
          </cell>
          <cell r="G390">
            <v>17227753458</v>
          </cell>
          <cell r="H390">
            <v>0</v>
          </cell>
          <cell r="I390">
            <v>0</v>
          </cell>
          <cell r="J390">
            <v>0</v>
          </cell>
          <cell r="K390">
            <v>0</v>
          </cell>
          <cell r="L390">
            <v>0</v>
          </cell>
          <cell r="M390">
            <v>0</v>
          </cell>
          <cell r="N390">
            <v>0</v>
          </cell>
          <cell r="O390">
            <v>0</v>
          </cell>
          <cell r="P390">
            <v>40065898007</v>
          </cell>
          <cell r="Q390">
            <v>247858000</v>
          </cell>
          <cell r="R390">
            <v>2591857060</v>
          </cell>
          <cell r="S390">
            <v>37721898947</v>
          </cell>
          <cell r="T390">
            <v>46401108729</v>
          </cell>
          <cell r="U390">
            <v>0</v>
          </cell>
          <cell r="V390">
            <v>0</v>
          </cell>
          <cell r="W390">
            <v>0</v>
          </cell>
          <cell r="X390">
            <v>0</v>
          </cell>
          <cell r="Y390">
            <v>0</v>
          </cell>
          <cell r="Z390">
            <v>0</v>
          </cell>
          <cell r="AA390">
            <v>0</v>
          </cell>
          <cell r="AB390">
            <v>0</v>
          </cell>
          <cell r="AC390">
            <v>0</v>
          </cell>
          <cell r="AD390">
            <v>46401108729</v>
          </cell>
          <cell r="AE390">
            <v>0</v>
          </cell>
          <cell r="AF390">
            <v>0</v>
          </cell>
          <cell r="AG390">
            <v>46401108729</v>
          </cell>
        </row>
        <row r="391">
          <cell r="B391" t="str">
            <v>6323</v>
          </cell>
          <cell r="D391" t="str">
            <v>11c</v>
          </cell>
          <cell r="E391" t="str">
            <v xml:space="preserve"> - Giá vốn của dịch vụ đã cung cấp</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row>
        <row r="392">
          <cell r="B392" t="str">
            <v>6324</v>
          </cell>
          <cell r="D392" t="str">
            <v>11d</v>
          </cell>
          <cell r="E392" t="str">
            <v xml:space="preserve"> - Giá trị còn lại, chi phi nhượng bán, thanh lý của BĐS đầu tư đã bán</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B393" t="str">
            <v>6325</v>
          </cell>
          <cell r="D393" t="str">
            <v>11d</v>
          </cell>
          <cell r="E393" t="str">
            <v xml:space="preserve"> - Chi phí kinh doanh BĐS đầu tư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B394" t="str">
            <v>6326</v>
          </cell>
          <cell r="D394" t="str">
            <v>11e</v>
          </cell>
          <cell r="E394" t="str">
            <v xml:space="preserve"> - Giá trị hàng tồn kho mất mát trong kỳ</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B395" t="str">
            <v>6327</v>
          </cell>
          <cell r="D395" t="str">
            <v>11f</v>
          </cell>
          <cell r="E395" t="str">
            <v xml:space="preserve"> - Giá trị từng loại hàng tồn kho hao hụt ngoài định mức trong kỳ</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B396" t="str">
            <v>6328</v>
          </cell>
          <cell r="D396" t="str">
            <v>11g</v>
          </cell>
          <cell r="E396" t="str">
            <v xml:space="preserve"> - Các khoản chi phí vượt định mức bình thường khác tính trực tiếp vào giá vốn</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row>
        <row r="397">
          <cell r="B397" t="str">
            <v>6329</v>
          </cell>
          <cell r="D397" t="str">
            <v>11h</v>
          </cell>
          <cell r="E397" t="str">
            <v xml:space="preserve"> - Dự phòng giảm giá hàng tồn kho</v>
          </cell>
          <cell r="F397">
            <v>1366099316</v>
          </cell>
          <cell r="G397">
            <v>1356911985</v>
          </cell>
          <cell r="H397">
            <v>0</v>
          </cell>
          <cell r="I397">
            <v>0</v>
          </cell>
          <cell r="J397">
            <v>0</v>
          </cell>
          <cell r="K397">
            <v>0</v>
          </cell>
          <cell r="L397">
            <v>0</v>
          </cell>
          <cell r="M397">
            <v>0</v>
          </cell>
          <cell r="N397">
            <v>0</v>
          </cell>
          <cell r="O397">
            <v>0</v>
          </cell>
          <cell r="P397">
            <v>2723011301</v>
          </cell>
          <cell r="Q397">
            <v>0</v>
          </cell>
          <cell r="R397">
            <v>0</v>
          </cell>
          <cell r="S397">
            <v>2723011301</v>
          </cell>
          <cell r="T397">
            <v>2019041069</v>
          </cell>
          <cell r="U397">
            <v>0</v>
          </cell>
          <cell r="V397">
            <v>0</v>
          </cell>
          <cell r="W397">
            <v>0</v>
          </cell>
          <cell r="X397">
            <v>0</v>
          </cell>
          <cell r="Y397">
            <v>0</v>
          </cell>
          <cell r="Z397">
            <v>0</v>
          </cell>
          <cell r="AA397">
            <v>0</v>
          </cell>
          <cell r="AB397">
            <v>0</v>
          </cell>
          <cell r="AC397">
            <v>0</v>
          </cell>
          <cell r="AD397">
            <v>2019041069</v>
          </cell>
          <cell r="AE397">
            <v>0</v>
          </cell>
          <cell r="AF397">
            <v>0</v>
          </cell>
          <cell r="AG397">
            <v>2019041069</v>
          </cell>
        </row>
        <row r="398">
          <cell r="B398" t="str">
            <v>6320</v>
          </cell>
          <cell r="D398" t="str">
            <v>11i</v>
          </cell>
          <cell r="E398" t="str">
            <v xml:space="preserve"> - Các khoản ghi giảm giá vốn hàng báng</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D399" t="str">
            <v>20</v>
          </cell>
          <cell r="E399" t="str">
            <v>5. Lợi nhuận gộp về bán hàng 
và cung cấp dịch vụ (20 = 10 - 11)</v>
          </cell>
          <cell r="F399">
            <v>5474729329</v>
          </cell>
          <cell r="G399">
            <v>1476425161</v>
          </cell>
          <cell r="H399">
            <v>0</v>
          </cell>
          <cell r="I399">
            <v>0</v>
          </cell>
          <cell r="J399">
            <v>0</v>
          </cell>
          <cell r="K399">
            <v>0</v>
          </cell>
          <cell r="L399">
            <v>0</v>
          </cell>
          <cell r="M399">
            <v>0</v>
          </cell>
          <cell r="N399">
            <v>0</v>
          </cell>
          <cell r="O399">
            <v>0</v>
          </cell>
          <cell r="P399">
            <v>6951154490</v>
          </cell>
          <cell r="Q399">
            <v>2186262560</v>
          </cell>
          <cell r="R399">
            <v>-2591857060</v>
          </cell>
          <cell r="S399">
            <v>6861032990</v>
          </cell>
          <cell r="T399">
            <v>9677696235</v>
          </cell>
          <cell r="U399">
            <v>0</v>
          </cell>
          <cell r="V399">
            <v>0</v>
          </cell>
          <cell r="W399">
            <v>0</v>
          </cell>
          <cell r="X399">
            <v>0</v>
          </cell>
          <cell r="Y399">
            <v>0</v>
          </cell>
          <cell r="Z399">
            <v>0</v>
          </cell>
          <cell r="AA399">
            <v>0</v>
          </cell>
          <cell r="AB399">
            <v>0</v>
          </cell>
          <cell r="AC399">
            <v>0</v>
          </cell>
          <cell r="AD399">
            <v>9677696235</v>
          </cell>
          <cell r="AE399">
            <v>0</v>
          </cell>
          <cell r="AF399">
            <v>0</v>
          </cell>
          <cell r="AG399">
            <v>9677696235</v>
          </cell>
        </row>
        <row r="401">
          <cell r="D401" t="str">
            <v>21</v>
          </cell>
          <cell r="E401" t="str">
            <v>6. Doanh thu hoạt động tài chính</v>
          </cell>
          <cell r="F401">
            <v>1212309524</v>
          </cell>
          <cell r="G401">
            <v>188621466</v>
          </cell>
          <cell r="H401">
            <v>0</v>
          </cell>
          <cell r="I401">
            <v>0</v>
          </cell>
          <cell r="J401">
            <v>0</v>
          </cell>
          <cell r="K401">
            <v>0</v>
          </cell>
          <cell r="L401">
            <v>0</v>
          </cell>
          <cell r="M401">
            <v>0</v>
          </cell>
          <cell r="N401">
            <v>0</v>
          </cell>
          <cell r="O401">
            <v>0</v>
          </cell>
          <cell r="P401">
            <v>1400930990</v>
          </cell>
          <cell r="Q401">
            <v>0</v>
          </cell>
          <cell r="R401">
            <v>-3786400</v>
          </cell>
          <cell r="S401">
            <v>1397144590</v>
          </cell>
          <cell r="T401">
            <v>1251713561</v>
          </cell>
          <cell r="U401">
            <v>0</v>
          </cell>
          <cell r="V401">
            <v>0</v>
          </cell>
          <cell r="W401">
            <v>0</v>
          </cell>
          <cell r="X401">
            <v>0</v>
          </cell>
          <cell r="Y401">
            <v>0</v>
          </cell>
          <cell r="Z401">
            <v>0</v>
          </cell>
          <cell r="AA401">
            <v>0</v>
          </cell>
          <cell r="AB401">
            <v>0</v>
          </cell>
          <cell r="AC401">
            <v>0</v>
          </cell>
          <cell r="AD401">
            <v>1251713561</v>
          </cell>
          <cell r="AE401">
            <v>0</v>
          </cell>
          <cell r="AF401">
            <v>0</v>
          </cell>
          <cell r="AG401">
            <v>1251713561</v>
          </cell>
        </row>
        <row r="402">
          <cell r="B402" t="str">
            <v>5151</v>
          </cell>
          <cell r="D402" t="str">
            <v>21a</v>
          </cell>
          <cell r="E402" t="str">
            <v xml:space="preserve"> - Lãi tiền gửi, tiền cho vay</v>
          </cell>
          <cell r="F402">
            <v>1212309524</v>
          </cell>
          <cell r="G402">
            <v>188621466</v>
          </cell>
          <cell r="H402">
            <v>0</v>
          </cell>
          <cell r="I402">
            <v>0</v>
          </cell>
          <cell r="J402">
            <v>0</v>
          </cell>
          <cell r="K402">
            <v>0</v>
          </cell>
          <cell r="L402">
            <v>0</v>
          </cell>
          <cell r="M402">
            <v>0</v>
          </cell>
          <cell r="N402">
            <v>0</v>
          </cell>
          <cell r="O402">
            <v>0</v>
          </cell>
          <cell r="P402">
            <v>1400930990</v>
          </cell>
          <cell r="Q402">
            <v>0</v>
          </cell>
          <cell r="R402">
            <v>-3786400</v>
          </cell>
          <cell r="S402">
            <v>1397144590</v>
          </cell>
          <cell r="T402">
            <v>1250851806</v>
          </cell>
          <cell r="U402">
            <v>0</v>
          </cell>
          <cell r="V402">
            <v>0</v>
          </cell>
          <cell r="W402">
            <v>0</v>
          </cell>
          <cell r="X402">
            <v>0</v>
          </cell>
          <cell r="Y402">
            <v>0</v>
          </cell>
          <cell r="Z402">
            <v>0</v>
          </cell>
          <cell r="AA402">
            <v>0</v>
          </cell>
          <cell r="AB402">
            <v>0</v>
          </cell>
          <cell r="AC402">
            <v>0</v>
          </cell>
          <cell r="AD402">
            <v>1250851806</v>
          </cell>
          <cell r="AE402">
            <v>0</v>
          </cell>
          <cell r="AF402">
            <v>0</v>
          </cell>
          <cell r="AG402">
            <v>1250851806</v>
          </cell>
        </row>
        <row r="403">
          <cell r="B403" t="str">
            <v>5152</v>
          </cell>
          <cell r="D403" t="str">
            <v>21b</v>
          </cell>
          <cell r="E403" t="str">
            <v xml:space="preserve"> - Lãi bán các khoản đầu tư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B404" t="str">
            <v>5153</v>
          </cell>
          <cell r="D404" t="str">
            <v>21c</v>
          </cell>
          <cell r="E404" t="str">
            <v xml:space="preserve"> - Cổ tức, lợi nhuận được chia</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row>
        <row r="405">
          <cell r="B405" t="str">
            <v>5154</v>
          </cell>
          <cell r="D405" t="str">
            <v>21d</v>
          </cell>
          <cell r="E405" t="str">
            <v xml:space="preserve"> - Lãi chênh lệch tỷ giá</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861755</v>
          </cell>
          <cell r="U405">
            <v>0</v>
          </cell>
          <cell r="V405">
            <v>0</v>
          </cell>
          <cell r="W405">
            <v>0</v>
          </cell>
          <cell r="X405">
            <v>0</v>
          </cell>
          <cell r="Y405">
            <v>0</v>
          </cell>
          <cell r="Z405">
            <v>0</v>
          </cell>
          <cell r="AA405">
            <v>0</v>
          </cell>
          <cell r="AB405">
            <v>0</v>
          </cell>
          <cell r="AC405">
            <v>0</v>
          </cell>
          <cell r="AD405">
            <v>861755</v>
          </cell>
          <cell r="AE405">
            <v>0</v>
          </cell>
          <cell r="AF405">
            <v>0</v>
          </cell>
          <cell r="AG405">
            <v>861755</v>
          </cell>
        </row>
        <row r="406">
          <cell r="B406" t="str">
            <v>5155</v>
          </cell>
          <cell r="D406" t="str">
            <v>21e</v>
          </cell>
          <cell r="E406" t="str">
            <v xml:space="preserve"> - Lãi bán hàng trả chậm, chiết khấu thanh toán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row>
        <row r="407">
          <cell r="B407" t="str">
            <v>5158</v>
          </cell>
          <cell r="D407" t="str">
            <v>21f</v>
          </cell>
          <cell r="E407" t="str">
            <v xml:space="preserve"> - Doanh thu hoạt động tài chính khác</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row>
        <row r="408">
          <cell r="D408" t="str">
            <v>22</v>
          </cell>
          <cell r="E408" t="str">
            <v>7. Chi phí tài chính</v>
          </cell>
          <cell r="F408">
            <v>75519352</v>
          </cell>
          <cell r="G408">
            <v>82753628</v>
          </cell>
          <cell r="H408">
            <v>0</v>
          </cell>
          <cell r="I408">
            <v>0</v>
          </cell>
          <cell r="J408">
            <v>0</v>
          </cell>
          <cell r="K408">
            <v>0</v>
          </cell>
          <cell r="L408">
            <v>0</v>
          </cell>
          <cell r="M408">
            <v>0</v>
          </cell>
          <cell r="N408">
            <v>0</v>
          </cell>
          <cell r="O408">
            <v>0</v>
          </cell>
          <cell r="P408">
            <v>158272980</v>
          </cell>
          <cell r="Q408">
            <v>0</v>
          </cell>
          <cell r="R408">
            <v>0</v>
          </cell>
          <cell r="S408">
            <v>158272980</v>
          </cell>
          <cell r="T408">
            <v>628993287</v>
          </cell>
          <cell r="U408">
            <v>0</v>
          </cell>
          <cell r="V408">
            <v>0</v>
          </cell>
          <cell r="W408">
            <v>0</v>
          </cell>
          <cell r="X408">
            <v>0</v>
          </cell>
          <cell r="Y408">
            <v>0</v>
          </cell>
          <cell r="Z408">
            <v>0</v>
          </cell>
          <cell r="AA408">
            <v>0</v>
          </cell>
          <cell r="AB408">
            <v>0</v>
          </cell>
          <cell r="AC408">
            <v>0</v>
          </cell>
          <cell r="AD408">
            <v>628993287</v>
          </cell>
          <cell r="AE408">
            <v>0</v>
          </cell>
          <cell r="AF408">
            <v>0</v>
          </cell>
          <cell r="AG408">
            <v>628993287</v>
          </cell>
        </row>
        <row r="409">
          <cell r="B409" t="str">
            <v>6351</v>
          </cell>
          <cell r="D409" t="str">
            <v>23</v>
          </cell>
          <cell r="E409" t="str">
            <v xml:space="preserve"> - Trong đó: Chi phí lãi vay</v>
          </cell>
          <cell r="F409">
            <v>76159704</v>
          </cell>
          <cell r="G409">
            <v>82753628</v>
          </cell>
          <cell r="H409">
            <v>0</v>
          </cell>
          <cell r="I409">
            <v>0</v>
          </cell>
          <cell r="J409">
            <v>0</v>
          </cell>
          <cell r="K409">
            <v>0</v>
          </cell>
          <cell r="L409">
            <v>0</v>
          </cell>
          <cell r="M409">
            <v>0</v>
          </cell>
          <cell r="N409">
            <v>0</v>
          </cell>
          <cell r="O409">
            <v>0</v>
          </cell>
          <cell r="P409">
            <v>158913332</v>
          </cell>
          <cell r="Q409">
            <v>0</v>
          </cell>
          <cell r="R409">
            <v>0</v>
          </cell>
          <cell r="S409">
            <v>158913332</v>
          </cell>
          <cell r="T409">
            <v>370067294</v>
          </cell>
          <cell r="U409">
            <v>0</v>
          </cell>
          <cell r="V409">
            <v>0</v>
          </cell>
          <cell r="W409">
            <v>0</v>
          </cell>
          <cell r="X409">
            <v>0</v>
          </cell>
          <cell r="Y409">
            <v>0</v>
          </cell>
          <cell r="Z409">
            <v>0</v>
          </cell>
          <cell r="AA409">
            <v>0</v>
          </cell>
          <cell r="AB409">
            <v>0</v>
          </cell>
          <cell r="AC409">
            <v>0</v>
          </cell>
          <cell r="AD409">
            <v>370067294</v>
          </cell>
          <cell r="AE409">
            <v>0</v>
          </cell>
          <cell r="AF409">
            <v>0</v>
          </cell>
          <cell r="AG409">
            <v>370067294</v>
          </cell>
        </row>
        <row r="410">
          <cell r="B410" t="str">
            <v>6352</v>
          </cell>
          <cell r="D410" t="str">
            <v>22b</v>
          </cell>
          <cell r="E410" t="str">
            <v xml:space="preserve"> - Chiết khấu thanh toán, lãi bán hàng trả chậm</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B411" t="str">
            <v>6353</v>
          </cell>
          <cell r="D411" t="str">
            <v>22c</v>
          </cell>
          <cell r="E411" t="str">
            <v xml:space="preserve"> - Lỗ do thanh lý các khoản đầu tư tài chính</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B412" t="str">
            <v>6354</v>
          </cell>
          <cell r="D412" t="str">
            <v>22d</v>
          </cell>
          <cell r="E412" t="str">
            <v xml:space="preserve"> - Lỗ chênh lệch tỷ giá</v>
          </cell>
          <cell r="F412">
            <v>155219</v>
          </cell>
          <cell r="G412">
            <v>0</v>
          </cell>
          <cell r="H412">
            <v>0</v>
          </cell>
          <cell r="I412">
            <v>0</v>
          </cell>
          <cell r="J412">
            <v>0</v>
          </cell>
          <cell r="K412">
            <v>0</v>
          </cell>
          <cell r="L412">
            <v>0</v>
          </cell>
          <cell r="M412">
            <v>0</v>
          </cell>
          <cell r="N412">
            <v>0</v>
          </cell>
          <cell r="O412">
            <v>0</v>
          </cell>
          <cell r="P412">
            <v>155219</v>
          </cell>
          <cell r="Q412">
            <v>0</v>
          </cell>
          <cell r="R412">
            <v>0</v>
          </cell>
          <cell r="S412">
            <v>155219</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B413" t="str">
            <v>6355</v>
          </cell>
          <cell r="D413" t="str">
            <v>22e</v>
          </cell>
          <cell r="E413" t="str">
            <v xml:space="preserve"> - Dự phòng giảm giá chứng khoán kinh doanh và tổn thất đầu tư</v>
          </cell>
          <cell r="F413">
            <v>-795571</v>
          </cell>
          <cell r="G413">
            <v>0</v>
          </cell>
          <cell r="H413">
            <v>0</v>
          </cell>
          <cell r="I413">
            <v>0</v>
          </cell>
          <cell r="J413">
            <v>0</v>
          </cell>
          <cell r="K413">
            <v>0</v>
          </cell>
          <cell r="L413">
            <v>0</v>
          </cell>
          <cell r="M413">
            <v>0</v>
          </cell>
          <cell r="N413">
            <v>0</v>
          </cell>
          <cell r="O413">
            <v>0</v>
          </cell>
          <cell r="P413">
            <v>-795571</v>
          </cell>
          <cell r="Q413">
            <v>0</v>
          </cell>
          <cell r="R413">
            <v>0</v>
          </cell>
          <cell r="S413">
            <v>-795571</v>
          </cell>
          <cell r="T413">
            <v>258925993</v>
          </cell>
          <cell r="U413">
            <v>0</v>
          </cell>
          <cell r="V413">
            <v>0</v>
          </cell>
          <cell r="W413">
            <v>0</v>
          </cell>
          <cell r="X413">
            <v>0</v>
          </cell>
          <cell r="Y413">
            <v>0</v>
          </cell>
          <cell r="Z413">
            <v>0</v>
          </cell>
          <cell r="AA413">
            <v>0</v>
          </cell>
          <cell r="AB413">
            <v>0</v>
          </cell>
          <cell r="AC413">
            <v>0</v>
          </cell>
          <cell r="AD413">
            <v>258925993</v>
          </cell>
          <cell r="AE413">
            <v>0</v>
          </cell>
          <cell r="AF413">
            <v>0</v>
          </cell>
          <cell r="AG413">
            <v>258925993</v>
          </cell>
        </row>
        <row r="414">
          <cell r="B414" t="str">
            <v>6356</v>
          </cell>
          <cell r="D414" t="str">
            <v>22f</v>
          </cell>
          <cell r="E414" t="str">
            <v xml:space="preserve"> - Chi phí tài chính khác</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B415" t="str">
            <v>6357</v>
          </cell>
          <cell r="D415" t="str">
            <v>22g</v>
          </cell>
          <cell r="E415" t="str">
            <v xml:space="preserve"> - Các khoản ghi giảm chi phí tài chính</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row>
        <row r="417">
          <cell r="D417" t="str">
            <v>25</v>
          </cell>
          <cell r="E417" t="str">
            <v>8. Chi phí bán hàng</v>
          </cell>
          <cell r="F417">
            <v>1351477892</v>
          </cell>
          <cell r="G417">
            <v>897960504</v>
          </cell>
          <cell r="H417">
            <v>0</v>
          </cell>
          <cell r="I417">
            <v>0</v>
          </cell>
          <cell r="J417">
            <v>0</v>
          </cell>
          <cell r="K417">
            <v>0</v>
          </cell>
          <cell r="L417">
            <v>0</v>
          </cell>
          <cell r="M417">
            <v>0</v>
          </cell>
          <cell r="N417">
            <v>0</v>
          </cell>
          <cell r="O417">
            <v>0</v>
          </cell>
          <cell r="P417">
            <v>2249438396</v>
          </cell>
          <cell r="Q417">
            <v>0</v>
          </cell>
          <cell r="R417">
            <v>0</v>
          </cell>
          <cell r="S417">
            <v>2249438396</v>
          </cell>
          <cell r="T417">
            <v>2313207428</v>
          </cell>
          <cell r="U417">
            <v>0</v>
          </cell>
          <cell r="V417">
            <v>0</v>
          </cell>
          <cell r="W417">
            <v>0</v>
          </cell>
          <cell r="X417">
            <v>0</v>
          </cell>
          <cell r="Y417">
            <v>0</v>
          </cell>
          <cell r="Z417">
            <v>0</v>
          </cell>
          <cell r="AA417">
            <v>0</v>
          </cell>
          <cell r="AB417">
            <v>0</v>
          </cell>
          <cell r="AC417">
            <v>0</v>
          </cell>
          <cell r="AD417">
            <v>2313207428</v>
          </cell>
          <cell r="AE417">
            <v>0</v>
          </cell>
          <cell r="AF417">
            <v>0</v>
          </cell>
          <cell r="AG417">
            <v>2313207428</v>
          </cell>
        </row>
        <row r="418">
          <cell r="B418" t="str">
            <v>6411</v>
          </cell>
          <cell r="D418" t="str">
            <v>25a</v>
          </cell>
          <cell r="E418" t="str">
            <v xml:space="preserve"> - Chi phí nhân viên</v>
          </cell>
          <cell r="F418">
            <v>914849000</v>
          </cell>
          <cell r="G418">
            <v>617388258</v>
          </cell>
          <cell r="H418">
            <v>0</v>
          </cell>
          <cell r="I418">
            <v>0</v>
          </cell>
          <cell r="J418">
            <v>0</v>
          </cell>
          <cell r="K418">
            <v>0</v>
          </cell>
          <cell r="L418">
            <v>0</v>
          </cell>
          <cell r="M418">
            <v>0</v>
          </cell>
          <cell r="N418">
            <v>0</v>
          </cell>
          <cell r="O418">
            <v>0</v>
          </cell>
          <cell r="P418">
            <v>1532237258</v>
          </cell>
          <cell r="Q418">
            <v>0</v>
          </cell>
          <cell r="R418">
            <v>0</v>
          </cell>
          <cell r="S418">
            <v>1532237258</v>
          </cell>
          <cell r="T418">
            <v>1804116876</v>
          </cell>
          <cell r="U418">
            <v>0</v>
          </cell>
          <cell r="V418">
            <v>0</v>
          </cell>
          <cell r="W418">
            <v>0</v>
          </cell>
          <cell r="X418">
            <v>0</v>
          </cell>
          <cell r="Y418">
            <v>0</v>
          </cell>
          <cell r="Z418">
            <v>0</v>
          </cell>
          <cell r="AA418">
            <v>0</v>
          </cell>
          <cell r="AB418">
            <v>0</v>
          </cell>
          <cell r="AC418">
            <v>0</v>
          </cell>
          <cell r="AD418">
            <v>1804116876</v>
          </cell>
          <cell r="AE418">
            <v>0</v>
          </cell>
          <cell r="AF418">
            <v>0</v>
          </cell>
          <cell r="AG418">
            <v>1804116876</v>
          </cell>
        </row>
        <row r="419">
          <cell r="B419" t="str">
            <v>6412</v>
          </cell>
          <cell r="D419" t="str">
            <v>25b</v>
          </cell>
          <cell r="E419" t="str">
            <v xml:space="preserve"> - Chi phí nguyên vật liệu, bao bì</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B420" t="str">
            <v>6413</v>
          </cell>
          <cell r="D420" t="str">
            <v>25c</v>
          </cell>
          <cell r="E420" t="str">
            <v xml:space="preserve"> - Chi phí dụng cụ, đồ dùng</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row>
        <row r="421">
          <cell r="B421" t="str">
            <v>6414</v>
          </cell>
          <cell r="D421" t="str">
            <v>25d</v>
          </cell>
          <cell r="E421" t="str">
            <v xml:space="preserve"> - Chi phí khấu hao TSCĐ</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B422" t="str">
            <v>6415</v>
          </cell>
          <cell r="D422" t="str">
            <v>25e</v>
          </cell>
          <cell r="E422" t="str">
            <v xml:space="preserve"> - Chi phí bảo hành</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B423" t="str">
            <v>6417</v>
          </cell>
          <cell r="D423" t="str">
            <v>25f</v>
          </cell>
          <cell r="E423" t="str">
            <v xml:space="preserve"> - Chi phí dịch vụ mua ngoài</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B424" t="str">
            <v>6418</v>
          </cell>
          <cell r="D424" t="str">
            <v>25g</v>
          </cell>
          <cell r="E424" t="str">
            <v xml:space="preserve"> - Chi phí bằng tiền khác</v>
          </cell>
          <cell r="F424">
            <v>436628892</v>
          </cell>
          <cell r="G424">
            <v>280572246</v>
          </cell>
          <cell r="H424">
            <v>0</v>
          </cell>
          <cell r="I424">
            <v>0</v>
          </cell>
          <cell r="J424">
            <v>0</v>
          </cell>
          <cell r="K424">
            <v>0</v>
          </cell>
          <cell r="L424">
            <v>0</v>
          </cell>
          <cell r="M424">
            <v>0</v>
          </cell>
          <cell r="N424">
            <v>0</v>
          </cell>
          <cell r="O424">
            <v>0</v>
          </cell>
          <cell r="P424">
            <v>717201138</v>
          </cell>
          <cell r="Q424">
            <v>0</v>
          </cell>
          <cell r="R424">
            <v>0</v>
          </cell>
          <cell r="S424">
            <v>717201138</v>
          </cell>
          <cell r="T424">
            <v>509090552</v>
          </cell>
          <cell r="U424">
            <v>0</v>
          </cell>
          <cell r="V424">
            <v>0</v>
          </cell>
          <cell r="W424">
            <v>0</v>
          </cell>
          <cell r="X424">
            <v>0</v>
          </cell>
          <cell r="Y424">
            <v>0</v>
          </cell>
          <cell r="Z424">
            <v>0</v>
          </cell>
          <cell r="AA424">
            <v>0</v>
          </cell>
          <cell r="AB424">
            <v>0</v>
          </cell>
          <cell r="AC424">
            <v>0</v>
          </cell>
          <cell r="AD424">
            <v>509090552</v>
          </cell>
          <cell r="AE424">
            <v>0</v>
          </cell>
          <cell r="AF424">
            <v>0</v>
          </cell>
          <cell r="AG424">
            <v>509090552</v>
          </cell>
        </row>
        <row r="426">
          <cell r="D426" t="str">
            <v>26</v>
          </cell>
          <cell r="E426" t="str">
            <v>9. Chi phí quản lý doanh nghiệp</v>
          </cell>
          <cell r="F426">
            <v>2312175645</v>
          </cell>
          <cell r="G426">
            <v>991074141</v>
          </cell>
          <cell r="H426">
            <v>0</v>
          </cell>
          <cell r="I426">
            <v>0</v>
          </cell>
          <cell r="J426">
            <v>0</v>
          </cell>
          <cell r="K426">
            <v>0</v>
          </cell>
          <cell r="L426">
            <v>0</v>
          </cell>
          <cell r="M426">
            <v>0</v>
          </cell>
          <cell r="N426">
            <v>0</v>
          </cell>
          <cell r="O426">
            <v>0</v>
          </cell>
          <cell r="P426">
            <v>3303249786</v>
          </cell>
          <cell r="Q426">
            <v>508723909</v>
          </cell>
          <cell r="R426">
            <v>444091650</v>
          </cell>
          <cell r="S426">
            <v>3367882045</v>
          </cell>
          <cell r="T426">
            <v>6599119861</v>
          </cell>
          <cell r="U426">
            <v>0</v>
          </cell>
          <cell r="V426">
            <v>0</v>
          </cell>
          <cell r="W426">
            <v>0</v>
          </cell>
          <cell r="X426">
            <v>0</v>
          </cell>
          <cell r="Y426">
            <v>0</v>
          </cell>
          <cell r="Z426">
            <v>0</v>
          </cell>
          <cell r="AA426">
            <v>0</v>
          </cell>
          <cell r="AB426">
            <v>0</v>
          </cell>
          <cell r="AC426">
            <v>0</v>
          </cell>
          <cell r="AD426">
            <v>6599119861</v>
          </cell>
          <cell r="AE426">
            <v>0</v>
          </cell>
          <cell r="AF426">
            <v>0</v>
          </cell>
          <cell r="AG426">
            <v>6599119861</v>
          </cell>
        </row>
        <row r="427">
          <cell r="B427" t="str">
            <v>6421</v>
          </cell>
          <cell r="D427" t="str">
            <v>26a</v>
          </cell>
          <cell r="E427" t="str">
            <v xml:space="preserve"> - Chi phí nhân viên quản lý</v>
          </cell>
          <cell r="F427">
            <v>1902492192</v>
          </cell>
          <cell r="G427">
            <v>856267625</v>
          </cell>
          <cell r="H427">
            <v>0</v>
          </cell>
          <cell r="I427">
            <v>0</v>
          </cell>
          <cell r="J427">
            <v>0</v>
          </cell>
          <cell r="K427">
            <v>0</v>
          </cell>
          <cell r="L427">
            <v>0</v>
          </cell>
          <cell r="M427">
            <v>0</v>
          </cell>
          <cell r="N427">
            <v>0</v>
          </cell>
          <cell r="O427">
            <v>0</v>
          </cell>
          <cell r="P427">
            <v>2758759817</v>
          </cell>
          <cell r="Q427">
            <v>0</v>
          </cell>
          <cell r="R427">
            <v>0</v>
          </cell>
          <cell r="S427">
            <v>2758759817</v>
          </cell>
          <cell r="T427">
            <v>3079668362</v>
          </cell>
          <cell r="U427">
            <v>0</v>
          </cell>
          <cell r="V427">
            <v>0</v>
          </cell>
          <cell r="W427">
            <v>0</v>
          </cell>
          <cell r="X427">
            <v>0</v>
          </cell>
          <cell r="Y427">
            <v>0</v>
          </cell>
          <cell r="Z427">
            <v>0</v>
          </cell>
          <cell r="AA427">
            <v>0</v>
          </cell>
          <cell r="AB427">
            <v>0</v>
          </cell>
          <cell r="AC427">
            <v>0</v>
          </cell>
          <cell r="AD427">
            <v>3079668362</v>
          </cell>
          <cell r="AE427">
            <v>0</v>
          </cell>
          <cell r="AF427">
            <v>0</v>
          </cell>
          <cell r="AG427">
            <v>3079668362</v>
          </cell>
        </row>
        <row r="428">
          <cell r="B428" t="str">
            <v>6422</v>
          </cell>
          <cell r="D428" t="str">
            <v>26b</v>
          </cell>
          <cell r="E428" t="str">
            <v xml:space="preserve"> - Chi phí vật liệu quản lý</v>
          </cell>
          <cell r="F428">
            <v>21552453</v>
          </cell>
          <cell r="G428">
            <v>11210045</v>
          </cell>
          <cell r="H428">
            <v>0</v>
          </cell>
          <cell r="I428">
            <v>0</v>
          </cell>
          <cell r="J428">
            <v>0</v>
          </cell>
          <cell r="K428">
            <v>0</v>
          </cell>
          <cell r="L428">
            <v>0</v>
          </cell>
          <cell r="M428">
            <v>0</v>
          </cell>
          <cell r="N428">
            <v>0</v>
          </cell>
          <cell r="O428">
            <v>0</v>
          </cell>
          <cell r="P428">
            <v>32762498</v>
          </cell>
          <cell r="Q428">
            <v>0</v>
          </cell>
          <cell r="R428">
            <v>0</v>
          </cell>
          <cell r="S428">
            <v>32762498</v>
          </cell>
          <cell r="T428">
            <v>40585158</v>
          </cell>
          <cell r="U428">
            <v>0</v>
          </cell>
          <cell r="V428">
            <v>0</v>
          </cell>
          <cell r="W428">
            <v>0</v>
          </cell>
          <cell r="X428">
            <v>0</v>
          </cell>
          <cell r="Y428">
            <v>0</v>
          </cell>
          <cell r="Z428">
            <v>0</v>
          </cell>
          <cell r="AA428">
            <v>0</v>
          </cell>
          <cell r="AB428">
            <v>0</v>
          </cell>
          <cell r="AC428">
            <v>0</v>
          </cell>
          <cell r="AD428">
            <v>40585158</v>
          </cell>
          <cell r="AE428">
            <v>0</v>
          </cell>
          <cell r="AF428">
            <v>0</v>
          </cell>
          <cell r="AG428">
            <v>40585158</v>
          </cell>
        </row>
        <row r="429">
          <cell r="B429" t="str">
            <v>6423</v>
          </cell>
          <cell r="D429" t="str">
            <v>26c</v>
          </cell>
          <cell r="E429" t="str">
            <v xml:space="preserve"> - Chi phí đồ dùng văn phòng</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B430" t="str">
            <v>6424</v>
          </cell>
          <cell r="D430" t="str">
            <v>26d</v>
          </cell>
          <cell r="E430" t="str">
            <v xml:space="preserve"> - Chi phí khấu hao TSCĐ</v>
          </cell>
          <cell r="F430">
            <v>153610470</v>
          </cell>
          <cell r="G430">
            <v>0</v>
          </cell>
          <cell r="H430">
            <v>0</v>
          </cell>
          <cell r="I430">
            <v>0</v>
          </cell>
          <cell r="J430">
            <v>0</v>
          </cell>
          <cell r="K430">
            <v>0</v>
          </cell>
          <cell r="L430">
            <v>0</v>
          </cell>
          <cell r="M430">
            <v>0</v>
          </cell>
          <cell r="N430">
            <v>0</v>
          </cell>
          <cell r="O430">
            <v>0</v>
          </cell>
          <cell r="P430">
            <v>153610470</v>
          </cell>
          <cell r="Q430">
            <v>5619112</v>
          </cell>
          <cell r="R430">
            <v>0</v>
          </cell>
          <cell r="S430">
            <v>159229582</v>
          </cell>
          <cell r="T430">
            <v>181618197</v>
          </cell>
          <cell r="U430">
            <v>0</v>
          </cell>
          <cell r="V430">
            <v>0</v>
          </cell>
          <cell r="W430">
            <v>0</v>
          </cell>
          <cell r="X430">
            <v>0</v>
          </cell>
          <cell r="Y430">
            <v>0</v>
          </cell>
          <cell r="Z430">
            <v>0</v>
          </cell>
          <cell r="AA430">
            <v>0</v>
          </cell>
          <cell r="AB430">
            <v>0</v>
          </cell>
          <cell r="AC430">
            <v>0</v>
          </cell>
          <cell r="AD430">
            <v>181618197</v>
          </cell>
          <cell r="AE430">
            <v>0</v>
          </cell>
          <cell r="AF430">
            <v>0</v>
          </cell>
          <cell r="AG430">
            <v>181618197</v>
          </cell>
        </row>
        <row r="431">
          <cell r="B431" t="str">
            <v>6425</v>
          </cell>
          <cell r="D431" t="str">
            <v>26e</v>
          </cell>
          <cell r="E431" t="str">
            <v xml:space="preserve"> - Thuế, phí và lệ phí</v>
          </cell>
          <cell r="F431">
            <v>36507636</v>
          </cell>
          <cell r="G431">
            <v>40114574</v>
          </cell>
          <cell r="H431">
            <v>0</v>
          </cell>
          <cell r="I431">
            <v>0</v>
          </cell>
          <cell r="J431">
            <v>0</v>
          </cell>
          <cell r="K431">
            <v>0</v>
          </cell>
          <cell r="L431">
            <v>0</v>
          </cell>
          <cell r="M431">
            <v>0</v>
          </cell>
          <cell r="N431">
            <v>0</v>
          </cell>
          <cell r="O431">
            <v>0</v>
          </cell>
          <cell r="P431">
            <v>76622210</v>
          </cell>
          <cell r="Q431">
            <v>0</v>
          </cell>
          <cell r="R431">
            <v>61631600</v>
          </cell>
          <cell r="S431">
            <v>14990610</v>
          </cell>
          <cell r="T431">
            <v>152861887</v>
          </cell>
          <cell r="U431">
            <v>0</v>
          </cell>
          <cell r="V431">
            <v>0</v>
          </cell>
          <cell r="W431">
            <v>0</v>
          </cell>
          <cell r="X431">
            <v>0</v>
          </cell>
          <cell r="Y431">
            <v>0</v>
          </cell>
          <cell r="Z431">
            <v>0</v>
          </cell>
          <cell r="AA431">
            <v>0</v>
          </cell>
          <cell r="AB431">
            <v>0</v>
          </cell>
          <cell r="AC431">
            <v>0</v>
          </cell>
          <cell r="AD431">
            <v>152861887</v>
          </cell>
          <cell r="AE431">
            <v>0</v>
          </cell>
          <cell r="AF431">
            <v>0</v>
          </cell>
          <cell r="AG431">
            <v>152861887</v>
          </cell>
        </row>
        <row r="432">
          <cell r="B432" t="str">
            <v>6426</v>
          </cell>
          <cell r="D432" t="str">
            <v>26f</v>
          </cell>
          <cell r="E432" t="str">
            <v xml:space="preserve"> - Chi phí dự phòng</v>
          </cell>
          <cell r="F432">
            <v>-660595722</v>
          </cell>
          <cell r="G432">
            <v>-250625494</v>
          </cell>
          <cell r="H432">
            <v>0</v>
          </cell>
          <cell r="I432">
            <v>0</v>
          </cell>
          <cell r="J432">
            <v>0</v>
          </cell>
          <cell r="K432">
            <v>0</v>
          </cell>
          <cell r="L432">
            <v>0</v>
          </cell>
          <cell r="M432">
            <v>0</v>
          </cell>
          <cell r="N432">
            <v>0</v>
          </cell>
          <cell r="O432">
            <v>0</v>
          </cell>
          <cell r="P432">
            <v>-911221216</v>
          </cell>
          <cell r="Q432">
            <v>64478080</v>
          </cell>
          <cell r="R432">
            <v>382460050</v>
          </cell>
          <cell r="S432">
            <v>-1229203186</v>
          </cell>
          <cell r="T432">
            <v>1543964029</v>
          </cell>
          <cell r="U432">
            <v>0</v>
          </cell>
          <cell r="V432">
            <v>0</v>
          </cell>
          <cell r="W432">
            <v>0</v>
          </cell>
          <cell r="X432">
            <v>0</v>
          </cell>
          <cell r="Y432">
            <v>0</v>
          </cell>
          <cell r="Z432">
            <v>0</v>
          </cell>
          <cell r="AA432">
            <v>0</v>
          </cell>
          <cell r="AB432">
            <v>0</v>
          </cell>
          <cell r="AC432">
            <v>0</v>
          </cell>
          <cell r="AD432">
            <v>1543964029</v>
          </cell>
          <cell r="AE432">
            <v>0</v>
          </cell>
          <cell r="AF432">
            <v>0</v>
          </cell>
          <cell r="AG432">
            <v>1543964029</v>
          </cell>
        </row>
        <row r="433">
          <cell r="B433" t="str">
            <v>6427</v>
          </cell>
          <cell r="D433" t="str">
            <v>26g</v>
          </cell>
          <cell r="E433" t="str">
            <v xml:space="preserve"> - Chi phí dịch vụ mua ngoài</v>
          </cell>
          <cell r="F433">
            <v>46815789</v>
          </cell>
          <cell r="G433">
            <v>0</v>
          </cell>
          <cell r="H433">
            <v>0</v>
          </cell>
          <cell r="I433">
            <v>0</v>
          </cell>
          <cell r="J433">
            <v>0</v>
          </cell>
          <cell r="K433">
            <v>0</v>
          </cell>
          <cell r="L433">
            <v>0</v>
          </cell>
          <cell r="M433">
            <v>0</v>
          </cell>
          <cell r="N433">
            <v>0</v>
          </cell>
          <cell r="O433">
            <v>0</v>
          </cell>
          <cell r="P433">
            <v>46815789</v>
          </cell>
          <cell r="Q433">
            <v>22000000</v>
          </cell>
          <cell r="R433">
            <v>0</v>
          </cell>
          <cell r="S433">
            <v>68815789</v>
          </cell>
          <cell r="T433">
            <v>162269064</v>
          </cell>
          <cell r="U433">
            <v>0</v>
          </cell>
          <cell r="V433">
            <v>0</v>
          </cell>
          <cell r="W433">
            <v>0</v>
          </cell>
          <cell r="X433">
            <v>0</v>
          </cell>
          <cell r="Y433">
            <v>0</v>
          </cell>
          <cell r="Z433">
            <v>0</v>
          </cell>
          <cell r="AA433">
            <v>0</v>
          </cell>
          <cell r="AB433">
            <v>0</v>
          </cell>
          <cell r="AC433">
            <v>0</v>
          </cell>
          <cell r="AD433">
            <v>162269064</v>
          </cell>
          <cell r="AE433">
            <v>0</v>
          </cell>
          <cell r="AF433">
            <v>0</v>
          </cell>
          <cell r="AG433">
            <v>162269064</v>
          </cell>
        </row>
        <row r="434">
          <cell r="B434" t="str">
            <v>6428</v>
          </cell>
          <cell r="D434" t="str">
            <v>26h</v>
          </cell>
          <cell r="E434" t="str">
            <v xml:space="preserve"> - Chi phí bằng tiền khác</v>
          </cell>
          <cell r="F434">
            <v>811792827</v>
          </cell>
          <cell r="G434">
            <v>334107391</v>
          </cell>
          <cell r="H434">
            <v>0</v>
          </cell>
          <cell r="I434">
            <v>0</v>
          </cell>
          <cell r="J434">
            <v>0</v>
          </cell>
          <cell r="K434">
            <v>0</v>
          </cell>
          <cell r="L434">
            <v>0</v>
          </cell>
          <cell r="M434">
            <v>0</v>
          </cell>
          <cell r="N434">
            <v>0</v>
          </cell>
          <cell r="O434">
            <v>0</v>
          </cell>
          <cell r="P434">
            <v>1145900218</v>
          </cell>
          <cell r="Q434">
            <v>416626717</v>
          </cell>
          <cell r="R434">
            <v>0</v>
          </cell>
          <cell r="S434">
            <v>1562526935</v>
          </cell>
          <cell r="T434">
            <v>1438153164</v>
          </cell>
          <cell r="U434">
            <v>0</v>
          </cell>
          <cell r="V434">
            <v>0</v>
          </cell>
          <cell r="W434">
            <v>0</v>
          </cell>
          <cell r="X434">
            <v>0</v>
          </cell>
          <cell r="Y434">
            <v>0</v>
          </cell>
          <cell r="Z434">
            <v>0</v>
          </cell>
          <cell r="AA434">
            <v>0</v>
          </cell>
          <cell r="AB434">
            <v>0</v>
          </cell>
          <cell r="AC434">
            <v>0</v>
          </cell>
          <cell r="AD434">
            <v>1438153164</v>
          </cell>
          <cell r="AE434">
            <v>0</v>
          </cell>
          <cell r="AF434">
            <v>0</v>
          </cell>
          <cell r="AG434">
            <v>1438153164</v>
          </cell>
        </row>
        <row r="436">
          <cell r="D436" t="str">
            <v>30</v>
          </cell>
          <cell r="E436" t="str">
            <v xml:space="preserve">10. Lợi nhuận thuần từ hoạt động kinh doanh 
(30 = 20 + (21 - 22) - (24 + 25)) </v>
          </cell>
          <cell r="F436">
            <v>2947865964</v>
          </cell>
          <cell r="G436">
            <v>-306741646</v>
          </cell>
          <cell r="H436">
            <v>0</v>
          </cell>
          <cell r="I436">
            <v>0</v>
          </cell>
          <cell r="J436">
            <v>0</v>
          </cell>
          <cell r="K436">
            <v>0</v>
          </cell>
          <cell r="L436">
            <v>0</v>
          </cell>
          <cell r="M436">
            <v>0</v>
          </cell>
          <cell r="N436">
            <v>0</v>
          </cell>
          <cell r="O436">
            <v>0</v>
          </cell>
          <cell r="P436">
            <v>2641124318</v>
          </cell>
          <cell r="Q436">
            <v>1677538651</v>
          </cell>
          <cell r="R436">
            <v>-3039735110</v>
          </cell>
          <cell r="S436">
            <v>2482584159</v>
          </cell>
          <cell r="T436">
            <v>1388089220</v>
          </cell>
          <cell r="U436">
            <v>0</v>
          </cell>
          <cell r="V436">
            <v>0</v>
          </cell>
          <cell r="W436">
            <v>0</v>
          </cell>
          <cell r="X436">
            <v>0</v>
          </cell>
          <cell r="Y436">
            <v>0</v>
          </cell>
          <cell r="Z436">
            <v>0</v>
          </cell>
          <cell r="AA436">
            <v>0</v>
          </cell>
          <cell r="AB436">
            <v>0</v>
          </cell>
          <cell r="AC436">
            <v>0</v>
          </cell>
          <cell r="AD436">
            <v>1388089220</v>
          </cell>
          <cell r="AE436">
            <v>0</v>
          </cell>
          <cell r="AF436">
            <v>0</v>
          </cell>
          <cell r="AG436">
            <v>1388089220</v>
          </cell>
        </row>
        <row r="438">
          <cell r="B438" t="str">
            <v>711</v>
          </cell>
          <cell r="D438" t="str">
            <v>31</v>
          </cell>
          <cell r="E438" t="str">
            <v>11. Thu nhập khác</v>
          </cell>
          <cell r="F438">
            <v>2005528064</v>
          </cell>
          <cell r="G438">
            <v>17682393</v>
          </cell>
          <cell r="H438">
            <v>0</v>
          </cell>
          <cell r="I438">
            <v>0</v>
          </cell>
          <cell r="J438">
            <v>0</v>
          </cell>
          <cell r="K438">
            <v>0</v>
          </cell>
          <cell r="L438">
            <v>0</v>
          </cell>
          <cell r="M438">
            <v>0</v>
          </cell>
          <cell r="N438">
            <v>0</v>
          </cell>
          <cell r="O438">
            <v>0</v>
          </cell>
          <cell r="P438">
            <v>2023210457</v>
          </cell>
          <cell r="Q438">
            <v>1478554891</v>
          </cell>
          <cell r="R438">
            <v>0</v>
          </cell>
          <cell r="S438">
            <v>544655566</v>
          </cell>
          <cell r="T438">
            <v>119775468</v>
          </cell>
          <cell r="U438">
            <v>0</v>
          </cell>
          <cell r="V438">
            <v>0</v>
          </cell>
          <cell r="W438">
            <v>0</v>
          </cell>
          <cell r="X438">
            <v>0</v>
          </cell>
          <cell r="Y438">
            <v>0</v>
          </cell>
          <cell r="Z438">
            <v>0</v>
          </cell>
          <cell r="AA438">
            <v>0</v>
          </cell>
          <cell r="AB438">
            <v>0</v>
          </cell>
          <cell r="AC438">
            <v>0</v>
          </cell>
          <cell r="AD438">
            <v>119775468</v>
          </cell>
          <cell r="AE438">
            <v>0</v>
          </cell>
          <cell r="AF438">
            <v>0</v>
          </cell>
          <cell r="AG438">
            <v>119775468</v>
          </cell>
        </row>
        <row r="439">
          <cell r="B439" t="str">
            <v>811</v>
          </cell>
          <cell r="D439" t="str">
            <v>32</v>
          </cell>
          <cell r="E439" t="str">
            <v xml:space="preserve">12. Chi phí khác </v>
          </cell>
          <cell r="F439">
            <v>1592735362</v>
          </cell>
          <cell r="G439">
            <v>89230880</v>
          </cell>
          <cell r="H439">
            <v>0</v>
          </cell>
          <cell r="I439">
            <v>0</v>
          </cell>
          <cell r="J439">
            <v>0</v>
          </cell>
          <cell r="K439">
            <v>0</v>
          </cell>
          <cell r="L439">
            <v>0</v>
          </cell>
          <cell r="M439">
            <v>0</v>
          </cell>
          <cell r="N439">
            <v>0</v>
          </cell>
          <cell r="O439">
            <v>0</v>
          </cell>
          <cell r="P439">
            <v>1681966242</v>
          </cell>
          <cell r="Q439">
            <v>0</v>
          </cell>
          <cell r="R439">
            <v>1484174003</v>
          </cell>
          <cell r="S439">
            <v>197792239</v>
          </cell>
          <cell r="T439">
            <v>528225426</v>
          </cell>
          <cell r="U439">
            <v>0</v>
          </cell>
          <cell r="V439">
            <v>0</v>
          </cell>
          <cell r="W439">
            <v>0</v>
          </cell>
          <cell r="X439">
            <v>0</v>
          </cell>
          <cell r="Y439">
            <v>0</v>
          </cell>
          <cell r="Z439">
            <v>0</v>
          </cell>
          <cell r="AA439">
            <v>0</v>
          </cell>
          <cell r="AB439">
            <v>0</v>
          </cell>
          <cell r="AC439">
            <v>0</v>
          </cell>
          <cell r="AD439">
            <v>528225426</v>
          </cell>
          <cell r="AE439">
            <v>0</v>
          </cell>
          <cell r="AF439">
            <v>0</v>
          </cell>
          <cell r="AG439">
            <v>528225426</v>
          </cell>
        </row>
        <row r="440">
          <cell r="D440" t="str">
            <v>40</v>
          </cell>
          <cell r="E440" t="str">
            <v>13. Lợi nhuận khác (40 = 31 - 32)</v>
          </cell>
          <cell r="F440">
            <v>412792702</v>
          </cell>
          <cell r="G440">
            <v>-71548487</v>
          </cell>
          <cell r="H440">
            <v>0</v>
          </cell>
          <cell r="I440">
            <v>0</v>
          </cell>
          <cell r="J440">
            <v>0</v>
          </cell>
          <cell r="K440">
            <v>0</v>
          </cell>
          <cell r="L440">
            <v>0</v>
          </cell>
          <cell r="M440">
            <v>0</v>
          </cell>
          <cell r="N440">
            <v>0</v>
          </cell>
          <cell r="O440">
            <v>0</v>
          </cell>
          <cell r="P440">
            <v>341244215</v>
          </cell>
          <cell r="Q440">
            <v>1478554891</v>
          </cell>
          <cell r="R440">
            <v>-1484174003</v>
          </cell>
          <cell r="S440">
            <v>346863327</v>
          </cell>
          <cell r="T440">
            <v>-408449958</v>
          </cell>
          <cell r="U440">
            <v>0</v>
          </cell>
          <cell r="V440">
            <v>0</v>
          </cell>
          <cell r="W440">
            <v>0</v>
          </cell>
          <cell r="X440">
            <v>0</v>
          </cell>
          <cell r="Y440">
            <v>0</v>
          </cell>
          <cell r="Z440">
            <v>0</v>
          </cell>
          <cell r="AA440">
            <v>0</v>
          </cell>
          <cell r="AB440">
            <v>0</v>
          </cell>
          <cell r="AC440">
            <v>0</v>
          </cell>
          <cell r="AD440">
            <v>-408449958</v>
          </cell>
          <cell r="AE440">
            <v>0</v>
          </cell>
          <cell r="AF440">
            <v>0</v>
          </cell>
          <cell r="AG440">
            <v>-408449958</v>
          </cell>
        </row>
        <row r="441">
          <cell r="D441" t="str">
            <v>50</v>
          </cell>
          <cell r="E441" t="str">
            <v>14. Tổng lợi nhuận kế toán trước thuế 
(50 = 30 + 40)</v>
          </cell>
          <cell r="F441">
            <v>3360658666</v>
          </cell>
          <cell r="G441">
            <v>-378290133</v>
          </cell>
          <cell r="H441">
            <v>0</v>
          </cell>
          <cell r="I441">
            <v>0</v>
          </cell>
          <cell r="J441">
            <v>0</v>
          </cell>
          <cell r="K441">
            <v>0</v>
          </cell>
          <cell r="L441">
            <v>0</v>
          </cell>
          <cell r="M441">
            <v>0</v>
          </cell>
          <cell r="N441">
            <v>0</v>
          </cell>
          <cell r="O441">
            <v>0</v>
          </cell>
          <cell r="P441">
            <v>2982368533</v>
          </cell>
          <cell r="Q441">
            <v>3156093542</v>
          </cell>
          <cell r="R441">
            <v>-4523909113</v>
          </cell>
          <cell r="S441">
            <v>2829447486</v>
          </cell>
          <cell r="T441">
            <v>979639262</v>
          </cell>
          <cell r="U441">
            <v>0</v>
          </cell>
          <cell r="V441">
            <v>0</v>
          </cell>
          <cell r="W441">
            <v>0</v>
          </cell>
          <cell r="X441">
            <v>0</v>
          </cell>
          <cell r="Y441">
            <v>0</v>
          </cell>
          <cell r="Z441">
            <v>0</v>
          </cell>
          <cell r="AA441">
            <v>0</v>
          </cell>
          <cell r="AB441">
            <v>0</v>
          </cell>
          <cell r="AC441">
            <v>0</v>
          </cell>
          <cell r="AD441">
            <v>979639262</v>
          </cell>
          <cell r="AE441">
            <v>0</v>
          </cell>
          <cell r="AF441">
            <v>0</v>
          </cell>
          <cell r="AG441">
            <v>979639262</v>
          </cell>
        </row>
        <row r="442">
          <cell r="D442" t="str">
            <v>51</v>
          </cell>
          <cell r="E442" t="str">
            <v>15. Chi phí thuế TNDN hiện hành</v>
          </cell>
          <cell r="F442">
            <v>647355977</v>
          </cell>
          <cell r="G442">
            <v>0</v>
          </cell>
          <cell r="H442">
            <v>0</v>
          </cell>
          <cell r="I442">
            <v>0</v>
          </cell>
          <cell r="J442">
            <v>0</v>
          </cell>
          <cell r="K442">
            <v>0</v>
          </cell>
          <cell r="L442">
            <v>0</v>
          </cell>
          <cell r="M442">
            <v>0</v>
          </cell>
          <cell r="N442">
            <v>0</v>
          </cell>
          <cell r="O442">
            <v>0</v>
          </cell>
          <cell r="P442">
            <v>647355977</v>
          </cell>
          <cell r="Q442">
            <v>-23499349</v>
          </cell>
          <cell r="R442">
            <v>0</v>
          </cell>
          <cell r="S442">
            <v>623856628</v>
          </cell>
          <cell r="T442">
            <v>256216395</v>
          </cell>
          <cell r="U442">
            <v>0</v>
          </cell>
          <cell r="V442">
            <v>0</v>
          </cell>
          <cell r="W442">
            <v>0</v>
          </cell>
          <cell r="X442">
            <v>0</v>
          </cell>
          <cell r="Y442">
            <v>0</v>
          </cell>
          <cell r="Z442">
            <v>0</v>
          </cell>
          <cell r="AA442">
            <v>0</v>
          </cell>
          <cell r="AB442">
            <v>0</v>
          </cell>
          <cell r="AC442">
            <v>0</v>
          </cell>
          <cell r="AD442">
            <v>256216395</v>
          </cell>
          <cell r="AE442">
            <v>0</v>
          </cell>
          <cell r="AF442">
            <v>0</v>
          </cell>
          <cell r="AG442">
            <v>256216395</v>
          </cell>
        </row>
        <row r="443">
          <cell r="B443" t="str">
            <v>82111</v>
          </cell>
          <cell r="D443" t="str">
            <v>51a</v>
          </cell>
          <cell r="E443" t="str">
            <v xml:space="preserve"> - Chi phí thuế TNDN tính trên thu nhập chịu thuế năm hiện hành</v>
          </cell>
          <cell r="F443">
            <v>647355977</v>
          </cell>
          <cell r="G443">
            <v>0</v>
          </cell>
          <cell r="H443">
            <v>0</v>
          </cell>
          <cell r="I443">
            <v>0</v>
          </cell>
          <cell r="J443">
            <v>0</v>
          </cell>
          <cell r="K443">
            <v>0</v>
          </cell>
          <cell r="L443">
            <v>0</v>
          </cell>
          <cell r="M443">
            <v>0</v>
          </cell>
          <cell r="N443">
            <v>0</v>
          </cell>
          <cell r="O443">
            <v>0</v>
          </cell>
          <cell r="P443">
            <v>647355977</v>
          </cell>
          <cell r="Q443">
            <v>-23499349</v>
          </cell>
          <cell r="R443">
            <v>0</v>
          </cell>
          <cell r="S443">
            <v>623856628</v>
          </cell>
          <cell r="T443">
            <v>256216395</v>
          </cell>
          <cell r="U443">
            <v>0</v>
          </cell>
          <cell r="V443">
            <v>0</v>
          </cell>
          <cell r="W443">
            <v>0</v>
          </cell>
          <cell r="X443">
            <v>0</v>
          </cell>
          <cell r="Y443">
            <v>0</v>
          </cell>
          <cell r="Z443">
            <v>0</v>
          </cell>
          <cell r="AA443">
            <v>0</v>
          </cell>
          <cell r="AB443">
            <v>0</v>
          </cell>
          <cell r="AC443">
            <v>0</v>
          </cell>
          <cell r="AD443">
            <v>256216395</v>
          </cell>
          <cell r="AE443">
            <v>0</v>
          </cell>
          <cell r="AF443">
            <v>0</v>
          </cell>
          <cell r="AG443">
            <v>256216395</v>
          </cell>
        </row>
        <row r="444">
          <cell r="B444" t="str">
            <v>82112</v>
          </cell>
          <cell r="D444" t="str">
            <v>51b</v>
          </cell>
          <cell r="E444" t="str">
            <v xml:space="preserve"> - Điều chỉnh chi phi thuế TNDN của các năm trước vào chi phi thuế thu nhập hiện hành năm nay</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D445" t="str">
            <v>52</v>
          </cell>
          <cell r="E445" t="str">
            <v>16. Chi phí thuế TNDN hoãn lại</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row>
        <row r="446">
          <cell r="B446" t="str">
            <v>82121</v>
          </cell>
          <cell r="D446" t="str">
            <v>52a</v>
          </cell>
          <cell r="E446" t="str">
            <v xml:space="preserve"> - Chi phí thuế TNDN hoãn lại phát sinh từ các khoản chênh lệch tạm thời phải chịu thuế</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B447" t="str">
            <v>82122</v>
          </cell>
          <cell r="D447" t="str">
            <v>52b</v>
          </cell>
          <cell r="E447" t="str">
            <v xml:space="preserve"> - Chi phí thuế TNDN hoãn lại phát sinh từ việc hoàn nhập tài sản thuế thu nhập hoãn lại</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B448" t="str">
            <v>82123</v>
          </cell>
          <cell r="D448" t="str">
            <v>52c</v>
          </cell>
          <cell r="E448" t="str">
            <v xml:space="preserve"> - Thu nhập thuế TNDN hoãn lại phát sinh từ các khoản chênh lệch tạm thời được khấu trừ</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row>
        <row r="449">
          <cell r="B449" t="str">
            <v>82124</v>
          </cell>
          <cell r="D449" t="str">
            <v>52d</v>
          </cell>
          <cell r="E449" t="str">
            <v xml:space="preserve"> - Thu nhập thuế TNDN hoãn lại phát sinh từ các khoản lỗ tính thuế và ưu đãi thuế chưa sử dụng</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B450" t="str">
            <v>82125</v>
          </cell>
          <cell r="D450" t="str">
            <v>52e</v>
          </cell>
          <cell r="E450" t="str">
            <v xml:space="preserve"> - Thu nhập thuế TNDN hoãn lại phát sinh từ việc hoàn nhập thuế thu nhập hoãn lại phải trả</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D451" t="str">
            <v>60</v>
          </cell>
          <cell r="E451" t="str">
            <v>17. Lợi nhuận sau thuế TNDN (60 = 50 - 51 - 52)</v>
          </cell>
          <cell r="F451">
            <v>2713302689</v>
          </cell>
          <cell r="G451">
            <v>-378290133</v>
          </cell>
          <cell r="H451">
            <v>0</v>
          </cell>
          <cell r="I451">
            <v>0</v>
          </cell>
          <cell r="J451">
            <v>0</v>
          </cell>
          <cell r="K451">
            <v>0</v>
          </cell>
          <cell r="L451">
            <v>0</v>
          </cell>
          <cell r="M451">
            <v>0</v>
          </cell>
          <cell r="N451">
            <v>0</v>
          </cell>
          <cell r="O451">
            <v>0</v>
          </cell>
          <cell r="P451">
            <v>2335012556</v>
          </cell>
          <cell r="Q451">
            <v>3179592891</v>
          </cell>
          <cell r="R451">
            <v>-4523909113</v>
          </cell>
          <cell r="S451">
            <v>2205590858</v>
          </cell>
          <cell r="T451">
            <v>723422867</v>
          </cell>
          <cell r="U451">
            <v>0</v>
          </cell>
          <cell r="V451">
            <v>0</v>
          </cell>
          <cell r="W451">
            <v>0</v>
          </cell>
          <cell r="X451">
            <v>0</v>
          </cell>
          <cell r="Y451">
            <v>0</v>
          </cell>
          <cell r="Z451">
            <v>0</v>
          </cell>
          <cell r="AA451">
            <v>0</v>
          </cell>
          <cell r="AB451">
            <v>0</v>
          </cell>
          <cell r="AC451">
            <v>0</v>
          </cell>
          <cell r="AD451">
            <v>723422867</v>
          </cell>
          <cell r="AE451">
            <v>0</v>
          </cell>
          <cell r="AF451">
            <v>0</v>
          </cell>
          <cell r="AG451">
            <v>723422867</v>
          </cell>
        </row>
        <row r="452">
          <cell r="D452" t="str">
            <v>70</v>
          </cell>
          <cell r="E452" t="str">
            <v>18. Lãi cơ bản trên cổ phiếu (*)</v>
          </cell>
          <cell r="F452">
            <v>0</v>
          </cell>
          <cell r="G452">
            <v>0</v>
          </cell>
          <cell r="H452">
            <v>0</v>
          </cell>
          <cell r="I452">
            <v>0</v>
          </cell>
          <cell r="J452">
            <v>0</v>
          </cell>
          <cell r="K452">
            <v>0</v>
          </cell>
          <cell r="L452">
            <v>0</v>
          </cell>
          <cell r="M452">
            <v>0</v>
          </cell>
          <cell r="N452">
            <v>0</v>
          </cell>
          <cell r="O452">
            <v>0</v>
          </cell>
          <cell r="S452">
            <v>1103</v>
          </cell>
          <cell r="T452">
            <v>362</v>
          </cell>
          <cell r="U452">
            <v>0</v>
          </cell>
          <cell r="V452">
            <v>0</v>
          </cell>
          <cell r="W452">
            <v>0</v>
          </cell>
          <cell r="X452">
            <v>0</v>
          </cell>
          <cell r="Y452">
            <v>0</v>
          </cell>
          <cell r="Z452">
            <v>0</v>
          </cell>
          <cell r="AA452">
            <v>0</v>
          </cell>
          <cell r="AB452">
            <v>0</v>
          </cell>
          <cell r="AC452">
            <v>0</v>
          </cell>
          <cell r="AG452">
            <v>362</v>
          </cell>
        </row>
        <row r="453">
          <cell r="D453" t="str">
            <v>71</v>
          </cell>
          <cell r="E453" t="str">
            <v>19. Lãi suy giảm trên cổ phiếu (*)</v>
          </cell>
          <cell r="S453">
            <v>1103</v>
          </cell>
          <cell r="T453">
            <v>0</v>
          </cell>
          <cell r="AG453">
            <v>362</v>
          </cell>
        </row>
        <row r="456">
          <cell r="D456" t="str">
            <v>BÁO CÁO LƯU CHUYỂN TIỀN TỆ (PP TRỰC TIẾP)</v>
          </cell>
        </row>
        <row r="458">
          <cell r="D458" t="str">
            <v>Mã số</v>
          </cell>
          <cell r="Q458" t="str">
            <v>Đ/c Nợ</v>
          </cell>
          <cell r="R458" t="str">
            <v>Đ/c Có</v>
          </cell>
        </row>
        <row r="459">
          <cell r="D459" t="str">
            <v>1</v>
          </cell>
          <cell r="Q459" t="str">
            <v>4</v>
          </cell>
          <cell r="R459" t="str">
            <v>5</v>
          </cell>
        </row>
        <row r="460">
          <cell r="E460" t="str">
            <v>CY: Để điền dữ liệu từ bảng công thức Nhat_LCTT trực tiếp vào cột nào chỉ cần điền công thức "=get_LCTT_KN" vào ô chỉ tiêu tương ứng.</v>
          </cell>
        </row>
        <row r="461">
          <cell r="E461" t="str">
            <v>I. LƯU CHUYỂN TIỀN TỪ HOẠT ĐỘNG KINH DOANH</v>
          </cell>
        </row>
        <row r="462">
          <cell r="B462" t="str">
            <v>LC01</v>
          </cell>
          <cell r="D462" t="str">
            <v>01</v>
          </cell>
          <cell r="E462" t="str">
            <v>1.Tiền thu từ bán hàng, cung cấp dịch vụ và doanh thu khác</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B463" t="str">
            <v>LC02</v>
          </cell>
          <cell r="D463" t="str">
            <v>02</v>
          </cell>
          <cell r="E463" t="str">
            <v>2.Tiền chi trả cho người cung cấp hàng hóa và dịch vụ (*)</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row>
        <row r="464">
          <cell r="B464" t="str">
            <v>LC03</v>
          </cell>
          <cell r="D464" t="str">
            <v>03</v>
          </cell>
          <cell r="E464" t="str">
            <v>3.Tiền chi trả cho người lao động (*)</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row>
        <row r="465">
          <cell r="B465" t="str">
            <v>LC04</v>
          </cell>
          <cell r="D465" t="str">
            <v>04</v>
          </cell>
          <cell r="E465" t="str">
            <v>4.Tiền chi trả lãi vay (*)</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B466" t="str">
            <v>LC05</v>
          </cell>
          <cell r="D466" t="str">
            <v>05</v>
          </cell>
          <cell r="E466" t="str">
            <v>5.Tiền chi nộp thuế thu nhập doanh nghiệp (*)</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B467" t="str">
            <v>LC06</v>
          </cell>
          <cell r="D467" t="str">
            <v>06</v>
          </cell>
          <cell r="E467" t="str">
            <v>6.Tiền thu khác từ hoạt động kinh doanh</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row>
        <row r="468">
          <cell r="B468" t="str">
            <v>LC07</v>
          </cell>
          <cell r="D468" t="str">
            <v>07</v>
          </cell>
          <cell r="E468" t="str">
            <v>7.Tiền chi khác cho hoạt động kinh doanh (*)</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row>
        <row r="469">
          <cell r="D469" t="str">
            <v>20</v>
          </cell>
          <cell r="E469" t="str">
            <v>Lưu chuyển tiền thuần từ hoạt động kinh doanh</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1">
          <cell r="E471" t="str">
            <v xml:space="preserve">II. LƯU CHUYỂN TỪ HOẠT ĐỘNG ĐẦU TƯ </v>
          </cell>
        </row>
        <row r="472">
          <cell r="B472" t="str">
            <v>LC21</v>
          </cell>
          <cell r="D472" t="str">
            <v>21</v>
          </cell>
          <cell r="E472" t="str">
            <v>1.Tiền chi để mua sắm, xây dựng TSCĐ và các tài sản dài hạn khác (*)</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B473" t="str">
            <v>LC22</v>
          </cell>
          <cell r="D473" t="str">
            <v>22</v>
          </cell>
          <cell r="E473" t="str">
            <v>2.Tiền thu từ thanh lý, nhượng bán TSCĐ và các tài sản dài hạn khác</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row>
        <row r="474">
          <cell r="B474" t="str">
            <v>LC23</v>
          </cell>
          <cell r="D474" t="str">
            <v>23</v>
          </cell>
          <cell r="E474" t="str">
            <v>3.Tiền chi cho vay, mua các công cụ nợ của đơn vị khác (*)</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B475" t="str">
            <v>LC24</v>
          </cell>
          <cell r="D475" t="str">
            <v>24</v>
          </cell>
          <cell r="E475" t="str">
            <v>4.Tiền thu hồi cho vay, bán lại các công cụ nợ của đơn vị khác</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B476" t="str">
            <v>LC25</v>
          </cell>
          <cell r="D476" t="str">
            <v>25</v>
          </cell>
          <cell r="E476" t="str">
            <v>5.Tiền chi đầu tư góp vốn vào đơn vị khác (*)</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B477" t="str">
            <v>LC26</v>
          </cell>
          <cell r="D477" t="str">
            <v>26</v>
          </cell>
          <cell r="E477" t="str">
            <v>6.Tiền thu hồi đầu tư góp vốn vào đơn vị khác</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row>
        <row r="478">
          <cell r="B478" t="str">
            <v>LC27</v>
          </cell>
          <cell r="D478" t="str">
            <v>27</v>
          </cell>
          <cell r="E478" t="str">
            <v>7.Tiền thu lãi cho vay, cổ tức và lợi nhuận được chia</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D479" t="str">
            <v>30</v>
          </cell>
          <cell r="E479" t="str">
            <v>Lưu chuyển tiền thuần từ hoạt động đầu tư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row>
        <row r="481">
          <cell r="E481" t="str">
            <v xml:space="preserve">III. LƯU CHUYỂN TIỀN TỪ HOẠT ĐỘNG TÀI CHÍNH </v>
          </cell>
        </row>
        <row r="482">
          <cell r="B482" t="str">
            <v>LC31</v>
          </cell>
          <cell r="D482" t="str">
            <v>31</v>
          </cell>
          <cell r="E482" t="str">
            <v>1.Tiền thu từ phát hành cố phiếu, nhận vốn góp của chủ sở hữu</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row>
        <row r="483">
          <cell r="B483" t="str">
            <v>LC32</v>
          </cell>
          <cell r="D483" t="str">
            <v>32</v>
          </cell>
          <cell r="E483" t="str">
            <v>2.Tiền chi trả vốn góp  cho các chủ sở hữu, mua lại cổ phiếu của doanh nghiệp đã phát hành (*)</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B484" t="str">
            <v>LC33</v>
          </cell>
          <cell r="D484" t="str">
            <v>33</v>
          </cell>
          <cell r="E484" t="str">
            <v>3.Tiền vay ngắn hạn, dài hạn nhận được</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B485" t="str">
            <v>LC34</v>
          </cell>
          <cell r="D485" t="str">
            <v>34</v>
          </cell>
          <cell r="E485" t="str">
            <v>4.Tiền chi trả nợ gốc vay (*)</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row>
        <row r="486">
          <cell r="B486" t="str">
            <v>LC35</v>
          </cell>
          <cell r="D486" t="str">
            <v>35</v>
          </cell>
          <cell r="E486" t="str">
            <v>5.Tiền chi trả nợ thuê tài chính (*)</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B487" t="str">
            <v>LC36</v>
          </cell>
          <cell r="D487" t="str">
            <v>36</v>
          </cell>
          <cell r="E487" t="str">
            <v>6.Cổ tức, lợi nhuận đã trả cho chủ sở hữu (*)</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D488" t="str">
            <v>40</v>
          </cell>
          <cell r="E488" t="str">
            <v>Lưu chuyển tiền thuần từ hoạt động tài chính</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90">
          <cell r="D490" t="str">
            <v>50</v>
          </cell>
          <cell r="E490" t="str">
            <v xml:space="preserve">Lưu chuyển tiền thuần trong kỳ </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2">
          <cell r="B492" t="str">
            <v>LC60</v>
          </cell>
          <cell r="D492" t="str">
            <v>60</v>
          </cell>
          <cell r="E492" t="str">
            <v>Tiền và tương đương tiền đầu kỳ</v>
          </cell>
          <cell r="F492">
            <v>0</v>
          </cell>
          <cell r="G492">
            <v>0</v>
          </cell>
          <cell r="H492">
            <v>0</v>
          </cell>
          <cell r="I492">
            <v>0</v>
          </cell>
          <cell r="J492">
            <v>0</v>
          </cell>
          <cell r="K492">
            <v>0</v>
          </cell>
          <cell r="L492">
            <v>0</v>
          </cell>
          <cell r="M492">
            <v>0</v>
          </cell>
          <cell r="N492">
            <v>0</v>
          </cell>
          <cell r="O492">
            <v>0</v>
          </cell>
          <cell r="P492">
            <v>0</v>
          </cell>
          <cell r="S492">
            <v>0</v>
          </cell>
          <cell r="T492">
            <v>0</v>
          </cell>
          <cell r="U492">
            <v>0</v>
          </cell>
          <cell r="V492">
            <v>0</v>
          </cell>
          <cell r="W492">
            <v>0</v>
          </cell>
          <cell r="X492">
            <v>0</v>
          </cell>
          <cell r="Y492">
            <v>0</v>
          </cell>
          <cell r="Z492">
            <v>0</v>
          </cell>
          <cell r="AA492">
            <v>0</v>
          </cell>
          <cell r="AB492">
            <v>0</v>
          </cell>
          <cell r="AC492">
            <v>0</v>
          </cell>
          <cell r="AD492">
            <v>0</v>
          </cell>
          <cell r="AG492">
            <v>0</v>
          </cell>
        </row>
        <row r="493">
          <cell r="B493" t="str">
            <v>LC61</v>
          </cell>
          <cell r="D493" t="str">
            <v>61</v>
          </cell>
          <cell r="E493" t="str">
            <v>Ảnh hưởng của thay đổi tỷ giá hối đoái quy đổi ngoại tệ</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row>
        <row r="494">
          <cell r="D494" t="str">
            <v>70</v>
          </cell>
          <cell r="E494" t="str">
            <v>Tiền và tương đương tiền cuối kỳ</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row>
      </sheetData>
      <sheetData sheetId="11"/>
      <sheetData sheetId="12">
        <row r="20">
          <cell r="AE20">
            <v>6</v>
          </cell>
          <cell r="AF20">
            <v>34</v>
          </cell>
        </row>
        <row r="35">
          <cell r="A35" t="str">
            <v>Công ty Cổ phần Viglacera Từ Sơn là Công ty Cổ phần được chuyển đổi từ doanh nghiệp Nhà nước là Công ty Gốm xây dựng Từ Sơn theo Quyết định số 1729/QĐ-BXD ngày 04 tháng 11 năm 2004 của Bộ trưởng Bộ Xây dựng.</v>
          </cell>
          <cell r="P35" t="str">
            <v>ABC Joint Stock Company was established under Decision No...... dated....... issued by.... )</v>
          </cell>
        </row>
        <row r="37">
          <cell r="A37" t="str">
            <v>Trụ sở chính của Công ty tại Phường Đình Bảng - Thị xã Từ Sơn - Tỉnh Bắc Ninh.</v>
          </cell>
          <cell r="P37" t="str">
            <v>The Corporation’s head office is located at…</v>
          </cell>
        </row>
      </sheetData>
      <sheetData sheetId="13">
        <row r="20">
          <cell r="E20" t="str">
            <v>Không</v>
          </cell>
        </row>
      </sheetData>
      <sheetData sheetId="14"/>
      <sheetData sheetId="15"/>
      <sheetData sheetId="16"/>
      <sheetData sheetId="17"/>
      <sheetData sheetId="18"/>
      <sheetData sheetId="19"/>
      <sheetData sheetId="20"/>
      <sheetData sheetId="21"/>
      <sheetData sheetId="22"/>
      <sheetData sheetId="23"/>
      <sheetData sheetId="24">
        <row r="15">
          <cell r="V15">
            <v>3749707209</v>
          </cell>
        </row>
        <row r="29">
          <cell r="V29">
            <v>961700000</v>
          </cell>
        </row>
        <row r="31">
          <cell r="V31">
            <v>-2314234450</v>
          </cell>
          <cell r="AD31">
            <v>-3561928608</v>
          </cell>
        </row>
        <row r="36">
          <cell r="V36">
            <v>-4742052370</v>
          </cell>
          <cell r="AD36">
            <v>-2019041069</v>
          </cell>
        </row>
        <row r="52">
          <cell r="V52">
            <v>0</v>
          </cell>
        </row>
        <row r="65">
          <cell r="V65">
            <v>-51624993</v>
          </cell>
          <cell r="AD65">
            <v>-22124997</v>
          </cell>
        </row>
        <row r="79">
          <cell r="V79">
            <v>-847098046</v>
          </cell>
          <cell r="AD79">
            <v>-847893617</v>
          </cell>
        </row>
        <row r="100">
          <cell r="V100">
            <v>3576953621</v>
          </cell>
        </row>
        <row r="104">
          <cell r="V104">
            <v>125537580</v>
          </cell>
        </row>
        <row r="108">
          <cell r="V108">
            <v>892532338</v>
          </cell>
        </row>
        <row r="109">
          <cell r="V109">
            <v>1074476402</v>
          </cell>
        </row>
      </sheetData>
      <sheetData sheetId="25">
        <row r="8">
          <cell r="AO8" t="str">
            <v>10</v>
          </cell>
        </row>
        <row r="19">
          <cell r="V19">
            <v>40444910248</v>
          </cell>
        </row>
        <row r="26">
          <cell r="V26">
            <v>2249438396</v>
          </cell>
        </row>
        <row r="27">
          <cell r="V27">
            <v>3367882045</v>
          </cell>
        </row>
        <row r="38">
          <cell r="V38">
            <v>623856628</v>
          </cell>
        </row>
      </sheetData>
      <sheetData sheetId="26">
        <row r="9">
          <cell r="AL9" t="str">
            <v>10</v>
          </cell>
        </row>
      </sheetData>
      <sheetData sheetId="27">
        <row r="16">
          <cell r="A16" t="str">
            <v>02</v>
          </cell>
          <cell r="B16" t="str">
            <v xml:space="preserve"> - </v>
          </cell>
          <cell r="C16" t="str">
            <v>Khấu hao tài sản cố định và bất động sản đầu tư</v>
          </cell>
          <cell r="AE16">
            <v>2716936970</v>
          </cell>
          <cell r="AL16">
            <v>2726040857</v>
          </cell>
        </row>
        <row r="17">
          <cell r="A17" t="str">
            <v>03</v>
          </cell>
          <cell r="B17" t="str">
            <v xml:space="preserve"> - </v>
          </cell>
          <cell r="C17" t="str">
            <v xml:space="preserve">Các khoản dự phòng </v>
          </cell>
          <cell r="AE17">
            <v>1474521572</v>
          </cell>
          <cell r="AL17">
            <v>3821931091</v>
          </cell>
        </row>
        <row r="18">
          <cell r="A18" t="str">
            <v>04</v>
          </cell>
          <cell r="B18" t="str">
            <v xml:space="preserve"> - </v>
          </cell>
          <cell r="C18" t="str">
            <v>Lãi, lỗ chênh lệch tỷ giá hối đoái do đánh giá lại các khoản mục tiền tệ có gốc ngoại tệ</v>
          </cell>
          <cell r="AE18">
            <v>155219</v>
          </cell>
          <cell r="AL18">
            <v>-861755</v>
          </cell>
        </row>
        <row r="19">
          <cell r="A19" t="str">
            <v>05</v>
          </cell>
          <cell r="B19" t="str">
            <v xml:space="preserve"> - </v>
          </cell>
          <cell r="C19" t="str">
            <v>Lãi/lỗ từ hoạt động đầu tư</v>
          </cell>
          <cell r="AE19">
            <v>-1837844707</v>
          </cell>
          <cell r="AL19">
            <v>-1250851806</v>
          </cell>
        </row>
        <row r="20">
          <cell r="A20" t="str">
            <v>06</v>
          </cell>
          <cell r="B20" t="str">
            <v xml:space="preserve"> - </v>
          </cell>
          <cell r="C20" t="str">
            <v xml:space="preserve">Chi phí lãi vay </v>
          </cell>
          <cell r="AE20">
            <v>158913332</v>
          </cell>
          <cell r="AL20">
            <v>370067294</v>
          </cell>
        </row>
        <row r="21">
          <cell r="A21" t="str">
            <v>07</v>
          </cell>
          <cell r="B21" t="str">
            <v xml:space="preserve"> - </v>
          </cell>
          <cell r="C21" t="str">
            <v>Các khoản điều chỉnh khác</v>
          </cell>
          <cell r="AB21">
            <v>0</v>
          </cell>
          <cell r="AE21">
            <v>0</v>
          </cell>
          <cell r="AL21">
            <v>0</v>
          </cell>
        </row>
        <row r="22">
          <cell r="A22" t="str">
            <v>08</v>
          </cell>
          <cell r="B22" t="str">
            <v>3. Lợi nhuận từ hoạt động kinh doanh trước</v>
          </cell>
          <cell r="AE22">
            <v>5342129872</v>
          </cell>
          <cell r="AL22">
            <v>6645964943</v>
          </cell>
        </row>
        <row r="23">
          <cell r="B23" t="str">
            <v xml:space="preserve">    thay đổi vốn lưu động</v>
          </cell>
        </row>
        <row r="24">
          <cell r="A24" t="str">
            <v>09</v>
          </cell>
          <cell r="B24" t="str">
            <v xml:space="preserve"> - </v>
          </cell>
          <cell r="C24" t="str">
            <v xml:space="preserve">Tăng/giảm các khoản phải thu </v>
          </cell>
          <cell r="AE24">
            <v>2375009580</v>
          </cell>
          <cell r="AL24">
            <v>-424655465</v>
          </cell>
        </row>
        <row r="25">
          <cell r="A25" t="str">
            <v>10</v>
          </cell>
          <cell r="B25" t="str">
            <v xml:space="preserve"> - </v>
          </cell>
          <cell r="C25" t="str">
            <v xml:space="preserve">Tăng/giảm hàng tồn kho </v>
          </cell>
          <cell r="AE25">
            <v>-3266761985.9999995</v>
          </cell>
          <cell r="AL25">
            <v>4370582608</v>
          </cell>
        </row>
        <row r="26">
          <cell r="A26" t="str">
            <v>11</v>
          </cell>
          <cell r="B26" t="str">
            <v xml:space="preserve"> - </v>
          </cell>
          <cell r="C26" t="str">
            <v>Tăng/giảm các khoản phải trả</v>
          </cell>
          <cell r="AE26">
            <v>2312810681</v>
          </cell>
          <cell r="AL26">
            <v>2036447567</v>
          </cell>
        </row>
        <row r="27">
          <cell r="C27" t="str">
            <v>(không kể lãi vay phải trả, thuế TNDN phải nộp)</v>
          </cell>
          <cell r="AL27">
            <v>0</v>
          </cell>
        </row>
        <row r="28">
          <cell r="A28" t="str">
            <v>12</v>
          </cell>
          <cell r="B28" t="str">
            <v xml:space="preserve"> - </v>
          </cell>
          <cell r="C28" t="str">
            <v>Tăng/giảm chi phí trả trước</v>
          </cell>
          <cell r="AE28">
            <v>-145886229</v>
          </cell>
          <cell r="AL28">
            <v>651237257</v>
          </cell>
        </row>
        <row r="29">
          <cell r="A29" t="str">
            <v>13</v>
          </cell>
          <cell r="B29" t="str">
            <v xml:space="preserve"> - </v>
          </cell>
          <cell r="C29" t="str">
            <v>Tăng/giảm chứng khoán kinh doanh</v>
          </cell>
          <cell r="AE29">
            <v>0</v>
          </cell>
          <cell r="AL29">
            <v>0</v>
          </cell>
        </row>
        <row r="30">
          <cell r="A30" t="str">
            <v>14</v>
          </cell>
          <cell r="B30" t="str">
            <v xml:space="preserve"> - </v>
          </cell>
          <cell r="C30" t="str">
            <v>Tiền lãi vay đã trả</v>
          </cell>
          <cell r="AE30">
            <v>-161148752</v>
          </cell>
          <cell r="AL30">
            <v>-398711553</v>
          </cell>
        </row>
        <row r="31">
          <cell r="A31" t="str">
            <v>15</v>
          </cell>
          <cell r="B31" t="str">
            <v xml:space="preserve"> - </v>
          </cell>
          <cell r="C31" t="str">
            <v>Thuế thu nhập doanh nghiệp đã nộp</v>
          </cell>
          <cell r="AE31">
            <v>-252730366</v>
          </cell>
          <cell r="AL31">
            <v>-182023579</v>
          </cell>
        </row>
        <row r="32">
          <cell r="A32" t="str">
            <v>16</v>
          </cell>
          <cell r="B32" t="str">
            <v xml:space="preserve"> - </v>
          </cell>
          <cell r="C32" t="str">
            <v>Tiền thu khác từ hoạt động kinh doanh</v>
          </cell>
          <cell r="AE32">
            <v>0</v>
          </cell>
          <cell r="AL32">
            <v>0</v>
          </cell>
        </row>
        <row r="33">
          <cell r="A33" t="str">
            <v>17</v>
          </cell>
          <cell r="B33" t="str">
            <v xml:space="preserve"> - </v>
          </cell>
          <cell r="C33" t="str">
            <v>Tiền chi khác cho hoạt động kinh doanh</v>
          </cell>
          <cell r="AE33">
            <v>-65218190</v>
          </cell>
          <cell r="AL33">
            <v>-47676800</v>
          </cell>
        </row>
        <row r="34">
          <cell r="A34" t="str">
            <v>20</v>
          </cell>
          <cell r="B34" t="str">
            <v>Lưu chuyển tiền thuần từ hoạt động kinh doanh</v>
          </cell>
          <cell r="AE34">
            <v>6138204610</v>
          </cell>
          <cell r="AL34">
            <v>12651164978</v>
          </cell>
        </row>
        <row r="36">
          <cell r="B36" t="str">
            <v xml:space="preserve">II.  LƯU CHUYỂN TIỀN TỪ HOẠT ĐỘNG ĐẦU TƯ </v>
          </cell>
        </row>
        <row r="37">
          <cell r="A37" t="str">
            <v>21</v>
          </cell>
          <cell r="B37" t="str">
            <v>1. Tiền chi để mua sắm, xây dựng tài sản cố định 
và các tài sản dài hạn khác</v>
          </cell>
          <cell r="AE37">
            <v>-2681824389</v>
          </cell>
          <cell r="AL37">
            <v>-118000000</v>
          </cell>
        </row>
        <row r="38">
          <cell r="A38" t="str">
            <v>22</v>
          </cell>
          <cell r="B38" t="str">
            <v xml:space="preserve">2. Tiền thu từ thanh lý, nhượng bán tài sản cố định và các tài sản dài hạn khác </v>
          </cell>
          <cell r="AE38">
            <v>1919255008</v>
          </cell>
          <cell r="AL38">
            <v>0</v>
          </cell>
        </row>
        <row r="39">
          <cell r="A39" t="str">
            <v>23</v>
          </cell>
          <cell r="B39" t="str">
            <v>3. Tiền chi cho vay, mua các công cụ nợ của đơn vị khác</v>
          </cell>
          <cell r="AE39">
            <v>-24515802846</v>
          </cell>
          <cell r="AL39">
            <v>-36835000000</v>
          </cell>
        </row>
        <row r="40">
          <cell r="A40" t="str">
            <v>24</v>
          </cell>
          <cell r="B40" t="str">
            <v xml:space="preserve">4. Tiền thu hồi cho vay, bán lại các công cụ nợ của đơn vị khác </v>
          </cell>
          <cell r="AE40">
            <v>18280100000</v>
          </cell>
          <cell r="AL40">
            <v>23361200000</v>
          </cell>
        </row>
        <row r="41">
          <cell r="A41" t="str">
            <v>25</v>
          </cell>
          <cell r="B41" t="str">
            <v>4. Tiền chi đầu tư góp vốn vào đơn vị khác</v>
          </cell>
          <cell r="AE41">
            <v>0</v>
          </cell>
          <cell r="AL41">
            <v>0</v>
          </cell>
        </row>
        <row r="42">
          <cell r="A42" t="str">
            <v>26</v>
          </cell>
          <cell r="B42" t="str">
            <v>4. Tiền thu hồi đầu tư góp vốn vào đơn vị khác</v>
          </cell>
          <cell r="AE42">
            <v>0</v>
          </cell>
          <cell r="AL42">
            <v>0</v>
          </cell>
        </row>
        <row r="43">
          <cell r="A43" t="str">
            <v>27</v>
          </cell>
          <cell r="B43" t="str">
            <v>5. Tiền thu lãi cho vay, cổ tức và lợi nhuận được chia</v>
          </cell>
          <cell r="AE43">
            <v>2190815208</v>
          </cell>
          <cell r="AL43">
            <v>1080659363</v>
          </cell>
        </row>
        <row r="44">
          <cell r="A44" t="str">
            <v>30</v>
          </cell>
          <cell r="B44" t="str">
            <v>Lưu chuyển tiền thuần từ hoạt động đầu tư</v>
          </cell>
          <cell r="AE44">
            <v>-4807457019</v>
          </cell>
          <cell r="AL44">
            <v>-12511140637</v>
          </cell>
        </row>
        <row r="46">
          <cell r="B46" t="str">
            <v xml:space="preserve">III. LƯU CHUYỂN TIỀN TỪ HOẠT ĐỘNG TÀI CHÍNH </v>
          </cell>
        </row>
        <row r="47">
          <cell r="A47" t="str">
            <v>31</v>
          </cell>
          <cell r="B47" t="str">
            <v>0. Tiền thu từ phát hành cổ phiếu, nhận vốn góp của chủ sở hữu</v>
          </cell>
          <cell r="AE47">
            <v>0</v>
          </cell>
          <cell r="AL47">
            <v>0</v>
          </cell>
        </row>
        <row r="48">
          <cell r="A48" t="str">
            <v>32</v>
          </cell>
          <cell r="B48" t="str">
            <v>0. Tiền trả lại vốn góp cho các chủ sở hữu, mua lại cổ phiếu của doanh nghiệp đã phát hành</v>
          </cell>
          <cell r="AE48">
            <v>0</v>
          </cell>
          <cell r="AL48">
            <v>0</v>
          </cell>
        </row>
        <row r="49">
          <cell r="A49" t="str">
            <v>33</v>
          </cell>
          <cell r="B49" t="str">
            <v>1. Tiền thu đi vay</v>
          </cell>
          <cell r="AE49">
            <v>2830656545</v>
          </cell>
          <cell r="AL49">
            <v>6275316044</v>
          </cell>
        </row>
        <row r="50">
          <cell r="A50" t="str">
            <v>34</v>
          </cell>
          <cell r="B50" t="str">
            <v>2. Tiền trả nợ gốc vay</v>
          </cell>
          <cell r="AE50">
            <v>-4383180143</v>
          </cell>
          <cell r="AL50">
            <v>-10524993544</v>
          </cell>
        </row>
        <row r="51">
          <cell r="A51" t="str">
            <v>35</v>
          </cell>
          <cell r="B51" t="str">
            <v>2. Tiền trả nợ gốc thuê tài chính</v>
          </cell>
          <cell r="AE51">
            <v>0</v>
          </cell>
          <cell r="AL51">
            <v>0</v>
          </cell>
        </row>
        <row r="52">
          <cell r="A52" t="str">
            <v>36</v>
          </cell>
          <cell r="B52" t="str">
            <v>2. Cổ tức, lợi nhuận đã trả cho chủ sở hữu</v>
          </cell>
          <cell r="AE52">
            <v>0</v>
          </cell>
          <cell r="AL52">
            <v>0</v>
          </cell>
        </row>
        <row r="53">
          <cell r="A53" t="str">
            <v>40</v>
          </cell>
          <cell r="B53" t="str">
            <v>Lưu chuyển tiền thuần từ hoạt động tài chính</v>
          </cell>
          <cell r="AE53">
            <v>-1552523598</v>
          </cell>
          <cell r="AL53">
            <v>-4249677500</v>
          </cell>
        </row>
        <row r="54">
          <cell r="A54" t="str">
            <v>(tiếp theo)</v>
          </cell>
        </row>
        <row r="56">
          <cell r="A56" t="str">
            <v>50</v>
          </cell>
          <cell r="B56" t="str">
            <v>Lưu chuyển tiền thuần trong năm</v>
          </cell>
          <cell r="AE56">
            <v>-221776007</v>
          </cell>
          <cell r="AL56">
            <v>-4109653159</v>
          </cell>
        </row>
        <row r="58">
          <cell r="A58" t="str">
            <v>60</v>
          </cell>
          <cell r="B58" t="str">
            <v>Tiền và tương đương tiền đầu năm</v>
          </cell>
          <cell r="AE58">
            <v>3971638435</v>
          </cell>
          <cell r="AL58">
            <v>8080429839</v>
          </cell>
        </row>
        <row r="60">
          <cell r="A60" t="str">
            <v>61</v>
          </cell>
          <cell r="B60" t="str">
            <v>Ảnh hưởng của thay đổi tỷ giá hối đoái quy đổi ngoại tệ</v>
          </cell>
          <cell r="AE60">
            <v>-155219</v>
          </cell>
          <cell r="AL60">
            <v>861755</v>
          </cell>
        </row>
        <row r="62">
          <cell r="A62" t="str">
            <v>70</v>
          </cell>
          <cell r="B62" t="str">
            <v>Tiền và tương đương tiền cuối năm</v>
          </cell>
          <cell r="AB62">
            <v>3</v>
          </cell>
          <cell r="AE62">
            <v>3749707209</v>
          </cell>
          <cell r="AL62">
            <v>3971638435</v>
          </cell>
        </row>
      </sheetData>
      <sheetData sheetId="28">
        <row r="37">
          <cell r="B37">
            <v>1103</v>
          </cell>
          <cell r="C37">
            <v>362</v>
          </cell>
        </row>
      </sheetData>
      <sheetData sheetId="29">
        <row r="37">
          <cell r="B37">
            <v>2</v>
          </cell>
          <cell r="C37">
            <v>2</v>
          </cell>
        </row>
        <row r="40">
          <cell r="B40">
            <v>1103</v>
          </cell>
          <cell r="C40">
            <v>362</v>
          </cell>
        </row>
      </sheetData>
      <sheetData sheetId="30"/>
      <sheetData sheetId="31"/>
      <sheetData sheetId="32">
        <row r="1">
          <cell r="I1" t="str">
            <v>$F$9:$H$10</v>
          </cell>
        </row>
        <row r="9">
          <cell r="F9" t="str">
            <v>Nợ</v>
          </cell>
          <cell r="G9" t="str">
            <v>Có</v>
          </cell>
          <cell r="H9" t="str">
            <v>Số tiền</v>
          </cell>
        </row>
        <row r="10">
          <cell r="F10" t="str">
            <v>xx</v>
          </cell>
        </row>
      </sheetData>
      <sheetData sheetId="33">
        <row r="1">
          <cell r="A1" t="str">
            <v>+</v>
          </cell>
        </row>
        <row r="2">
          <cell r="A2" t="str">
            <v>-</v>
          </cell>
        </row>
        <row r="28">
          <cell r="K28" t="str">
            <v>C1</v>
          </cell>
        </row>
      </sheetData>
      <sheetData sheetId="34"/>
      <sheetData sheetId="35">
        <row r="9">
          <cell r="O9" t="str">
            <v>01</v>
          </cell>
          <cell r="P9" t="str">
            <v>1.</v>
          </cell>
          <cell r="Q9" t="str">
            <v>Tiền thu từ bán hàng, cung cấp dịch vụ và</v>
          </cell>
          <cell r="U9">
            <v>0</v>
          </cell>
        </row>
        <row r="10">
          <cell r="Q10" t="str">
            <v>doanh thu khác</v>
          </cell>
        </row>
        <row r="11">
          <cell r="O11" t="str">
            <v>02</v>
          </cell>
          <cell r="P11" t="str">
            <v>2.</v>
          </cell>
          <cell r="Q11" t="str">
            <v>Tiền chi trả cho người cung cấp hàng hóa và dịch vụ</v>
          </cell>
          <cell r="U11">
            <v>0</v>
          </cell>
        </row>
        <row r="12">
          <cell r="O12" t="str">
            <v>03</v>
          </cell>
          <cell r="P12" t="str">
            <v>3.</v>
          </cell>
          <cell r="Q12" t="str">
            <v>Tiền chi trả cho người lao động</v>
          </cell>
          <cell r="U12">
            <v>0</v>
          </cell>
        </row>
        <row r="13">
          <cell r="O13" t="str">
            <v>04</v>
          </cell>
          <cell r="P13" t="str">
            <v>4.</v>
          </cell>
          <cell r="Q13" t="str">
            <v>Tiền chi trả lãi vay</v>
          </cell>
          <cell r="U13">
            <v>0</v>
          </cell>
        </row>
        <row r="14">
          <cell r="O14" t="str">
            <v>05</v>
          </cell>
          <cell r="P14" t="str">
            <v>5.</v>
          </cell>
          <cell r="Q14" t="str">
            <v>Thuế thu nhập doanh nghiệp đã nộp</v>
          </cell>
          <cell r="U14">
            <v>0</v>
          </cell>
        </row>
        <row r="15">
          <cell r="O15" t="str">
            <v>06</v>
          </cell>
          <cell r="P15" t="str">
            <v>6.</v>
          </cell>
          <cell r="Q15" t="str">
            <v>Tiền thu khác từ hoạt động kinh doanh</v>
          </cell>
          <cell r="U15">
            <v>0</v>
          </cell>
        </row>
        <row r="16">
          <cell r="O16" t="str">
            <v>07</v>
          </cell>
          <cell r="P16" t="str">
            <v>7.</v>
          </cell>
          <cell r="Q16" t="str">
            <v>Tiền chi khác cho hoạt động kinh doanh</v>
          </cell>
          <cell r="U16">
            <v>0</v>
          </cell>
        </row>
        <row r="17">
          <cell r="O17" t="str">
            <v>20</v>
          </cell>
          <cell r="P17" t="str">
            <v>Lưu chuyển tiền thuần từ hoạt động kinh doanh</v>
          </cell>
          <cell r="U17">
            <v>0</v>
          </cell>
        </row>
        <row r="20">
          <cell r="P20" t="str">
            <v xml:space="preserve">II. LƯU CHUYỂN TỪ HOẠT ĐỘNG ĐẦU TƯ </v>
          </cell>
        </row>
        <row r="21">
          <cell r="O21" t="str">
            <v>21</v>
          </cell>
          <cell r="P21" t="str">
            <v>1.</v>
          </cell>
          <cell r="Q21" t="str">
            <v>Tiền chi để mua sắm, xây dựng TSCĐ và các tài sản</v>
          </cell>
          <cell r="U21">
            <v>0</v>
          </cell>
        </row>
        <row r="22">
          <cell r="Q22" t="str">
            <v>dài hạn khác</v>
          </cell>
        </row>
        <row r="23">
          <cell r="O23" t="str">
            <v>22</v>
          </cell>
          <cell r="P23" t="str">
            <v>2.</v>
          </cell>
          <cell r="Q23" t="str">
            <v>Tiền thu từ thanh lý, nhượng bán TSCĐ và các tài sản</v>
          </cell>
          <cell r="U23">
            <v>0</v>
          </cell>
        </row>
        <row r="24">
          <cell r="Q24" t="str">
            <v>dài hạn khác</v>
          </cell>
        </row>
        <row r="25">
          <cell r="O25" t="str">
            <v>23</v>
          </cell>
          <cell r="P25" t="str">
            <v>3.</v>
          </cell>
          <cell r="Q25" t="str">
            <v>Tiền chi cho vay, mua các công cụ nợ của đơn vị khác</v>
          </cell>
          <cell r="U25">
            <v>0</v>
          </cell>
        </row>
        <row r="26">
          <cell r="O26" t="str">
            <v>24</v>
          </cell>
          <cell r="P26" t="str">
            <v>4.</v>
          </cell>
          <cell r="Q26" t="str">
            <v>Tiền thu hồi cho vay, bán lại các công cụ nợ của</v>
          </cell>
          <cell r="U26">
            <v>0</v>
          </cell>
        </row>
        <row r="27">
          <cell r="Q27" t="str">
            <v xml:space="preserve">đơn vị khác </v>
          </cell>
        </row>
        <row r="28">
          <cell r="O28" t="str">
            <v>25</v>
          </cell>
          <cell r="P28" t="str">
            <v>5.</v>
          </cell>
          <cell r="Q28" t="str">
            <v>Tiền chi đầu tư góp vốn vào đơn vị khác</v>
          </cell>
          <cell r="U28">
            <v>0</v>
          </cell>
        </row>
        <row r="30">
          <cell r="O30" t="str">
            <v>26</v>
          </cell>
          <cell r="P30" t="str">
            <v>6.</v>
          </cell>
          <cell r="Q30" t="str">
            <v>Tiền thu hồi đầu tư góp vốn vào đơn vị khác</v>
          </cell>
          <cell r="U30">
            <v>0</v>
          </cell>
        </row>
        <row r="31">
          <cell r="O31" t="str">
            <v>27</v>
          </cell>
          <cell r="P31" t="str">
            <v>7.</v>
          </cell>
          <cell r="Q31" t="str">
            <v>Tiền thu lãi cho vay, cổ tức và lợi nhuận được chia</v>
          </cell>
          <cell r="U31">
            <v>0</v>
          </cell>
        </row>
        <row r="32">
          <cell r="O32" t="str">
            <v>30</v>
          </cell>
          <cell r="P32" t="str">
            <v>Lưu chuyển tiền thuần từ hoạt động đầu tư</v>
          </cell>
          <cell r="U32">
            <v>0</v>
          </cell>
        </row>
        <row r="35">
          <cell r="P35" t="str">
            <v xml:space="preserve">III. LƯU CHUYỂN TIỀN TỪ HOẠT ĐỘNG TÀI CHÍNH </v>
          </cell>
        </row>
        <row r="36">
          <cell r="O36" t="str">
            <v>31</v>
          </cell>
          <cell r="P36" t="str">
            <v>1.</v>
          </cell>
          <cell r="Q36" t="str">
            <v>Tiền thu từ phát hành cố phiếu, nhận vốn góp của</v>
          </cell>
          <cell r="U36">
            <v>0</v>
          </cell>
        </row>
        <row r="37">
          <cell r="Q37" t="str">
            <v>chủ sở hữu</v>
          </cell>
        </row>
        <row r="38">
          <cell r="O38" t="str">
            <v>32</v>
          </cell>
          <cell r="P38" t="str">
            <v>2.</v>
          </cell>
          <cell r="Q38" t="str">
            <v>Tiền chi trả vốn góp  cho các chủ sở hữu, mua lại</v>
          </cell>
          <cell r="U38">
            <v>0</v>
          </cell>
        </row>
        <row r="39">
          <cell r="Q39" t="str">
            <v>cổ phiếu của doanh nghiệp đã phát hành</v>
          </cell>
        </row>
        <row r="40">
          <cell r="O40" t="str">
            <v>33</v>
          </cell>
          <cell r="P40" t="str">
            <v>3.</v>
          </cell>
          <cell r="Q40" t="str">
            <v>Tiền thu từ đi vay</v>
          </cell>
          <cell r="U40">
            <v>0</v>
          </cell>
        </row>
        <row r="41">
          <cell r="O41" t="str">
            <v>34</v>
          </cell>
          <cell r="P41" t="str">
            <v>4.</v>
          </cell>
          <cell r="Q41" t="str">
            <v>Tiền trả nợ gốc vay</v>
          </cell>
          <cell r="U41">
            <v>0</v>
          </cell>
        </row>
        <row r="42">
          <cell r="O42" t="str">
            <v>35</v>
          </cell>
          <cell r="P42" t="str">
            <v>5.</v>
          </cell>
          <cell r="Q42" t="str">
            <v>Tiền trả nợ gốc thuê tài chính</v>
          </cell>
          <cell r="U42">
            <v>0</v>
          </cell>
        </row>
        <row r="43">
          <cell r="O43" t="str">
            <v>36</v>
          </cell>
          <cell r="P43" t="str">
            <v>6.</v>
          </cell>
          <cell r="Q43" t="str">
            <v xml:space="preserve">Cổ tức, lợi nhuận đã trả cho chủ sở hữu </v>
          </cell>
          <cell r="U43">
            <v>0</v>
          </cell>
        </row>
        <row r="44">
          <cell r="O44" t="str">
            <v>40</v>
          </cell>
          <cell r="P44" t="str">
            <v>Lưu chuyển tiền thuần từ hoạt động tài chính</v>
          </cell>
          <cell r="U44">
            <v>0</v>
          </cell>
        </row>
        <row r="46">
          <cell r="O46" t="str">
            <v>50</v>
          </cell>
          <cell r="P46" t="str">
            <v>Lưu chuyển tiền thuần trong năm</v>
          </cell>
          <cell r="U46">
            <v>0</v>
          </cell>
        </row>
        <row r="48">
          <cell r="O48" t="str">
            <v>60</v>
          </cell>
          <cell r="P48" t="str">
            <v>Tiền và tương đương tiền đầu năm</v>
          </cell>
        </row>
        <row r="49">
          <cell r="O49" t="str">
            <v>61</v>
          </cell>
          <cell r="P49" t="str">
            <v>Ảnh hưởng của thay đổi tỷ giá hối đoái quy đổi ngoại tệ</v>
          </cell>
        </row>
        <row r="50">
          <cell r="O50" t="str">
            <v>70</v>
          </cell>
          <cell r="P50" t="str">
            <v>Tiền và tương đương tiền cuối năm</v>
          </cell>
          <cell r="U50">
            <v>0</v>
          </cell>
        </row>
      </sheetData>
      <sheetData sheetId="36"/>
      <sheetData sheetId="37"/>
      <sheetData sheetId="38">
        <row r="50">
          <cell r="B50" t="str">
            <v>.</v>
          </cell>
        </row>
        <row r="56">
          <cell r="B56" t="str">
            <v>.</v>
          </cell>
        </row>
        <row r="65">
          <cell r="B65" t="str">
            <v>.</v>
          </cell>
        </row>
        <row r="73">
          <cell r="B73" t="str">
            <v>.</v>
          </cell>
        </row>
        <row r="86">
          <cell r="B86" t="str">
            <v>.</v>
          </cell>
        </row>
        <row r="91">
          <cell r="B91" t="str">
            <v>.</v>
          </cell>
        </row>
        <row r="113">
          <cell r="B113" t="str">
            <v>.</v>
          </cell>
        </row>
        <row r="120">
          <cell r="B120" t="str">
            <v>.</v>
          </cell>
        </row>
        <row r="141">
          <cell r="B141" t="str">
            <v>.</v>
          </cell>
        </row>
        <row r="148">
          <cell r="B148" t="str">
            <v>.</v>
          </cell>
        </row>
        <row r="164">
          <cell r="B164" t="str">
            <v>.</v>
          </cell>
        </row>
        <row r="188">
          <cell r="B188" t="str">
            <v>.</v>
          </cell>
        </row>
        <row r="233">
          <cell r="B233" t="str">
            <v>.</v>
          </cell>
        </row>
        <row r="242">
          <cell r="B242" t="str">
            <v>.</v>
          </cell>
        </row>
        <row r="247">
          <cell r="B247" t="str">
            <v>.</v>
          </cell>
        </row>
        <row r="254">
          <cell r="B254" t="str">
            <v>.</v>
          </cell>
        </row>
        <row r="261">
          <cell r="B261" t="str">
            <v>.</v>
          </cell>
        </row>
        <row r="268">
          <cell r="B268" t="str">
            <v>.</v>
          </cell>
        </row>
        <row r="282">
          <cell r="B282" t="str">
            <v>.</v>
          </cell>
        </row>
        <row r="293">
          <cell r="B293" t="str">
            <v>.</v>
          </cell>
        </row>
        <row r="302">
          <cell r="B302" t="str">
            <v>.</v>
          </cell>
        </row>
        <row r="331">
          <cell r="B331" t="str">
            <v>.</v>
          </cell>
        </row>
        <row r="381">
          <cell r="B381" t="str">
            <v>.</v>
          </cell>
        </row>
        <row r="388">
          <cell r="B388" t="str">
            <v>.</v>
          </cell>
        </row>
        <row r="401">
          <cell r="B401" t="str">
            <v>.</v>
          </cell>
        </row>
        <row r="411">
          <cell r="B411" t="str">
            <v>.</v>
          </cell>
        </row>
        <row r="432">
          <cell r="B432" t="str">
            <v>.</v>
          </cell>
        </row>
        <row r="442">
          <cell r="B442" t="str">
            <v>.</v>
          </cell>
        </row>
        <row r="448">
          <cell r="A448">
            <v>3</v>
          </cell>
          <cell r="BU448">
            <v>1</v>
          </cell>
        </row>
        <row r="464">
          <cell r="A464">
            <v>4</v>
          </cell>
          <cell r="BU464">
            <v>1</v>
          </cell>
        </row>
        <row r="540">
          <cell r="A540">
            <v>5</v>
          </cell>
          <cell r="BU540">
            <v>1</v>
          </cell>
        </row>
        <row r="563">
          <cell r="A563">
            <v>6</v>
          </cell>
          <cell r="BU563">
            <v>1</v>
          </cell>
        </row>
        <row r="587">
          <cell r="A587">
            <v>7</v>
          </cell>
          <cell r="BU587">
            <v>1</v>
          </cell>
        </row>
        <row r="614">
          <cell r="A614">
            <v>8</v>
          </cell>
          <cell r="BU614">
            <v>1</v>
          </cell>
        </row>
        <row r="643">
          <cell r="A643">
            <v>9</v>
          </cell>
          <cell r="BU643">
            <v>0</v>
          </cell>
        </row>
        <row r="668">
          <cell r="A668">
            <v>9</v>
          </cell>
        </row>
        <row r="697">
          <cell r="A697">
            <v>10</v>
          </cell>
          <cell r="BU697">
            <v>1</v>
          </cell>
        </row>
        <row r="720">
          <cell r="A720">
            <v>11</v>
          </cell>
          <cell r="BU720">
            <v>1</v>
          </cell>
        </row>
        <row r="755">
          <cell r="A755">
            <v>12</v>
          </cell>
          <cell r="C755" t="str">
            <v>TÀI SẢN CỐ ĐỊNH HỮU HÌNH</v>
          </cell>
          <cell r="BU755">
            <v>1</v>
          </cell>
        </row>
        <row r="789">
          <cell r="A789">
            <v>13</v>
          </cell>
          <cell r="BU789">
            <v>0</v>
          </cell>
        </row>
        <row r="819">
          <cell r="A819">
            <v>13</v>
          </cell>
          <cell r="BU819">
            <v>1</v>
          </cell>
        </row>
        <row r="850">
          <cell r="A850">
            <v>14</v>
          </cell>
          <cell r="BU850">
            <v>0</v>
          </cell>
        </row>
        <row r="866">
          <cell r="AD866">
            <v>0</v>
          </cell>
        </row>
        <row r="905">
          <cell r="A905">
            <v>14</v>
          </cell>
          <cell r="BU905">
            <v>1</v>
          </cell>
        </row>
        <row r="926">
          <cell r="A926">
            <v>15</v>
          </cell>
          <cell r="BU926">
            <v>0</v>
          </cell>
        </row>
        <row r="943">
          <cell r="A943">
            <v>15</v>
          </cell>
          <cell r="BU943">
            <v>1</v>
          </cell>
        </row>
        <row r="998">
          <cell r="A998">
            <v>16</v>
          </cell>
          <cell r="BU998">
            <v>1</v>
          </cell>
        </row>
        <row r="1041">
          <cell r="A1041">
            <v>17</v>
          </cell>
          <cell r="BU1041">
            <v>1</v>
          </cell>
        </row>
        <row r="1063">
          <cell r="A1063">
            <v>18</v>
          </cell>
          <cell r="BU1063">
            <v>1</v>
          </cell>
        </row>
        <row r="1083">
          <cell r="A1083">
            <v>19</v>
          </cell>
          <cell r="BU1083">
            <v>0</v>
          </cell>
        </row>
        <row r="1103">
          <cell r="A1103">
            <v>19</v>
          </cell>
          <cell r="BU1103">
            <v>0</v>
          </cell>
        </row>
        <row r="1123">
          <cell r="A1123">
            <v>19</v>
          </cell>
          <cell r="BU1123">
            <v>1</v>
          </cell>
        </row>
        <row r="1159">
          <cell r="A1159">
            <v>20</v>
          </cell>
          <cell r="BU1159">
            <v>0</v>
          </cell>
        </row>
        <row r="1184">
          <cell r="A1184">
            <v>20</v>
          </cell>
          <cell r="BU1184">
            <v>0</v>
          </cell>
        </row>
        <row r="1229">
          <cell r="A1229">
            <v>20</v>
          </cell>
          <cell r="BU1229">
            <v>0</v>
          </cell>
        </row>
        <row r="1238">
          <cell r="A1238">
            <v>20</v>
          </cell>
          <cell r="BU1238">
            <v>0</v>
          </cell>
        </row>
        <row r="1261">
          <cell r="A1261">
            <v>20</v>
          </cell>
          <cell r="C1261" t="str">
            <v xml:space="preserve">VỐN CHỦ SỞ HỮU </v>
          </cell>
          <cell r="BU1261">
            <v>1</v>
          </cell>
        </row>
        <row r="1381">
          <cell r="A1381">
            <v>21</v>
          </cell>
          <cell r="BU1381">
            <v>0</v>
          </cell>
        </row>
        <row r="1394">
          <cell r="A1394">
            <v>21</v>
          </cell>
          <cell r="BU1394">
            <v>0</v>
          </cell>
        </row>
        <row r="1409">
          <cell r="A1409">
            <v>21</v>
          </cell>
          <cell r="BU1409">
            <v>0</v>
          </cell>
        </row>
        <row r="1470">
          <cell r="A1470">
            <v>22</v>
          </cell>
          <cell r="BU1470">
            <v>1</v>
          </cell>
        </row>
        <row r="1490">
          <cell r="A1490">
            <v>23</v>
          </cell>
          <cell r="BU1490">
            <v>0</v>
          </cell>
        </row>
        <row r="1501">
          <cell r="A1501">
            <v>23</v>
          </cell>
          <cell r="BU1501">
            <v>1</v>
          </cell>
        </row>
        <row r="1523">
          <cell r="A1523">
            <v>24</v>
          </cell>
          <cell r="BU1523">
            <v>1</v>
          </cell>
        </row>
        <row r="1538">
          <cell r="A1538">
            <v>25</v>
          </cell>
          <cell r="BU1538">
            <v>1</v>
          </cell>
        </row>
        <row r="1554">
          <cell r="A1554">
            <v>26</v>
          </cell>
          <cell r="BU1554">
            <v>1</v>
          </cell>
        </row>
        <row r="1570">
          <cell r="A1570">
            <v>27</v>
          </cell>
          <cell r="BU1570">
            <v>1</v>
          </cell>
        </row>
        <row r="1585">
          <cell r="A1585">
            <v>28</v>
          </cell>
          <cell r="BU1585">
            <v>1</v>
          </cell>
        </row>
        <row r="1599">
          <cell r="A1599">
            <v>29</v>
          </cell>
          <cell r="BU1599">
            <v>1</v>
          </cell>
        </row>
        <row r="1614">
          <cell r="A1614">
            <v>30</v>
          </cell>
          <cell r="BU1614">
            <v>1</v>
          </cell>
        </row>
        <row r="1667">
          <cell r="A1667">
            <v>31</v>
          </cell>
          <cell r="BU1667">
            <v>0</v>
          </cell>
        </row>
        <row r="1706">
          <cell r="A1706">
            <v>31</v>
          </cell>
          <cell r="BU1706">
            <v>1</v>
          </cell>
        </row>
        <row r="1731">
          <cell r="A1731">
            <v>32</v>
          </cell>
          <cell r="BU1731">
            <v>0</v>
          </cell>
        </row>
        <row r="1767">
          <cell r="A1767">
            <v>33</v>
          </cell>
        </row>
        <row r="1907">
          <cell r="A1907">
            <v>36</v>
          </cell>
        </row>
        <row r="1919">
          <cell r="A1919">
            <v>37</v>
          </cell>
        </row>
      </sheetData>
      <sheetData sheetId="39"/>
      <sheetData sheetId="40"/>
      <sheetData sheetId="41"/>
      <sheetData sheetId="42"/>
      <sheetData sheetId="43">
        <row r="8">
          <cell r="D8" t="str">
            <v>2111</v>
          </cell>
          <cell r="F8" t="str">
            <v>2112</v>
          </cell>
          <cell r="H8" t="str">
            <v>2113</v>
          </cell>
          <cell r="J8" t="str">
            <v>2114</v>
          </cell>
          <cell r="L8" t="str">
            <v>2115</v>
          </cell>
          <cell r="N8" t="str">
            <v>2118</v>
          </cell>
          <cell r="P8" t="str">
            <v>Cong</v>
          </cell>
          <cell r="U8" t="str">
            <v>2111</v>
          </cell>
          <cell r="W8" t="str">
            <v>2112</v>
          </cell>
          <cell r="Y8" t="str">
            <v>2113</v>
          </cell>
          <cell r="AA8" t="str">
            <v>2114</v>
          </cell>
          <cell r="AC8" t="str">
            <v>2115</v>
          </cell>
          <cell r="AE8" t="str">
            <v>2118</v>
          </cell>
          <cell r="AG8" t="str">
            <v>Cong</v>
          </cell>
        </row>
        <row r="9">
          <cell r="D9" t="str">
            <v>Nhà cửa, 
vật kiến trúc</v>
          </cell>
          <cell r="F9" t="str">
            <v>Máy móc, thiết bị</v>
          </cell>
          <cell r="H9" t="str">
            <v>Phương tiện vận tải, truyền dẫn</v>
          </cell>
          <cell r="J9" t="str">
            <v>Thiết bị, dụng cụ quản lý</v>
          </cell>
          <cell r="L9" t="str">
            <v>Cây lâu năm, súc vật làm việc và cho sản phẩm</v>
          </cell>
          <cell r="N9" t="str">
            <v>TSCĐ hữu hình khác</v>
          </cell>
          <cell r="P9" t="str">
            <v>Cộng</v>
          </cell>
          <cell r="U9" t="str">
            <v>Buildings</v>
          </cell>
          <cell r="W9" t="str">
            <v>Machine, equipment</v>
          </cell>
          <cell r="Y9" t="str">
            <v>Transportation equipment</v>
          </cell>
          <cell r="AA9" t="str">
            <v>Management equipment</v>
          </cell>
          <cell r="AC9" t="str">
            <v xml:space="preserve"> Perennial and cattle</v>
          </cell>
          <cell r="AE9" t="str">
            <v>Others</v>
          </cell>
          <cell r="AG9" t="str">
            <v>Total</v>
          </cell>
        </row>
        <row r="10">
          <cell r="D10" t="str">
            <v>VND</v>
          </cell>
          <cell r="F10" t="str">
            <v>VND</v>
          </cell>
          <cell r="H10" t="str">
            <v>VND</v>
          </cell>
          <cell r="J10" t="str">
            <v>VND</v>
          </cell>
          <cell r="L10" t="str">
            <v>VND</v>
          </cell>
          <cell r="N10" t="str">
            <v>VND</v>
          </cell>
          <cell r="P10" t="str">
            <v>VND</v>
          </cell>
          <cell r="U10" t="str">
            <v>VND</v>
          </cell>
          <cell r="W10" t="str">
            <v>VND</v>
          </cell>
          <cell r="Y10" t="str">
            <v>VND</v>
          </cell>
          <cell r="AA10" t="str">
            <v>VND</v>
          </cell>
          <cell r="AC10" t="str">
            <v>VND</v>
          </cell>
          <cell r="AE10" t="str">
            <v>VND</v>
          </cell>
          <cell r="AG10" t="str">
            <v>VND</v>
          </cell>
        </row>
        <row r="12">
          <cell r="D12">
            <v>33204676403</v>
          </cell>
          <cell r="F12">
            <v>39164821619</v>
          </cell>
          <cell r="H12">
            <v>2690519711</v>
          </cell>
          <cell r="J12">
            <v>92033636</v>
          </cell>
          <cell r="L12">
            <v>0</v>
          </cell>
          <cell r="N12">
            <v>0</v>
          </cell>
          <cell r="P12">
            <v>75152051369</v>
          </cell>
          <cell r="U12">
            <v>33204676403</v>
          </cell>
          <cell r="W12">
            <v>39164821619</v>
          </cell>
          <cell r="Y12">
            <v>2690519711</v>
          </cell>
          <cell r="AA12">
            <v>92033636</v>
          </cell>
          <cell r="AC12">
            <v>0</v>
          </cell>
          <cell r="AE12">
            <v>0</v>
          </cell>
          <cell r="AG12">
            <v>75152051369</v>
          </cell>
        </row>
        <row r="13">
          <cell r="D13">
            <v>0</v>
          </cell>
          <cell r="F13">
            <v>0</v>
          </cell>
          <cell r="H13">
            <v>1022000000</v>
          </cell>
          <cell r="J13">
            <v>0</v>
          </cell>
          <cell r="L13">
            <v>0</v>
          </cell>
          <cell r="N13">
            <v>0</v>
          </cell>
          <cell r="P13">
            <v>1022000000</v>
          </cell>
          <cell r="U13">
            <v>0</v>
          </cell>
          <cell r="W13">
            <v>0</v>
          </cell>
          <cell r="Y13">
            <v>1022000000</v>
          </cell>
          <cell r="AA13">
            <v>0</v>
          </cell>
          <cell r="AC13">
            <v>0</v>
          </cell>
          <cell r="AE13">
            <v>0</v>
          </cell>
          <cell r="AG13">
            <v>1022000000</v>
          </cell>
        </row>
        <row r="14">
          <cell r="D14">
            <v>-2847556400</v>
          </cell>
          <cell r="F14">
            <v>-521627428</v>
          </cell>
          <cell r="H14">
            <v>-952731818</v>
          </cell>
          <cell r="J14">
            <v>0</v>
          </cell>
          <cell r="L14">
            <v>0</v>
          </cell>
          <cell r="N14">
            <v>0</v>
          </cell>
          <cell r="P14">
            <v>-4321915646</v>
          </cell>
          <cell r="U14">
            <v>-2847556400</v>
          </cell>
          <cell r="W14">
            <v>-521627428</v>
          </cell>
          <cell r="Y14">
            <v>-952731818</v>
          </cell>
          <cell r="AA14">
            <v>0</v>
          </cell>
          <cell r="AC14">
            <v>0</v>
          </cell>
          <cell r="AE14">
            <v>0</v>
          </cell>
          <cell r="AG14">
            <v>-4321915646</v>
          </cell>
        </row>
        <row r="15">
          <cell r="D15">
            <v>0</v>
          </cell>
          <cell r="F15">
            <v>0</v>
          </cell>
          <cell r="H15">
            <v>0</v>
          </cell>
          <cell r="J15">
            <v>0</v>
          </cell>
          <cell r="L15">
            <v>0</v>
          </cell>
          <cell r="N15">
            <v>0</v>
          </cell>
          <cell r="P15">
            <v>0</v>
          </cell>
          <cell r="U15">
            <v>0</v>
          </cell>
          <cell r="W15">
            <v>0</v>
          </cell>
          <cell r="Y15">
            <v>0</v>
          </cell>
          <cell r="AA15">
            <v>0</v>
          </cell>
          <cell r="AC15">
            <v>0</v>
          </cell>
          <cell r="AE15">
            <v>0</v>
          </cell>
          <cell r="AG15">
            <v>0</v>
          </cell>
        </row>
        <row r="16">
          <cell r="D16">
            <v>0</v>
          </cell>
          <cell r="F16">
            <v>0</v>
          </cell>
          <cell r="H16">
            <v>0</v>
          </cell>
          <cell r="J16">
            <v>0</v>
          </cell>
          <cell r="L16">
            <v>0</v>
          </cell>
          <cell r="N16">
            <v>0</v>
          </cell>
          <cell r="P16">
            <v>0</v>
          </cell>
          <cell r="U16">
            <v>0</v>
          </cell>
          <cell r="W16">
            <v>0</v>
          </cell>
          <cell r="Y16">
            <v>0</v>
          </cell>
          <cell r="AA16">
            <v>0</v>
          </cell>
          <cell r="AC16">
            <v>0</v>
          </cell>
          <cell r="AE16">
            <v>0</v>
          </cell>
          <cell r="AG16">
            <v>0</v>
          </cell>
        </row>
        <row r="17">
          <cell r="D17">
            <v>37085675</v>
          </cell>
          <cell r="F17">
            <v>-37084472</v>
          </cell>
          <cell r="H17">
            <v>-1203</v>
          </cell>
          <cell r="J17">
            <v>0</v>
          </cell>
          <cell r="L17">
            <v>0</v>
          </cell>
          <cell r="N17">
            <v>0</v>
          </cell>
          <cell r="P17">
            <v>0</v>
          </cell>
          <cell r="U17">
            <v>37085675</v>
          </cell>
          <cell r="W17">
            <v>-37084472</v>
          </cell>
          <cell r="Y17">
            <v>-1203</v>
          </cell>
          <cell r="AA17">
            <v>0</v>
          </cell>
          <cell r="AC17">
            <v>0</v>
          </cell>
          <cell r="AE17">
            <v>0</v>
          </cell>
          <cell r="AG17">
            <v>0</v>
          </cell>
        </row>
        <row r="18">
          <cell r="D18">
            <v>0</v>
          </cell>
          <cell r="F18">
            <v>0</v>
          </cell>
          <cell r="H18">
            <v>0</v>
          </cell>
          <cell r="J18">
            <v>-37033636</v>
          </cell>
          <cell r="L18">
            <v>0</v>
          </cell>
          <cell r="N18">
            <v>0</v>
          </cell>
          <cell r="P18">
            <v>-37033636</v>
          </cell>
          <cell r="U18">
            <v>0</v>
          </cell>
          <cell r="W18">
            <v>0</v>
          </cell>
          <cell r="Y18">
            <v>0</v>
          </cell>
          <cell r="AA18">
            <v>-37033636</v>
          </cell>
          <cell r="AC18">
            <v>0</v>
          </cell>
          <cell r="AE18">
            <v>0</v>
          </cell>
          <cell r="AG18">
            <v>-37033636</v>
          </cell>
        </row>
        <row r="19">
          <cell r="D19">
            <v>30394205678</v>
          </cell>
          <cell r="F19">
            <v>38606109719</v>
          </cell>
          <cell r="H19">
            <v>2759786690</v>
          </cell>
          <cell r="J19">
            <v>55000000</v>
          </cell>
          <cell r="L19">
            <v>0</v>
          </cell>
          <cell r="N19">
            <v>0</v>
          </cell>
          <cell r="P19">
            <v>71815102087</v>
          </cell>
          <cell r="U19">
            <v>30394205678</v>
          </cell>
          <cell r="W19">
            <v>38606109719</v>
          </cell>
          <cell r="Y19">
            <v>2759786690</v>
          </cell>
          <cell r="AA19">
            <v>55000000</v>
          </cell>
          <cell r="AC19">
            <v>0</v>
          </cell>
          <cell r="AE19">
            <v>0</v>
          </cell>
          <cell r="AG19">
            <v>71815102087</v>
          </cell>
        </row>
        <row r="21">
          <cell r="D21">
            <v>23686107581</v>
          </cell>
          <cell r="F21">
            <v>32519458908</v>
          </cell>
          <cell r="H21">
            <v>2120739438</v>
          </cell>
          <cell r="J21">
            <v>75517234</v>
          </cell>
          <cell r="L21">
            <v>0</v>
          </cell>
          <cell r="N21">
            <v>0</v>
          </cell>
          <cell r="P21">
            <v>58401823161</v>
          </cell>
          <cell r="U21">
            <v>23686107581</v>
          </cell>
          <cell r="W21">
            <v>32519458908</v>
          </cell>
          <cell r="Y21">
            <v>2120739438</v>
          </cell>
          <cell r="AA21">
            <v>75517234</v>
          </cell>
          <cell r="AC21">
            <v>0</v>
          </cell>
          <cell r="AE21">
            <v>0</v>
          </cell>
          <cell r="AG21">
            <v>58401823161</v>
          </cell>
        </row>
        <row r="22">
          <cell r="D22">
            <v>1306483386</v>
          </cell>
          <cell r="F22">
            <v>1196638335</v>
          </cell>
          <cell r="H22">
            <v>179040329</v>
          </cell>
          <cell r="J22">
            <v>5274924</v>
          </cell>
          <cell r="L22">
            <v>0</v>
          </cell>
          <cell r="N22">
            <v>0</v>
          </cell>
          <cell r="P22">
            <v>2687436974</v>
          </cell>
          <cell r="U22">
            <v>1306483386</v>
          </cell>
          <cell r="W22">
            <v>1196638335</v>
          </cell>
          <cell r="Y22">
            <v>179040329</v>
          </cell>
          <cell r="AA22">
            <v>5274924</v>
          </cell>
          <cell r="AC22">
            <v>0</v>
          </cell>
          <cell r="AE22">
            <v>0</v>
          </cell>
          <cell r="AG22">
            <v>2687436974</v>
          </cell>
        </row>
        <row r="23">
          <cell r="D23">
            <v>-1476299788</v>
          </cell>
          <cell r="F23">
            <v>-521627428</v>
          </cell>
          <cell r="H23">
            <v>-845433539</v>
          </cell>
          <cell r="J23">
            <v>0</v>
          </cell>
          <cell r="L23">
            <v>0</v>
          </cell>
          <cell r="N23">
            <v>0</v>
          </cell>
          <cell r="P23">
            <v>-2843360755</v>
          </cell>
          <cell r="U23">
            <v>-1476299788</v>
          </cell>
          <cell r="W23">
            <v>-521627428</v>
          </cell>
          <cell r="Y23">
            <v>-845433539</v>
          </cell>
          <cell r="AA23">
            <v>0</v>
          </cell>
          <cell r="AC23">
            <v>0</v>
          </cell>
          <cell r="AE23">
            <v>0</v>
          </cell>
          <cell r="AG23">
            <v>-2843360755</v>
          </cell>
        </row>
        <row r="24">
          <cell r="D24">
            <v>0</v>
          </cell>
          <cell r="F24">
            <v>0</v>
          </cell>
          <cell r="H24">
            <v>0</v>
          </cell>
          <cell r="J24">
            <v>0</v>
          </cell>
          <cell r="L24">
            <v>0</v>
          </cell>
          <cell r="N24">
            <v>0</v>
          </cell>
          <cell r="P24">
            <v>0</v>
          </cell>
          <cell r="U24">
            <v>0</v>
          </cell>
          <cell r="W24">
            <v>0</v>
          </cell>
          <cell r="Y24">
            <v>0</v>
          </cell>
          <cell r="AA24">
            <v>0</v>
          </cell>
          <cell r="AC24">
            <v>0</v>
          </cell>
          <cell r="AE24">
            <v>0</v>
          </cell>
          <cell r="AG24">
            <v>0</v>
          </cell>
        </row>
        <row r="25">
          <cell r="D25">
            <v>267720324</v>
          </cell>
          <cell r="F25">
            <v>-297500375</v>
          </cell>
          <cell r="H25">
            <v>29780051</v>
          </cell>
          <cell r="J25">
            <v>0</v>
          </cell>
          <cell r="L25">
            <v>0</v>
          </cell>
          <cell r="N25">
            <v>0</v>
          </cell>
          <cell r="P25">
            <v>0</v>
          </cell>
          <cell r="U25">
            <v>267720324</v>
          </cell>
          <cell r="W25">
            <v>-297500375</v>
          </cell>
          <cell r="Y25">
            <v>29780051</v>
          </cell>
          <cell r="AA25">
            <v>0</v>
          </cell>
          <cell r="AC25">
            <v>0</v>
          </cell>
          <cell r="AE25">
            <v>0</v>
          </cell>
          <cell r="AG25">
            <v>0</v>
          </cell>
        </row>
        <row r="26">
          <cell r="D26">
            <v>0</v>
          </cell>
          <cell r="F26">
            <v>0</v>
          </cell>
          <cell r="H26">
            <v>0</v>
          </cell>
          <cell r="J26">
            <v>-28083830</v>
          </cell>
          <cell r="L26">
            <v>0</v>
          </cell>
          <cell r="N26">
            <v>0</v>
          </cell>
          <cell r="P26">
            <v>-28083830</v>
          </cell>
          <cell r="U26">
            <v>0</v>
          </cell>
          <cell r="W26">
            <v>0</v>
          </cell>
          <cell r="Y26">
            <v>0</v>
          </cell>
          <cell r="AA26">
            <v>-28083830</v>
          </cell>
          <cell r="AC26">
            <v>0</v>
          </cell>
          <cell r="AE26">
            <v>0</v>
          </cell>
          <cell r="AG26">
            <v>-28083830</v>
          </cell>
        </row>
        <row r="27">
          <cell r="D27">
            <v>23784011503</v>
          </cell>
          <cell r="F27">
            <v>32896969440</v>
          </cell>
          <cell r="H27">
            <v>1484126279</v>
          </cell>
          <cell r="J27">
            <v>52708328</v>
          </cell>
          <cell r="L27">
            <v>0</v>
          </cell>
          <cell r="N27">
            <v>0</v>
          </cell>
          <cell r="P27">
            <v>58217815550</v>
          </cell>
          <cell r="U27">
            <v>23784011503</v>
          </cell>
          <cell r="W27">
            <v>32896969440</v>
          </cell>
          <cell r="Y27">
            <v>1484126279</v>
          </cell>
          <cell r="AA27">
            <v>52708328</v>
          </cell>
          <cell r="AC27">
            <v>0</v>
          </cell>
          <cell r="AE27">
            <v>0</v>
          </cell>
          <cell r="AG27">
            <v>58217815550</v>
          </cell>
        </row>
        <row r="29">
          <cell r="D29">
            <v>9518568822</v>
          </cell>
          <cell r="F29">
            <v>6645362711</v>
          </cell>
          <cell r="H29">
            <v>569780273</v>
          </cell>
          <cell r="J29">
            <v>16516402</v>
          </cell>
          <cell r="L29">
            <v>0</v>
          </cell>
          <cell r="N29">
            <v>0</v>
          </cell>
          <cell r="P29">
            <v>16750228208</v>
          </cell>
          <cell r="U29">
            <v>9518568822</v>
          </cell>
          <cell r="W29">
            <v>6645362711</v>
          </cell>
          <cell r="Y29">
            <v>569780273</v>
          </cell>
          <cell r="AA29">
            <v>16516402</v>
          </cell>
          <cell r="AC29">
            <v>0</v>
          </cell>
          <cell r="AE29">
            <v>0</v>
          </cell>
          <cell r="AG29">
            <v>16750228208</v>
          </cell>
        </row>
        <row r="30">
          <cell r="D30">
            <v>6610194175</v>
          </cell>
          <cell r="F30">
            <v>5709140279</v>
          </cell>
          <cell r="H30">
            <v>1275660411</v>
          </cell>
          <cell r="J30">
            <v>2291672</v>
          </cell>
          <cell r="L30">
            <v>0</v>
          </cell>
          <cell r="N30">
            <v>0</v>
          </cell>
          <cell r="P30">
            <v>13597286537</v>
          </cell>
          <cell r="U30">
            <v>6610194175</v>
          </cell>
          <cell r="W30">
            <v>5709140279</v>
          </cell>
          <cell r="Y30">
            <v>1275660411</v>
          </cell>
          <cell r="AA30">
            <v>2291672</v>
          </cell>
          <cell r="AC30">
            <v>0</v>
          </cell>
          <cell r="AE30">
            <v>0</v>
          </cell>
          <cell r="AG30">
            <v>13597286537</v>
          </cell>
        </row>
      </sheetData>
      <sheetData sheetId="44">
        <row r="8">
          <cell r="D8" t="str">
            <v>21211</v>
          </cell>
          <cell r="F8" t="str">
            <v>21212</v>
          </cell>
          <cell r="H8" t="str">
            <v>21213</v>
          </cell>
          <cell r="J8" t="str">
            <v>21214</v>
          </cell>
          <cell r="L8" t="str">
            <v>21218</v>
          </cell>
          <cell r="N8" t="str">
            <v>2122</v>
          </cell>
          <cell r="P8" t="str">
            <v>Cong</v>
          </cell>
          <cell r="U8" t="str">
            <v>21211</v>
          </cell>
          <cell r="W8" t="str">
            <v>21212</v>
          </cell>
          <cell r="Y8" t="str">
            <v>21213</v>
          </cell>
          <cell r="AA8" t="str">
            <v>21214</v>
          </cell>
          <cell r="AC8" t="str">
            <v>21218</v>
          </cell>
          <cell r="AE8" t="str">
            <v>2122</v>
          </cell>
          <cell r="AG8" t="str">
            <v>Cong</v>
          </cell>
        </row>
        <row r="9">
          <cell r="D9" t="str">
            <v>Nhà cửa, 
vật kiến trúc</v>
          </cell>
          <cell r="F9" t="str">
            <v>Máy móc,
thiết bị</v>
          </cell>
          <cell r="H9" t="str">
            <v>Phương tiện vận tải, truyền dẫn</v>
          </cell>
          <cell r="J9" t="str">
            <v>Thiết bị, dụng cụ quản lý</v>
          </cell>
          <cell r="L9" t="str">
            <v>TSCĐ hữu hình khác</v>
          </cell>
          <cell r="N9" t="str">
            <v>TSCĐ vô hình</v>
          </cell>
          <cell r="P9" t="str">
            <v>Cộng</v>
          </cell>
          <cell r="U9" t="str">
            <v>Buildings</v>
          </cell>
          <cell r="W9" t="str">
            <v>Machine, equipment</v>
          </cell>
          <cell r="Y9" t="str">
            <v>Transportation equipment</v>
          </cell>
          <cell r="AA9" t="str">
            <v>Management equipment</v>
          </cell>
          <cell r="AC9" t="str">
            <v xml:space="preserve"> Other tangible fixed assets</v>
          </cell>
          <cell r="AE9" t="str">
            <v>Intangible fixed assets</v>
          </cell>
          <cell r="AG9" t="str">
            <v>Total</v>
          </cell>
        </row>
        <row r="10">
          <cell r="D10" t="str">
            <v>VND</v>
          </cell>
          <cell r="F10" t="str">
            <v>VND</v>
          </cell>
          <cell r="H10" t="str">
            <v>VND</v>
          </cell>
          <cell r="J10" t="str">
            <v>VND</v>
          </cell>
          <cell r="L10" t="str">
            <v>VND</v>
          </cell>
          <cell r="N10" t="str">
            <v>VND</v>
          </cell>
          <cell r="P10" t="str">
            <v>VND</v>
          </cell>
          <cell r="U10" t="str">
            <v>VND</v>
          </cell>
          <cell r="W10" t="str">
            <v>VND</v>
          </cell>
          <cell r="Y10" t="str">
            <v>VND</v>
          </cell>
          <cell r="AA10" t="str">
            <v>VND</v>
          </cell>
          <cell r="AC10" t="str">
            <v>VND</v>
          </cell>
          <cell r="AE10" t="str">
            <v>VND</v>
          </cell>
          <cell r="AG10" t="str">
            <v>VND</v>
          </cell>
        </row>
        <row r="12">
          <cell r="D12">
            <v>0</v>
          </cell>
          <cell r="F12">
            <v>0</v>
          </cell>
          <cell r="H12">
            <v>0</v>
          </cell>
          <cell r="J12">
            <v>0</v>
          </cell>
          <cell r="L12">
            <v>0</v>
          </cell>
          <cell r="N12">
            <v>0</v>
          </cell>
          <cell r="P12">
            <v>0</v>
          </cell>
          <cell r="U12">
            <v>0</v>
          </cell>
          <cell r="W12">
            <v>0</v>
          </cell>
          <cell r="Y12">
            <v>0</v>
          </cell>
          <cell r="AA12">
            <v>0</v>
          </cell>
          <cell r="AC12">
            <v>0</v>
          </cell>
          <cell r="AE12">
            <v>0</v>
          </cell>
          <cell r="AG12">
            <v>0</v>
          </cell>
        </row>
        <row r="13">
          <cell r="D13">
            <v>0</v>
          </cell>
          <cell r="F13">
            <v>0</v>
          </cell>
          <cell r="H13">
            <v>0</v>
          </cell>
          <cell r="J13">
            <v>0</v>
          </cell>
          <cell r="L13">
            <v>0</v>
          </cell>
          <cell r="N13">
            <v>0</v>
          </cell>
          <cell r="P13">
            <v>0</v>
          </cell>
          <cell r="U13">
            <v>0</v>
          </cell>
          <cell r="W13">
            <v>0</v>
          </cell>
          <cell r="Y13">
            <v>0</v>
          </cell>
          <cell r="AA13">
            <v>0</v>
          </cell>
          <cell r="AC13">
            <v>0</v>
          </cell>
          <cell r="AE13">
            <v>0</v>
          </cell>
          <cell r="AG13">
            <v>0</v>
          </cell>
        </row>
        <row r="14">
          <cell r="D14">
            <v>0</v>
          </cell>
          <cell r="F14">
            <v>0</v>
          </cell>
          <cell r="H14">
            <v>0</v>
          </cell>
          <cell r="J14">
            <v>0</v>
          </cell>
          <cell r="L14">
            <v>0</v>
          </cell>
          <cell r="N14">
            <v>0</v>
          </cell>
          <cell r="P14">
            <v>0</v>
          </cell>
          <cell r="U14">
            <v>0</v>
          </cell>
          <cell r="W14">
            <v>0</v>
          </cell>
          <cell r="Y14">
            <v>0</v>
          </cell>
          <cell r="AA14">
            <v>0</v>
          </cell>
          <cell r="AC14">
            <v>0</v>
          </cell>
          <cell r="AE14">
            <v>0</v>
          </cell>
          <cell r="AG14">
            <v>0</v>
          </cell>
        </row>
        <row r="15">
          <cell r="D15">
            <v>0</v>
          </cell>
          <cell r="F15">
            <v>0</v>
          </cell>
          <cell r="H15">
            <v>0</v>
          </cell>
          <cell r="J15">
            <v>0</v>
          </cell>
          <cell r="L15">
            <v>0</v>
          </cell>
          <cell r="N15">
            <v>0</v>
          </cell>
          <cell r="P15">
            <v>0</v>
          </cell>
          <cell r="U15">
            <v>0</v>
          </cell>
          <cell r="W15">
            <v>0</v>
          </cell>
          <cell r="Y15">
            <v>0</v>
          </cell>
          <cell r="AA15">
            <v>0</v>
          </cell>
          <cell r="AC15">
            <v>0</v>
          </cell>
          <cell r="AE15">
            <v>0</v>
          </cell>
          <cell r="AG15">
            <v>0</v>
          </cell>
        </row>
        <row r="16">
          <cell r="D16">
            <v>0</v>
          </cell>
          <cell r="F16">
            <v>0</v>
          </cell>
          <cell r="H16">
            <v>0</v>
          </cell>
          <cell r="J16">
            <v>0</v>
          </cell>
          <cell r="L16">
            <v>0</v>
          </cell>
          <cell r="N16">
            <v>0</v>
          </cell>
          <cell r="P16">
            <v>0</v>
          </cell>
          <cell r="U16">
            <v>0</v>
          </cell>
          <cell r="W16">
            <v>0</v>
          </cell>
          <cell r="Y16">
            <v>0</v>
          </cell>
          <cell r="AA16">
            <v>0</v>
          </cell>
          <cell r="AC16">
            <v>0</v>
          </cell>
          <cell r="AE16">
            <v>0</v>
          </cell>
          <cell r="AG16">
            <v>0</v>
          </cell>
        </row>
        <row r="17">
          <cell r="D17">
            <v>0</v>
          </cell>
          <cell r="F17">
            <v>0</v>
          </cell>
          <cell r="H17">
            <v>0</v>
          </cell>
          <cell r="J17">
            <v>0</v>
          </cell>
          <cell r="L17">
            <v>0</v>
          </cell>
          <cell r="N17">
            <v>0</v>
          </cell>
          <cell r="P17">
            <v>0</v>
          </cell>
          <cell r="U17">
            <v>0</v>
          </cell>
          <cell r="W17">
            <v>0</v>
          </cell>
          <cell r="Y17">
            <v>0</v>
          </cell>
          <cell r="AA17">
            <v>0</v>
          </cell>
          <cell r="AC17">
            <v>0</v>
          </cell>
          <cell r="AE17">
            <v>0</v>
          </cell>
          <cell r="AG17">
            <v>0</v>
          </cell>
        </row>
        <row r="18">
          <cell r="D18">
            <v>0</v>
          </cell>
          <cell r="F18">
            <v>0</v>
          </cell>
          <cell r="H18">
            <v>0</v>
          </cell>
          <cell r="J18">
            <v>0</v>
          </cell>
          <cell r="L18">
            <v>0</v>
          </cell>
          <cell r="N18">
            <v>0</v>
          </cell>
          <cell r="P18">
            <v>0</v>
          </cell>
          <cell r="U18">
            <v>0</v>
          </cell>
          <cell r="W18">
            <v>0</v>
          </cell>
          <cell r="Y18">
            <v>0</v>
          </cell>
          <cell r="AA18">
            <v>0</v>
          </cell>
          <cell r="AC18">
            <v>0</v>
          </cell>
          <cell r="AE18">
            <v>0</v>
          </cell>
          <cell r="AG18">
            <v>0</v>
          </cell>
        </row>
        <row r="20">
          <cell r="D20">
            <v>0</v>
          </cell>
          <cell r="F20">
            <v>0</v>
          </cell>
          <cell r="H20">
            <v>0</v>
          </cell>
          <cell r="J20">
            <v>0</v>
          </cell>
          <cell r="L20">
            <v>0</v>
          </cell>
          <cell r="N20">
            <v>0</v>
          </cell>
          <cell r="P20">
            <v>0</v>
          </cell>
          <cell r="U20">
            <v>0</v>
          </cell>
          <cell r="W20">
            <v>0</v>
          </cell>
          <cell r="Y20">
            <v>0</v>
          </cell>
          <cell r="AA20">
            <v>0</v>
          </cell>
          <cell r="AC20">
            <v>0</v>
          </cell>
          <cell r="AE20">
            <v>0</v>
          </cell>
          <cell r="AG20">
            <v>0</v>
          </cell>
        </row>
        <row r="21">
          <cell r="D21">
            <v>0</v>
          </cell>
          <cell r="F21">
            <v>0</v>
          </cell>
          <cell r="H21">
            <v>0</v>
          </cell>
          <cell r="J21">
            <v>0</v>
          </cell>
          <cell r="L21">
            <v>0</v>
          </cell>
          <cell r="N21">
            <v>0</v>
          </cell>
          <cell r="P21">
            <v>0</v>
          </cell>
          <cell r="U21">
            <v>0</v>
          </cell>
          <cell r="W21">
            <v>0</v>
          </cell>
          <cell r="Y21">
            <v>0</v>
          </cell>
          <cell r="AA21">
            <v>0</v>
          </cell>
          <cell r="AC21">
            <v>0</v>
          </cell>
          <cell r="AE21">
            <v>0</v>
          </cell>
          <cell r="AG21">
            <v>0</v>
          </cell>
        </row>
        <row r="22">
          <cell r="D22">
            <v>0</v>
          </cell>
          <cell r="F22">
            <v>0</v>
          </cell>
          <cell r="H22">
            <v>0</v>
          </cell>
          <cell r="J22">
            <v>0</v>
          </cell>
          <cell r="L22">
            <v>0</v>
          </cell>
          <cell r="N22">
            <v>0</v>
          </cell>
          <cell r="P22">
            <v>0</v>
          </cell>
          <cell r="U22">
            <v>0</v>
          </cell>
          <cell r="W22">
            <v>0</v>
          </cell>
          <cell r="Y22">
            <v>0</v>
          </cell>
          <cell r="AA22">
            <v>0</v>
          </cell>
          <cell r="AC22">
            <v>0</v>
          </cell>
          <cell r="AE22">
            <v>0</v>
          </cell>
          <cell r="AG22">
            <v>0</v>
          </cell>
        </row>
        <row r="23">
          <cell r="D23">
            <v>0</v>
          </cell>
          <cell r="F23">
            <v>0</v>
          </cell>
          <cell r="H23">
            <v>0</v>
          </cell>
          <cell r="J23">
            <v>0</v>
          </cell>
          <cell r="L23">
            <v>0</v>
          </cell>
          <cell r="N23">
            <v>0</v>
          </cell>
          <cell r="P23">
            <v>0</v>
          </cell>
          <cell r="U23">
            <v>0</v>
          </cell>
          <cell r="W23">
            <v>0</v>
          </cell>
          <cell r="Y23">
            <v>0</v>
          </cell>
          <cell r="AA23">
            <v>0</v>
          </cell>
          <cell r="AC23">
            <v>0</v>
          </cell>
          <cell r="AE23">
            <v>0</v>
          </cell>
          <cell r="AG23">
            <v>0</v>
          </cell>
        </row>
        <row r="24">
          <cell r="D24">
            <v>0</v>
          </cell>
          <cell r="F24">
            <v>0</v>
          </cell>
          <cell r="H24">
            <v>0</v>
          </cell>
          <cell r="J24">
            <v>0</v>
          </cell>
          <cell r="L24">
            <v>0</v>
          </cell>
          <cell r="N24">
            <v>0</v>
          </cell>
          <cell r="P24">
            <v>0</v>
          </cell>
          <cell r="U24">
            <v>0</v>
          </cell>
          <cell r="W24">
            <v>0</v>
          </cell>
          <cell r="Y24">
            <v>0</v>
          </cell>
          <cell r="AA24">
            <v>0</v>
          </cell>
          <cell r="AC24">
            <v>0</v>
          </cell>
          <cell r="AE24">
            <v>0</v>
          </cell>
          <cell r="AG24">
            <v>0</v>
          </cell>
        </row>
        <row r="25">
          <cell r="D25">
            <v>0</v>
          </cell>
          <cell r="F25">
            <v>0</v>
          </cell>
          <cell r="H25">
            <v>0</v>
          </cell>
          <cell r="J25">
            <v>0</v>
          </cell>
          <cell r="L25">
            <v>0</v>
          </cell>
          <cell r="N25">
            <v>0</v>
          </cell>
          <cell r="P25">
            <v>0</v>
          </cell>
          <cell r="U25">
            <v>0</v>
          </cell>
          <cell r="W25">
            <v>0</v>
          </cell>
          <cell r="Y25">
            <v>0</v>
          </cell>
          <cell r="AA25">
            <v>0</v>
          </cell>
          <cell r="AC25">
            <v>0</v>
          </cell>
          <cell r="AE25">
            <v>0</v>
          </cell>
          <cell r="AG25">
            <v>0</v>
          </cell>
        </row>
        <row r="26">
          <cell r="D26">
            <v>0</v>
          </cell>
          <cell r="F26">
            <v>0</v>
          </cell>
          <cell r="H26">
            <v>0</v>
          </cell>
          <cell r="J26">
            <v>0</v>
          </cell>
          <cell r="L26">
            <v>0</v>
          </cell>
          <cell r="N26">
            <v>0</v>
          </cell>
          <cell r="P26">
            <v>0</v>
          </cell>
          <cell r="U26">
            <v>0</v>
          </cell>
          <cell r="W26">
            <v>0</v>
          </cell>
          <cell r="Y26">
            <v>0</v>
          </cell>
          <cell r="AA26">
            <v>0</v>
          </cell>
          <cell r="AC26">
            <v>0</v>
          </cell>
          <cell r="AE26">
            <v>0</v>
          </cell>
          <cell r="AG26">
            <v>0</v>
          </cell>
        </row>
        <row r="28">
          <cell r="D28">
            <v>0</v>
          </cell>
          <cell r="F28">
            <v>0</v>
          </cell>
          <cell r="H28">
            <v>0</v>
          </cell>
          <cell r="J28">
            <v>0</v>
          </cell>
          <cell r="L28">
            <v>0</v>
          </cell>
          <cell r="N28">
            <v>0</v>
          </cell>
          <cell r="P28">
            <v>0</v>
          </cell>
          <cell r="U28">
            <v>0</v>
          </cell>
          <cell r="W28">
            <v>0</v>
          </cell>
          <cell r="Y28">
            <v>0</v>
          </cell>
          <cell r="AA28">
            <v>0</v>
          </cell>
          <cell r="AC28">
            <v>0</v>
          </cell>
          <cell r="AE28">
            <v>0</v>
          </cell>
          <cell r="AG28">
            <v>0</v>
          </cell>
        </row>
        <row r="29">
          <cell r="D29">
            <v>0</v>
          </cell>
          <cell r="F29">
            <v>0</v>
          </cell>
          <cell r="H29">
            <v>0</v>
          </cell>
          <cell r="J29">
            <v>0</v>
          </cell>
          <cell r="L29">
            <v>0</v>
          </cell>
          <cell r="N29">
            <v>0</v>
          </cell>
          <cell r="P29">
            <v>0</v>
          </cell>
          <cell r="U29">
            <v>0</v>
          </cell>
          <cell r="W29">
            <v>0</v>
          </cell>
          <cell r="Y29">
            <v>0</v>
          </cell>
          <cell r="AA29">
            <v>0</v>
          </cell>
          <cell r="AC29">
            <v>0</v>
          </cell>
          <cell r="AE29">
            <v>0</v>
          </cell>
          <cell r="AG29">
            <v>0</v>
          </cell>
        </row>
      </sheetData>
      <sheetData sheetId="45">
        <row r="8">
          <cell r="D8" t="str">
            <v>2131</v>
          </cell>
          <cell r="F8" t="str">
            <v>2132</v>
          </cell>
          <cell r="H8" t="str">
            <v>2133</v>
          </cell>
          <cell r="J8" t="str">
            <v>2134</v>
          </cell>
          <cell r="L8" t="str">
            <v>2135</v>
          </cell>
          <cell r="N8" t="str">
            <v>2136</v>
          </cell>
          <cell r="P8" t="str">
            <v>2138</v>
          </cell>
          <cell r="R8" t="str">
            <v>Cong</v>
          </cell>
          <cell r="W8" t="str">
            <v>2131</v>
          </cell>
          <cell r="Y8" t="str">
            <v>2132</v>
          </cell>
          <cell r="AA8" t="str">
            <v>2133</v>
          </cell>
          <cell r="AC8" t="str">
            <v>2134</v>
          </cell>
          <cell r="AE8" t="str">
            <v>2135</v>
          </cell>
          <cell r="AG8" t="str">
            <v>2136</v>
          </cell>
          <cell r="AI8" t="str">
            <v>2138</v>
          </cell>
          <cell r="AK8" t="str">
            <v>Cong</v>
          </cell>
        </row>
        <row r="9">
          <cell r="D9" t="str">
            <v>Quyền
sử dụng đất</v>
          </cell>
          <cell r="F9" t="str">
            <v>Quyền phát hành</v>
          </cell>
          <cell r="H9" t="str">
            <v>Bản quyền, bằng sáng chế</v>
          </cell>
          <cell r="J9" t="str">
            <v>Nhãn hiệu
hàng hóa</v>
          </cell>
          <cell r="L9" t="str">
            <v>Phần mềm
máy vi tính</v>
          </cell>
          <cell r="N9" t="str">
            <v>Giấy phép và giấy nhượng quyền</v>
          </cell>
          <cell r="P9" t="str">
            <v>TSCĐ vô hình khác</v>
          </cell>
          <cell r="R9" t="str">
            <v>Cộng</v>
          </cell>
          <cell r="W9" t="str">
            <v>Land use rights</v>
          </cell>
          <cell r="Y9" t="str">
            <v>Publishing titles</v>
          </cell>
          <cell r="AA9" t="str">
            <v>Copyrights and patents</v>
          </cell>
          <cell r="AC9" t="str">
            <v>Trade marks</v>
          </cell>
          <cell r="AE9" t="str">
            <v>Computer software</v>
          </cell>
          <cell r="AG9" t="str">
            <v>License and Charter of concession</v>
          </cell>
          <cell r="AI9" t="str">
            <v>Other intangible fixed assets</v>
          </cell>
          <cell r="AK9" t="str">
            <v>Total</v>
          </cell>
        </row>
        <row r="10">
          <cell r="D10" t="str">
            <v>VND</v>
          </cell>
          <cell r="F10" t="str">
            <v>VND</v>
          </cell>
          <cell r="H10" t="str">
            <v>VND</v>
          </cell>
          <cell r="J10" t="str">
            <v>VND</v>
          </cell>
          <cell r="L10" t="str">
            <v>VND</v>
          </cell>
          <cell r="N10" t="str">
            <v>VND</v>
          </cell>
          <cell r="P10" t="str">
            <v>VND</v>
          </cell>
          <cell r="R10" t="str">
            <v>VND</v>
          </cell>
          <cell r="W10" t="str">
            <v>VND</v>
          </cell>
          <cell r="Y10" t="str">
            <v>VND</v>
          </cell>
          <cell r="AA10" t="str">
            <v>VND</v>
          </cell>
          <cell r="AC10" t="str">
            <v>VND</v>
          </cell>
          <cell r="AE10" t="str">
            <v>VND</v>
          </cell>
          <cell r="AG10" t="str">
            <v>VND</v>
          </cell>
          <cell r="AI10" t="str">
            <v>VND</v>
          </cell>
          <cell r="AK10" t="str">
            <v>VND</v>
          </cell>
        </row>
        <row r="12">
          <cell r="D12">
            <v>0</v>
          </cell>
          <cell r="F12">
            <v>0</v>
          </cell>
          <cell r="H12">
            <v>0</v>
          </cell>
          <cell r="J12">
            <v>0</v>
          </cell>
          <cell r="L12">
            <v>118000000</v>
          </cell>
          <cell r="N12">
            <v>0</v>
          </cell>
          <cell r="P12">
            <v>0</v>
          </cell>
          <cell r="R12">
            <v>118000000</v>
          </cell>
          <cell r="W12">
            <v>0</v>
          </cell>
          <cell r="Y12">
            <v>0</v>
          </cell>
          <cell r="AA12">
            <v>0</v>
          </cell>
          <cell r="AC12">
            <v>0</v>
          </cell>
          <cell r="AE12">
            <v>118000000</v>
          </cell>
          <cell r="AG12">
            <v>0</v>
          </cell>
          <cell r="AI12">
            <v>0</v>
          </cell>
          <cell r="AK12">
            <v>118000000</v>
          </cell>
        </row>
        <row r="13">
          <cell r="D13">
            <v>0</v>
          </cell>
          <cell r="F13">
            <v>0</v>
          </cell>
          <cell r="H13">
            <v>0</v>
          </cell>
          <cell r="J13">
            <v>0</v>
          </cell>
          <cell r="L13">
            <v>0</v>
          </cell>
          <cell r="N13">
            <v>0</v>
          </cell>
          <cell r="P13">
            <v>0</v>
          </cell>
          <cell r="R13">
            <v>0</v>
          </cell>
          <cell r="W13">
            <v>0</v>
          </cell>
          <cell r="Y13">
            <v>0</v>
          </cell>
          <cell r="AA13">
            <v>0</v>
          </cell>
          <cell r="AC13">
            <v>0</v>
          </cell>
          <cell r="AE13">
            <v>0</v>
          </cell>
          <cell r="AG13">
            <v>0</v>
          </cell>
          <cell r="AI13">
            <v>0</v>
          </cell>
          <cell r="AK13">
            <v>0</v>
          </cell>
        </row>
        <row r="14">
          <cell r="D14">
            <v>0</v>
          </cell>
          <cell r="F14">
            <v>0</v>
          </cell>
          <cell r="H14">
            <v>0</v>
          </cell>
          <cell r="J14">
            <v>0</v>
          </cell>
          <cell r="L14">
            <v>0</v>
          </cell>
          <cell r="N14">
            <v>0</v>
          </cell>
          <cell r="P14">
            <v>0</v>
          </cell>
          <cell r="R14">
            <v>0</v>
          </cell>
          <cell r="W14">
            <v>0</v>
          </cell>
          <cell r="Y14">
            <v>0</v>
          </cell>
          <cell r="AA14">
            <v>0</v>
          </cell>
          <cell r="AC14">
            <v>0</v>
          </cell>
          <cell r="AE14">
            <v>0</v>
          </cell>
          <cell r="AG14">
            <v>0</v>
          </cell>
          <cell r="AI14">
            <v>0</v>
          </cell>
          <cell r="AK14">
            <v>0</v>
          </cell>
        </row>
        <row r="15">
          <cell r="D15">
            <v>0</v>
          </cell>
          <cell r="F15">
            <v>0</v>
          </cell>
          <cell r="H15">
            <v>0</v>
          </cell>
          <cell r="J15">
            <v>0</v>
          </cell>
          <cell r="L15">
            <v>0</v>
          </cell>
          <cell r="N15">
            <v>0</v>
          </cell>
          <cell r="P15">
            <v>0</v>
          </cell>
          <cell r="R15">
            <v>0</v>
          </cell>
          <cell r="W15">
            <v>0</v>
          </cell>
          <cell r="Y15">
            <v>0</v>
          </cell>
          <cell r="AA15">
            <v>0</v>
          </cell>
          <cell r="AC15">
            <v>0</v>
          </cell>
          <cell r="AE15">
            <v>0</v>
          </cell>
          <cell r="AG15">
            <v>0</v>
          </cell>
          <cell r="AI15">
            <v>0</v>
          </cell>
          <cell r="AK15">
            <v>0</v>
          </cell>
        </row>
        <row r="16">
          <cell r="D16">
            <v>0</v>
          </cell>
          <cell r="F16">
            <v>0</v>
          </cell>
          <cell r="H16">
            <v>0</v>
          </cell>
          <cell r="J16">
            <v>0</v>
          </cell>
          <cell r="L16">
            <v>0</v>
          </cell>
          <cell r="N16">
            <v>0</v>
          </cell>
          <cell r="P16">
            <v>0</v>
          </cell>
          <cell r="R16">
            <v>0</v>
          </cell>
          <cell r="W16">
            <v>0</v>
          </cell>
          <cell r="Y16">
            <v>0</v>
          </cell>
          <cell r="AA16">
            <v>0</v>
          </cell>
          <cell r="AC16">
            <v>0</v>
          </cell>
          <cell r="AE16">
            <v>0</v>
          </cell>
          <cell r="AG16">
            <v>0</v>
          </cell>
          <cell r="AI16">
            <v>0</v>
          </cell>
          <cell r="AK16">
            <v>0</v>
          </cell>
        </row>
        <row r="17">
          <cell r="D17">
            <v>0</v>
          </cell>
          <cell r="F17">
            <v>0</v>
          </cell>
          <cell r="H17">
            <v>0</v>
          </cell>
          <cell r="J17">
            <v>0</v>
          </cell>
          <cell r="L17">
            <v>0</v>
          </cell>
          <cell r="N17">
            <v>0</v>
          </cell>
          <cell r="P17">
            <v>0</v>
          </cell>
          <cell r="R17">
            <v>0</v>
          </cell>
          <cell r="W17">
            <v>0</v>
          </cell>
          <cell r="Y17">
            <v>0</v>
          </cell>
          <cell r="AA17">
            <v>0</v>
          </cell>
          <cell r="AC17">
            <v>0</v>
          </cell>
          <cell r="AE17">
            <v>0</v>
          </cell>
          <cell r="AG17">
            <v>0</v>
          </cell>
          <cell r="AI17">
            <v>0</v>
          </cell>
          <cell r="AK17">
            <v>0</v>
          </cell>
        </row>
        <row r="18">
          <cell r="D18">
            <v>0</v>
          </cell>
          <cell r="F18">
            <v>0</v>
          </cell>
          <cell r="H18">
            <v>0</v>
          </cell>
          <cell r="J18">
            <v>0</v>
          </cell>
          <cell r="L18">
            <v>0</v>
          </cell>
          <cell r="N18">
            <v>0</v>
          </cell>
          <cell r="P18">
            <v>0</v>
          </cell>
          <cell r="R18">
            <v>0</v>
          </cell>
          <cell r="W18">
            <v>0</v>
          </cell>
          <cell r="Y18">
            <v>0</v>
          </cell>
          <cell r="AA18">
            <v>0</v>
          </cell>
          <cell r="AC18">
            <v>0</v>
          </cell>
          <cell r="AE18">
            <v>0</v>
          </cell>
          <cell r="AG18">
            <v>0</v>
          </cell>
          <cell r="AI18">
            <v>0</v>
          </cell>
          <cell r="AK18">
            <v>0</v>
          </cell>
        </row>
        <row r="19">
          <cell r="D19">
            <v>0</v>
          </cell>
          <cell r="F19">
            <v>0</v>
          </cell>
          <cell r="H19">
            <v>0</v>
          </cell>
          <cell r="J19">
            <v>0</v>
          </cell>
          <cell r="L19">
            <v>118000000</v>
          </cell>
          <cell r="N19">
            <v>0</v>
          </cell>
          <cell r="P19">
            <v>0</v>
          </cell>
          <cell r="R19">
            <v>118000000</v>
          </cell>
          <cell r="W19">
            <v>0</v>
          </cell>
          <cell r="Y19">
            <v>0</v>
          </cell>
          <cell r="AA19">
            <v>0</v>
          </cell>
          <cell r="AC19">
            <v>0</v>
          </cell>
          <cell r="AE19">
            <v>118000000</v>
          </cell>
          <cell r="AG19">
            <v>0</v>
          </cell>
          <cell r="AI19">
            <v>0</v>
          </cell>
          <cell r="AK19">
            <v>118000000</v>
          </cell>
        </row>
        <row r="21">
          <cell r="D21">
            <v>0</v>
          </cell>
          <cell r="F21">
            <v>0</v>
          </cell>
          <cell r="H21">
            <v>0</v>
          </cell>
          <cell r="J21">
            <v>0</v>
          </cell>
          <cell r="L21">
            <v>22124997</v>
          </cell>
          <cell r="N21">
            <v>0</v>
          </cell>
          <cell r="P21">
            <v>0</v>
          </cell>
          <cell r="R21">
            <v>22124997</v>
          </cell>
          <cell r="W21">
            <v>0</v>
          </cell>
          <cell r="Y21">
            <v>0</v>
          </cell>
          <cell r="AA21">
            <v>0</v>
          </cell>
          <cell r="AC21">
            <v>0</v>
          </cell>
          <cell r="AE21">
            <v>22124997</v>
          </cell>
          <cell r="AG21">
            <v>0</v>
          </cell>
          <cell r="AI21">
            <v>0</v>
          </cell>
          <cell r="AK21">
            <v>22124997</v>
          </cell>
        </row>
        <row r="22">
          <cell r="D22">
            <v>0</v>
          </cell>
          <cell r="F22">
            <v>0</v>
          </cell>
          <cell r="H22">
            <v>0</v>
          </cell>
          <cell r="J22">
            <v>0</v>
          </cell>
          <cell r="L22">
            <v>29499996</v>
          </cell>
          <cell r="N22">
            <v>0</v>
          </cell>
          <cell r="P22">
            <v>0</v>
          </cell>
          <cell r="R22">
            <v>29499996</v>
          </cell>
          <cell r="W22">
            <v>0</v>
          </cell>
          <cell r="Y22">
            <v>0</v>
          </cell>
          <cell r="AA22">
            <v>0</v>
          </cell>
          <cell r="AC22">
            <v>0</v>
          </cell>
          <cell r="AE22">
            <v>29499996</v>
          </cell>
          <cell r="AG22">
            <v>0</v>
          </cell>
          <cell r="AI22">
            <v>0</v>
          </cell>
          <cell r="AK22">
            <v>29499996</v>
          </cell>
        </row>
        <row r="23">
          <cell r="D23">
            <v>0</v>
          </cell>
          <cell r="F23">
            <v>0</v>
          </cell>
          <cell r="H23">
            <v>0</v>
          </cell>
          <cell r="J23">
            <v>0</v>
          </cell>
          <cell r="L23">
            <v>0</v>
          </cell>
          <cell r="N23">
            <v>0</v>
          </cell>
          <cell r="P23">
            <v>0</v>
          </cell>
          <cell r="R23">
            <v>0</v>
          </cell>
          <cell r="W23">
            <v>0</v>
          </cell>
          <cell r="Y23">
            <v>0</v>
          </cell>
          <cell r="AA23">
            <v>0</v>
          </cell>
          <cell r="AC23">
            <v>0</v>
          </cell>
          <cell r="AE23">
            <v>0</v>
          </cell>
          <cell r="AG23">
            <v>0</v>
          </cell>
          <cell r="AI23">
            <v>0</v>
          </cell>
          <cell r="AK23">
            <v>0</v>
          </cell>
        </row>
        <row r="24">
          <cell r="D24">
            <v>0</v>
          </cell>
          <cell r="F24">
            <v>0</v>
          </cell>
          <cell r="H24">
            <v>0</v>
          </cell>
          <cell r="J24">
            <v>0</v>
          </cell>
          <cell r="L24">
            <v>0</v>
          </cell>
          <cell r="N24">
            <v>0</v>
          </cell>
          <cell r="P24">
            <v>0</v>
          </cell>
          <cell r="R24">
            <v>0</v>
          </cell>
          <cell r="W24">
            <v>0</v>
          </cell>
          <cell r="Y24">
            <v>0</v>
          </cell>
          <cell r="AA24">
            <v>0</v>
          </cell>
          <cell r="AC24">
            <v>0</v>
          </cell>
          <cell r="AE24">
            <v>0</v>
          </cell>
          <cell r="AG24">
            <v>0</v>
          </cell>
          <cell r="AI24">
            <v>0</v>
          </cell>
          <cell r="AK24">
            <v>0</v>
          </cell>
        </row>
        <row r="25">
          <cell r="D25">
            <v>0</v>
          </cell>
          <cell r="F25">
            <v>0</v>
          </cell>
          <cell r="H25">
            <v>0</v>
          </cell>
          <cell r="J25">
            <v>0</v>
          </cell>
          <cell r="L25">
            <v>0</v>
          </cell>
          <cell r="N25">
            <v>0</v>
          </cell>
          <cell r="P25">
            <v>0</v>
          </cell>
          <cell r="R25">
            <v>0</v>
          </cell>
          <cell r="W25">
            <v>0</v>
          </cell>
          <cell r="Y25">
            <v>0</v>
          </cell>
          <cell r="AA25">
            <v>0</v>
          </cell>
          <cell r="AC25">
            <v>0</v>
          </cell>
          <cell r="AE25">
            <v>0</v>
          </cell>
          <cell r="AG25">
            <v>0</v>
          </cell>
          <cell r="AI25">
            <v>0</v>
          </cell>
          <cell r="AK25">
            <v>0</v>
          </cell>
        </row>
        <row r="26">
          <cell r="D26">
            <v>0</v>
          </cell>
          <cell r="F26">
            <v>0</v>
          </cell>
          <cell r="H26">
            <v>0</v>
          </cell>
          <cell r="J26">
            <v>0</v>
          </cell>
          <cell r="L26">
            <v>51624993</v>
          </cell>
          <cell r="N26">
            <v>0</v>
          </cell>
          <cell r="P26">
            <v>0</v>
          </cell>
          <cell r="R26">
            <v>51624993</v>
          </cell>
          <cell r="W26">
            <v>0</v>
          </cell>
          <cell r="Y26">
            <v>0</v>
          </cell>
          <cell r="AA26">
            <v>0</v>
          </cell>
          <cell r="AC26">
            <v>0</v>
          </cell>
          <cell r="AE26">
            <v>51624993</v>
          </cell>
          <cell r="AG26">
            <v>0</v>
          </cell>
          <cell r="AI26">
            <v>0</v>
          </cell>
          <cell r="AK26">
            <v>51624993</v>
          </cell>
        </row>
        <row r="28">
          <cell r="D28">
            <v>0</v>
          </cell>
          <cell r="F28">
            <v>0</v>
          </cell>
          <cell r="H28">
            <v>0</v>
          </cell>
          <cell r="J28">
            <v>0</v>
          </cell>
          <cell r="L28">
            <v>95875003</v>
          </cell>
          <cell r="N28">
            <v>0</v>
          </cell>
          <cell r="P28">
            <v>0</v>
          </cell>
          <cell r="R28">
            <v>95875003</v>
          </cell>
          <cell r="W28">
            <v>0</v>
          </cell>
          <cell r="Y28">
            <v>0</v>
          </cell>
          <cell r="AA28">
            <v>0</v>
          </cell>
          <cell r="AC28">
            <v>0</v>
          </cell>
          <cell r="AE28">
            <v>95875003</v>
          </cell>
          <cell r="AG28">
            <v>0</v>
          </cell>
          <cell r="AI28">
            <v>0</v>
          </cell>
          <cell r="AK28">
            <v>95875003</v>
          </cell>
        </row>
        <row r="29">
          <cell r="D29">
            <v>0</v>
          </cell>
          <cell r="F29">
            <v>0</v>
          </cell>
          <cell r="H29">
            <v>0</v>
          </cell>
          <cell r="J29">
            <v>0</v>
          </cell>
          <cell r="L29">
            <v>66375007</v>
          </cell>
          <cell r="N29">
            <v>0</v>
          </cell>
          <cell r="P29">
            <v>0</v>
          </cell>
          <cell r="R29">
            <v>66375007</v>
          </cell>
          <cell r="W29">
            <v>0</v>
          </cell>
          <cell r="Y29">
            <v>0</v>
          </cell>
          <cell r="AA29">
            <v>0</v>
          </cell>
          <cell r="AC29">
            <v>0</v>
          </cell>
          <cell r="AE29">
            <v>66375007</v>
          </cell>
          <cell r="AG29">
            <v>0</v>
          </cell>
          <cell r="AI29">
            <v>0</v>
          </cell>
          <cell r="AK29">
            <v>66375007</v>
          </cell>
        </row>
      </sheetData>
      <sheetData sheetId="46">
        <row r="13">
          <cell r="E13">
            <v>1500000000</v>
          </cell>
          <cell r="AG13">
            <v>500000000</v>
          </cell>
        </row>
      </sheetData>
      <sheetData sheetId="47"/>
      <sheetData sheetId="48"/>
      <sheetData sheetId="49">
        <row r="8">
          <cell r="A8" t="str">
            <v>20.1</v>
          </cell>
        </row>
        <row r="26">
          <cell r="A26" t="str">
            <v>20.2</v>
          </cell>
        </row>
      </sheetData>
      <sheetData sheetId="50">
        <row r="10">
          <cell r="D10" t="str">
            <v>4111</v>
          </cell>
          <cell r="F10" t="str">
            <v>4112</v>
          </cell>
          <cell r="H10" t="str">
            <v>4113</v>
          </cell>
          <cell r="J10" t="str">
            <v>4118</v>
          </cell>
          <cell r="L10" t="str">
            <v>419</v>
          </cell>
          <cell r="N10" t="str">
            <v>412</v>
          </cell>
          <cell r="P10" t="str">
            <v>413</v>
          </cell>
          <cell r="R10" t="str">
            <v>414</v>
          </cell>
          <cell r="T10" t="str">
            <v>417</v>
          </cell>
          <cell r="V10" t="str">
            <v>418</v>
          </cell>
          <cell r="X10" t="str">
            <v>421</v>
          </cell>
          <cell r="Z10" t="str">
            <v>441</v>
          </cell>
          <cell r="AB10" t="str">
            <v>Cong</v>
          </cell>
          <cell r="AH10" t="str">
            <v>4111</v>
          </cell>
          <cell r="AJ10" t="str">
            <v>4112</v>
          </cell>
          <cell r="AL10" t="str">
            <v>4113</v>
          </cell>
          <cell r="AN10" t="str">
            <v>4118</v>
          </cell>
          <cell r="AP10" t="str">
            <v>419</v>
          </cell>
          <cell r="AR10" t="str">
            <v>412</v>
          </cell>
          <cell r="AT10" t="str">
            <v>413</v>
          </cell>
          <cell r="AV10" t="str">
            <v>414</v>
          </cell>
          <cell r="AX10" t="str">
            <v>417</v>
          </cell>
          <cell r="AZ10" t="str">
            <v>418</v>
          </cell>
          <cell r="BB10" t="str">
            <v>421</v>
          </cell>
          <cell r="BD10" t="str">
            <v>441</v>
          </cell>
          <cell r="BF10" t="str">
            <v>Cong</v>
          </cell>
          <cell r="BL10" t="str">
            <v>4111</v>
          </cell>
          <cell r="BM10" t="str">
            <v>4112</v>
          </cell>
          <cell r="BN10" t="str">
            <v>4113</v>
          </cell>
          <cell r="BO10" t="str">
            <v>4118</v>
          </cell>
          <cell r="BP10" t="str">
            <v>419</v>
          </cell>
          <cell r="BQ10" t="str">
            <v>412</v>
          </cell>
          <cell r="BR10" t="str">
            <v>413</v>
          </cell>
          <cell r="BS10" t="str">
            <v>414</v>
          </cell>
          <cell r="BT10" t="str">
            <v>417</v>
          </cell>
          <cell r="BU10" t="str">
            <v>418</v>
          </cell>
          <cell r="BV10" t="str">
            <v>421</v>
          </cell>
          <cell r="BW10" t="str">
            <v>441</v>
          </cell>
          <cell r="BX10" t="str">
            <v>Cong</v>
          </cell>
        </row>
        <row r="11">
          <cell r="D11" t="str">
            <v>Vốn đầu tư của CSH</v>
          </cell>
          <cell r="F11" t="str">
            <v>Thặng dư vốn cổ phần</v>
          </cell>
          <cell r="H11" t="str">
            <v>Quyền chọn chuyển đổi trái phiếu</v>
          </cell>
          <cell r="J11" t="str">
            <v>Vốn khác của CSH</v>
          </cell>
          <cell r="L11" t="str">
            <v>Cổ phiếu quỹ</v>
          </cell>
          <cell r="N11" t="str">
            <v>Chênh lệch đánh giá lại tài sản</v>
          </cell>
          <cell r="P11" t="str">
            <v>Chênh lệch tỷ giá hối đoái</v>
          </cell>
          <cell r="R11" t="str">
            <v>Quỹ đầu tư 
phát triển</v>
          </cell>
          <cell r="T11" t="str">
            <v>Quỹ hỗ trợ sắp xếp doanh nghiệp</v>
          </cell>
          <cell r="V11" t="str">
            <v>Quỹ khác thuộc vốn CSH</v>
          </cell>
          <cell r="X11" t="str">
            <v>Lợi nhuận 
sau thuế 
chưa phân phối</v>
          </cell>
          <cell r="Z11" t="str">
            <v>Nguồn vốn đầu tư XDCB</v>
          </cell>
          <cell r="AB11" t="str">
            <v>Cộng</v>
          </cell>
          <cell r="AH11" t="str">
            <v>Contributed capital</v>
          </cell>
          <cell r="AJ11" t="str">
            <v>Share premium</v>
          </cell>
          <cell r="AL11" t="str">
            <v>Conversion options on convertible bonds</v>
          </cell>
          <cell r="AN11" t="str">
            <v>Other capital</v>
          </cell>
          <cell r="AP11" t="str">
            <v>Treasury stocks</v>
          </cell>
          <cell r="AR11" t="str">
            <v>Asset revaluation differences</v>
          </cell>
          <cell r="AT11" t="str">
            <v>Foreign exchange differences</v>
          </cell>
          <cell r="AV11" t="str">
            <v>Investment and development fund</v>
          </cell>
          <cell r="AX11" t="str">
            <v>Enterprise reorganization assistance fund</v>
          </cell>
          <cell r="AZ11" t="str">
            <v>Other entity fund</v>
          </cell>
          <cell r="BB11" t="str">
            <v>Undistribuited profit after tax</v>
          </cell>
          <cell r="BD11" t="str">
            <v>Capital expenditure fund</v>
          </cell>
          <cell r="BF11" t="str">
            <v>Total</v>
          </cell>
        </row>
        <row r="12">
          <cell r="D12" t="str">
            <v>VND</v>
          </cell>
          <cell r="F12" t="str">
            <v>VND</v>
          </cell>
          <cell r="H12" t="str">
            <v>VND</v>
          </cell>
          <cell r="J12" t="str">
            <v>VND</v>
          </cell>
          <cell r="L12" t="str">
            <v>VND</v>
          </cell>
          <cell r="N12" t="str">
            <v>VND</v>
          </cell>
          <cell r="P12" t="str">
            <v>VND</v>
          </cell>
          <cell r="R12" t="str">
            <v>VND</v>
          </cell>
          <cell r="T12" t="str">
            <v>VND</v>
          </cell>
          <cell r="V12" t="str">
            <v>VND</v>
          </cell>
          <cell r="X12" t="str">
            <v>VND</v>
          </cell>
          <cell r="Z12" t="str">
            <v>VND</v>
          </cell>
          <cell r="AB12" t="str">
            <v>VND</v>
          </cell>
          <cell r="AH12" t="str">
            <v>VND</v>
          </cell>
          <cell r="AJ12" t="str">
            <v>VND</v>
          </cell>
          <cell r="AL12" t="str">
            <v>VND</v>
          </cell>
          <cell r="AN12" t="str">
            <v>VND</v>
          </cell>
          <cell r="AP12" t="str">
            <v>VND</v>
          </cell>
          <cell r="AR12" t="str">
            <v>VND</v>
          </cell>
          <cell r="AT12" t="str">
            <v>VND</v>
          </cell>
          <cell r="AV12" t="str">
            <v>VND</v>
          </cell>
          <cell r="AZ12" t="str">
            <v>VND</v>
          </cell>
          <cell r="BB12" t="str">
            <v>VND</v>
          </cell>
          <cell r="BD12" t="str">
            <v>VND</v>
          </cell>
          <cell r="BF12" t="str">
            <v>VND</v>
          </cell>
        </row>
        <row r="14">
          <cell r="D14">
            <v>20002050000</v>
          </cell>
          <cell r="F14">
            <v>1593954840</v>
          </cell>
          <cell r="H14">
            <v>0</v>
          </cell>
          <cell r="J14">
            <v>17380958861</v>
          </cell>
          <cell r="L14">
            <v>-2050000</v>
          </cell>
          <cell r="N14">
            <v>0</v>
          </cell>
          <cell r="P14">
            <v>0</v>
          </cell>
          <cell r="R14">
            <v>9212585483</v>
          </cell>
          <cell r="T14">
            <v>0</v>
          </cell>
          <cell r="V14">
            <v>0</v>
          </cell>
          <cell r="X14">
            <v>-2672843766</v>
          </cell>
          <cell r="Z14">
            <v>0</v>
          </cell>
          <cell r="AB14">
            <v>45514655418</v>
          </cell>
          <cell r="AH14">
            <v>20002050000</v>
          </cell>
          <cell r="AI14">
            <v>0</v>
          </cell>
          <cell r="AJ14">
            <v>1593954840</v>
          </cell>
          <cell r="AK14">
            <v>0</v>
          </cell>
          <cell r="AL14">
            <v>0</v>
          </cell>
          <cell r="AM14">
            <v>0</v>
          </cell>
          <cell r="AN14">
            <v>17380958861</v>
          </cell>
          <cell r="AO14">
            <v>0</v>
          </cell>
          <cell r="AP14">
            <v>-2050000</v>
          </cell>
          <cell r="AQ14">
            <v>0</v>
          </cell>
          <cell r="AR14">
            <v>0</v>
          </cell>
          <cell r="AS14">
            <v>0</v>
          </cell>
          <cell r="AT14">
            <v>0</v>
          </cell>
          <cell r="AU14">
            <v>0</v>
          </cell>
          <cell r="AV14">
            <v>9212585483</v>
          </cell>
          <cell r="AW14">
            <v>0</v>
          </cell>
          <cell r="AX14">
            <v>0</v>
          </cell>
          <cell r="AZ14">
            <v>0</v>
          </cell>
          <cell r="BA14">
            <v>0</v>
          </cell>
          <cell r="BB14">
            <v>-2672843766</v>
          </cell>
          <cell r="BC14">
            <v>0</v>
          </cell>
          <cell r="BD14">
            <v>0</v>
          </cell>
          <cell r="BF14">
            <v>45514655418</v>
          </cell>
        </row>
        <row r="15">
          <cell r="D15">
            <v>0</v>
          </cell>
          <cell r="F15">
            <v>0</v>
          </cell>
          <cell r="H15">
            <v>0</v>
          </cell>
          <cell r="J15">
            <v>0</v>
          </cell>
          <cell r="L15">
            <v>0</v>
          </cell>
          <cell r="N15">
            <v>0</v>
          </cell>
          <cell r="P15">
            <v>0</v>
          </cell>
          <cell r="R15">
            <v>0</v>
          </cell>
          <cell r="T15">
            <v>0</v>
          </cell>
          <cell r="V15">
            <v>0</v>
          </cell>
          <cell r="X15">
            <v>0</v>
          </cell>
          <cell r="Z15">
            <v>0</v>
          </cell>
          <cell r="AB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Z15">
            <v>0</v>
          </cell>
          <cell r="BA15">
            <v>0</v>
          </cell>
          <cell r="BB15">
            <v>0</v>
          </cell>
          <cell r="BC15">
            <v>0</v>
          </cell>
          <cell r="BD15">
            <v>0</v>
          </cell>
          <cell r="BF15">
            <v>0</v>
          </cell>
        </row>
        <row r="16">
          <cell r="D16">
            <v>0</v>
          </cell>
          <cell r="F16">
            <v>0</v>
          </cell>
          <cell r="H16">
            <v>0</v>
          </cell>
          <cell r="J16">
            <v>0</v>
          </cell>
          <cell r="L16">
            <v>0</v>
          </cell>
          <cell r="N16">
            <v>0</v>
          </cell>
          <cell r="P16">
            <v>0</v>
          </cell>
          <cell r="R16">
            <v>0</v>
          </cell>
          <cell r="T16">
            <v>0</v>
          </cell>
          <cell r="V16">
            <v>0</v>
          </cell>
          <cell r="X16">
            <v>723422867</v>
          </cell>
          <cell r="Z16">
            <v>0</v>
          </cell>
          <cell r="AB16">
            <v>723422867</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Z16">
            <v>0</v>
          </cell>
          <cell r="BA16">
            <v>0</v>
          </cell>
          <cell r="BB16">
            <v>723422867</v>
          </cell>
          <cell r="BC16">
            <v>0</v>
          </cell>
          <cell r="BD16">
            <v>0</v>
          </cell>
          <cell r="BF16">
            <v>723422867</v>
          </cell>
        </row>
        <row r="17">
          <cell r="D17">
            <v>0</v>
          </cell>
          <cell r="F17">
            <v>0</v>
          </cell>
          <cell r="H17">
            <v>0</v>
          </cell>
          <cell r="J17">
            <v>0</v>
          </cell>
          <cell r="L17">
            <v>0</v>
          </cell>
          <cell r="N17">
            <v>0</v>
          </cell>
          <cell r="P17">
            <v>0</v>
          </cell>
          <cell r="R17">
            <v>0</v>
          </cell>
          <cell r="T17">
            <v>0</v>
          </cell>
          <cell r="V17">
            <v>0</v>
          </cell>
          <cell r="X17">
            <v>0</v>
          </cell>
          <cell r="Z17">
            <v>0</v>
          </cell>
          <cell r="AB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Z17">
            <v>0</v>
          </cell>
          <cell r="BA17">
            <v>0</v>
          </cell>
          <cell r="BB17">
            <v>0</v>
          </cell>
          <cell r="BC17">
            <v>0</v>
          </cell>
          <cell r="BD17">
            <v>0</v>
          </cell>
          <cell r="BF17">
            <v>0</v>
          </cell>
        </row>
        <row r="18">
          <cell r="D18">
            <v>0</v>
          </cell>
          <cell r="F18">
            <v>0</v>
          </cell>
          <cell r="H18">
            <v>0</v>
          </cell>
          <cell r="J18">
            <v>0</v>
          </cell>
          <cell r="L18">
            <v>0</v>
          </cell>
          <cell r="N18">
            <v>0</v>
          </cell>
          <cell r="P18">
            <v>0</v>
          </cell>
          <cell r="R18">
            <v>0</v>
          </cell>
          <cell r="T18">
            <v>0</v>
          </cell>
          <cell r="V18">
            <v>0</v>
          </cell>
          <cell r="X18">
            <v>0</v>
          </cell>
          <cell r="Z18">
            <v>0</v>
          </cell>
          <cell r="AB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Z18">
            <v>0</v>
          </cell>
          <cell r="BA18">
            <v>0</v>
          </cell>
          <cell r="BB18">
            <v>0</v>
          </cell>
          <cell r="BC18">
            <v>0</v>
          </cell>
          <cell r="BD18">
            <v>0</v>
          </cell>
          <cell r="BF18">
            <v>0</v>
          </cell>
        </row>
        <row r="19">
          <cell r="D19">
            <v>0</v>
          </cell>
          <cell r="F19">
            <v>0</v>
          </cell>
          <cell r="H19">
            <v>0</v>
          </cell>
          <cell r="J19">
            <v>0</v>
          </cell>
          <cell r="L19">
            <v>0</v>
          </cell>
          <cell r="N19">
            <v>0</v>
          </cell>
          <cell r="P19">
            <v>0</v>
          </cell>
          <cell r="R19">
            <v>0</v>
          </cell>
          <cell r="T19">
            <v>0</v>
          </cell>
          <cell r="V19">
            <v>0</v>
          </cell>
          <cell r="X19">
            <v>0</v>
          </cell>
          <cell r="Z19">
            <v>0</v>
          </cell>
          <cell r="AB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Z19">
            <v>0</v>
          </cell>
          <cell r="BA19">
            <v>0</v>
          </cell>
          <cell r="BB19">
            <v>0</v>
          </cell>
          <cell r="BC19">
            <v>0</v>
          </cell>
          <cell r="BD19">
            <v>0</v>
          </cell>
          <cell r="BF19">
            <v>0</v>
          </cell>
        </row>
        <row r="20">
          <cell r="D20">
            <v>0</v>
          </cell>
          <cell r="F20">
            <v>0</v>
          </cell>
          <cell r="H20">
            <v>0</v>
          </cell>
          <cell r="J20">
            <v>0</v>
          </cell>
          <cell r="L20">
            <v>0</v>
          </cell>
          <cell r="N20">
            <v>0</v>
          </cell>
          <cell r="P20">
            <v>0</v>
          </cell>
          <cell r="R20">
            <v>0</v>
          </cell>
          <cell r="T20">
            <v>0</v>
          </cell>
          <cell r="V20">
            <v>0</v>
          </cell>
          <cell r="X20">
            <v>0</v>
          </cell>
          <cell r="Z20">
            <v>0</v>
          </cell>
          <cell r="AB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Z20">
            <v>0</v>
          </cell>
          <cell r="BA20">
            <v>0</v>
          </cell>
          <cell r="BB20">
            <v>0</v>
          </cell>
          <cell r="BC20">
            <v>0</v>
          </cell>
          <cell r="BD20">
            <v>0</v>
          </cell>
          <cell r="BF20">
            <v>0</v>
          </cell>
        </row>
        <row r="22">
          <cell r="D22">
            <v>20002050000</v>
          </cell>
          <cell r="F22">
            <v>1593954840</v>
          </cell>
          <cell r="H22">
            <v>0</v>
          </cell>
          <cell r="J22">
            <v>17380958861</v>
          </cell>
          <cell r="L22">
            <v>-2050000</v>
          </cell>
          <cell r="N22">
            <v>0</v>
          </cell>
          <cell r="P22">
            <v>0</v>
          </cell>
          <cell r="R22">
            <v>9212585483</v>
          </cell>
          <cell r="T22">
            <v>0</v>
          </cell>
          <cell r="V22">
            <v>0</v>
          </cell>
          <cell r="X22">
            <v>-1949420899</v>
          </cell>
          <cell r="Z22">
            <v>0</v>
          </cell>
          <cell r="AB22">
            <v>46238078285</v>
          </cell>
          <cell r="AH22">
            <v>20002050000</v>
          </cell>
          <cell r="AJ22">
            <v>1593954840</v>
          </cell>
          <cell r="AL22">
            <v>0</v>
          </cell>
          <cell r="AN22">
            <v>17380958861</v>
          </cell>
          <cell r="AP22">
            <v>-2050000</v>
          </cell>
          <cell r="AR22">
            <v>0</v>
          </cell>
          <cell r="AT22">
            <v>0</v>
          </cell>
          <cell r="AV22">
            <v>9212585483</v>
          </cell>
          <cell r="AX22">
            <v>0</v>
          </cell>
          <cell r="AZ22">
            <v>0</v>
          </cell>
          <cell r="BB22">
            <v>-1949420899</v>
          </cell>
          <cell r="BD22">
            <v>0</v>
          </cell>
          <cell r="BF22">
            <v>46238078285</v>
          </cell>
        </row>
        <row r="24">
          <cell r="D24">
            <v>0</v>
          </cell>
          <cell r="F24">
            <v>0</v>
          </cell>
          <cell r="H24">
            <v>0</v>
          </cell>
          <cell r="J24">
            <v>0</v>
          </cell>
          <cell r="L24">
            <v>0</v>
          </cell>
          <cell r="N24">
            <v>0</v>
          </cell>
          <cell r="P24">
            <v>0</v>
          </cell>
          <cell r="R24">
            <v>0</v>
          </cell>
          <cell r="T24">
            <v>0</v>
          </cell>
          <cell r="V24">
            <v>0</v>
          </cell>
          <cell r="X24">
            <v>0</v>
          </cell>
          <cell r="Z24">
            <v>0</v>
          </cell>
          <cell r="AB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Z24">
            <v>0</v>
          </cell>
          <cell r="BA24">
            <v>0</v>
          </cell>
          <cell r="BB24">
            <v>0</v>
          </cell>
          <cell r="BC24">
            <v>0</v>
          </cell>
          <cell r="BD24">
            <v>0</v>
          </cell>
          <cell r="BF24">
            <v>0</v>
          </cell>
        </row>
        <row r="25">
          <cell r="D25">
            <v>0</v>
          </cell>
          <cell r="F25">
            <v>0</v>
          </cell>
          <cell r="H25">
            <v>0</v>
          </cell>
          <cell r="J25">
            <v>0</v>
          </cell>
          <cell r="L25">
            <v>0</v>
          </cell>
          <cell r="N25">
            <v>0</v>
          </cell>
          <cell r="P25">
            <v>0</v>
          </cell>
          <cell r="R25">
            <v>0</v>
          </cell>
          <cell r="T25">
            <v>0</v>
          </cell>
          <cell r="V25">
            <v>0</v>
          </cell>
          <cell r="X25">
            <v>2205590858</v>
          </cell>
          <cell r="Z25">
            <v>0</v>
          </cell>
          <cell r="AB25">
            <v>2205590858</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Z25">
            <v>0</v>
          </cell>
          <cell r="BA25">
            <v>0</v>
          </cell>
          <cell r="BB25">
            <v>2205590858</v>
          </cell>
          <cell r="BC25">
            <v>0</v>
          </cell>
          <cell r="BD25">
            <v>0</v>
          </cell>
          <cell r="BF25">
            <v>2205590858</v>
          </cell>
        </row>
        <row r="26">
          <cell r="D26">
            <v>0</v>
          </cell>
          <cell r="F26">
            <v>0</v>
          </cell>
          <cell r="H26">
            <v>0</v>
          </cell>
          <cell r="J26">
            <v>0</v>
          </cell>
          <cell r="L26">
            <v>0</v>
          </cell>
          <cell r="N26">
            <v>0</v>
          </cell>
          <cell r="P26">
            <v>0</v>
          </cell>
          <cell r="R26">
            <v>0</v>
          </cell>
          <cell r="T26">
            <v>0</v>
          </cell>
          <cell r="V26">
            <v>0</v>
          </cell>
          <cell r="X26">
            <v>0</v>
          </cell>
          <cell r="Z26">
            <v>0</v>
          </cell>
          <cell r="AB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Z26">
            <v>0</v>
          </cell>
          <cell r="BA26">
            <v>0</v>
          </cell>
          <cell r="BB26">
            <v>0</v>
          </cell>
          <cell r="BC26">
            <v>0</v>
          </cell>
          <cell r="BD26">
            <v>0</v>
          </cell>
          <cell r="BF26">
            <v>0</v>
          </cell>
        </row>
        <row r="27">
          <cell r="D27">
            <v>0</v>
          </cell>
          <cell r="F27">
            <v>0</v>
          </cell>
          <cell r="H27">
            <v>0</v>
          </cell>
          <cell r="J27">
            <v>0</v>
          </cell>
          <cell r="L27">
            <v>0</v>
          </cell>
          <cell r="N27">
            <v>0</v>
          </cell>
          <cell r="P27">
            <v>0</v>
          </cell>
          <cell r="R27">
            <v>0</v>
          </cell>
          <cell r="T27">
            <v>0</v>
          </cell>
          <cell r="V27">
            <v>0</v>
          </cell>
          <cell r="X27">
            <v>0</v>
          </cell>
          <cell r="Z27">
            <v>0</v>
          </cell>
          <cell r="AB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Z27">
            <v>0</v>
          </cell>
          <cell r="BA27">
            <v>0</v>
          </cell>
          <cell r="BB27">
            <v>0</v>
          </cell>
          <cell r="BC27">
            <v>0</v>
          </cell>
          <cell r="BD27">
            <v>0</v>
          </cell>
          <cell r="BF27">
            <v>0</v>
          </cell>
        </row>
        <row r="28">
          <cell r="D28">
            <v>0</v>
          </cell>
          <cell r="F28">
            <v>0</v>
          </cell>
          <cell r="H28">
            <v>0</v>
          </cell>
          <cell r="J28">
            <v>0</v>
          </cell>
          <cell r="L28">
            <v>0</v>
          </cell>
          <cell r="N28">
            <v>0</v>
          </cell>
          <cell r="P28">
            <v>0</v>
          </cell>
          <cell r="R28">
            <v>0</v>
          </cell>
          <cell r="T28">
            <v>0</v>
          </cell>
          <cell r="V28">
            <v>0</v>
          </cell>
          <cell r="X28">
            <v>0</v>
          </cell>
          <cell r="Z28">
            <v>0</v>
          </cell>
          <cell r="AB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Z28">
            <v>0</v>
          </cell>
          <cell r="BA28">
            <v>0</v>
          </cell>
          <cell r="BB28">
            <v>0</v>
          </cell>
          <cell r="BC28">
            <v>0</v>
          </cell>
          <cell r="BD28">
            <v>0</v>
          </cell>
          <cell r="BF28">
            <v>0</v>
          </cell>
        </row>
        <row r="29">
          <cell r="D29">
            <v>0</v>
          </cell>
          <cell r="F29">
            <v>0</v>
          </cell>
          <cell r="H29">
            <v>0</v>
          </cell>
          <cell r="J29">
            <v>0</v>
          </cell>
          <cell r="L29">
            <v>0</v>
          </cell>
          <cell r="N29">
            <v>0</v>
          </cell>
          <cell r="P29">
            <v>0</v>
          </cell>
          <cell r="R29">
            <v>0</v>
          </cell>
          <cell r="T29">
            <v>0</v>
          </cell>
          <cell r="V29">
            <v>0</v>
          </cell>
          <cell r="X29">
            <v>0</v>
          </cell>
          <cell r="Z29">
            <v>0</v>
          </cell>
          <cell r="AB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Z29">
            <v>0</v>
          </cell>
          <cell r="BA29">
            <v>0</v>
          </cell>
          <cell r="BB29">
            <v>0</v>
          </cell>
          <cell r="BC29">
            <v>0</v>
          </cell>
          <cell r="BD29">
            <v>0</v>
          </cell>
          <cell r="BF29">
            <v>0</v>
          </cell>
        </row>
        <row r="31">
          <cell r="D31">
            <v>20002050000</v>
          </cell>
          <cell r="F31">
            <v>1593954840</v>
          </cell>
          <cell r="H31">
            <v>0</v>
          </cell>
          <cell r="J31">
            <v>17380958861</v>
          </cell>
          <cell r="L31">
            <v>-2050000</v>
          </cell>
          <cell r="N31">
            <v>0</v>
          </cell>
          <cell r="P31">
            <v>0</v>
          </cell>
          <cell r="R31">
            <v>9212585483</v>
          </cell>
          <cell r="T31">
            <v>0</v>
          </cell>
          <cell r="V31">
            <v>0</v>
          </cell>
          <cell r="X31">
            <v>256169959</v>
          </cell>
          <cell r="Z31">
            <v>0</v>
          </cell>
          <cell r="AB31">
            <v>48443669143</v>
          </cell>
          <cell r="AH31">
            <v>20002050000</v>
          </cell>
          <cell r="AJ31">
            <v>1593954840</v>
          </cell>
          <cell r="AL31">
            <v>0</v>
          </cell>
          <cell r="AN31">
            <v>17380958861</v>
          </cell>
          <cell r="AP31">
            <v>-2050000</v>
          </cell>
          <cell r="AR31">
            <v>0</v>
          </cell>
          <cell r="AT31">
            <v>0</v>
          </cell>
          <cell r="AV31">
            <v>9212585483</v>
          </cell>
          <cell r="AX31">
            <v>0</v>
          </cell>
          <cell r="AZ31">
            <v>0</v>
          </cell>
          <cell r="BB31">
            <v>256169959</v>
          </cell>
          <cell r="BD31">
            <v>0</v>
          </cell>
          <cell r="BF31">
            <v>48443669143</v>
          </cell>
        </row>
      </sheetData>
      <sheetData sheetId="51"/>
      <sheetData sheetId="52"/>
      <sheetData sheetId="53"/>
      <sheetData sheetId="54">
        <row r="6">
          <cell r="D6" t="str">
            <v>01</v>
          </cell>
          <cell r="G6">
            <v>2829447486</v>
          </cell>
        </row>
        <row r="8">
          <cell r="D8" t="str">
            <v>02</v>
          </cell>
          <cell r="G8">
            <v>2716936970</v>
          </cell>
        </row>
        <row r="9">
          <cell r="E9" t="str">
            <v>6*</v>
          </cell>
          <cell r="F9" t="str">
            <v>2141</v>
          </cell>
          <cell r="G9">
            <v>2687436974</v>
          </cell>
        </row>
        <row r="10">
          <cell r="E10" t="str">
            <v>6*</v>
          </cell>
          <cell r="F10" t="str">
            <v>2142</v>
          </cell>
          <cell r="G10">
            <v>0</v>
          </cell>
        </row>
        <row r="11">
          <cell r="E11" t="str">
            <v>6*</v>
          </cell>
          <cell r="F11" t="str">
            <v>2143</v>
          </cell>
          <cell r="G11">
            <v>29499996</v>
          </cell>
        </row>
        <row r="12">
          <cell r="E12" t="str">
            <v>6*</v>
          </cell>
          <cell r="F12" t="str">
            <v>2147</v>
          </cell>
          <cell r="G12">
            <v>0</v>
          </cell>
        </row>
        <row r="13">
          <cell r="G13">
            <v>0</v>
          </cell>
        </row>
        <row r="17">
          <cell r="D17" t="str">
            <v>03</v>
          </cell>
          <cell r="G17">
            <v>1474521572</v>
          </cell>
        </row>
        <row r="18">
          <cell r="G18">
            <v>1474521572</v>
          </cell>
        </row>
        <row r="19">
          <cell r="E19" t="str">
            <v>6355</v>
          </cell>
          <cell r="F19" t="str">
            <v>2291</v>
          </cell>
          <cell r="G19">
            <v>0</v>
          </cell>
        </row>
        <row r="20">
          <cell r="E20" t="str">
            <v>6355</v>
          </cell>
          <cell r="F20" t="str">
            <v>2292</v>
          </cell>
          <cell r="G20">
            <v>-795571</v>
          </cell>
        </row>
        <row r="21">
          <cell r="E21" t="str">
            <v>642</v>
          </cell>
          <cell r="F21" t="str">
            <v>2293</v>
          </cell>
          <cell r="G21">
            <v>-1247694158</v>
          </cell>
        </row>
        <row r="22">
          <cell r="E22" t="str">
            <v>642</v>
          </cell>
          <cell r="F22" t="str">
            <v>2293</v>
          </cell>
          <cell r="G22">
            <v>0</v>
          </cell>
        </row>
        <row r="23">
          <cell r="E23" t="str">
            <v>632</v>
          </cell>
          <cell r="F23" t="str">
            <v>2294</v>
          </cell>
          <cell r="G23">
            <v>2723011301</v>
          </cell>
        </row>
        <row r="24">
          <cell r="F24" t="str">
            <v>352</v>
          </cell>
          <cell r="G24">
            <v>0</v>
          </cell>
        </row>
        <row r="25">
          <cell r="F25" t="str">
            <v>352</v>
          </cell>
          <cell r="G25">
            <v>0</v>
          </cell>
        </row>
        <row r="26">
          <cell r="G26">
            <v>0</v>
          </cell>
        </row>
        <row r="27">
          <cell r="G27">
            <v>0</v>
          </cell>
        </row>
        <row r="28">
          <cell r="G28">
            <v>0</v>
          </cell>
        </row>
        <row r="36">
          <cell r="D36" t="str">
            <v>04</v>
          </cell>
          <cell r="G36">
            <v>155219</v>
          </cell>
        </row>
        <row r="37">
          <cell r="E37" t="str">
            <v>413</v>
          </cell>
          <cell r="F37" t="str">
            <v>5154</v>
          </cell>
          <cell r="G37">
            <v>0</v>
          </cell>
        </row>
        <row r="38">
          <cell r="E38" t="str">
            <v>6354</v>
          </cell>
          <cell r="F38" t="str">
            <v>413</v>
          </cell>
          <cell r="G38">
            <v>155219</v>
          </cell>
        </row>
        <row r="39">
          <cell r="D39" t="str">
            <v>05</v>
          </cell>
          <cell r="G39">
            <v>-1837844707</v>
          </cell>
        </row>
        <row r="40">
          <cell r="G40">
            <v>-440700117</v>
          </cell>
        </row>
        <row r="41">
          <cell r="G41">
            <v>-440700117</v>
          </cell>
        </row>
        <row r="42">
          <cell r="G42">
            <v>0</v>
          </cell>
        </row>
        <row r="43">
          <cell r="G43">
            <v>0</v>
          </cell>
        </row>
        <row r="44">
          <cell r="F44" t="str">
            <v>5117</v>
          </cell>
          <cell r="G44">
            <v>0</v>
          </cell>
        </row>
        <row r="45">
          <cell r="E45" t="str">
            <v>6324</v>
          </cell>
          <cell r="G45">
            <v>0</v>
          </cell>
        </row>
        <row r="46">
          <cell r="E46" t="str">
            <v>6325</v>
          </cell>
          <cell r="G46">
            <v>0</v>
          </cell>
        </row>
        <row r="47">
          <cell r="G47">
            <v>-1397144590</v>
          </cell>
        </row>
        <row r="48">
          <cell r="E48" t="str">
            <v>11</v>
          </cell>
          <cell r="F48" t="str">
            <v>515</v>
          </cell>
          <cell r="G48">
            <v>-1397144590</v>
          </cell>
        </row>
        <row r="49">
          <cell r="E49" t="str">
            <v>222</v>
          </cell>
          <cell r="F49" t="str">
            <v>515</v>
          </cell>
          <cell r="G49">
            <v>0</v>
          </cell>
        </row>
        <row r="50">
          <cell r="G50">
            <v>0</v>
          </cell>
        </row>
        <row r="51">
          <cell r="F51">
            <v>711</v>
          </cell>
        </row>
        <row r="52">
          <cell r="E52">
            <v>811</v>
          </cell>
        </row>
        <row r="54">
          <cell r="G54">
            <v>0</v>
          </cell>
        </row>
        <row r="55">
          <cell r="F55" t="str">
            <v>5152</v>
          </cell>
          <cell r="G55">
            <v>0</v>
          </cell>
        </row>
        <row r="56">
          <cell r="E56" t="str">
            <v>6353</v>
          </cell>
          <cell r="G56">
            <v>0</v>
          </cell>
        </row>
        <row r="58">
          <cell r="G58">
            <v>0</v>
          </cell>
        </row>
        <row r="60">
          <cell r="D60" t="str">
            <v>06</v>
          </cell>
          <cell r="G60">
            <v>158913332</v>
          </cell>
        </row>
        <row r="61">
          <cell r="E61" t="str">
            <v>6351</v>
          </cell>
          <cell r="F61" t="str">
            <v>11</v>
          </cell>
          <cell r="G61">
            <v>158913332</v>
          </cell>
        </row>
        <row r="64">
          <cell r="D64" t="str">
            <v>07</v>
          </cell>
          <cell r="G64">
            <v>0</v>
          </cell>
        </row>
        <row r="65">
          <cell r="G65">
            <v>0</v>
          </cell>
        </row>
        <row r="66">
          <cell r="E66" t="str">
            <v>632</v>
          </cell>
          <cell r="F66" t="str">
            <v>357</v>
          </cell>
          <cell r="G66">
            <v>0</v>
          </cell>
        </row>
        <row r="67">
          <cell r="E67" t="str">
            <v>642</v>
          </cell>
          <cell r="F67" t="str">
            <v>356</v>
          </cell>
          <cell r="G67">
            <v>0</v>
          </cell>
        </row>
        <row r="68">
          <cell r="G68">
            <v>0</v>
          </cell>
        </row>
        <row r="69">
          <cell r="E69" t="str">
            <v>357</v>
          </cell>
          <cell r="F69" t="str">
            <v>632</v>
          </cell>
        </row>
        <row r="70">
          <cell r="E70" t="str">
            <v>356</v>
          </cell>
          <cell r="F70" t="str">
            <v>642</v>
          </cell>
        </row>
        <row r="71">
          <cell r="G71">
            <v>0</v>
          </cell>
        </row>
        <row r="73">
          <cell r="D73" t="str">
            <v>08</v>
          </cell>
          <cell r="G73">
            <v>5342129872</v>
          </cell>
        </row>
        <row r="74">
          <cell r="D74" t="str">
            <v>09</v>
          </cell>
          <cell r="G74">
            <v>2375009580</v>
          </cell>
        </row>
        <row r="75">
          <cell r="G75">
            <v>652622100</v>
          </cell>
        </row>
        <row r="76">
          <cell r="G76">
            <v>1370215086</v>
          </cell>
        </row>
        <row r="77">
          <cell r="G77">
            <v>0</v>
          </cell>
        </row>
        <row r="78">
          <cell r="G78">
            <v>0</v>
          </cell>
        </row>
        <row r="79">
          <cell r="G79">
            <v>945896447</v>
          </cell>
        </row>
        <row r="80">
          <cell r="G80">
            <v>0</v>
          </cell>
        </row>
        <row r="81">
          <cell r="G81">
            <v>138346565</v>
          </cell>
        </row>
        <row r="82">
          <cell r="G82">
            <v>0</v>
          </cell>
        </row>
        <row r="83">
          <cell r="G83">
            <v>0</v>
          </cell>
        </row>
        <row r="84">
          <cell r="G84">
            <v>-732070618</v>
          </cell>
        </row>
        <row r="85">
          <cell r="G85">
            <v>-793670618</v>
          </cell>
        </row>
        <row r="87">
          <cell r="E87" t="str">
            <v>138</v>
          </cell>
          <cell r="F87" t="str">
            <v>515, 33311</v>
          </cell>
        </row>
        <row r="89">
          <cell r="E89" t="str">
            <v>131, 138</v>
          </cell>
          <cell r="F89" t="str">
            <v>711, 515, 33311</v>
          </cell>
        </row>
        <row r="91">
          <cell r="G91">
            <v>61600000</v>
          </cell>
        </row>
        <row r="94">
          <cell r="D94" t="str">
            <v>10</v>
          </cell>
          <cell r="G94">
            <v>-3266761985.9999995</v>
          </cell>
        </row>
        <row r="95">
          <cell r="G95">
            <v>0</v>
          </cell>
        </row>
        <row r="96">
          <cell r="G96">
            <v>990055113</v>
          </cell>
        </row>
        <row r="97">
          <cell r="G97">
            <v>68710611</v>
          </cell>
        </row>
        <row r="98">
          <cell r="G98">
            <v>218632942.9799999</v>
          </cell>
        </row>
        <row r="99">
          <cell r="G99">
            <v>-4544160652.9799995</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10">
          <cell r="G110">
            <v>0</v>
          </cell>
        </row>
        <row r="111">
          <cell r="D111" t="str">
            <v>11</v>
          </cell>
          <cell r="G111">
            <v>2312810681</v>
          </cell>
        </row>
        <row r="112">
          <cell r="G112">
            <v>2041033613</v>
          </cell>
        </row>
        <row r="113">
          <cell r="G113">
            <v>-53191731</v>
          </cell>
        </row>
        <row r="114">
          <cell r="G114">
            <v>996769065</v>
          </cell>
        </row>
        <row r="115">
          <cell r="G115">
            <v>1367895327</v>
          </cell>
        </row>
        <row r="116">
          <cell r="G116">
            <v>-371126262</v>
          </cell>
        </row>
        <row r="117">
          <cell r="E117" t="str">
            <v>821</v>
          </cell>
          <cell r="F117" t="str">
            <v>3334</v>
          </cell>
          <cell r="G117">
            <v>-623856628</v>
          </cell>
        </row>
        <row r="118">
          <cell r="E118" t="str">
            <v>3334</v>
          </cell>
          <cell r="F118" t="str">
            <v>11</v>
          </cell>
          <cell r="G118">
            <v>252730366</v>
          </cell>
        </row>
        <row r="119">
          <cell r="G119">
            <v>-695879286</v>
          </cell>
        </row>
        <row r="120">
          <cell r="G120">
            <v>34166667</v>
          </cell>
        </row>
        <row r="121">
          <cell r="G121">
            <v>31931247</v>
          </cell>
        </row>
        <row r="122">
          <cell r="G122">
            <v>2235420</v>
          </cell>
        </row>
        <row r="123">
          <cell r="E123" t="str">
            <v>635</v>
          </cell>
          <cell r="F123" t="str">
            <v>11, 311, 341</v>
          </cell>
          <cell r="G123">
            <v>-158913332</v>
          </cell>
        </row>
        <row r="124">
          <cell r="E124" t="str">
            <v>635, 335</v>
          </cell>
          <cell r="F124" t="str">
            <v>11</v>
          </cell>
          <cell r="G124">
            <v>161148752</v>
          </cell>
        </row>
        <row r="125">
          <cell r="G125">
            <v>0</v>
          </cell>
        </row>
        <row r="126">
          <cell r="G126">
            <v>0</v>
          </cell>
        </row>
        <row r="127">
          <cell r="G127">
            <v>0</v>
          </cell>
        </row>
        <row r="128">
          <cell r="G128">
            <v>-10087647</v>
          </cell>
        </row>
        <row r="129">
          <cell r="G129">
            <v>0</v>
          </cell>
        </row>
        <row r="130">
          <cell r="G130">
            <v>0</v>
          </cell>
        </row>
        <row r="134">
          <cell r="D134" t="str">
            <v>12</v>
          </cell>
          <cell r="G134">
            <v>-145886229</v>
          </cell>
        </row>
        <row r="135">
          <cell r="G135">
            <v>0</v>
          </cell>
        </row>
        <row r="136">
          <cell r="G136">
            <v>-154836035</v>
          </cell>
        </row>
        <row r="137">
          <cell r="G137">
            <v>8949806</v>
          </cell>
        </row>
        <row r="138">
          <cell r="G138">
            <v>8949806</v>
          </cell>
        </row>
        <row r="141">
          <cell r="D141" t="str">
            <v>13</v>
          </cell>
          <cell r="G141">
            <v>0</v>
          </cell>
        </row>
        <row r="142">
          <cell r="G142">
            <v>0</v>
          </cell>
        </row>
        <row r="143">
          <cell r="D143" t="str">
            <v>14</v>
          </cell>
          <cell r="G143">
            <v>-161148752</v>
          </cell>
        </row>
        <row r="144">
          <cell r="E144" t="str">
            <v>635, 335, 242</v>
          </cell>
          <cell r="F144" t="str">
            <v>11</v>
          </cell>
          <cell r="G144">
            <v>-161148752</v>
          </cell>
        </row>
        <row r="146">
          <cell r="D146" t="str">
            <v>15</v>
          </cell>
          <cell r="G146">
            <v>-252730366</v>
          </cell>
        </row>
        <row r="147">
          <cell r="E147" t="str">
            <v>3334</v>
          </cell>
          <cell r="F147" t="str">
            <v>11</v>
          </cell>
          <cell r="G147">
            <v>-252730366</v>
          </cell>
        </row>
        <row r="148">
          <cell r="D148" t="str">
            <v>16</v>
          </cell>
          <cell r="G148">
            <v>0</v>
          </cell>
        </row>
        <row r="149">
          <cell r="E149" t="str">
            <v>11</v>
          </cell>
          <cell r="F149" t="str">
            <v>461</v>
          </cell>
        </row>
        <row r="150">
          <cell r="E150" t="str">
            <v>11</v>
          </cell>
          <cell r="F150" t="str">
            <v>43</v>
          </cell>
        </row>
        <row r="151">
          <cell r="E151" t="str">
            <v>11</v>
          </cell>
          <cell r="F151" t="str">
            <v>xxx</v>
          </cell>
        </row>
        <row r="152">
          <cell r="E152" t="str">
            <v>11</v>
          </cell>
          <cell r="F152" t="str">
            <v>357</v>
          </cell>
        </row>
        <row r="153">
          <cell r="E153" t="str">
            <v>11</v>
          </cell>
          <cell r="F153" t="str">
            <v>357</v>
          </cell>
        </row>
        <row r="154">
          <cell r="E154" t="str">
            <v>11</v>
          </cell>
          <cell r="F154" t="str">
            <v>xxx</v>
          </cell>
        </row>
        <row r="155">
          <cell r="D155" t="str">
            <v>17</v>
          </cell>
          <cell r="G155">
            <v>-65218190</v>
          </cell>
        </row>
        <row r="156">
          <cell r="E156" t="str">
            <v>353</v>
          </cell>
          <cell r="F156" t="str">
            <v>11</v>
          </cell>
          <cell r="G156">
            <v>-65218190</v>
          </cell>
        </row>
        <row r="157">
          <cell r="E157" t="str">
            <v>356</v>
          </cell>
          <cell r="F157" t="str">
            <v>11</v>
          </cell>
        </row>
        <row r="158">
          <cell r="E158" t="str">
            <v>161</v>
          </cell>
          <cell r="F158" t="str">
            <v>11</v>
          </cell>
        </row>
        <row r="159">
          <cell r="E159" t="str">
            <v>xxx</v>
          </cell>
          <cell r="F159" t="str">
            <v>11</v>
          </cell>
        </row>
        <row r="160">
          <cell r="E160" t="str">
            <v>4xx</v>
          </cell>
          <cell r="F160" t="str">
            <v>11</v>
          </cell>
        </row>
        <row r="161">
          <cell r="E161" t="str">
            <v>46</v>
          </cell>
          <cell r="F161" t="str">
            <v>11</v>
          </cell>
        </row>
        <row r="162">
          <cell r="E162" t="str">
            <v>xxx</v>
          </cell>
          <cell r="F162" t="str">
            <v>11</v>
          </cell>
        </row>
        <row r="163">
          <cell r="D163" t="str">
            <v>20</v>
          </cell>
          <cell r="G163">
            <v>6138204610</v>
          </cell>
        </row>
        <row r="164">
          <cell r="D164" t="str">
            <v>C1</v>
          </cell>
          <cell r="E164" t="str">
            <v xml:space="preserve"> - Lập theo công thức bên Phương pháp trực tiếp</v>
          </cell>
        </row>
        <row r="166">
          <cell r="D166" t="str">
            <v>21</v>
          </cell>
          <cell r="G166">
            <v>-2681824389</v>
          </cell>
        </row>
        <row r="167">
          <cell r="E167" t="str">
            <v>211</v>
          </cell>
          <cell r="F167" t="str">
            <v>11</v>
          </cell>
          <cell r="G167">
            <v>-1022000000</v>
          </cell>
        </row>
        <row r="168">
          <cell r="E168" t="str">
            <v>213</v>
          </cell>
          <cell r="F168" t="str">
            <v>11</v>
          </cell>
          <cell r="G168">
            <v>0</v>
          </cell>
        </row>
        <row r="169">
          <cell r="E169" t="str">
            <v>217</v>
          </cell>
          <cell r="F169" t="str">
            <v>11</v>
          </cell>
          <cell r="G169">
            <v>0</v>
          </cell>
        </row>
        <row r="170">
          <cell r="E170" t="str">
            <v>1332</v>
          </cell>
          <cell r="F170" t="str">
            <v>11</v>
          </cell>
          <cell r="G170">
            <v>0</v>
          </cell>
        </row>
        <row r="171">
          <cell r="E171" t="str">
            <v>15*</v>
          </cell>
          <cell r="F171">
            <v>11</v>
          </cell>
          <cell r="G171">
            <v>0</v>
          </cell>
        </row>
        <row r="172">
          <cell r="E172" t="str">
            <v>331</v>
          </cell>
          <cell r="F172" t="str">
            <v>11</v>
          </cell>
          <cell r="G172">
            <v>-61600000</v>
          </cell>
        </row>
        <row r="173">
          <cell r="E173" t="str">
            <v>241</v>
          </cell>
          <cell r="F173" t="str">
            <v>11</v>
          </cell>
          <cell r="G173">
            <v>-1598224389</v>
          </cell>
        </row>
        <row r="174">
          <cell r="E174" t="str">
            <v>1332</v>
          </cell>
          <cell r="F174" t="str">
            <v>11</v>
          </cell>
          <cell r="G174">
            <v>0</v>
          </cell>
        </row>
        <row r="175">
          <cell r="F175" t="str">
            <v>11</v>
          </cell>
          <cell r="G175">
            <v>0</v>
          </cell>
        </row>
        <row r="176">
          <cell r="F176" t="str">
            <v>11</v>
          </cell>
          <cell r="G176">
            <v>0</v>
          </cell>
        </row>
        <row r="177">
          <cell r="E177" t="str">
            <v>241</v>
          </cell>
          <cell r="F177" t="str">
            <v>11</v>
          </cell>
          <cell r="G177">
            <v>0</v>
          </cell>
        </row>
        <row r="178">
          <cell r="D178" t="str">
            <v>22</v>
          </cell>
          <cell r="G178">
            <v>1919255008</v>
          </cell>
        </row>
        <row r="179">
          <cell r="G179">
            <v>1919255008</v>
          </cell>
        </row>
        <row r="180">
          <cell r="E180" t="str">
            <v>11</v>
          </cell>
          <cell r="F180" t="str">
            <v>711</v>
          </cell>
          <cell r="G180">
            <v>1919255008</v>
          </cell>
        </row>
        <row r="181">
          <cell r="E181" t="str">
            <v>11</v>
          </cell>
          <cell r="F181" t="str">
            <v>515</v>
          </cell>
        </row>
        <row r="182">
          <cell r="E182" t="str">
            <v>11</v>
          </cell>
          <cell r="F182" t="str">
            <v>33311</v>
          </cell>
        </row>
        <row r="183">
          <cell r="E183" t="str">
            <v>11</v>
          </cell>
          <cell r="F183" t="str">
            <v>131</v>
          </cell>
        </row>
        <row r="184">
          <cell r="E184" t="str">
            <v>11</v>
          </cell>
          <cell r="F184" t="str">
            <v>138</v>
          </cell>
        </row>
        <row r="185">
          <cell r="G185">
            <v>0</v>
          </cell>
        </row>
        <row r="186">
          <cell r="E186" t="str">
            <v>811</v>
          </cell>
          <cell r="F186" t="str">
            <v>11</v>
          </cell>
        </row>
        <row r="187">
          <cell r="E187">
            <v>6325</v>
          </cell>
          <cell r="F187" t="str">
            <v>11</v>
          </cell>
        </row>
        <row r="188">
          <cell r="E188" t="str">
            <v>13311</v>
          </cell>
          <cell r="F188" t="str">
            <v>11</v>
          </cell>
        </row>
        <row r="189">
          <cell r="E189" t="str">
            <v>331</v>
          </cell>
          <cell r="F189" t="str">
            <v>11</v>
          </cell>
        </row>
        <row r="190">
          <cell r="E190" t="str">
            <v>338</v>
          </cell>
          <cell r="F190" t="str">
            <v>11</v>
          </cell>
        </row>
        <row r="191">
          <cell r="D191" t="str">
            <v>23</v>
          </cell>
          <cell r="G191">
            <v>-24515802846</v>
          </cell>
        </row>
        <row r="192">
          <cell r="E192" t="str">
            <v>1281</v>
          </cell>
          <cell r="F192" t="str">
            <v>11</v>
          </cell>
          <cell r="G192">
            <v>-23815802846</v>
          </cell>
        </row>
        <row r="193">
          <cell r="E193" t="str">
            <v>171</v>
          </cell>
          <cell r="F193" t="str">
            <v>11</v>
          </cell>
          <cell r="G193">
            <v>0</v>
          </cell>
        </row>
        <row r="194">
          <cell r="E194" t="str">
            <v>1283</v>
          </cell>
          <cell r="F194" t="str">
            <v>11</v>
          </cell>
          <cell r="G194">
            <v>-700000000</v>
          </cell>
        </row>
        <row r="195">
          <cell r="E195" t="str">
            <v>128x</v>
          </cell>
          <cell r="F195" t="str">
            <v>11</v>
          </cell>
          <cell r="G195">
            <v>0</v>
          </cell>
        </row>
        <row r="196">
          <cell r="D196" t="str">
            <v>24</v>
          </cell>
          <cell r="G196">
            <v>18280100000</v>
          </cell>
        </row>
        <row r="197">
          <cell r="E197" t="str">
            <v>11</v>
          </cell>
          <cell r="F197" t="str">
            <v>1281</v>
          </cell>
          <cell r="G197">
            <v>18000000000</v>
          </cell>
        </row>
        <row r="198">
          <cell r="E198" t="str">
            <v>11</v>
          </cell>
          <cell r="F198" t="str">
            <v>171</v>
          </cell>
          <cell r="G198">
            <v>0</v>
          </cell>
        </row>
        <row r="199">
          <cell r="E199" t="str">
            <v>11</v>
          </cell>
          <cell r="F199" t="str">
            <v>1283</v>
          </cell>
          <cell r="G199">
            <v>225100000</v>
          </cell>
        </row>
        <row r="200">
          <cell r="E200" t="str">
            <v>11</v>
          </cell>
          <cell r="F200" t="str">
            <v>1283</v>
          </cell>
          <cell r="G200">
            <v>55000000</v>
          </cell>
        </row>
        <row r="201">
          <cell r="D201" t="str">
            <v>25</v>
          </cell>
          <cell r="G201">
            <v>0</v>
          </cell>
        </row>
        <row r="202">
          <cell r="E202" t="str">
            <v>221</v>
          </cell>
          <cell r="F202" t="str">
            <v>11</v>
          </cell>
        </row>
        <row r="203">
          <cell r="E203" t="str">
            <v>222</v>
          </cell>
          <cell r="F203" t="str">
            <v>11</v>
          </cell>
        </row>
        <row r="204">
          <cell r="E204" t="str">
            <v>2281</v>
          </cell>
          <cell r="F204" t="str">
            <v>11</v>
          </cell>
        </row>
        <row r="205">
          <cell r="E205" t="str">
            <v>331</v>
          </cell>
          <cell r="F205" t="str">
            <v>11</v>
          </cell>
        </row>
        <row r="206">
          <cell r="D206" t="str">
            <v>26</v>
          </cell>
          <cell r="G206">
            <v>0</v>
          </cell>
        </row>
        <row r="207">
          <cell r="E207" t="str">
            <v>11</v>
          </cell>
          <cell r="F207" t="str">
            <v>221</v>
          </cell>
        </row>
        <row r="208">
          <cell r="E208" t="str">
            <v>11</v>
          </cell>
          <cell r="F208" t="str">
            <v>222</v>
          </cell>
        </row>
        <row r="209">
          <cell r="E209" t="str">
            <v>11</v>
          </cell>
          <cell r="F209" t="str">
            <v>2281</v>
          </cell>
        </row>
        <row r="210">
          <cell r="E210" t="str">
            <v>11</v>
          </cell>
          <cell r="F210" t="str">
            <v>131</v>
          </cell>
        </row>
        <row r="211">
          <cell r="D211" t="str">
            <v>27</v>
          </cell>
          <cell r="G211">
            <v>2190815208</v>
          </cell>
        </row>
        <row r="212">
          <cell r="E212" t="str">
            <v>11</v>
          </cell>
          <cell r="F212" t="str">
            <v>515</v>
          </cell>
          <cell r="G212">
            <v>2190815208</v>
          </cell>
        </row>
        <row r="213">
          <cell r="E213" t="str">
            <v>11</v>
          </cell>
          <cell r="F213" t="str">
            <v>515</v>
          </cell>
        </row>
        <row r="214">
          <cell r="D214" t="str">
            <v>30</v>
          </cell>
          <cell r="G214">
            <v>-4807457019</v>
          </cell>
        </row>
        <row r="216">
          <cell r="D216" t="str">
            <v>31</v>
          </cell>
          <cell r="G216">
            <v>0</v>
          </cell>
        </row>
        <row r="217">
          <cell r="E217" t="str">
            <v>11</v>
          </cell>
          <cell r="F217" t="str">
            <v>411</v>
          </cell>
        </row>
        <row r="220">
          <cell r="D220" t="str">
            <v>32</v>
          </cell>
          <cell r="G220">
            <v>0</v>
          </cell>
        </row>
        <row r="221">
          <cell r="E221" t="str">
            <v>11</v>
          </cell>
          <cell r="F221" t="str">
            <v>411</v>
          </cell>
        </row>
        <row r="222">
          <cell r="E222" t="str">
            <v>11</v>
          </cell>
          <cell r="F222" t="str">
            <v>419</v>
          </cell>
        </row>
        <row r="224">
          <cell r="D224" t="str">
            <v>33</v>
          </cell>
          <cell r="G224">
            <v>2830656545</v>
          </cell>
        </row>
        <row r="225">
          <cell r="E225" t="str">
            <v>11</v>
          </cell>
          <cell r="F225" t="str">
            <v>3411</v>
          </cell>
          <cell r="G225">
            <v>0</v>
          </cell>
        </row>
        <row r="226">
          <cell r="E226" t="str">
            <v>331</v>
          </cell>
          <cell r="F226" t="str">
            <v>3411</v>
          </cell>
          <cell r="G226">
            <v>2830656545</v>
          </cell>
        </row>
        <row r="227">
          <cell r="E227" t="str">
            <v>338</v>
          </cell>
          <cell r="F227" t="str">
            <v>3411</v>
          </cell>
        </row>
        <row r="228">
          <cell r="E228" t="str">
            <v>11</v>
          </cell>
          <cell r="F228" t="str">
            <v>3431</v>
          </cell>
        </row>
        <row r="229">
          <cell r="E229" t="str">
            <v>11</v>
          </cell>
          <cell r="F229" t="str">
            <v>3432</v>
          </cell>
        </row>
        <row r="230">
          <cell r="E230" t="str">
            <v>11</v>
          </cell>
          <cell r="F230" t="str">
            <v>171</v>
          </cell>
        </row>
        <row r="231">
          <cell r="F231" t="str">
            <v>41112</v>
          </cell>
        </row>
        <row r="232">
          <cell r="D232" t="str">
            <v>34</v>
          </cell>
          <cell r="G232">
            <v>-4383180143</v>
          </cell>
        </row>
        <row r="233">
          <cell r="E233" t="str">
            <v>3411</v>
          </cell>
          <cell r="F233" t="str">
            <v>11</v>
          </cell>
          <cell r="G233">
            <v>-4383180143</v>
          </cell>
        </row>
        <row r="234">
          <cell r="E234" t="str">
            <v>3431</v>
          </cell>
          <cell r="F234" t="str">
            <v>11</v>
          </cell>
          <cell r="G234">
            <v>0</v>
          </cell>
        </row>
        <row r="235">
          <cell r="E235" t="str">
            <v>3432</v>
          </cell>
          <cell r="F235" t="str">
            <v>11</v>
          </cell>
        </row>
        <row r="236">
          <cell r="E236" t="str">
            <v>171</v>
          </cell>
          <cell r="F236" t="str">
            <v>11</v>
          </cell>
        </row>
        <row r="237">
          <cell r="E237" t="str">
            <v>41112</v>
          </cell>
        </row>
        <row r="238">
          <cell r="D238" t="str">
            <v>35</v>
          </cell>
          <cell r="G238">
            <v>0</v>
          </cell>
        </row>
        <row r="239">
          <cell r="E239" t="str">
            <v>3412</v>
          </cell>
          <cell r="F239" t="str">
            <v>11</v>
          </cell>
        </row>
        <row r="240">
          <cell r="D240" t="str">
            <v>36</v>
          </cell>
          <cell r="G240">
            <v>0</v>
          </cell>
        </row>
        <row r="241">
          <cell r="E241" t="str">
            <v>421</v>
          </cell>
          <cell r="F241" t="str">
            <v>11</v>
          </cell>
        </row>
        <row r="242">
          <cell r="E242" t="str">
            <v>338</v>
          </cell>
          <cell r="F242" t="str">
            <v>11</v>
          </cell>
        </row>
        <row r="243">
          <cell r="E243" t="str">
            <v>3335</v>
          </cell>
          <cell r="F243" t="str">
            <v>11</v>
          </cell>
        </row>
        <row r="244">
          <cell r="D244" t="str">
            <v>40</v>
          </cell>
          <cell r="G244">
            <v>-1552523598</v>
          </cell>
        </row>
        <row r="245">
          <cell r="D245" t="str">
            <v>50</v>
          </cell>
          <cell r="G245">
            <v>-221776007</v>
          </cell>
        </row>
        <row r="246">
          <cell r="D246" t="str">
            <v>60</v>
          </cell>
          <cell r="G246">
            <v>3971638435</v>
          </cell>
        </row>
        <row r="247">
          <cell r="D247" t="str">
            <v>61</v>
          </cell>
          <cell r="G247">
            <v>-155219</v>
          </cell>
        </row>
        <row r="248">
          <cell r="D248" t="str">
            <v>70</v>
          </cell>
          <cell r="G248">
            <v>3749707209</v>
          </cell>
        </row>
      </sheetData>
      <sheetData sheetId="55">
        <row r="86">
          <cell r="H86">
            <v>18490972</v>
          </cell>
        </row>
      </sheetData>
      <sheetData sheetId="56"/>
      <sheetData sheetId="57">
        <row r="41">
          <cell r="D41">
            <v>473059432.38</v>
          </cell>
        </row>
        <row r="42">
          <cell r="D42">
            <v>378447545.90400004</v>
          </cell>
        </row>
      </sheetData>
      <sheetData sheetId="58">
        <row r="9">
          <cell r="B9" t="str">
            <v>1111</v>
          </cell>
        </row>
      </sheetData>
      <sheetData sheetId="59">
        <row r="9">
          <cell r="B9" t="str">
            <v>111</v>
          </cell>
        </row>
      </sheetData>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hong_bao"/>
      <sheetName val="Muc_luc"/>
      <sheetName val="Thong_tin"/>
      <sheetName val="Danh_muc"/>
      <sheetName val="DM"/>
      <sheetName val="Dieu_chinh"/>
      <sheetName val="Chi_tiet"/>
      <sheetName val="Soat_xet"/>
      <sheetName val="Tong_hop"/>
      <sheetName val="LCBTCP"/>
      <sheetName val="KN_CPBQ"/>
      <sheetName val="KT_CPBQ"/>
      <sheetName val="Du_lieu"/>
      <sheetName val="CT_LCTT"/>
      <sheetName val="CT_LCGT"/>
      <sheetName val="QTTNDN"/>
      <sheetName val="BCKT"/>
      <sheetName val="Bao_cao"/>
      <sheetName val="Doi_chieu"/>
      <sheetName val="Thuyet_minh"/>
      <sheetName val="TM_TSCDHH"/>
      <sheetName val="TM_TSCDTTC"/>
      <sheetName val="TM_TSCDVH"/>
      <sheetName val="TM_VCSH"/>
      <sheetName val="Phan_tich"/>
      <sheetName val="Trong_yeu"/>
      <sheetName val="Phan_bo"/>
      <sheetName val="TM_ChenhLechTK"/>
      <sheetName val="TM_ChenhLechCT"/>
      <sheetName val="Huong_dan"/>
      <sheetName val="SILICATE"/>
      <sheetName val="Dchinh(chinhthuc)"/>
      <sheetName val="DM_Sheet"/>
      <sheetName val="BT CN"/>
      <sheetName val="BT DT-GV"/>
      <sheetName val="LN DT-GV"/>
      <sheetName val="LCTT NB"/>
      <sheetName val="TNDN"/>
      <sheetName val="Sai_sotKDC"/>
      <sheetName val="BiaBC"/>
      <sheetName val="BCBGD"/>
      <sheetName val="CDKT"/>
      <sheetName val="KQKD"/>
      <sheetName val="LCTT"/>
      <sheetName val="Test LCTT-TT"/>
      <sheetName val="LCGT"/>
      <sheetName val="Test LCTT-GT"/>
      <sheetName val="TMCT"/>
      <sheetName val="TM_BCBPKD"/>
      <sheetName val="TM_BCBPDL"/>
      <sheetName val="DSHN"/>
      <sheetName val="XD_BCKT"/>
      <sheetName val="BCKT-MS01"/>
      <sheetName val="BCKT-MS02"/>
      <sheetName val="BCKT-MS03"/>
      <sheetName val="BCKT-MS06"/>
      <sheetName val="BCKT-MS07"/>
      <sheetName val="BCKT-MS08"/>
      <sheetName val="BCKT-MS09"/>
      <sheetName val="BCKT-MS10"/>
      <sheetName val="BCKT-MS11"/>
      <sheetName val="BCKT-MS12"/>
      <sheetName val="LCTT(2)"/>
      <sheetName val="SoDKHN"/>
      <sheetName val="LCTT_TT"/>
      <sheetName val="LCTT-TT"/>
      <sheetName val="Test_LCTT"/>
      <sheetName val="LCTT (2)"/>
      <sheetName val="Gen"/>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9">
          <cell r="B9" t="str">
            <v>133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I1" t="str">
            <v>$F$9:$H$10</v>
          </cell>
        </row>
      </sheetData>
      <sheetData sheetId="28" refreshError="1"/>
      <sheetData sheetId="29" refreshError="1"/>
      <sheetData sheetId="30" refreshError="1"/>
      <sheetData sheetId="31" refreshError="1"/>
      <sheetData sheetId="32" refreshError="1"/>
      <sheetData sheetId="33">
        <row r="4">
          <cell r="A4" t="str">
            <v>Dk</v>
          </cell>
        </row>
      </sheetData>
      <sheetData sheetId="34"/>
      <sheetData sheetId="35"/>
      <sheetData sheetId="36">
        <row r="9">
          <cell r="B9" t="str">
            <v>133</v>
          </cell>
        </row>
      </sheetData>
      <sheetData sheetId="37"/>
      <sheetData sheetId="38"/>
      <sheetData sheetId="39">
        <row r="4">
          <cell r="A4" t="str">
            <v>Dk</v>
          </cell>
        </row>
      </sheetData>
      <sheetData sheetId="40"/>
      <sheetData sheetId="41"/>
      <sheetData sheetId="42">
        <row r="9">
          <cell r="B9" t="str">
            <v>133</v>
          </cell>
        </row>
      </sheetData>
      <sheetData sheetId="43">
        <row r="9">
          <cell r="B9" t="str">
            <v>133</v>
          </cell>
        </row>
      </sheetData>
      <sheetData sheetId="44"/>
      <sheetData sheetId="45">
        <row r="9">
          <cell r="B9" t="str">
            <v>133</v>
          </cell>
        </row>
      </sheetData>
      <sheetData sheetId="46">
        <row r="9">
          <cell r="B9" t="str">
            <v>133</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sheetName val="HD"/>
      <sheetName val="CTY"/>
      <sheetName val="CTY - Chi Gang - Cong bo t.tin"/>
    </sheetNames>
    <sheetDataSet>
      <sheetData sheetId="0" refreshError="1">
        <row r="12">
          <cell r="D12">
            <v>27500938756</v>
          </cell>
        </row>
        <row r="13">
          <cell r="D13">
            <v>0</v>
          </cell>
        </row>
        <row r="15">
          <cell r="D15">
            <v>22472440507</v>
          </cell>
        </row>
        <row r="17">
          <cell r="D17">
            <v>420964263</v>
          </cell>
        </row>
        <row r="18">
          <cell r="D18">
            <v>476383345</v>
          </cell>
        </row>
        <row r="19">
          <cell r="D19">
            <v>248355201</v>
          </cell>
        </row>
        <row r="20">
          <cell r="D20">
            <v>1156797359</v>
          </cell>
        </row>
        <row r="21">
          <cell r="D21">
            <v>3120841242</v>
          </cell>
        </row>
        <row r="23">
          <cell r="D23">
            <v>56646078</v>
          </cell>
        </row>
        <row r="24">
          <cell r="D24">
            <v>396997611</v>
          </cell>
        </row>
        <row r="27">
          <cell r="D27">
            <v>182023579</v>
          </cell>
        </row>
        <row r="28">
          <cell r="D28">
            <v>0</v>
          </cell>
        </row>
      </sheetData>
      <sheetData sheetId="1" refreshError="1">
        <row r="12">
          <cell r="D12">
            <v>17922189924</v>
          </cell>
        </row>
        <row r="13">
          <cell r="D13">
            <v>0</v>
          </cell>
        </row>
        <row r="15">
          <cell r="D15">
            <v>15709408221</v>
          </cell>
        </row>
        <row r="17">
          <cell r="D17">
            <v>84850522</v>
          </cell>
        </row>
        <row r="18">
          <cell r="D18">
            <v>66650110</v>
          </cell>
        </row>
        <row r="19">
          <cell r="D19">
            <v>66650110</v>
          </cell>
        </row>
        <row r="20">
          <cell r="D20">
            <v>748593824</v>
          </cell>
        </row>
        <row r="21">
          <cell r="D21">
            <v>1116898582</v>
          </cell>
        </row>
        <row r="23">
          <cell r="D23">
            <v>33401812</v>
          </cell>
        </row>
        <row r="24">
          <cell r="D24">
            <v>3395839</v>
          </cell>
        </row>
        <row r="27">
          <cell r="D27">
            <v>0</v>
          </cell>
        </row>
        <row r="28">
          <cell r="D28">
            <v>0</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i BC"/>
      <sheetName val="Menu"/>
      <sheetName val="DM_Sheet"/>
      <sheetName val="Thong_tin"/>
      <sheetName val="DM"/>
      <sheetName val="Dieu_chinh"/>
      <sheetName val="Chi_tiet"/>
      <sheetName val="Sai_sotKDC"/>
      <sheetName val="Soat_xet"/>
      <sheetName val="Danh_muc"/>
      <sheetName val="Tong_hop"/>
      <sheetName val="BiaBC"/>
      <sheetName val="BCBGD"/>
      <sheetName val="XD_BCKT"/>
      <sheetName val="Note Ykien"/>
      <sheetName val="BCKT-MS01"/>
      <sheetName val="BCKT-MS02"/>
      <sheetName val="BCKT-MS03"/>
      <sheetName val="BCKT-MS06"/>
      <sheetName val="BCKT-MS07"/>
      <sheetName val="BCKT-MS08"/>
      <sheetName val="BCKT-MS09"/>
      <sheetName val="BCKT-MS10"/>
      <sheetName val="BCKT-MS12"/>
      <sheetName val="CDKT"/>
      <sheetName val="KQKD"/>
      <sheetName val="LCTT"/>
      <sheetName val="LCGT"/>
      <sheetName val="Thuyet_minh"/>
      <sheetName val="CPYT"/>
      <sheetName val="CT_LCGT"/>
      <sheetName val="TM_NX"/>
      <sheetName val="TM_TSCDHH"/>
      <sheetName val="TM_VAY"/>
      <sheetName val="LCBTCP"/>
      <sheetName val="LSGTCP"/>
      <sheetName val="KN_CPBQ"/>
      <sheetName val="KT_CPBQ"/>
      <sheetName val="Du_lieu"/>
      <sheetName val="CT_LCTT"/>
      <sheetName val="Test_LCTT-TT"/>
      <sheetName val="TM_VCSH"/>
      <sheetName val="Test_LCTT-GT"/>
      <sheetName val="Nhat_LCTT"/>
      <sheetName val="QTTNDN"/>
      <sheetName val="Doi_chieu"/>
      <sheetName val="TM_DTTC"/>
      <sheetName val="TM_PTK-TST"/>
      <sheetName val="TM_HTK-TSDDDH"/>
      <sheetName val="TM_TSCDTTC"/>
      <sheetName val="TM_TSCDVH"/>
      <sheetName val="TM_PTNB"/>
      <sheetName val="TM_THUE"/>
      <sheetName val="TM_TP"/>
      <sheetName val="TM_CCTC"/>
      <sheetName val="TM_BCBPKD"/>
      <sheetName val="TM_BCBPDL"/>
      <sheetName val="Phan_tich"/>
      <sheetName val="Trong_yeu"/>
      <sheetName val="TM_ChenhLechTK"/>
      <sheetName val="TM_ChenhLechCT"/>
      <sheetName val="SoDKH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281">
          <cell r="V1281" t="str">
            <v>Tỷ lệ</v>
          </cell>
          <cell r="AG1281" t="str">
            <v>Tỷ lệ</v>
          </cell>
        </row>
        <row r="1282">
          <cell r="O1282" t="str">
            <v>VND</v>
          </cell>
          <cell r="V1282" t="str">
            <v>%</v>
          </cell>
          <cell r="Z1282" t="str">
            <v>VND</v>
          </cell>
          <cell r="AG1282" t="str">
            <v>%</v>
          </cell>
        </row>
        <row r="1284">
          <cell r="C1284" t="str">
            <v>Tổng Công ty Viglacera</v>
          </cell>
        </row>
        <row r="1285">
          <cell r="C1285" t="str">
            <v>Công ty Cổ phần  Chứng khoán Tân Việt</v>
          </cell>
        </row>
        <row r="1286">
          <cell r="C1286" t="str">
            <v>Ông Nguyễn Văn Cơ</v>
          </cell>
        </row>
        <row r="1287">
          <cell r="C1287" t="str">
            <v>America LLC</v>
          </cell>
        </row>
        <row r="1288">
          <cell r="C1288" t="str">
            <v>Các đối tượng khác</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10" Type="http://schemas.openxmlformats.org/officeDocument/2006/relationships/comments" Target="../comments1.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ntrol" Target="../activeX/activeX5.xml"/><Relationship Id="rId5" Type="http://schemas.openxmlformats.org/officeDocument/2006/relationships/image" Target="../media/image4.emf"/><Relationship Id="rId4" Type="http://schemas.openxmlformats.org/officeDocument/2006/relationships/control" Target="../activeX/activeX4.xml"/><Relationship Id="rId9" Type="http://schemas.openxmlformats.org/officeDocument/2006/relationships/image" Target="../media/image6.emf"/></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ntrol" Target="../activeX/activeX8.xml"/><Relationship Id="rId5" Type="http://schemas.openxmlformats.org/officeDocument/2006/relationships/image" Target="../media/image7.emf"/><Relationship Id="rId4" Type="http://schemas.openxmlformats.org/officeDocument/2006/relationships/control" Target="../activeX/activeX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image" Target="../media/image9.emf"/><Relationship Id="rId4" Type="http://schemas.openxmlformats.org/officeDocument/2006/relationships/control" Target="../activeX/activeX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mments" Target="../comments4.xml"/><Relationship Id="rId5" Type="http://schemas.openxmlformats.org/officeDocument/2006/relationships/image" Target="../media/image10.emf"/><Relationship Id="rId4" Type="http://schemas.openxmlformats.org/officeDocument/2006/relationships/control" Target="../activeX/activeX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filterMode="1">
    <tabColor indexed="11"/>
  </sheetPr>
  <dimension ref="A1:CA209"/>
  <sheetViews>
    <sheetView showZeros="0" view="pageLayout" topLeftCell="A128" zoomScaleNormal="90" zoomScaleSheetLayoutView="100" workbookViewId="0">
      <selection activeCell="V152" sqref="V152:AB152"/>
    </sheetView>
  </sheetViews>
  <sheetFormatPr defaultColWidth="2.5703125" defaultRowHeight="15" outlineLevelRow="1" outlineLevelCol="1" x14ac:dyDescent="0.25"/>
  <cols>
    <col min="1" max="1" width="5.42578125" style="136" customWidth="1" outlineLevel="1"/>
    <col min="2" max="3" width="2.28515625" style="141" customWidth="1" outlineLevel="1"/>
    <col min="4" max="16" width="2.28515625" style="136" customWidth="1" outlineLevel="1"/>
    <col min="17" max="17" width="1.140625" style="136" customWidth="1" outlineLevel="1"/>
    <col min="18" max="20" width="2.42578125" style="136" customWidth="1" outlineLevel="1"/>
    <col min="21" max="21" width="1.7109375" style="136" customWidth="1" outlineLevel="1"/>
    <col min="22" max="22" width="2.42578125" style="138" customWidth="1" outlineLevel="1"/>
    <col min="23" max="24" width="2.5703125" style="138" customWidth="1" outlineLevel="1"/>
    <col min="25" max="25" width="1.5703125" style="138" customWidth="1" outlineLevel="1"/>
    <col min="26" max="27" width="2.5703125" style="138" customWidth="1" outlineLevel="1"/>
    <col min="28" max="28" width="2.5703125" style="136" customWidth="1" outlineLevel="1"/>
    <col min="29" max="29" width="1.85546875" style="138" customWidth="1" outlineLevel="1"/>
    <col min="30" max="30" width="2.42578125" style="136" customWidth="1" outlineLevel="1"/>
    <col min="31" max="31" width="1.85546875" style="136" customWidth="1" outlineLevel="1"/>
    <col min="32" max="32" width="2.28515625" style="136" customWidth="1" outlineLevel="1"/>
    <col min="33" max="35" width="2.5703125" style="136" customWidth="1" outlineLevel="1"/>
    <col min="36" max="36" width="2.28515625" style="136" customWidth="1" outlineLevel="1"/>
    <col min="37" max="37" width="0.5703125" style="136" hidden="1" customWidth="1"/>
    <col min="38" max="38" width="5.42578125" style="139" hidden="1" customWidth="1" outlineLevel="1"/>
    <col min="39" max="40" width="2.28515625" style="141" hidden="1" customWidth="1" outlineLevel="1"/>
    <col min="41" max="54" width="2.28515625" style="136" hidden="1" customWidth="1" outlineLevel="1"/>
    <col min="55" max="57" width="2.42578125" style="136" hidden="1" customWidth="1" outlineLevel="1"/>
    <col min="58" max="58" width="2.28515625" style="136" hidden="1" customWidth="1" outlineLevel="1"/>
    <col min="59" max="59" width="2.42578125" style="138" hidden="1" customWidth="1" outlineLevel="1"/>
    <col min="60" max="64" width="2.5703125" style="138" hidden="1" customWidth="1" outlineLevel="1"/>
    <col min="65" max="65" width="2.5703125" style="136" hidden="1" customWidth="1" outlineLevel="1"/>
    <col min="66" max="66" width="2.5703125" style="138" hidden="1" customWidth="1" outlineLevel="1"/>
    <col min="67" max="67" width="2.42578125" style="136" hidden="1" customWidth="1" outlineLevel="1"/>
    <col min="68" max="73" width="2.5703125" style="136" hidden="1" customWidth="1" outlineLevel="1"/>
    <col min="74" max="74" width="0.5703125" style="136" hidden="1" customWidth="1" collapsed="1"/>
    <col min="75" max="75" width="1" style="114" hidden="1" customWidth="1"/>
    <col min="76" max="77" width="14.7109375" style="139" hidden="1" customWidth="1" outlineLevel="1"/>
    <col min="78" max="78" width="3.28515625" style="139" hidden="1" customWidth="1"/>
    <col min="79" max="79" width="14.7109375" style="140" customWidth="1"/>
    <col min="80" max="16384" width="2.5703125" style="139"/>
  </cols>
  <sheetData>
    <row r="1" spans="1:79" s="8" customFormat="1" ht="15" hidden="1" customHeight="1" outlineLevel="1" x14ac:dyDescent="0.25">
      <c r="A1" s="1" t="str">
        <f>Ten_DVCQ_V</f>
        <v>TỔNG CÔNG TY XYZ</v>
      </c>
      <c r="B1" s="1"/>
      <c r="C1" s="1"/>
      <c r="D1" s="1"/>
      <c r="E1" s="1"/>
      <c r="F1" s="1"/>
      <c r="G1" s="1"/>
      <c r="H1" s="2"/>
      <c r="I1" s="1"/>
      <c r="J1" s="1"/>
      <c r="K1" s="1"/>
      <c r="L1" s="1"/>
      <c r="M1" s="1"/>
      <c r="N1" s="1"/>
      <c r="O1" s="1"/>
      <c r="P1" s="1"/>
      <c r="Q1" s="1"/>
      <c r="R1" s="1"/>
      <c r="S1" s="1"/>
      <c r="T1" s="1"/>
      <c r="U1" s="1"/>
      <c r="V1" s="1"/>
      <c r="W1" s="1"/>
      <c r="X1" s="1"/>
      <c r="Y1" s="1"/>
      <c r="Z1" s="1"/>
      <c r="AA1" s="1"/>
      <c r="AB1" s="1"/>
      <c r="AC1" s="1"/>
      <c r="AD1" s="1"/>
      <c r="AE1" s="3"/>
      <c r="AF1" s="1"/>
      <c r="AG1" s="1"/>
      <c r="AH1" s="1"/>
      <c r="AI1" s="1"/>
      <c r="AJ1" s="4"/>
      <c r="AK1" s="4"/>
      <c r="AL1" s="5" t="str">
        <f>Ten_DVCQ_E</f>
        <v>XYZ CORPORATION</v>
      </c>
      <c r="AM1" s="5"/>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3"/>
      <c r="BQ1" s="1"/>
      <c r="BR1" s="1"/>
      <c r="BS1" s="1"/>
      <c r="BT1" s="1"/>
      <c r="BU1" s="4"/>
      <c r="BV1" s="6"/>
      <c r="BW1" s="7"/>
    </row>
    <row r="2" spans="1:79" s="8" customFormat="1" ht="15" customHeight="1" collapsed="1" x14ac:dyDescent="0.25">
      <c r="A2" s="9" t="str">
        <f>Ten_CongTy_TieuDe_V</f>
        <v>Công ty Cổ phần Viglacera Từ Sơn</v>
      </c>
      <c r="B2" s="9"/>
      <c r="C2" s="9"/>
      <c r="D2" s="9"/>
      <c r="E2" s="9"/>
      <c r="F2" s="9"/>
      <c r="G2" s="9"/>
      <c r="H2" s="10"/>
      <c r="I2" s="9"/>
      <c r="J2" s="9"/>
      <c r="K2" s="9"/>
      <c r="L2" s="9"/>
      <c r="M2" s="9"/>
      <c r="N2" s="9"/>
      <c r="O2" s="9"/>
      <c r="P2" s="9"/>
      <c r="Q2" s="9"/>
      <c r="R2" s="9"/>
      <c r="S2" s="9"/>
      <c r="T2" s="9"/>
      <c r="U2" s="9"/>
      <c r="V2" s="1"/>
      <c r="W2" s="1"/>
      <c r="X2" s="1"/>
      <c r="Y2" s="1"/>
      <c r="Z2" s="1"/>
      <c r="AA2" s="1"/>
      <c r="AB2" s="1"/>
      <c r="AC2" s="1"/>
      <c r="AD2" s="1"/>
      <c r="AE2" s="3"/>
      <c r="AF2" s="1"/>
      <c r="AG2" s="1"/>
      <c r="AH2" s="1"/>
      <c r="AI2" s="1"/>
      <c r="AJ2" s="11" t="str">
        <f>CONCATENATE(Loai_BC_V)</f>
        <v>Báo cáo tài chính</v>
      </c>
      <c r="AK2" s="11"/>
      <c r="AL2" s="12" t="str">
        <f>Ten_CongTy_TieuDe_E</f>
        <v>ABC Joint Stock Company</v>
      </c>
      <c r="AM2" s="12"/>
      <c r="AN2" s="9"/>
      <c r="AO2" s="9"/>
      <c r="AP2" s="9"/>
      <c r="AQ2" s="9"/>
      <c r="AR2" s="9"/>
      <c r="AS2" s="9"/>
      <c r="AT2" s="9"/>
      <c r="AU2" s="9"/>
      <c r="AV2" s="9"/>
      <c r="AW2" s="9"/>
      <c r="AX2" s="9"/>
      <c r="AY2" s="9"/>
      <c r="AZ2" s="9"/>
      <c r="BA2" s="9"/>
      <c r="BB2" s="9"/>
      <c r="BC2" s="9"/>
      <c r="BD2" s="9"/>
      <c r="BE2" s="9"/>
      <c r="BF2" s="9"/>
      <c r="BG2" s="1"/>
      <c r="BH2" s="1"/>
      <c r="BI2" s="1"/>
      <c r="BJ2" s="1"/>
      <c r="BK2" s="1"/>
      <c r="BL2" s="1"/>
      <c r="BM2" s="1"/>
      <c r="BN2" s="1"/>
      <c r="BO2" s="1"/>
      <c r="BP2" s="3"/>
      <c r="BQ2" s="1"/>
      <c r="BR2" s="1"/>
      <c r="BS2" s="1"/>
      <c r="BT2" s="1"/>
      <c r="BU2" s="11" t="str">
        <f>CONCATENATE(Loai_BC_E)</f>
        <v>Separate Financial Statements</v>
      </c>
      <c r="BV2" s="13"/>
      <c r="BW2" s="7"/>
      <c r="CA2" s="14"/>
    </row>
    <row r="3" spans="1:79" s="8" customFormat="1" ht="15" customHeight="1" x14ac:dyDescent="0.25">
      <c r="A3" s="1" t="str">
        <f>Dia_Chi_Congty_V</f>
        <v>Phường Đình Bảng - Thị xã Từ Sơn - Tỉnh Bắc Ninh</v>
      </c>
      <c r="B3" s="1"/>
      <c r="C3" s="9"/>
      <c r="D3" s="1"/>
      <c r="E3" s="1"/>
      <c r="F3" s="1"/>
      <c r="G3" s="1"/>
      <c r="H3" s="1"/>
      <c r="I3" s="1"/>
      <c r="J3" s="1"/>
      <c r="K3" s="1"/>
      <c r="L3" s="1"/>
      <c r="M3" s="1"/>
      <c r="N3" s="1"/>
      <c r="O3" s="1"/>
      <c r="P3" s="1"/>
      <c r="Q3" s="1"/>
      <c r="R3" s="1"/>
      <c r="S3" s="1"/>
      <c r="T3" s="1"/>
      <c r="U3" s="1"/>
      <c r="V3" s="1"/>
      <c r="W3" s="1"/>
      <c r="X3" s="1"/>
      <c r="Y3" s="1"/>
      <c r="Z3" s="1"/>
      <c r="AA3" s="1"/>
      <c r="AB3" s="1"/>
      <c r="AC3" s="1"/>
      <c r="AD3" s="1"/>
      <c r="AE3" s="3"/>
      <c r="AF3" s="1"/>
      <c r="AG3" s="1"/>
      <c r="AH3" s="1"/>
      <c r="AI3" s="1"/>
      <c r="AJ3" s="15" t="str">
        <f>Ky_ke_toan_V</f>
        <v>năm tài chính kết thúc ngày 31/12/2017</v>
      </c>
      <c r="AK3" s="4"/>
      <c r="AL3" s="5" t="str">
        <f>Dia_Chi_Congty_E</f>
        <v>Sai Dong - Long Bien - Hanoi</v>
      </c>
      <c r="AM3" s="5"/>
      <c r="AN3" s="9"/>
      <c r="AO3" s="1"/>
      <c r="AP3" s="1"/>
      <c r="AQ3" s="1"/>
      <c r="AR3" s="1"/>
      <c r="AS3" s="1"/>
      <c r="AT3" s="1"/>
      <c r="AU3" s="1"/>
      <c r="AV3" s="1"/>
      <c r="AW3" s="1"/>
      <c r="AX3" s="1"/>
      <c r="AY3" s="1"/>
      <c r="AZ3" s="1"/>
      <c r="BA3" s="1"/>
      <c r="BB3" s="1"/>
      <c r="BC3" s="1"/>
      <c r="BD3" s="1"/>
      <c r="BE3" s="1"/>
      <c r="BF3" s="1"/>
      <c r="BG3" s="1"/>
      <c r="BH3" s="1"/>
      <c r="BI3" s="1"/>
      <c r="BJ3" s="1"/>
      <c r="BK3" s="1"/>
      <c r="BL3" s="1"/>
      <c r="BM3" s="1"/>
      <c r="BN3" s="1"/>
      <c r="BO3" s="1"/>
      <c r="BP3" s="3"/>
      <c r="BQ3" s="1"/>
      <c r="BR3" s="1"/>
      <c r="BS3" s="1"/>
      <c r="BT3" s="1"/>
      <c r="BU3" s="15" t="str">
        <f>Ky_ke_toan_E</f>
        <v>for the fiscal year ended as at 31 December 2015</v>
      </c>
      <c r="BV3" s="6"/>
      <c r="BW3" s="16"/>
      <c r="CA3" s="14"/>
    </row>
    <row r="4" spans="1:79" s="8" customFormat="1" ht="0.95" customHeight="1" x14ac:dyDescent="0.25">
      <c r="A4" s="17"/>
      <c r="B4" s="18"/>
      <c r="C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9"/>
      <c r="AF4" s="17"/>
      <c r="AG4" s="17"/>
      <c r="AH4" s="17"/>
      <c r="AI4" s="17"/>
      <c r="AJ4" s="17"/>
      <c r="AK4" s="1"/>
      <c r="AL4" s="20"/>
      <c r="AM4" s="18"/>
      <c r="AN4" s="18"/>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9"/>
      <c r="BQ4" s="17"/>
      <c r="BR4" s="17"/>
      <c r="BS4" s="17"/>
      <c r="BT4" s="17"/>
      <c r="BU4" s="17"/>
      <c r="BV4" s="21"/>
      <c r="BW4" s="5"/>
      <c r="CA4" s="14"/>
    </row>
    <row r="5" spans="1:79" s="8" customFormat="1" ht="12.95" customHeight="1" x14ac:dyDescent="0.25">
      <c r="A5" s="21"/>
      <c r="B5" s="22"/>
      <c r="C5" s="22"/>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M5" s="22"/>
      <c r="AN5" s="22"/>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5">
        <v>1</v>
      </c>
      <c r="CA5" s="14"/>
    </row>
    <row r="6" spans="1:79" s="8" customFormat="1" ht="18.95" customHeight="1" x14ac:dyDescent="0.25">
      <c r="A6" s="1202" t="str">
        <f>CONCATENATE("BẢNG CÂN ĐỐI KẾ TOÁN",UPPER(Loai_Baocao))</f>
        <v>BẢNG CÂN ĐỐI KẾ TOÁN</v>
      </c>
      <c r="B6" s="1202"/>
      <c r="C6" s="1202"/>
      <c r="D6" s="1202"/>
      <c r="E6" s="1202"/>
      <c r="F6" s="1202"/>
      <c r="G6" s="1202"/>
      <c r="H6" s="1202"/>
      <c r="I6" s="1202"/>
      <c r="J6" s="1202"/>
      <c r="K6" s="1202"/>
      <c r="L6" s="1202"/>
      <c r="M6" s="1202"/>
      <c r="N6" s="1202"/>
      <c r="O6" s="1202"/>
      <c r="P6" s="1202"/>
      <c r="Q6" s="1202"/>
      <c r="R6" s="1202"/>
      <c r="S6" s="1202"/>
      <c r="T6" s="1202"/>
      <c r="U6" s="1202"/>
      <c r="V6" s="1202"/>
      <c r="W6" s="1202"/>
      <c r="X6" s="1202"/>
      <c r="Y6" s="1202"/>
      <c r="Z6" s="1202"/>
      <c r="AA6" s="1202"/>
      <c r="AB6" s="1202"/>
      <c r="AC6" s="1202"/>
      <c r="AD6" s="1202"/>
      <c r="AE6" s="1202"/>
      <c r="AF6" s="1202"/>
      <c r="AG6" s="1202"/>
      <c r="AH6" s="1202"/>
      <c r="AI6" s="1202"/>
      <c r="AJ6" s="1202"/>
      <c r="AK6" s="23"/>
      <c r="AL6" s="1202" t="s">
        <v>0</v>
      </c>
      <c r="AM6" s="1202"/>
      <c r="AN6" s="1202"/>
      <c r="AO6" s="1202"/>
      <c r="AP6" s="1202"/>
      <c r="AQ6" s="1202"/>
      <c r="AR6" s="1202"/>
      <c r="AS6" s="1202"/>
      <c r="AT6" s="1202"/>
      <c r="AU6" s="1202"/>
      <c r="AV6" s="1202"/>
      <c r="AW6" s="1202"/>
      <c r="AX6" s="1202"/>
      <c r="AY6" s="1202"/>
      <c r="AZ6" s="1202"/>
      <c r="BA6" s="1202"/>
      <c r="BB6" s="1202"/>
      <c r="BC6" s="1202"/>
      <c r="BD6" s="1202"/>
      <c r="BE6" s="1202"/>
      <c r="BF6" s="1202"/>
      <c r="BG6" s="1202"/>
      <c r="BH6" s="1202"/>
      <c r="BI6" s="1202"/>
      <c r="BJ6" s="1202"/>
      <c r="BK6" s="1202"/>
      <c r="BL6" s="1202"/>
      <c r="BM6" s="1202"/>
      <c r="BN6" s="1202"/>
      <c r="BO6" s="1202"/>
      <c r="BP6" s="1202"/>
      <c r="BQ6" s="1202"/>
      <c r="BR6" s="1202"/>
      <c r="BS6" s="1202"/>
      <c r="BT6" s="1202"/>
      <c r="BU6" s="1202"/>
      <c r="BV6" s="24"/>
      <c r="BW6" s="5">
        <v>1</v>
      </c>
      <c r="CA6" s="14"/>
    </row>
    <row r="7" spans="1:79" s="27" customFormat="1" ht="15" customHeight="1" x14ac:dyDescent="0.25">
      <c r="A7" s="1203" t="str">
        <f>TDe_Time_CDKT_V</f>
        <v>Tại ngày 31 tháng 12 năm 2017</v>
      </c>
      <c r="B7" s="1203"/>
      <c r="C7" s="1203"/>
      <c r="D7" s="1203"/>
      <c r="E7" s="1203"/>
      <c r="F7" s="1203"/>
      <c r="G7" s="1203"/>
      <c r="H7" s="1203"/>
      <c r="I7" s="1203"/>
      <c r="J7" s="1203"/>
      <c r="K7" s="1203"/>
      <c r="L7" s="1203"/>
      <c r="M7" s="1203"/>
      <c r="N7" s="1203"/>
      <c r="O7" s="1203"/>
      <c r="P7" s="1203"/>
      <c r="Q7" s="1203"/>
      <c r="R7" s="1203"/>
      <c r="S7" s="1203"/>
      <c r="T7" s="1203"/>
      <c r="U7" s="1203"/>
      <c r="V7" s="1203"/>
      <c r="W7" s="1203"/>
      <c r="X7" s="1203"/>
      <c r="Y7" s="1203"/>
      <c r="Z7" s="1203"/>
      <c r="AA7" s="1203"/>
      <c r="AB7" s="1203"/>
      <c r="AC7" s="1203"/>
      <c r="AD7" s="1203"/>
      <c r="AE7" s="1203"/>
      <c r="AF7" s="1203"/>
      <c r="AG7" s="1203"/>
      <c r="AH7" s="1203"/>
      <c r="AI7" s="1203"/>
      <c r="AJ7" s="1203"/>
      <c r="AK7" s="25"/>
      <c r="AL7" s="1203" t="str">
        <f>TDe_Time_CDKT_E</f>
        <v>As at 31 December 2015</v>
      </c>
      <c r="AM7" s="1203"/>
      <c r="AN7" s="1203"/>
      <c r="AO7" s="1203"/>
      <c r="AP7" s="1203"/>
      <c r="AQ7" s="1203"/>
      <c r="AR7" s="1203"/>
      <c r="AS7" s="1203"/>
      <c r="AT7" s="1203"/>
      <c r="AU7" s="1203"/>
      <c r="AV7" s="1203"/>
      <c r="AW7" s="1203"/>
      <c r="AX7" s="1203"/>
      <c r="AY7" s="1203"/>
      <c r="AZ7" s="1203"/>
      <c r="BA7" s="1203"/>
      <c r="BB7" s="1203"/>
      <c r="BC7" s="1203"/>
      <c r="BD7" s="1203"/>
      <c r="BE7" s="1203"/>
      <c r="BF7" s="1203"/>
      <c r="BG7" s="1203"/>
      <c r="BH7" s="1203"/>
      <c r="BI7" s="1203"/>
      <c r="BJ7" s="1203"/>
      <c r="BK7" s="1203"/>
      <c r="BL7" s="1203"/>
      <c r="BM7" s="1203"/>
      <c r="BN7" s="1203"/>
      <c r="BO7" s="1203"/>
      <c r="BP7" s="1203"/>
      <c r="BQ7" s="1203"/>
      <c r="BR7" s="1203"/>
      <c r="BS7" s="1203"/>
      <c r="BT7" s="1203"/>
      <c r="BU7" s="1203"/>
      <c r="BV7" s="26"/>
      <c r="BW7" s="5">
        <v>1</v>
      </c>
      <c r="CA7" s="28"/>
    </row>
    <row r="8" spans="1:79" s="27" customFormat="1" ht="15" hidden="1" customHeight="1" outlineLevel="1" x14ac:dyDescent="0.25">
      <c r="A8" s="29"/>
      <c r="B8" s="29"/>
      <c r="C8" s="29"/>
      <c r="D8" s="29"/>
      <c r="E8" s="30"/>
      <c r="F8" s="30"/>
      <c r="G8" s="30"/>
      <c r="H8" s="29"/>
      <c r="I8" s="29"/>
      <c r="J8" s="29"/>
      <c r="K8" s="29"/>
      <c r="L8" s="29"/>
      <c r="M8" s="29"/>
      <c r="N8" s="29"/>
      <c r="O8" s="29"/>
      <c r="P8" s="29"/>
      <c r="Q8" s="29"/>
      <c r="R8" s="29"/>
      <c r="S8" s="29"/>
      <c r="T8" s="29"/>
      <c r="U8" s="29"/>
      <c r="V8" s="1204" t="s">
        <v>1</v>
      </c>
      <c r="W8" s="1205"/>
      <c r="X8" s="1205"/>
      <c r="Y8" s="1205"/>
      <c r="Z8" s="1205"/>
      <c r="AA8" s="1205"/>
      <c r="AB8" s="1206"/>
      <c r="AC8" s="29"/>
      <c r="AD8" s="1204" t="s">
        <v>2</v>
      </c>
      <c r="AE8" s="1205"/>
      <c r="AF8" s="1205"/>
      <c r="AG8" s="1205"/>
      <c r="AH8" s="1205"/>
      <c r="AI8" s="1205"/>
      <c r="AJ8" s="1206"/>
      <c r="AK8" s="29"/>
      <c r="AL8" s="29"/>
      <c r="AM8" s="29"/>
      <c r="AN8" s="29"/>
      <c r="AO8" s="29"/>
      <c r="AP8" s="30"/>
      <c r="AQ8" s="30"/>
      <c r="AR8" s="30"/>
      <c r="AS8" s="29"/>
      <c r="AT8" s="29"/>
      <c r="AU8" s="29"/>
      <c r="AV8" s="29"/>
      <c r="AW8" s="29"/>
      <c r="AX8" s="29"/>
      <c r="AY8" s="29"/>
      <c r="AZ8" s="29"/>
      <c r="BA8" s="29"/>
      <c r="BB8" s="29"/>
      <c r="BC8" s="29"/>
      <c r="BD8" s="29"/>
      <c r="BE8" s="29"/>
      <c r="BF8" s="29"/>
      <c r="BG8" s="29"/>
      <c r="BH8" s="29"/>
      <c r="BI8" s="29"/>
      <c r="BJ8" s="29"/>
      <c r="BK8" s="29"/>
      <c r="BL8" s="29"/>
      <c r="BM8" s="29"/>
      <c r="BN8" s="29"/>
      <c r="BO8" s="29"/>
      <c r="BP8" s="31"/>
      <c r="BQ8" s="29"/>
      <c r="BR8" s="31"/>
      <c r="BS8" s="29"/>
      <c r="BT8" s="29"/>
      <c r="BU8" s="32"/>
      <c r="BV8" s="1"/>
      <c r="BW8" s="5">
        <v>0</v>
      </c>
      <c r="BX8" s="1208"/>
      <c r="BY8" s="1208"/>
    </row>
    <row r="9" spans="1:79" s="27" customFormat="1" ht="12.95" customHeight="1" collapsed="1" x14ac:dyDescent="0.25">
      <c r="A9" s="1"/>
      <c r="B9" s="1"/>
      <c r="C9" s="1"/>
      <c r="D9" s="1"/>
      <c r="E9" s="3"/>
      <c r="F9" s="3"/>
      <c r="G9" s="3"/>
      <c r="H9" s="1"/>
      <c r="I9" s="1"/>
      <c r="J9" s="1"/>
      <c r="K9" s="1"/>
      <c r="L9" s="1"/>
      <c r="M9" s="1"/>
      <c r="N9" s="1"/>
      <c r="O9" s="1"/>
      <c r="P9" s="1"/>
      <c r="Q9" s="1"/>
      <c r="R9" s="1"/>
      <c r="S9" s="1"/>
      <c r="T9" s="1"/>
      <c r="U9" s="1"/>
      <c r="V9" s="1"/>
      <c r="W9" s="1"/>
      <c r="X9" s="1"/>
      <c r="Y9" s="1"/>
      <c r="Z9" s="1"/>
      <c r="AA9" s="1"/>
      <c r="AC9" s="1"/>
      <c r="AD9" s="1"/>
      <c r="AE9" s="33"/>
      <c r="AF9" s="1"/>
      <c r="AG9" s="1"/>
      <c r="AH9" s="1"/>
      <c r="AI9" s="1"/>
      <c r="AJ9" s="34"/>
      <c r="AM9" s="1"/>
      <c r="AN9" s="1"/>
      <c r="AO9" s="1"/>
      <c r="AP9" s="3"/>
      <c r="AQ9" s="3"/>
      <c r="AR9" s="3"/>
      <c r="AS9" s="1"/>
      <c r="AT9" s="1"/>
      <c r="AU9" s="1"/>
      <c r="AV9" s="1"/>
      <c r="AW9" s="1"/>
      <c r="AX9" s="1"/>
      <c r="AY9" s="1"/>
      <c r="AZ9" s="1"/>
      <c r="BA9" s="1"/>
      <c r="BB9" s="1"/>
      <c r="BC9" s="1"/>
      <c r="BD9" s="1"/>
      <c r="BE9" s="1"/>
      <c r="BF9" s="1"/>
      <c r="BG9" s="1"/>
      <c r="BH9" s="1"/>
      <c r="BI9" s="1"/>
      <c r="BJ9" s="1"/>
      <c r="BK9" s="1"/>
      <c r="BL9" s="1"/>
      <c r="BM9" s="1"/>
      <c r="BN9" s="1"/>
      <c r="BO9" s="1"/>
      <c r="BP9" s="33"/>
      <c r="BQ9" s="1"/>
      <c r="BR9" s="33"/>
      <c r="BS9" s="1"/>
      <c r="BT9" s="1"/>
      <c r="BU9" s="35"/>
      <c r="BV9" s="1"/>
      <c r="BW9" s="5">
        <v>1</v>
      </c>
      <c r="BX9" s="1208" t="s">
        <v>3</v>
      </c>
      <c r="BY9" s="1208"/>
      <c r="CA9" s="28"/>
    </row>
    <row r="10" spans="1:79" s="27" customFormat="1" ht="15" customHeight="1" x14ac:dyDescent="0.2">
      <c r="A10" s="1209" t="s">
        <v>4</v>
      </c>
      <c r="B10" s="1210" t="s">
        <v>5</v>
      </c>
      <c r="C10" s="1210"/>
      <c r="D10" s="1210"/>
      <c r="E10" s="1210"/>
      <c r="F10" s="1210"/>
      <c r="G10" s="1210"/>
      <c r="H10" s="1210"/>
      <c r="I10" s="1210"/>
      <c r="J10" s="1210"/>
      <c r="K10" s="1210"/>
      <c r="L10" s="1210"/>
      <c r="M10" s="1210"/>
      <c r="N10" s="1210"/>
      <c r="O10" s="1210"/>
      <c r="P10" s="1210"/>
      <c r="Q10" s="1"/>
      <c r="R10" s="1211" t="s">
        <v>6</v>
      </c>
      <c r="S10" s="1211"/>
      <c r="T10" s="1211"/>
      <c r="U10" s="36"/>
      <c r="V10" s="1212" t="str">
        <f>Ky_Nay1_V</f>
        <v>31/12/2017</v>
      </c>
      <c r="W10" s="1212"/>
      <c r="X10" s="1212"/>
      <c r="Y10" s="1212"/>
      <c r="Z10" s="1212"/>
      <c r="AA10" s="1212"/>
      <c r="AB10" s="1212"/>
      <c r="AC10" s="37"/>
      <c r="AD10" s="1212" t="str">
        <f>Ky_Truoc1_V</f>
        <v>01/01/2017</v>
      </c>
      <c r="AE10" s="1212"/>
      <c r="AF10" s="1212"/>
      <c r="AG10" s="1212"/>
      <c r="AH10" s="1212"/>
      <c r="AI10" s="1212"/>
      <c r="AJ10" s="1212"/>
      <c r="AK10" s="38"/>
      <c r="AL10" s="1209" t="s">
        <v>7</v>
      </c>
      <c r="AM10" s="1210" t="s">
        <v>8</v>
      </c>
      <c r="AN10" s="1210"/>
      <c r="AO10" s="1210"/>
      <c r="AP10" s="1210"/>
      <c r="AQ10" s="1210"/>
      <c r="AR10" s="1210"/>
      <c r="AS10" s="1210"/>
      <c r="AT10" s="1210"/>
      <c r="AU10" s="1210"/>
      <c r="AV10" s="1210"/>
      <c r="AW10" s="1210"/>
      <c r="AX10" s="1210"/>
      <c r="AY10" s="1210"/>
      <c r="AZ10" s="1210"/>
      <c r="BA10" s="1210"/>
      <c r="BB10" s="1"/>
      <c r="BC10" s="1211" t="s">
        <v>9</v>
      </c>
      <c r="BD10" s="1211"/>
      <c r="BE10" s="1211"/>
      <c r="BF10" s="1"/>
      <c r="BG10" s="1212" t="str">
        <f>Ky_Nay1_E</f>
        <v>31/12/2017</v>
      </c>
      <c r="BH10" s="1212"/>
      <c r="BI10" s="1212"/>
      <c r="BJ10" s="1212"/>
      <c r="BK10" s="1212"/>
      <c r="BL10" s="1212"/>
      <c r="BM10" s="1212"/>
      <c r="BN10" s="37"/>
      <c r="BO10" s="1212" t="str">
        <f>Ky_Truoc1_E</f>
        <v>01/01/2017</v>
      </c>
      <c r="BP10" s="1212"/>
      <c r="BQ10" s="1212"/>
      <c r="BR10" s="1212"/>
      <c r="BS10" s="1212"/>
      <c r="BT10" s="1212"/>
      <c r="BU10" s="1212"/>
      <c r="BV10" s="39"/>
      <c r="BW10" s="40">
        <v>1</v>
      </c>
      <c r="BX10" s="41" t="str">
        <f>Ky_Nay1_V</f>
        <v>31/12/2017</v>
      </c>
      <c r="BY10" s="41" t="str">
        <f>Ky_Truoc1_V</f>
        <v>01/01/2017</v>
      </c>
      <c r="CA10" s="28"/>
    </row>
    <row r="11" spans="1:79" s="27" customFormat="1" ht="15" customHeight="1" x14ac:dyDescent="0.25">
      <c r="A11" s="1209"/>
      <c r="B11" s="1210"/>
      <c r="C11" s="1210"/>
      <c r="D11" s="1210"/>
      <c r="E11" s="1210"/>
      <c r="F11" s="1210"/>
      <c r="G11" s="1210"/>
      <c r="H11" s="1210"/>
      <c r="I11" s="1210"/>
      <c r="J11" s="1210"/>
      <c r="K11" s="1210"/>
      <c r="L11" s="1210"/>
      <c r="M11" s="1210"/>
      <c r="N11" s="1210"/>
      <c r="O11" s="1210"/>
      <c r="P11" s="1210"/>
      <c r="Q11" s="1"/>
      <c r="R11" s="1211"/>
      <c r="S11" s="1211"/>
      <c r="T11" s="1211"/>
      <c r="U11" s="36"/>
      <c r="V11" s="1217" t="str">
        <f>Don_Vi_Tinh_V</f>
        <v>VND</v>
      </c>
      <c r="W11" s="1217"/>
      <c r="X11" s="1217"/>
      <c r="Y11" s="1217"/>
      <c r="Z11" s="1217"/>
      <c r="AA11" s="1217"/>
      <c r="AB11" s="1217"/>
      <c r="AC11" s="42"/>
      <c r="AD11" s="1217" t="str">
        <f>Don_Vi_Tinh_V</f>
        <v>VND</v>
      </c>
      <c r="AE11" s="1217"/>
      <c r="AF11" s="1217"/>
      <c r="AG11" s="1217"/>
      <c r="AH11" s="1217"/>
      <c r="AI11" s="1217"/>
      <c r="AJ11" s="1217"/>
      <c r="AK11" s="4"/>
      <c r="AL11" s="1209"/>
      <c r="AM11" s="1210"/>
      <c r="AN11" s="1210"/>
      <c r="AO11" s="1210"/>
      <c r="AP11" s="1210"/>
      <c r="AQ11" s="1210"/>
      <c r="AR11" s="1210"/>
      <c r="AS11" s="1210"/>
      <c r="AT11" s="1210"/>
      <c r="AU11" s="1210"/>
      <c r="AV11" s="1210"/>
      <c r="AW11" s="1210"/>
      <c r="AX11" s="1210"/>
      <c r="AY11" s="1210"/>
      <c r="AZ11" s="1210"/>
      <c r="BA11" s="1210"/>
      <c r="BB11" s="1"/>
      <c r="BC11" s="1211"/>
      <c r="BD11" s="1211"/>
      <c r="BE11" s="1211"/>
      <c r="BF11" s="1"/>
      <c r="BG11" s="1218" t="str">
        <f>Don_Vi_Tinh_E</f>
        <v>VND</v>
      </c>
      <c r="BH11" s="1218"/>
      <c r="BI11" s="1218"/>
      <c r="BJ11" s="1218"/>
      <c r="BK11" s="1218"/>
      <c r="BL11" s="1218"/>
      <c r="BM11" s="1218"/>
      <c r="BN11" s="43"/>
      <c r="BO11" s="1218" t="str">
        <f>Don_Vi_Tinh_E</f>
        <v>VND</v>
      </c>
      <c r="BP11" s="1218"/>
      <c r="BQ11" s="1218"/>
      <c r="BR11" s="1218"/>
      <c r="BS11" s="1218"/>
      <c r="BT11" s="1218"/>
      <c r="BU11" s="1218"/>
      <c r="BV11" s="3"/>
      <c r="BW11" s="44">
        <v>1</v>
      </c>
      <c r="BX11" s="45">
        <f t="shared" ref="BX11:BX74" si="0">IF(ISNONTEXT(V11),V11-BG11,0)</f>
        <v>0</v>
      </c>
      <c r="BY11" s="45"/>
      <c r="CA11" s="28"/>
    </row>
    <row r="12" spans="1:79" s="27" customFormat="1" ht="14.1" customHeight="1" x14ac:dyDescent="0.25">
      <c r="A12" s="46"/>
      <c r="B12" s="1"/>
      <c r="C12" s="47"/>
      <c r="D12" s="47"/>
      <c r="E12" s="1"/>
      <c r="F12" s="3"/>
      <c r="G12" s="1"/>
      <c r="H12" s="1"/>
      <c r="I12" s="1"/>
      <c r="J12" s="1"/>
      <c r="K12" s="1"/>
      <c r="L12" s="1"/>
      <c r="M12" s="1"/>
      <c r="N12" s="1"/>
      <c r="O12" s="1"/>
      <c r="P12" s="1"/>
      <c r="Q12" s="1"/>
      <c r="R12" s="1213"/>
      <c r="S12" s="1213"/>
      <c r="T12" s="1213"/>
      <c r="U12" s="1"/>
      <c r="V12" s="1214"/>
      <c r="W12" s="1214"/>
      <c r="X12" s="1214"/>
      <c r="Y12" s="1214"/>
      <c r="Z12" s="1214"/>
      <c r="AA12" s="1214"/>
      <c r="AB12" s="1214"/>
      <c r="AC12" s="48"/>
      <c r="AD12" s="1214"/>
      <c r="AE12" s="1214"/>
      <c r="AF12" s="1214"/>
      <c r="AG12" s="1214"/>
      <c r="AH12" s="1214"/>
      <c r="AI12" s="1214"/>
      <c r="AJ12" s="1214"/>
      <c r="AK12" s="4"/>
      <c r="AL12" s="46">
        <f t="shared" ref="AL12:AL85" si="1">$A12</f>
        <v>0</v>
      </c>
      <c r="AM12" s="1"/>
      <c r="AN12" s="47"/>
      <c r="AO12" s="47"/>
      <c r="AP12" s="1"/>
      <c r="AQ12" s="3"/>
      <c r="AR12" s="1"/>
      <c r="AS12" s="1"/>
      <c r="AT12" s="1"/>
      <c r="AU12" s="1"/>
      <c r="AV12" s="1"/>
      <c r="AW12" s="1"/>
      <c r="AX12" s="1"/>
      <c r="AY12" s="1"/>
      <c r="AZ12" s="1"/>
      <c r="BA12" s="1"/>
      <c r="BB12" s="1"/>
      <c r="BC12" s="1215"/>
      <c r="BD12" s="1215"/>
      <c r="BE12" s="1215"/>
      <c r="BF12" s="1"/>
      <c r="BG12" s="1216"/>
      <c r="BH12" s="1216"/>
      <c r="BI12" s="1216"/>
      <c r="BJ12" s="1216"/>
      <c r="BK12" s="1216"/>
      <c r="BL12" s="1216"/>
      <c r="BM12" s="1216"/>
      <c r="BN12" s="49"/>
      <c r="BO12" s="1216"/>
      <c r="BP12" s="1216"/>
      <c r="BQ12" s="1216"/>
      <c r="BR12" s="1216"/>
      <c r="BS12" s="1216"/>
      <c r="BT12" s="1216"/>
      <c r="BU12" s="1216"/>
      <c r="BV12" s="3"/>
      <c r="BW12" s="44">
        <f>$BW$13</f>
        <v>1</v>
      </c>
      <c r="BX12" s="45">
        <f t="shared" si="0"/>
        <v>0</v>
      </c>
      <c r="BY12" s="45"/>
      <c r="CA12" s="28"/>
    </row>
    <row r="13" spans="1:79" s="27" customFormat="1" ht="15" customHeight="1" x14ac:dyDescent="0.25">
      <c r="A13" s="50" t="s">
        <v>10</v>
      </c>
      <c r="B13" s="12" t="s">
        <v>11</v>
      </c>
      <c r="C13" s="47"/>
      <c r="D13" s="47"/>
      <c r="E13" s="1"/>
      <c r="F13" s="3"/>
      <c r="G13" s="1"/>
      <c r="H13" s="1"/>
      <c r="I13" s="1"/>
      <c r="J13" s="1"/>
      <c r="K13" s="1"/>
      <c r="L13" s="1"/>
      <c r="M13" s="1"/>
      <c r="N13" s="1"/>
      <c r="O13" s="1"/>
      <c r="P13" s="1"/>
      <c r="Q13" s="1"/>
      <c r="R13" s="1213"/>
      <c r="S13" s="1213"/>
      <c r="T13" s="1213"/>
      <c r="U13" s="1"/>
      <c r="V13" s="1220">
        <f>SUBTOTAL(109,V14:AB44)</f>
        <v>43343205291</v>
      </c>
      <c r="W13" s="1220"/>
      <c r="X13" s="1220"/>
      <c r="Y13" s="1220"/>
      <c r="Z13" s="1220"/>
      <c r="AA13" s="1220"/>
      <c r="AB13" s="1220"/>
      <c r="AC13" s="51"/>
      <c r="AD13" s="1220">
        <f>SUBTOTAL(109,AD14:AJ44)</f>
        <v>38440069026</v>
      </c>
      <c r="AE13" s="1220"/>
      <c r="AF13" s="1220"/>
      <c r="AG13" s="1220"/>
      <c r="AH13" s="1220"/>
      <c r="AI13" s="1220"/>
      <c r="AJ13" s="1220"/>
      <c r="AK13" s="11"/>
      <c r="AL13" s="50" t="str">
        <f t="shared" si="1"/>
        <v>100</v>
      </c>
      <c r="AM13" s="12" t="s">
        <v>12</v>
      </c>
      <c r="AN13" s="47"/>
      <c r="AO13" s="47"/>
      <c r="AP13" s="1"/>
      <c r="AQ13" s="3"/>
      <c r="AR13" s="1"/>
      <c r="AS13" s="1"/>
      <c r="AT13" s="1"/>
      <c r="AU13" s="1"/>
      <c r="AV13" s="1"/>
      <c r="AW13" s="1"/>
      <c r="AX13" s="1"/>
      <c r="AY13" s="1"/>
      <c r="AZ13" s="1"/>
      <c r="BA13" s="1"/>
      <c r="BB13" s="1"/>
      <c r="BC13" s="1213">
        <f>R13</f>
        <v>0</v>
      </c>
      <c r="BD13" s="1213"/>
      <c r="BE13" s="1213"/>
      <c r="BF13" s="1"/>
      <c r="BG13" s="1220">
        <f>V13</f>
        <v>43343205291</v>
      </c>
      <c r="BH13" s="1220"/>
      <c r="BI13" s="1220"/>
      <c r="BJ13" s="1220"/>
      <c r="BK13" s="1220"/>
      <c r="BL13" s="1220"/>
      <c r="BM13" s="1220"/>
      <c r="BN13" s="51"/>
      <c r="BO13" s="1220">
        <f>AD13</f>
        <v>38440069026</v>
      </c>
      <c r="BP13" s="1220"/>
      <c r="BQ13" s="1220"/>
      <c r="BR13" s="1220"/>
      <c r="BS13" s="1220"/>
      <c r="BT13" s="1220"/>
      <c r="BU13" s="1220"/>
      <c r="BV13" s="3"/>
      <c r="BW13" s="44">
        <f>IF(ISTEXT(A13),IF(SUM(BW14:BW43)&gt;0,1,0),1)</f>
        <v>1</v>
      </c>
      <c r="BX13" s="45">
        <f t="shared" si="0"/>
        <v>0</v>
      </c>
      <c r="BY13" s="45">
        <f>IF(ISNONTEXT(AD13),AD13-BO13,0)</f>
        <v>0</v>
      </c>
      <c r="CA13" s="28"/>
    </row>
    <row r="14" spans="1:79" s="27" customFormat="1" ht="14.1" customHeight="1" x14ac:dyDescent="0.25">
      <c r="A14" s="52"/>
      <c r="B14" s="53"/>
      <c r="C14" s="47"/>
      <c r="D14" s="47"/>
      <c r="E14" s="1"/>
      <c r="F14" s="3"/>
      <c r="G14" s="1"/>
      <c r="H14" s="1"/>
      <c r="I14" s="1"/>
      <c r="J14" s="1"/>
      <c r="K14" s="1"/>
      <c r="L14" s="1"/>
      <c r="M14" s="1"/>
      <c r="N14" s="1"/>
      <c r="O14" s="1"/>
      <c r="P14" s="1"/>
      <c r="Q14" s="1"/>
      <c r="R14" s="1213"/>
      <c r="S14" s="1213"/>
      <c r="T14" s="1213"/>
      <c r="U14" s="1"/>
      <c r="V14" s="1219"/>
      <c r="W14" s="1219"/>
      <c r="X14" s="1219"/>
      <c r="Y14" s="1219"/>
      <c r="Z14" s="1219"/>
      <c r="AA14" s="1219"/>
      <c r="AB14" s="1219"/>
      <c r="AC14" s="51"/>
      <c r="AD14" s="1219"/>
      <c r="AE14" s="1219"/>
      <c r="AF14" s="1219"/>
      <c r="AG14" s="1219"/>
      <c r="AH14" s="1219"/>
      <c r="AI14" s="1219"/>
      <c r="AJ14" s="1219"/>
      <c r="AK14" s="4"/>
      <c r="AL14" s="52">
        <f t="shared" si="1"/>
        <v>0</v>
      </c>
      <c r="AM14" s="53"/>
      <c r="AN14" s="47"/>
      <c r="AO14" s="47"/>
      <c r="AP14" s="1"/>
      <c r="AQ14" s="3"/>
      <c r="AR14" s="1"/>
      <c r="AS14" s="1"/>
      <c r="AT14" s="1"/>
      <c r="AU14" s="1"/>
      <c r="AV14" s="1"/>
      <c r="AW14" s="1"/>
      <c r="AX14" s="1"/>
      <c r="AY14" s="1"/>
      <c r="AZ14" s="1"/>
      <c r="BA14" s="1"/>
      <c r="BB14" s="1"/>
      <c r="BC14" s="1213">
        <f t="shared" ref="BC14:BC84" si="2">R14</f>
        <v>0</v>
      </c>
      <c r="BD14" s="1213"/>
      <c r="BE14" s="1213"/>
      <c r="BF14" s="1"/>
      <c r="BG14" s="1219"/>
      <c r="BH14" s="1219"/>
      <c r="BI14" s="1219"/>
      <c r="BJ14" s="1219"/>
      <c r="BK14" s="1219"/>
      <c r="BL14" s="1219"/>
      <c r="BM14" s="1219"/>
      <c r="BN14" s="51"/>
      <c r="BO14" s="1219"/>
      <c r="BP14" s="1219"/>
      <c r="BQ14" s="1219"/>
      <c r="BR14" s="1219"/>
      <c r="BS14" s="1219"/>
      <c r="BT14" s="1219"/>
      <c r="BU14" s="1219"/>
      <c r="BV14" s="3"/>
      <c r="BW14" s="44">
        <f>$BW$15</f>
        <v>1</v>
      </c>
      <c r="BX14" s="45">
        <f t="shared" si="0"/>
        <v>0</v>
      </c>
      <c r="BY14" s="45">
        <f t="shared" ref="BY14:BY84" si="3">IF(ISNONTEXT(AD14),AD14-BO14,0)</f>
        <v>0</v>
      </c>
      <c r="CA14" s="28"/>
    </row>
    <row r="15" spans="1:79" s="27" customFormat="1" ht="15" customHeight="1" x14ac:dyDescent="0.25">
      <c r="A15" s="50" t="s">
        <v>13</v>
      </c>
      <c r="B15" s="55" t="s">
        <v>14</v>
      </c>
      <c r="C15" s="47"/>
      <c r="D15" s="47"/>
      <c r="E15" s="1"/>
      <c r="F15" s="3"/>
      <c r="G15" s="1"/>
      <c r="H15" s="1"/>
      <c r="I15" s="1"/>
      <c r="J15" s="1"/>
      <c r="K15" s="1"/>
      <c r="L15" s="1"/>
      <c r="M15" s="1"/>
      <c r="N15" s="1"/>
      <c r="O15" s="1"/>
      <c r="P15" s="1"/>
      <c r="Q15" s="1"/>
      <c r="R15" s="1222">
        <f>IF(STT_Tien1&lt;&gt;0,STT_Tien,"")</f>
        <v>3</v>
      </c>
      <c r="S15" s="1222"/>
      <c r="T15" s="1222"/>
      <c r="U15" s="1"/>
      <c r="V15" s="1220">
        <f>SUBTOTAL(109,V16:AB18)</f>
        <v>3749707209</v>
      </c>
      <c r="W15" s="1220"/>
      <c r="X15" s="1220"/>
      <c r="Y15" s="1220"/>
      <c r="Z15" s="1220"/>
      <c r="AA15" s="1220"/>
      <c r="AB15" s="1220"/>
      <c r="AC15" s="51"/>
      <c r="AD15" s="1220">
        <f>SUBTOTAL(109,AD16:AJ18)</f>
        <v>3971638435</v>
      </c>
      <c r="AE15" s="1220"/>
      <c r="AF15" s="1220"/>
      <c r="AG15" s="1220"/>
      <c r="AH15" s="1220"/>
      <c r="AI15" s="1220"/>
      <c r="AJ15" s="1220"/>
      <c r="AK15" s="11"/>
      <c r="AL15" s="50" t="str">
        <f t="shared" si="1"/>
        <v>110</v>
      </c>
      <c r="AM15" s="55" t="s">
        <v>15</v>
      </c>
      <c r="AN15" s="47"/>
      <c r="AO15" s="47"/>
      <c r="AP15" s="1"/>
      <c r="AQ15" s="3"/>
      <c r="AR15" s="1"/>
      <c r="AS15" s="1"/>
      <c r="AT15" s="1"/>
      <c r="AU15" s="1"/>
      <c r="AV15" s="1"/>
      <c r="AW15" s="1"/>
      <c r="AX15" s="1"/>
      <c r="AY15" s="1"/>
      <c r="AZ15" s="1"/>
      <c r="BA15" s="1"/>
      <c r="BB15" s="1"/>
      <c r="BC15" s="1222">
        <f>R15</f>
        <v>3</v>
      </c>
      <c r="BD15" s="1222"/>
      <c r="BE15" s="1222"/>
      <c r="BF15" s="1"/>
      <c r="BG15" s="1220">
        <f>V15</f>
        <v>3749707209</v>
      </c>
      <c r="BH15" s="1220"/>
      <c r="BI15" s="1220"/>
      <c r="BJ15" s="1220"/>
      <c r="BK15" s="1220"/>
      <c r="BL15" s="1220"/>
      <c r="BM15" s="1220"/>
      <c r="BN15" s="51"/>
      <c r="BO15" s="1220">
        <f>AD15</f>
        <v>3971638435</v>
      </c>
      <c r="BP15" s="1220"/>
      <c r="BQ15" s="1220"/>
      <c r="BR15" s="1220"/>
      <c r="BS15" s="1220"/>
      <c r="BT15" s="1220"/>
      <c r="BU15" s="1220"/>
      <c r="BV15" s="3"/>
      <c r="BW15" s="44">
        <f>IF(ISTEXT(A15),IF(SUM(BW16:BW17)&gt;0,1,0),1)</f>
        <v>1</v>
      </c>
      <c r="BX15" s="45">
        <f t="shared" si="0"/>
        <v>0</v>
      </c>
      <c r="BY15" s="45">
        <f t="shared" si="3"/>
        <v>0</v>
      </c>
      <c r="CA15" s="28"/>
    </row>
    <row r="16" spans="1:79" s="27" customFormat="1" ht="14.1" customHeight="1" x14ac:dyDescent="0.25">
      <c r="A16" s="52" t="s">
        <v>16</v>
      </c>
      <c r="B16" s="56" t="str">
        <f>SUBTOTAL(109,$BW$16:BW16)&amp;". Tiền"</f>
        <v>1. Tiền</v>
      </c>
      <c r="C16" s="47"/>
      <c r="D16" s="47"/>
      <c r="E16" s="1"/>
      <c r="F16" s="56"/>
      <c r="G16" s="1"/>
      <c r="H16" s="1"/>
      <c r="I16" s="1"/>
      <c r="J16" s="1"/>
      <c r="K16" s="1"/>
      <c r="L16" s="1"/>
      <c r="M16" s="1"/>
      <c r="N16" s="1"/>
      <c r="O16" s="1"/>
      <c r="P16" s="1"/>
      <c r="Q16" s="1"/>
      <c r="R16" s="1213"/>
      <c r="S16" s="1213"/>
      <c r="T16" s="1213"/>
      <c r="U16" s="1"/>
      <c r="V16" s="1219">
        <v>1749707209</v>
      </c>
      <c r="W16" s="1219"/>
      <c r="X16" s="1219"/>
      <c r="Y16" s="1219"/>
      <c r="Z16" s="1219"/>
      <c r="AA16" s="1219"/>
      <c r="AB16" s="1219"/>
      <c r="AC16" s="51"/>
      <c r="AD16" s="1219">
        <v>971638435</v>
      </c>
      <c r="AE16" s="1219"/>
      <c r="AF16" s="1219"/>
      <c r="AG16" s="1219"/>
      <c r="AH16" s="1219"/>
      <c r="AI16" s="1219"/>
      <c r="AJ16" s="1219"/>
      <c r="AK16" s="4"/>
      <c r="AL16" s="52" t="str">
        <f t="shared" si="1"/>
        <v>111</v>
      </c>
      <c r="AM16" s="56" t="str">
        <f>SUBTOTAL(109,$BW$16:BW16)&amp;". Cash"</f>
        <v>1. Cash</v>
      </c>
      <c r="AN16" s="47"/>
      <c r="AO16" s="47"/>
      <c r="AP16" s="1"/>
      <c r="AQ16" s="3"/>
      <c r="AR16" s="1"/>
      <c r="AS16" s="1"/>
      <c r="AT16" s="1"/>
      <c r="AU16" s="1"/>
      <c r="AV16" s="1"/>
      <c r="AW16" s="1"/>
      <c r="AX16" s="1"/>
      <c r="AY16" s="1"/>
      <c r="AZ16" s="1"/>
      <c r="BA16" s="1"/>
      <c r="BB16" s="1"/>
      <c r="BC16" s="1221">
        <f t="shared" si="2"/>
        <v>0</v>
      </c>
      <c r="BD16" s="1221"/>
      <c r="BE16" s="1221"/>
      <c r="BF16" s="1"/>
      <c r="BG16" s="1219">
        <f>V16</f>
        <v>1749707209</v>
      </c>
      <c r="BH16" s="1219"/>
      <c r="BI16" s="1219"/>
      <c r="BJ16" s="1219"/>
      <c r="BK16" s="1219"/>
      <c r="BL16" s="1219"/>
      <c r="BM16" s="1219"/>
      <c r="BN16" s="51"/>
      <c r="BO16" s="1219">
        <f>AD16</f>
        <v>971638435</v>
      </c>
      <c r="BP16" s="1219"/>
      <c r="BQ16" s="1219"/>
      <c r="BR16" s="1219"/>
      <c r="BS16" s="1219"/>
      <c r="BT16" s="1219"/>
      <c r="BU16" s="1219"/>
      <c r="BV16" s="3"/>
      <c r="BW16" s="44">
        <f t="shared" ref="BW16:BW83" si="4">IF(ISTEXT(A16),IF(OR(SUM(V16:AB16)&lt;&gt;0,SUM(AD16:AJ16)&lt;&gt;0),1,0),1)</f>
        <v>1</v>
      </c>
      <c r="BX16" s="45">
        <f t="shared" si="0"/>
        <v>0</v>
      </c>
      <c r="BY16" s="45">
        <f t="shared" si="3"/>
        <v>0</v>
      </c>
      <c r="CA16" s="28"/>
    </row>
    <row r="17" spans="1:79" s="27" customFormat="1" ht="14.1" customHeight="1" x14ac:dyDescent="0.25">
      <c r="A17" s="52" t="s">
        <v>17</v>
      </c>
      <c r="B17" s="56" t="str">
        <f>SUBTOTAL(109,$BW$16:BW17)&amp;". Các khoản tương đương tiền"</f>
        <v>2. Các khoản tương đương tiền</v>
      </c>
      <c r="C17" s="47"/>
      <c r="D17" s="47"/>
      <c r="E17" s="1"/>
      <c r="F17" s="56"/>
      <c r="G17" s="1"/>
      <c r="H17" s="1"/>
      <c r="I17" s="1"/>
      <c r="J17" s="1"/>
      <c r="K17" s="1"/>
      <c r="L17" s="1"/>
      <c r="M17" s="1"/>
      <c r="N17" s="1"/>
      <c r="O17" s="1"/>
      <c r="P17" s="1"/>
      <c r="Q17" s="1"/>
      <c r="R17" s="1221"/>
      <c r="S17" s="1221"/>
      <c r="T17" s="1221"/>
      <c r="U17" s="1"/>
      <c r="V17" s="1219">
        <v>2000000000</v>
      </c>
      <c r="W17" s="1219"/>
      <c r="X17" s="1219"/>
      <c r="Y17" s="1219"/>
      <c r="Z17" s="1219"/>
      <c r="AA17" s="1219"/>
      <c r="AB17" s="1219"/>
      <c r="AC17" s="51"/>
      <c r="AD17" s="1219">
        <v>3000000000</v>
      </c>
      <c r="AE17" s="1219"/>
      <c r="AF17" s="1219"/>
      <c r="AG17" s="1219"/>
      <c r="AH17" s="1219"/>
      <c r="AI17" s="1219"/>
      <c r="AJ17" s="1219"/>
      <c r="AK17" s="4"/>
      <c r="AL17" s="52" t="str">
        <f t="shared" si="1"/>
        <v>112</v>
      </c>
      <c r="AM17" s="56" t="str">
        <f>SUBTOTAL(109,$BW$16:BW17)&amp;". Cash equivalents"</f>
        <v>2. Cash equivalents</v>
      </c>
      <c r="AN17" s="47"/>
      <c r="AO17" s="47"/>
      <c r="AP17" s="1"/>
      <c r="AQ17" s="3"/>
      <c r="AR17" s="1"/>
      <c r="AS17" s="1"/>
      <c r="AT17" s="1"/>
      <c r="AU17" s="1"/>
      <c r="AV17" s="1"/>
      <c r="AW17" s="1"/>
      <c r="AX17" s="1"/>
      <c r="AY17" s="1"/>
      <c r="AZ17" s="1"/>
      <c r="BA17" s="1"/>
      <c r="BB17" s="1"/>
      <c r="BC17" s="1221">
        <f t="shared" si="2"/>
        <v>0</v>
      </c>
      <c r="BD17" s="1221"/>
      <c r="BE17" s="1221"/>
      <c r="BF17" s="1"/>
      <c r="BG17" s="1219">
        <f>V17</f>
        <v>2000000000</v>
      </c>
      <c r="BH17" s="1219"/>
      <c r="BI17" s="1219"/>
      <c r="BJ17" s="1219"/>
      <c r="BK17" s="1219"/>
      <c r="BL17" s="1219"/>
      <c r="BM17" s="1219"/>
      <c r="BN17" s="51"/>
      <c r="BO17" s="1219">
        <f>AD17</f>
        <v>3000000000</v>
      </c>
      <c r="BP17" s="1219"/>
      <c r="BQ17" s="1219"/>
      <c r="BR17" s="1219"/>
      <c r="BS17" s="1219"/>
      <c r="BT17" s="1219"/>
      <c r="BU17" s="1219"/>
      <c r="BV17" s="3"/>
      <c r="BW17" s="44">
        <f t="shared" si="4"/>
        <v>1</v>
      </c>
      <c r="BX17" s="45">
        <f t="shared" si="0"/>
        <v>0</v>
      </c>
      <c r="BY17" s="45">
        <f t="shared" si="3"/>
        <v>0</v>
      </c>
      <c r="CA17" s="28"/>
    </row>
    <row r="18" spans="1:79" s="27" customFormat="1" ht="14.1" customHeight="1" x14ac:dyDescent="0.25">
      <c r="A18" s="52"/>
      <c r="B18" s="53"/>
      <c r="C18" s="47"/>
      <c r="D18" s="47"/>
      <c r="E18" s="1"/>
      <c r="F18" s="3"/>
      <c r="G18" s="1"/>
      <c r="H18" s="1"/>
      <c r="I18" s="1"/>
      <c r="J18" s="1"/>
      <c r="K18" s="1"/>
      <c r="L18" s="1"/>
      <c r="M18" s="1"/>
      <c r="N18" s="1"/>
      <c r="O18" s="1"/>
      <c r="P18" s="1"/>
      <c r="Q18" s="1"/>
      <c r="R18" s="1213"/>
      <c r="S18" s="1213"/>
      <c r="T18" s="1213"/>
      <c r="U18" s="1"/>
      <c r="V18" s="1219"/>
      <c r="W18" s="1219"/>
      <c r="X18" s="1219"/>
      <c r="Y18" s="1219"/>
      <c r="Z18" s="1219"/>
      <c r="AA18" s="1219"/>
      <c r="AB18" s="1219"/>
      <c r="AC18" s="51"/>
      <c r="AD18" s="1219"/>
      <c r="AE18" s="1219"/>
      <c r="AF18" s="1219"/>
      <c r="AG18" s="1219"/>
      <c r="AH18" s="1219"/>
      <c r="AI18" s="1219"/>
      <c r="AJ18" s="1219"/>
      <c r="AK18" s="4"/>
      <c r="AL18" s="52">
        <f t="shared" si="1"/>
        <v>0</v>
      </c>
      <c r="AM18" s="53"/>
      <c r="AN18" s="47"/>
      <c r="AO18" s="47"/>
      <c r="AP18" s="1"/>
      <c r="AQ18" s="3"/>
      <c r="AR18" s="1"/>
      <c r="AS18" s="1"/>
      <c r="AT18" s="1"/>
      <c r="AU18" s="1"/>
      <c r="AV18" s="1"/>
      <c r="AW18" s="1"/>
      <c r="AX18" s="1"/>
      <c r="AY18" s="1"/>
      <c r="AZ18" s="1"/>
      <c r="BA18" s="1"/>
      <c r="BB18" s="1"/>
      <c r="BC18" s="1213">
        <f t="shared" si="2"/>
        <v>0</v>
      </c>
      <c r="BD18" s="1213"/>
      <c r="BE18" s="1213"/>
      <c r="BF18" s="1"/>
      <c r="BG18" s="1219"/>
      <c r="BH18" s="1219"/>
      <c r="BI18" s="1219"/>
      <c r="BJ18" s="1219"/>
      <c r="BK18" s="1219"/>
      <c r="BL18" s="1219"/>
      <c r="BM18" s="1219"/>
      <c r="BN18" s="51"/>
      <c r="BO18" s="1219"/>
      <c r="BP18" s="1219"/>
      <c r="BQ18" s="1219"/>
      <c r="BR18" s="1219"/>
      <c r="BS18" s="1219"/>
      <c r="BT18" s="1219"/>
      <c r="BU18" s="1219"/>
      <c r="BV18" s="3"/>
      <c r="BW18" s="44">
        <f>$BW$19</f>
        <v>1</v>
      </c>
      <c r="BX18" s="45">
        <f t="shared" si="0"/>
        <v>0</v>
      </c>
      <c r="BY18" s="45">
        <f t="shared" si="3"/>
        <v>0</v>
      </c>
      <c r="CA18" s="28"/>
    </row>
    <row r="19" spans="1:79" s="27" customFormat="1" ht="15" customHeight="1" x14ac:dyDescent="0.25">
      <c r="A19" s="50" t="s">
        <v>18</v>
      </c>
      <c r="B19" s="55" t="s">
        <v>19</v>
      </c>
      <c r="C19" s="47"/>
      <c r="D19" s="47"/>
      <c r="E19" s="1"/>
      <c r="F19" s="3"/>
      <c r="G19" s="1"/>
      <c r="H19" s="1"/>
      <c r="I19" s="1"/>
      <c r="J19" s="1"/>
      <c r="K19" s="1"/>
      <c r="L19" s="1"/>
      <c r="M19" s="1"/>
      <c r="N19" s="1"/>
      <c r="O19" s="1"/>
      <c r="P19" s="1"/>
      <c r="Q19" s="1"/>
      <c r="R19" s="1223">
        <f>IF(STT_CKDTTaiChinh1&lt;&gt;0,STT_CKDTTaiChinh,"")</f>
        <v>4</v>
      </c>
      <c r="S19" s="1223"/>
      <c r="T19" s="1223"/>
      <c r="U19" s="1"/>
      <c r="V19" s="1220">
        <f>SUBTOTAL(109,V20:AB23)</f>
        <v>25815802846</v>
      </c>
      <c r="W19" s="1220"/>
      <c r="X19" s="1220"/>
      <c r="Y19" s="1220"/>
      <c r="Z19" s="1220"/>
      <c r="AA19" s="1220"/>
      <c r="AB19" s="1220"/>
      <c r="AC19" s="51"/>
      <c r="AD19" s="1220">
        <f>SUBTOTAL(109,AD20:AJ23)</f>
        <v>20000000000</v>
      </c>
      <c r="AE19" s="1220"/>
      <c r="AF19" s="1220"/>
      <c r="AG19" s="1220"/>
      <c r="AH19" s="1220"/>
      <c r="AI19" s="1220"/>
      <c r="AJ19" s="1220"/>
      <c r="AK19" s="11"/>
      <c r="AL19" s="50" t="str">
        <f t="shared" si="1"/>
        <v>120</v>
      </c>
      <c r="AM19" s="55" t="s">
        <v>20</v>
      </c>
      <c r="AN19" s="47"/>
      <c r="AO19" s="47"/>
      <c r="AP19" s="1"/>
      <c r="AQ19" s="3"/>
      <c r="AR19" s="1"/>
      <c r="AS19" s="1"/>
      <c r="AT19" s="1"/>
      <c r="AU19" s="1"/>
      <c r="AV19" s="1"/>
      <c r="AW19" s="1"/>
      <c r="AX19" s="1"/>
      <c r="AY19" s="1"/>
      <c r="AZ19" s="1"/>
      <c r="BA19" s="1"/>
      <c r="BB19" s="1"/>
      <c r="BC19" s="1222">
        <f>R19</f>
        <v>4</v>
      </c>
      <c r="BD19" s="1222"/>
      <c r="BE19" s="1222"/>
      <c r="BF19" s="1"/>
      <c r="BG19" s="1220">
        <f>V19</f>
        <v>25815802846</v>
      </c>
      <c r="BH19" s="1220"/>
      <c r="BI19" s="1220"/>
      <c r="BJ19" s="1220"/>
      <c r="BK19" s="1220"/>
      <c r="BL19" s="1220"/>
      <c r="BM19" s="1220"/>
      <c r="BN19" s="51"/>
      <c r="BO19" s="1220">
        <f>AD19</f>
        <v>20000000000</v>
      </c>
      <c r="BP19" s="1220"/>
      <c r="BQ19" s="1220"/>
      <c r="BR19" s="1220"/>
      <c r="BS19" s="1220"/>
      <c r="BT19" s="1220"/>
      <c r="BU19" s="1220"/>
      <c r="BV19" s="3"/>
      <c r="BW19" s="44">
        <f>IF(ISTEXT(A19),IF(SUM(BW20:BW22)&gt;0,1,0),1)</f>
        <v>1</v>
      </c>
      <c r="BX19" s="45">
        <f t="shared" si="0"/>
        <v>0</v>
      </c>
      <c r="BY19" s="45">
        <f t="shared" si="3"/>
        <v>0</v>
      </c>
      <c r="CA19" s="28"/>
    </row>
    <row r="20" spans="1:79" s="27" customFormat="1" ht="14.1" hidden="1" customHeight="1" x14ac:dyDescent="0.25">
      <c r="A20" s="52" t="s">
        <v>21</v>
      </c>
      <c r="B20" s="56" t="str">
        <f>SUBTOTAL(109,$BW$20:BW20)&amp;". Chứng khoán kinh doanh"</f>
        <v>0. Chứng khoán kinh doanh</v>
      </c>
      <c r="C20" s="47"/>
      <c r="D20" s="47"/>
      <c r="E20" s="1"/>
      <c r="F20" s="3"/>
      <c r="G20" s="1"/>
      <c r="H20" s="1"/>
      <c r="I20" s="1"/>
      <c r="J20" s="1"/>
      <c r="K20" s="1"/>
      <c r="L20" s="1"/>
      <c r="M20" s="1"/>
      <c r="N20" s="1"/>
      <c r="O20" s="1"/>
      <c r="P20" s="1"/>
      <c r="Q20" s="1"/>
      <c r="R20" s="1221"/>
      <c r="S20" s="1221"/>
      <c r="T20" s="1221"/>
      <c r="U20" s="1"/>
      <c r="V20" s="1219">
        <f>IF(ISBLANK($A20),0,VLOOKUP($A20,CDKT,MATCH($V$8,subTitle,0),0))</f>
        <v>0</v>
      </c>
      <c r="W20" s="1219"/>
      <c r="X20" s="1219"/>
      <c r="Y20" s="1219"/>
      <c r="Z20" s="1219"/>
      <c r="AA20" s="1219"/>
      <c r="AB20" s="1219"/>
      <c r="AC20" s="51"/>
      <c r="AD20" s="1219">
        <f>IF(ISBLANK($A20),0,VLOOKUP($A20,CDKT,MATCH($AD$8,subTitle,0),0))</f>
        <v>0</v>
      </c>
      <c r="AE20" s="1219"/>
      <c r="AF20" s="1219"/>
      <c r="AG20" s="1219"/>
      <c r="AH20" s="1219"/>
      <c r="AI20" s="1219"/>
      <c r="AJ20" s="1219"/>
      <c r="AK20" s="4"/>
      <c r="AL20" s="52" t="str">
        <f t="shared" si="1"/>
        <v>121</v>
      </c>
      <c r="AM20" s="56" t="str">
        <f>SUBTOTAL(109,$BW$20:BW20)&amp;". Trading securities"</f>
        <v>0. Trading securities</v>
      </c>
      <c r="AN20" s="47"/>
      <c r="AO20" s="47"/>
      <c r="AP20" s="1"/>
      <c r="AQ20" s="3"/>
      <c r="AR20" s="1"/>
      <c r="AS20" s="1"/>
      <c r="AT20" s="1"/>
      <c r="AU20" s="1"/>
      <c r="AV20" s="1"/>
      <c r="AW20" s="1"/>
      <c r="AX20" s="1"/>
      <c r="AY20" s="1"/>
      <c r="AZ20" s="1"/>
      <c r="BA20" s="1"/>
      <c r="BB20" s="1"/>
      <c r="BC20" s="1221">
        <f t="shared" si="2"/>
        <v>0</v>
      </c>
      <c r="BD20" s="1221"/>
      <c r="BE20" s="1221"/>
      <c r="BF20" s="1"/>
      <c r="BG20" s="1219">
        <f>V20</f>
        <v>0</v>
      </c>
      <c r="BH20" s="1219"/>
      <c r="BI20" s="1219"/>
      <c r="BJ20" s="1219"/>
      <c r="BK20" s="1219"/>
      <c r="BL20" s="1219"/>
      <c r="BM20" s="1219"/>
      <c r="BN20" s="51"/>
      <c r="BO20" s="1219">
        <f>AD20</f>
        <v>0</v>
      </c>
      <c r="BP20" s="1219"/>
      <c r="BQ20" s="1219"/>
      <c r="BR20" s="1219"/>
      <c r="BS20" s="1219"/>
      <c r="BT20" s="1219"/>
      <c r="BU20" s="1219"/>
      <c r="BV20" s="3"/>
      <c r="BW20" s="44">
        <f t="shared" si="4"/>
        <v>0</v>
      </c>
      <c r="BX20" s="45">
        <f t="shared" si="0"/>
        <v>0</v>
      </c>
      <c r="BY20" s="45">
        <f t="shared" si="3"/>
        <v>0</v>
      </c>
    </row>
    <row r="21" spans="1:79" s="27" customFormat="1" ht="15" hidden="1" customHeight="1" x14ac:dyDescent="0.25">
      <c r="A21" s="52" t="s">
        <v>22</v>
      </c>
      <c r="B21" s="56" t="str">
        <f>SUBTOTAL(109,$BW$20:BW21)&amp;". Dự phòng giảm giá chứng khoán kinh doanh"</f>
        <v>0. Dự phòng giảm giá chứng khoán kinh doanh</v>
      </c>
      <c r="C21" s="56"/>
      <c r="D21" s="47"/>
      <c r="E21" s="1"/>
      <c r="F21" s="3"/>
      <c r="G21" s="1"/>
      <c r="H21" s="1"/>
      <c r="I21" s="1"/>
      <c r="J21" s="1"/>
      <c r="K21" s="1"/>
      <c r="L21" s="1"/>
      <c r="M21" s="1"/>
      <c r="N21" s="1"/>
      <c r="O21" s="1"/>
      <c r="P21" s="1"/>
      <c r="Q21" s="1"/>
      <c r="R21" s="57"/>
      <c r="S21" s="57"/>
      <c r="T21" s="57"/>
      <c r="U21" s="1"/>
      <c r="V21" s="1219">
        <f>IF(ISBLANK($A21),0,VLOOKUP($A21,CDKT,MATCH($V$8,subTitle,0),0))</f>
        <v>0</v>
      </c>
      <c r="W21" s="1219"/>
      <c r="X21" s="1219"/>
      <c r="Y21" s="1219"/>
      <c r="Z21" s="1219"/>
      <c r="AA21" s="1219"/>
      <c r="AB21" s="1219"/>
      <c r="AC21" s="51"/>
      <c r="AD21" s="1219">
        <f>IF(ISBLANK($A21),0,VLOOKUP($A21,CDKT,MATCH($AD$8,subTitle,0),0))</f>
        <v>0</v>
      </c>
      <c r="AE21" s="1219"/>
      <c r="AF21" s="1219"/>
      <c r="AG21" s="1219"/>
      <c r="AH21" s="1219"/>
      <c r="AI21" s="1219"/>
      <c r="AJ21" s="1219"/>
      <c r="AK21" s="4"/>
      <c r="AL21" s="52" t="str">
        <f t="shared" si="1"/>
        <v>122</v>
      </c>
      <c r="AM21" s="1224" t="str">
        <f>SUBTOTAL(109,$BW$20:BW21)&amp;". Provision for diminution in value of trading securities"</f>
        <v>0. Provision for diminution in value of trading securities</v>
      </c>
      <c r="AN21" s="1224"/>
      <c r="AO21" s="1224"/>
      <c r="AP21" s="1224"/>
      <c r="AQ21" s="1224"/>
      <c r="AR21" s="1224"/>
      <c r="AS21" s="1224"/>
      <c r="AT21" s="1224"/>
      <c r="AU21" s="1224"/>
      <c r="AV21" s="1224"/>
      <c r="AW21" s="1224"/>
      <c r="AX21" s="1224"/>
      <c r="AY21" s="1224"/>
      <c r="AZ21" s="1224"/>
      <c r="BA21" s="1224"/>
      <c r="BB21" s="1224"/>
      <c r="BC21" s="57"/>
      <c r="BD21" s="57"/>
      <c r="BE21" s="57"/>
      <c r="BF21" s="1"/>
      <c r="BG21" s="1219">
        <f>V21</f>
        <v>0</v>
      </c>
      <c r="BH21" s="1219"/>
      <c r="BI21" s="1219"/>
      <c r="BJ21" s="1219"/>
      <c r="BK21" s="1219"/>
      <c r="BL21" s="1219"/>
      <c r="BM21" s="1219"/>
      <c r="BN21" s="51"/>
      <c r="BO21" s="1219">
        <f>AD21</f>
        <v>0</v>
      </c>
      <c r="BP21" s="1219"/>
      <c r="BQ21" s="1219"/>
      <c r="BR21" s="1219"/>
      <c r="BS21" s="1219"/>
      <c r="BT21" s="1219"/>
      <c r="BU21" s="1219"/>
      <c r="BV21" s="3"/>
      <c r="BW21" s="44">
        <f t="shared" si="4"/>
        <v>0</v>
      </c>
      <c r="BX21" s="45">
        <f t="shared" si="0"/>
        <v>0</v>
      </c>
      <c r="BY21" s="45">
        <f t="shared" si="3"/>
        <v>0</v>
      </c>
    </row>
    <row r="22" spans="1:79" s="27" customFormat="1" ht="14.1" customHeight="1" x14ac:dyDescent="0.25">
      <c r="A22" s="52" t="s">
        <v>23</v>
      </c>
      <c r="B22" s="56" t="str">
        <f>SUBTOTAL(109,$BW$20:BW22)&amp;". Đầu tư nắm giữ đến ngày đáo hạn"</f>
        <v>1. Đầu tư nắm giữ đến ngày đáo hạn</v>
      </c>
      <c r="C22" s="47"/>
      <c r="D22" s="47"/>
      <c r="E22" s="1"/>
      <c r="F22" s="3"/>
      <c r="G22" s="1"/>
      <c r="H22" s="1"/>
      <c r="I22" s="1"/>
      <c r="J22" s="1"/>
      <c r="K22" s="1"/>
      <c r="L22" s="1"/>
      <c r="M22" s="1"/>
      <c r="N22" s="1"/>
      <c r="O22" s="1"/>
      <c r="P22" s="1"/>
      <c r="Q22" s="1"/>
      <c r="R22" s="1213"/>
      <c r="S22" s="1213"/>
      <c r="T22" s="1213"/>
      <c r="U22" s="1"/>
      <c r="V22" s="1219">
        <v>25815802846</v>
      </c>
      <c r="W22" s="1219"/>
      <c r="X22" s="1219"/>
      <c r="Y22" s="1219"/>
      <c r="Z22" s="1219"/>
      <c r="AA22" s="1219"/>
      <c r="AB22" s="1219"/>
      <c r="AC22" s="51"/>
      <c r="AD22" s="1219">
        <v>20000000000</v>
      </c>
      <c r="AE22" s="1219"/>
      <c r="AF22" s="1219"/>
      <c r="AG22" s="1219"/>
      <c r="AH22" s="1219"/>
      <c r="AI22" s="1219"/>
      <c r="AJ22" s="1219"/>
      <c r="AK22" s="4"/>
      <c r="AL22" s="52" t="str">
        <f t="shared" si="1"/>
        <v>123</v>
      </c>
      <c r="AM22" s="56" t="str">
        <f>SUBTOTAL(109,$BW$20:BW22)&amp;". Held-to-maturity investments"</f>
        <v>1. Held-to-maturity investments</v>
      </c>
      <c r="AO22" s="47"/>
      <c r="AP22" s="1"/>
      <c r="AQ22" s="3"/>
      <c r="AR22" s="1"/>
      <c r="AS22" s="1"/>
      <c r="AT22" s="1"/>
      <c r="AU22" s="1"/>
      <c r="AV22" s="1"/>
      <c r="AW22" s="1"/>
      <c r="AX22" s="1"/>
      <c r="AY22" s="1"/>
      <c r="AZ22" s="1"/>
      <c r="BA22" s="1"/>
      <c r="BB22" s="1"/>
      <c r="BC22" s="58">
        <f t="shared" si="2"/>
        <v>0</v>
      </c>
      <c r="BD22" s="58"/>
      <c r="BE22" s="58"/>
      <c r="BF22" s="1"/>
      <c r="BG22" s="1219">
        <f>V22</f>
        <v>25815802846</v>
      </c>
      <c r="BH22" s="1219"/>
      <c r="BI22" s="1219"/>
      <c r="BJ22" s="1219"/>
      <c r="BK22" s="1219"/>
      <c r="BL22" s="1219"/>
      <c r="BM22" s="1219"/>
      <c r="BN22" s="51"/>
      <c r="BO22" s="1219">
        <f>AD22</f>
        <v>20000000000</v>
      </c>
      <c r="BP22" s="1219"/>
      <c r="BQ22" s="1219"/>
      <c r="BR22" s="1219"/>
      <c r="BS22" s="1219"/>
      <c r="BT22" s="1219"/>
      <c r="BU22" s="1219"/>
      <c r="BV22" s="3"/>
      <c r="BW22" s="44">
        <f t="shared" si="4"/>
        <v>1</v>
      </c>
      <c r="BX22" s="45">
        <f t="shared" si="0"/>
        <v>0</v>
      </c>
      <c r="BY22" s="45">
        <f t="shared" si="3"/>
        <v>0</v>
      </c>
      <c r="CA22" s="28"/>
    </row>
    <row r="23" spans="1:79" s="27" customFormat="1" ht="14.1" customHeight="1" x14ac:dyDescent="0.25">
      <c r="A23" s="52"/>
      <c r="B23" s="53"/>
      <c r="C23" s="47"/>
      <c r="D23" s="47"/>
      <c r="E23" s="1"/>
      <c r="F23" s="3"/>
      <c r="G23" s="1"/>
      <c r="H23" s="1"/>
      <c r="I23" s="1"/>
      <c r="J23" s="1"/>
      <c r="K23" s="1"/>
      <c r="L23" s="1"/>
      <c r="M23" s="1"/>
      <c r="N23" s="1"/>
      <c r="O23" s="1"/>
      <c r="P23" s="1"/>
      <c r="Q23" s="1"/>
      <c r="R23" s="1213"/>
      <c r="S23" s="1213"/>
      <c r="T23" s="1213"/>
      <c r="U23" s="1"/>
      <c r="V23" s="1219"/>
      <c r="W23" s="1219"/>
      <c r="X23" s="1219"/>
      <c r="Y23" s="1219"/>
      <c r="Z23" s="1219"/>
      <c r="AA23" s="1219"/>
      <c r="AB23" s="1219"/>
      <c r="AC23" s="51"/>
      <c r="AD23" s="1219"/>
      <c r="AE23" s="1219"/>
      <c r="AF23" s="1219"/>
      <c r="AG23" s="1219"/>
      <c r="AH23" s="1219"/>
      <c r="AI23" s="1219"/>
      <c r="AJ23" s="1219"/>
      <c r="AK23" s="4"/>
      <c r="AL23" s="52">
        <f t="shared" si="1"/>
        <v>0</v>
      </c>
      <c r="AM23" s="53"/>
      <c r="AN23" s="47"/>
      <c r="AO23" s="47"/>
      <c r="AP23" s="1"/>
      <c r="AQ23" s="3"/>
      <c r="AR23" s="1"/>
      <c r="AS23" s="1"/>
      <c r="AT23" s="1"/>
      <c r="AU23" s="1"/>
      <c r="AV23" s="1"/>
      <c r="AW23" s="1"/>
      <c r="AX23" s="1"/>
      <c r="AY23" s="1"/>
      <c r="AZ23" s="1"/>
      <c r="BA23" s="1"/>
      <c r="BB23" s="1"/>
      <c r="BC23" s="1213"/>
      <c r="BD23" s="1213"/>
      <c r="BE23" s="1213"/>
      <c r="BF23" s="1"/>
      <c r="BG23" s="1219"/>
      <c r="BH23" s="1219"/>
      <c r="BI23" s="1219"/>
      <c r="BJ23" s="1219"/>
      <c r="BK23" s="1219"/>
      <c r="BL23" s="1219"/>
      <c r="BM23" s="1219"/>
      <c r="BN23" s="51"/>
      <c r="BO23" s="1219"/>
      <c r="BP23" s="1219"/>
      <c r="BQ23" s="1219"/>
      <c r="BR23" s="1219"/>
      <c r="BS23" s="1219"/>
      <c r="BT23" s="1219"/>
      <c r="BU23" s="1219"/>
      <c r="BV23" s="3"/>
      <c r="BW23" s="44">
        <f>$BW$24</f>
        <v>1</v>
      </c>
      <c r="BX23" s="45">
        <f t="shared" si="0"/>
        <v>0</v>
      </c>
      <c r="BY23" s="45">
        <f t="shared" si="3"/>
        <v>0</v>
      </c>
      <c r="CA23" s="28"/>
    </row>
    <row r="24" spans="1:79" s="27" customFormat="1" ht="15" customHeight="1" x14ac:dyDescent="0.25">
      <c r="A24" s="50" t="s">
        <v>24</v>
      </c>
      <c r="B24" s="59" t="s">
        <v>25</v>
      </c>
      <c r="C24" s="47"/>
      <c r="D24" s="47"/>
      <c r="E24" s="1"/>
      <c r="F24" s="3"/>
      <c r="G24" s="1"/>
      <c r="H24" s="1"/>
      <c r="I24" s="1"/>
      <c r="J24" s="1"/>
      <c r="K24" s="1"/>
      <c r="L24" s="1"/>
      <c r="M24" s="1"/>
      <c r="N24" s="1"/>
      <c r="O24" s="1"/>
      <c r="P24" s="1"/>
      <c r="Q24" s="1"/>
      <c r="R24" s="1213"/>
      <c r="S24" s="1213"/>
      <c r="T24" s="1213"/>
      <c r="U24" s="1"/>
      <c r="V24" s="1220">
        <f>SUBTOTAL(109,V25:AB33)</f>
        <v>2377982578</v>
      </c>
      <c r="W24" s="1220"/>
      <c r="X24" s="1220"/>
      <c r="Y24" s="1220"/>
      <c r="Z24" s="1220"/>
      <c r="AA24" s="1220"/>
      <c r="AB24" s="1220"/>
      <c r="AC24" s="51"/>
      <c r="AD24" s="1220">
        <f>SUBTOTAL(109,AD25:AJ33)</f>
        <v>3474122053</v>
      </c>
      <c r="AE24" s="1220"/>
      <c r="AF24" s="1220"/>
      <c r="AG24" s="1220"/>
      <c r="AH24" s="1220"/>
      <c r="AI24" s="1220"/>
      <c r="AJ24" s="1220"/>
      <c r="AK24" s="11"/>
      <c r="AL24" s="50" t="str">
        <f t="shared" si="1"/>
        <v>130</v>
      </c>
      <c r="AM24" s="59" t="s">
        <v>26</v>
      </c>
      <c r="AN24" s="47"/>
      <c r="AO24" s="47"/>
      <c r="AP24" s="1"/>
      <c r="AQ24" s="3"/>
      <c r="AR24" s="1"/>
      <c r="AS24" s="1"/>
      <c r="AT24" s="1"/>
      <c r="AU24" s="1"/>
      <c r="AV24" s="1"/>
      <c r="AW24" s="1"/>
      <c r="AX24" s="1"/>
      <c r="AY24" s="1"/>
      <c r="AZ24" s="1"/>
      <c r="BA24" s="1"/>
      <c r="BB24" s="1"/>
      <c r="BC24" s="1213">
        <f t="shared" si="2"/>
        <v>0</v>
      </c>
      <c r="BD24" s="1213"/>
      <c r="BE24" s="1213"/>
      <c r="BF24" s="1"/>
      <c r="BG24" s="1220">
        <f t="shared" ref="BG24:BG32" si="5">V24</f>
        <v>2377982578</v>
      </c>
      <c r="BH24" s="1220"/>
      <c r="BI24" s="1220"/>
      <c r="BJ24" s="1220"/>
      <c r="BK24" s="1220"/>
      <c r="BL24" s="1220"/>
      <c r="BM24" s="1220"/>
      <c r="BN24" s="51"/>
      <c r="BO24" s="1220">
        <f t="shared" ref="BO24:BO32" si="6">AD24</f>
        <v>3474122053</v>
      </c>
      <c r="BP24" s="1220"/>
      <c r="BQ24" s="1220"/>
      <c r="BR24" s="1220"/>
      <c r="BS24" s="1220"/>
      <c r="BT24" s="1220"/>
      <c r="BU24" s="1220"/>
      <c r="BV24" s="3"/>
      <c r="BW24" s="44">
        <f>IF(ISTEXT(A24),IF(SUM(BW25:BW32)&gt;0,1,0),1)</f>
        <v>1</v>
      </c>
      <c r="BX24" s="45">
        <f t="shared" si="0"/>
        <v>0</v>
      </c>
      <c r="BY24" s="45">
        <f t="shared" si="3"/>
        <v>0</v>
      </c>
      <c r="CA24" s="28"/>
    </row>
    <row r="25" spans="1:79" s="27" customFormat="1" ht="14.1" customHeight="1" x14ac:dyDescent="0.25">
      <c r="A25" s="52" t="s">
        <v>27</v>
      </c>
      <c r="B25" s="60" t="str">
        <f>SUBTOTAL(109,$BW$25:BW25)&amp;". Phải thu ngắn hạn của khách hàng"</f>
        <v>1. Phải thu ngắn hạn của khách hàng</v>
      </c>
      <c r="C25" s="60"/>
      <c r="D25" s="47"/>
      <c r="E25" s="1"/>
      <c r="F25" s="3"/>
      <c r="G25" s="1"/>
      <c r="H25" s="1"/>
      <c r="I25" s="1"/>
      <c r="J25" s="1"/>
      <c r="K25" s="1"/>
      <c r="L25" s="1"/>
      <c r="M25" s="1"/>
      <c r="N25" s="1"/>
      <c r="O25" s="1"/>
      <c r="P25" s="1"/>
      <c r="Q25" s="1"/>
      <c r="R25" s="1221">
        <f>IF(STT_PhaiThuKH1&lt;&gt;0,STT_PhaiThuKH,"")</f>
        <v>5</v>
      </c>
      <c r="S25" s="1221"/>
      <c r="T25" s="1221"/>
      <c r="U25" s="1"/>
      <c r="V25" s="1219">
        <v>2877379865</v>
      </c>
      <c r="W25" s="1219"/>
      <c r="X25" s="1219"/>
      <c r="Y25" s="1219"/>
      <c r="Z25" s="1219"/>
      <c r="AA25" s="1219"/>
      <c r="AB25" s="1219"/>
      <c r="AC25" s="51"/>
      <c r="AD25" s="1219">
        <v>3530001965</v>
      </c>
      <c r="AE25" s="1219"/>
      <c r="AF25" s="1219"/>
      <c r="AG25" s="1219"/>
      <c r="AH25" s="1219"/>
      <c r="AI25" s="1219"/>
      <c r="AJ25" s="1219"/>
      <c r="AK25" s="4"/>
      <c r="AL25" s="52" t="str">
        <f t="shared" si="1"/>
        <v>131</v>
      </c>
      <c r="AM25" s="60" t="str">
        <f>SUBTOTAL(109,$BW$25:BW25)&amp;". Short-term trade receivables"</f>
        <v>1. Short-term trade receivables</v>
      </c>
      <c r="AN25" s="47"/>
      <c r="AO25" s="47"/>
      <c r="AP25" s="1"/>
      <c r="AQ25" s="3"/>
      <c r="AR25" s="1"/>
      <c r="AS25" s="1"/>
      <c r="AT25" s="1"/>
      <c r="AU25" s="1"/>
      <c r="AV25" s="1"/>
      <c r="AW25" s="1"/>
      <c r="AX25" s="1"/>
      <c r="AY25" s="1"/>
      <c r="AZ25" s="1"/>
      <c r="BA25" s="1"/>
      <c r="BB25" s="1"/>
      <c r="BC25" s="1221">
        <f>R25</f>
        <v>5</v>
      </c>
      <c r="BD25" s="1221"/>
      <c r="BE25" s="1221"/>
      <c r="BF25" s="1"/>
      <c r="BG25" s="1219">
        <f t="shared" si="5"/>
        <v>2877379865</v>
      </c>
      <c r="BH25" s="1219"/>
      <c r="BI25" s="1219"/>
      <c r="BJ25" s="1219"/>
      <c r="BK25" s="1219"/>
      <c r="BL25" s="1219"/>
      <c r="BM25" s="1219"/>
      <c r="BN25" s="51"/>
      <c r="BO25" s="1219">
        <f t="shared" si="6"/>
        <v>3530001965</v>
      </c>
      <c r="BP25" s="1219"/>
      <c r="BQ25" s="1219"/>
      <c r="BR25" s="1219"/>
      <c r="BS25" s="1219"/>
      <c r="BT25" s="1219"/>
      <c r="BU25" s="1219"/>
      <c r="BV25" s="3"/>
      <c r="BW25" s="44">
        <f t="shared" si="4"/>
        <v>1</v>
      </c>
      <c r="BX25" s="45">
        <f t="shared" si="0"/>
        <v>0</v>
      </c>
      <c r="BY25" s="45">
        <f t="shared" si="3"/>
        <v>0</v>
      </c>
      <c r="CA25" s="28"/>
    </row>
    <row r="26" spans="1:79" s="27" customFormat="1" ht="14.1" customHeight="1" x14ac:dyDescent="0.25">
      <c r="A26" s="52" t="s">
        <v>28</v>
      </c>
      <c r="B26" s="60" t="str">
        <f>SUBTOTAL(109,$BW$25:BW26)&amp;". Trả trước cho người bán ngắn hạn"</f>
        <v>2. Trả trước cho người bán ngắn hạn</v>
      </c>
      <c r="C26" s="60"/>
      <c r="D26" s="47"/>
      <c r="E26" s="1"/>
      <c r="F26" s="3"/>
      <c r="G26" s="1"/>
      <c r="H26" s="1"/>
      <c r="I26" s="1"/>
      <c r="J26" s="1"/>
      <c r="K26" s="1"/>
      <c r="L26" s="1"/>
      <c r="M26" s="1"/>
      <c r="N26" s="1"/>
      <c r="O26" s="1"/>
      <c r="P26" s="1"/>
      <c r="Q26" s="1"/>
      <c r="R26" s="1221">
        <f>IF(STT_TraTruocNguoiBan1&lt;&gt;0,STT_TraTruocNguoiBan,"")</f>
        <v>6</v>
      </c>
      <c r="S26" s="1221"/>
      <c r="T26" s="1221"/>
      <c r="U26" s="1"/>
      <c r="V26" s="1219">
        <v>204401565</v>
      </c>
      <c r="W26" s="1219"/>
      <c r="X26" s="1219"/>
      <c r="Y26" s="1219"/>
      <c r="Z26" s="1219"/>
      <c r="AA26" s="1219"/>
      <c r="AB26" s="1219"/>
      <c r="AC26" s="51"/>
      <c r="AD26" s="1219">
        <v>1574616651</v>
      </c>
      <c r="AE26" s="1219"/>
      <c r="AF26" s="1219"/>
      <c r="AG26" s="1219"/>
      <c r="AH26" s="1219"/>
      <c r="AI26" s="1219"/>
      <c r="AJ26" s="1219"/>
      <c r="AK26" s="4"/>
      <c r="AL26" s="52" t="str">
        <f t="shared" si="1"/>
        <v>132</v>
      </c>
      <c r="AM26" s="60" t="str">
        <f>SUBTOTAL(109,$BW$25:BW26)&amp;". Short-term prepayments to suppliers"</f>
        <v>2. Short-term prepayments to suppliers</v>
      </c>
      <c r="AN26" s="47"/>
      <c r="AO26" s="47"/>
      <c r="AP26" s="1"/>
      <c r="AQ26" s="3"/>
      <c r="AR26" s="1"/>
      <c r="AS26" s="1"/>
      <c r="AT26" s="1"/>
      <c r="AU26" s="1"/>
      <c r="AV26" s="1"/>
      <c r="AW26" s="1"/>
      <c r="AX26" s="1"/>
      <c r="AY26" s="1"/>
      <c r="AZ26" s="1"/>
      <c r="BA26" s="1"/>
      <c r="BB26" s="1"/>
      <c r="BC26" s="1213">
        <f t="shared" si="2"/>
        <v>6</v>
      </c>
      <c r="BD26" s="1213"/>
      <c r="BE26" s="1213"/>
      <c r="BF26" s="1"/>
      <c r="BG26" s="1219">
        <f t="shared" si="5"/>
        <v>204401565</v>
      </c>
      <c r="BH26" s="1219"/>
      <c r="BI26" s="1219"/>
      <c r="BJ26" s="1219"/>
      <c r="BK26" s="1219"/>
      <c r="BL26" s="1219"/>
      <c r="BM26" s="1219"/>
      <c r="BN26" s="51"/>
      <c r="BO26" s="1219">
        <f t="shared" si="6"/>
        <v>1574616651</v>
      </c>
      <c r="BP26" s="1219"/>
      <c r="BQ26" s="1219"/>
      <c r="BR26" s="1219"/>
      <c r="BS26" s="1219"/>
      <c r="BT26" s="1219"/>
      <c r="BU26" s="1219"/>
      <c r="BV26" s="3"/>
      <c r="BW26" s="44">
        <f t="shared" si="4"/>
        <v>1</v>
      </c>
      <c r="BX26" s="45">
        <f t="shared" si="0"/>
        <v>0</v>
      </c>
      <c r="BY26" s="45">
        <f t="shared" si="3"/>
        <v>0</v>
      </c>
      <c r="CA26" s="28"/>
    </row>
    <row r="27" spans="1:79" s="27" customFormat="1" ht="14.1" hidden="1" customHeight="1" x14ac:dyDescent="0.25">
      <c r="A27" s="52" t="s">
        <v>29</v>
      </c>
      <c r="B27" s="60" t="str">
        <f>SUBTOTAL(109,$BW$25:BW27)&amp;". Phải thu nội bộ ngắn hạn"</f>
        <v>2. Phải thu nội bộ ngắn hạn</v>
      </c>
      <c r="C27" s="60"/>
      <c r="D27" s="47"/>
      <c r="E27" s="1"/>
      <c r="F27" s="3"/>
      <c r="G27" s="1"/>
      <c r="H27" s="1"/>
      <c r="I27" s="1"/>
      <c r="J27" s="1"/>
      <c r="K27" s="1"/>
      <c r="L27" s="1"/>
      <c r="M27" s="1"/>
      <c r="N27" s="1"/>
      <c r="O27" s="1"/>
      <c r="P27" s="1"/>
      <c r="Q27" s="1"/>
      <c r="R27" s="1221">
        <f>IF(STT_PhaiThuNoiBo1&lt;&gt;0,STT_PhaiThuNoiBo,"")</f>
        <v>7</v>
      </c>
      <c r="S27" s="1221"/>
      <c r="T27" s="1221"/>
      <c r="U27" s="1"/>
      <c r="V27" s="1219">
        <f t="shared" ref="V27:V32" si="7">IF(ISBLANK($A27),0,VLOOKUP($A27,CDKT,MATCH($V$8,subTitle,0),0))</f>
        <v>0</v>
      </c>
      <c r="W27" s="1219"/>
      <c r="X27" s="1219"/>
      <c r="Y27" s="1219"/>
      <c r="Z27" s="1219"/>
      <c r="AA27" s="1219"/>
      <c r="AB27" s="1219"/>
      <c r="AC27" s="51"/>
      <c r="AD27" s="1219">
        <f t="shared" ref="AD27:AD32" si="8">IF(ISBLANK($A27),0,VLOOKUP($A27,CDKT,MATCH($AD$8,subTitle,0),0))</f>
        <v>0</v>
      </c>
      <c r="AE27" s="1219"/>
      <c r="AF27" s="1219"/>
      <c r="AG27" s="1219"/>
      <c r="AH27" s="1219"/>
      <c r="AI27" s="1219"/>
      <c r="AJ27" s="1219"/>
      <c r="AK27" s="4"/>
      <c r="AL27" s="52" t="str">
        <f t="shared" si="1"/>
        <v>133</v>
      </c>
      <c r="AM27" s="60" t="str">
        <f>SUBTOTAL(109,$BW$25:BW27)&amp;". Short-term intra-company receivables"</f>
        <v>2. Short-term intra-company receivables</v>
      </c>
      <c r="AN27" s="47"/>
      <c r="AO27" s="47"/>
      <c r="AP27" s="1"/>
      <c r="AQ27" s="3"/>
      <c r="AR27" s="1"/>
      <c r="AS27" s="1"/>
      <c r="AT27" s="1"/>
      <c r="AU27" s="1"/>
      <c r="AV27" s="1"/>
      <c r="AW27" s="1"/>
      <c r="AX27" s="1"/>
      <c r="AY27" s="1"/>
      <c r="AZ27" s="1"/>
      <c r="BA27" s="1"/>
      <c r="BB27" s="1"/>
      <c r="BC27" s="1221">
        <f>R27</f>
        <v>7</v>
      </c>
      <c r="BD27" s="1221"/>
      <c r="BE27" s="1221"/>
      <c r="BF27" s="1"/>
      <c r="BG27" s="1219">
        <f t="shared" si="5"/>
        <v>0</v>
      </c>
      <c r="BH27" s="1219"/>
      <c r="BI27" s="1219"/>
      <c r="BJ27" s="1219"/>
      <c r="BK27" s="1219"/>
      <c r="BL27" s="1219"/>
      <c r="BM27" s="1219"/>
      <c r="BN27" s="51"/>
      <c r="BO27" s="1219">
        <f t="shared" si="6"/>
        <v>0</v>
      </c>
      <c r="BP27" s="1219"/>
      <c r="BQ27" s="1219"/>
      <c r="BR27" s="1219"/>
      <c r="BS27" s="1219"/>
      <c r="BT27" s="1219"/>
      <c r="BU27" s="1219"/>
      <c r="BV27" s="3"/>
      <c r="BW27" s="44">
        <f t="shared" si="4"/>
        <v>0</v>
      </c>
      <c r="BX27" s="45">
        <f t="shared" si="0"/>
        <v>0</v>
      </c>
      <c r="BY27" s="45">
        <f t="shared" si="3"/>
        <v>0</v>
      </c>
    </row>
    <row r="28" spans="1:79" s="27" customFormat="1" ht="27.95" hidden="1" customHeight="1" x14ac:dyDescent="0.25">
      <c r="A28" s="52" t="s">
        <v>30</v>
      </c>
      <c r="B28" s="1225" t="str">
        <f>SUBTOTAL(109,$BW$25:BW28)&amp;". Phải thu theo tiến độ kế hoạch hợp đồng xây dựng"</f>
        <v>2. Phải thu theo tiến độ kế hoạch hợp đồng xây dựng</v>
      </c>
      <c r="C28" s="1225"/>
      <c r="D28" s="1225"/>
      <c r="E28" s="1225"/>
      <c r="F28" s="1225"/>
      <c r="G28" s="1225"/>
      <c r="H28" s="1225"/>
      <c r="I28" s="1225"/>
      <c r="J28" s="1225"/>
      <c r="K28" s="1225"/>
      <c r="L28" s="1225"/>
      <c r="M28" s="1225"/>
      <c r="N28" s="1225"/>
      <c r="O28" s="1225"/>
      <c r="P28" s="1225"/>
      <c r="Q28" s="1225"/>
      <c r="R28" s="57"/>
      <c r="S28" s="57"/>
      <c r="T28" s="57"/>
      <c r="U28" s="1"/>
      <c r="V28" s="1219">
        <f t="shared" si="7"/>
        <v>0</v>
      </c>
      <c r="W28" s="1219"/>
      <c r="X28" s="1219"/>
      <c r="Y28" s="1219"/>
      <c r="Z28" s="1219"/>
      <c r="AA28" s="1219"/>
      <c r="AB28" s="1219"/>
      <c r="AC28" s="51"/>
      <c r="AD28" s="1219">
        <f t="shared" si="8"/>
        <v>0</v>
      </c>
      <c r="AE28" s="1219"/>
      <c r="AF28" s="1219"/>
      <c r="AG28" s="1219"/>
      <c r="AH28" s="1219"/>
      <c r="AI28" s="1219"/>
      <c r="AJ28" s="1219"/>
      <c r="AK28" s="4"/>
      <c r="AL28" s="52" t="str">
        <f t="shared" si="1"/>
        <v>134</v>
      </c>
      <c r="AM28" s="1224" t="str">
        <f>SUBTOTAL(109,$BW$25:BW28)&amp;". Receivables according to the progress of construction contracts"</f>
        <v>2. Receivables according to the progress of construction contracts</v>
      </c>
      <c r="AN28" s="1224"/>
      <c r="AO28" s="1224"/>
      <c r="AP28" s="1224"/>
      <c r="AQ28" s="1224"/>
      <c r="AR28" s="1224"/>
      <c r="AS28" s="1224"/>
      <c r="AT28" s="1224"/>
      <c r="AU28" s="1224"/>
      <c r="AV28" s="1224"/>
      <c r="AW28" s="1224"/>
      <c r="AX28" s="1224"/>
      <c r="AY28" s="1224"/>
      <c r="AZ28" s="1224"/>
      <c r="BA28" s="1224"/>
      <c r="BB28" s="1224"/>
      <c r="BC28" s="57"/>
      <c r="BD28" s="57"/>
      <c r="BE28" s="57"/>
      <c r="BF28" s="1"/>
      <c r="BG28" s="1219">
        <f t="shared" si="5"/>
        <v>0</v>
      </c>
      <c r="BH28" s="1219"/>
      <c r="BI28" s="1219"/>
      <c r="BJ28" s="1219"/>
      <c r="BK28" s="1219"/>
      <c r="BL28" s="1219"/>
      <c r="BM28" s="1219"/>
      <c r="BN28" s="51"/>
      <c r="BO28" s="1219">
        <f t="shared" si="6"/>
        <v>0</v>
      </c>
      <c r="BP28" s="1219"/>
      <c r="BQ28" s="1219"/>
      <c r="BR28" s="1219"/>
      <c r="BS28" s="1219"/>
      <c r="BT28" s="1219"/>
      <c r="BU28" s="1219"/>
      <c r="BV28" s="3"/>
      <c r="BW28" s="44">
        <f t="shared" si="4"/>
        <v>0</v>
      </c>
      <c r="BX28" s="45">
        <f t="shared" si="0"/>
        <v>0</v>
      </c>
      <c r="BY28" s="45">
        <f t="shared" si="3"/>
        <v>0</v>
      </c>
    </row>
    <row r="29" spans="1:79" s="27" customFormat="1" ht="14.1" customHeight="1" x14ac:dyDescent="0.25">
      <c r="A29" s="52" t="s">
        <v>31</v>
      </c>
      <c r="B29" s="60" t="str">
        <f>SUBTOTAL(109,$BW$25:BW29)&amp;". Phải thu về cho vay ngắn hạn"</f>
        <v>3. Phải thu về cho vay ngắn hạn</v>
      </c>
      <c r="C29" s="60"/>
      <c r="D29" s="47"/>
      <c r="E29" s="1"/>
      <c r="F29" s="3"/>
      <c r="G29" s="1"/>
      <c r="H29" s="1"/>
      <c r="I29" s="1"/>
      <c r="J29" s="1"/>
      <c r="K29" s="1"/>
      <c r="L29" s="1"/>
      <c r="M29" s="1"/>
      <c r="N29" s="1"/>
      <c r="O29" s="1"/>
      <c r="P29" s="1"/>
      <c r="Q29" s="1"/>
      <c r="R29" s="1226">
        <f>[1]Thuyet_minh!$A$587</f>
        <v>7</v>
      </c>
      <c r="S29" s="1213"/>
      <c r="T29" s="1213"/>
      <c r="U29" s="1"/>
      <c r="V29" s="1219">
        <v>961700000</v>
      </c>
      <c r="W29" s="1219"/>
      <c r="X29" s="1219"/>
      <c r="Y29" s="1219"/>
      <c r="Z29" s="1219"/>
      <c r="AA29" s="1219"/>
      <c r="AB29" s="1219"/>
      <c r="AC29" s="51"/>
      <c r="AD29" s="1219">
        <v>336800000</v>
      </c>
      <c r="AE29" s="1219"/>
      <c r="AF29" s="1219"/>
      <c r="AG29" s="1219"/>
      <c r="AH29" s="1219"/>
      <c r="AI29" s="1219"/>
      <c r="AJ29" s="1219"/>
      <c r="AK29" s="4"/>
      <c r="AL29" s="52" t="str">
        <f t="shared" si="1"/>
        <v>135</v>
      </c>
      <c r="AM29" s="60" t="str">
        <f>SUBTOTAL(109,$BW$25:BW29)&amp;". Short-term loan receivables"</f>
        <v>3. Short-term loan receivables</v>
      </c>
      <c r="AN29" s="47"/>
      <c r="AO29" s="47"/>
      <c r="AP29" s="1"/>
      <c r="AQ29" s="3"/>
      <c r="AR29" s="1"/>
      <c r="AS29" s="1"/>
      <c r="AT29" s="1"/>
      <c r="AU29" s="1"/>
      <c r="AV29" s="1"/>
      <c r="AW29" s="1"/>
      <c r="AX29" s="1"/>
      <c r="AY29" s="1"/>
      <c r="AZ29" s="1"/>
      <c r="BA29" s="1"/>
      <c r="BB29" s="1"/>
      <c r="BC29" s="58">
        <f t="shared" si="2"/>
        <v>7</v>
      </c>
      <c r="BD29" s="58"/>
      <c r="BE29" s="58"/>
      <c r="BF29" s="1"/>
      <c r="BG29" s="1219">
        <f t="shared" si="5"/>
        <v>961700000</v>
      </c>
      <c r="BH29" s="1219"/>
      <c r="BI29" s="1219"/>
      <c r="BJ29" s="1219"/>
      <c r="BK29" s="1219"/>
      <c r="BL29" s="1219"/>
      <c r="BM29" s="1219"/>
      <c r="BN29" s="51"/>
      <c r="BO29" s="1219">
        <f t="shared" si="6"/>
        <v>336800000</v>
      </c>
      <c r="BP29" s="1219"/>
      <c r="BQ29" s="1219"/>
      <c r="BR29" s="1219"/>
      <c r="BS29" s="1219"/>
      <c r="BT29" s="1219"/>
      <c r="BU29" s="1219"/>
      <c r="BV29" s="3"/>
      <c r="BW29" s="44">
        <f t="shared" si="4"/>
        <v>1</v>
      </c>
      <c r="BX29" s="45">
        <f t="shared" si="0"/>
        <v>0</v>
      </c>
      <c r="BY29" s="45">
        <f t="shared" si="3"/>
        <v>0</v>
      </c>
      <c r="CA29" s="28"/>
    </row>
    <row r="30" spans="1:79" s="27" customFormat="1" ht="14.1" customHeight="1" x14ac:dyDescent="0.25">
      <c r="A30" s="52" t="s">
        <v>32</v>
      </c>
      <c r="B30" s="60" t="str">
        <f>SUBTOTAL(109,$BW$25:BW30)&amp;". Phải thu ngắn hạn khác"</f>
        <v>4. Phải thu ngắn hạn khác</v>
      </c>
      <c r="C30" s="60"/>
      <c r="D30" s="47"/>
      <c r="E30" s="1"/>
      <c r="F30" s="3"/>
      <c r="G30" s="1"/>
      <c r="H30" s="1"/>
      <c r="I30" s="1"/>
      <c r="J30" s="1"/>
      <c r="K30" s="1"/>
      <c r="L30" s="1"/>
      <c r="M30" s="1"/>
      <c r="N30" s="1"/>
      <c r="O30" s="1"/>
      <c r="P30" s="1"/>
      <c r="Q30" s="1"/>
      <c r="R30" s="1221">
        <f>IF(STT_PhaiThuKhac1&lt;&gt;0,STT_PhaiThuKhac,"")</f>
        <v>8</v>
      </c>
      <c r="S30" s="1221"/>
      <c r="T30" s="1221"/>
      <c r="U30" s="1"/>
      <c r="V30" s="1219">
        <v>648735598</v>
      </c>
      <c r="W30" s="1219"/>
      <c r="X30" s="1219"/>
      <c r="Y30" s="1219"/>
      <c r="Z30" s="1219"/>
      <c r="AA30" s="1219"/>
      <c r="AB30" s="1219"/>
      <c r="AC30" s="51"/>
      <c r="AD30" s="1219">
        <v>1594632045</v>
      </c>
      <c r="AE30" s="1219"/>
      <c r="AF30" s="1219"/>
      <c r="AG30" s="1219"/>
      <c r="AH30" s="1219"/>
      <c r="AI30" s="1219"/>
      <c r="AJ30" s="1219"/>
      <c r="AK30" s="4"/>
      <c r="AL30" s="52" t="str">
        <f t="shared" si="1"/>
        <v>136</v>
      </c>
      <c r="AM30" s="60" t="str">
        <f>SUBTOTAL(109,$BW$25:BW30)&amp;". Other short-term receivables"</f>
        <v>4. Other short-term receivables</v>
      </c>
      <c r="AN30" s="47"/>
      <c r="AO30" s="47"/>
      <c r="AP30" s="1"/>
      <c r="AQ30" s="3"/>
      <c r="AR30" s="1"/>
      <c r="AS30" s="1"/>
      <c r="AT30" s="1"/>
      <c r="AU30" s="1"/>
      <c r="AV30" s="1"/>
      <c r="AW30" s="1"/>
      <c r="AX30" s="1"/>
      <c r="AY30" s="1"/>
      <c r="AZ30" s="1"/>
      <c r="BA30" s="1"/>
      <c r="BB30" s="1"/>
      <c r="BC30" s="1221">
        <f>R30</f>
        <v>8</v>
      </c>
      <c r="BD30" s="1221"/>
      <c r="BE30" s="1221"/>
      <c r="BF30" s="1"/>
      <c r="BG30" s="1219">
        <f t="shared" si="5"/>
        <v>648735598</v>
      </c>
      <c r="BH30" s="1219"/>
      <c r="BI30" s="1219"/>
      <c r="BJ30" s="1219"/>
      <c r="BK30" s="1219"/>
      <c r="BL30" s="1219"/>
      <c r="BM30" s="1219"/>
      <c r="BN30" s="51"/>
      <c r="BO30" s="1219">
        <f t="shared" si="6"/>
        <v>1594632045</v>
      </c>
      <c r="BP30" s="1219"/>
      <c r="BQ30" s="1219"/>
      <c r="BR30" s="1219"/>
      <c r="BS30" s="1219"/>
      <c r="BT30" s="1219"/>
      <c r="BU30" s="1219"/>
      <c r="BV30" s="3"/>
      <c r="BW30" s="44">
        <f t="shared" si="4"/>
        <v>1</v>
      </c>
      <c r="BX30" s="45">
        <f t="shared" si="0"/>
        <v>0</v>
      </c>
      <c r="BY30" s="45">
        <f t="shared" si="3"/>
        <v>0</v>
      </c>
      <c r="CA30" s="28"/>
    </row>
    <row r="31" spans="1:79" s="27" customFormat="1" ht="14.1" customHeight="1" x14ac:dyDescent="0.25">
      <c r="A31" s="52" t="s">
        <v>33</v>
      </c>
      <c r="B31" s="60" t="str">
        <f>SUBTOTAL(109,$BW$25:BW31)&amp;". Dự phòng phải thu ngắn hạn khó đòi"</f>
        <v>5. Dự phòng phải thu ngắn hạn khó đòi</v>
      </c>
      <c r="C31" s="60"/>
      <c r="D31" s="47"/>
      <c r="E31" s="1"/>
      <c r="F31" s="3"/>
      <c r="G31" s="1"/>
      <c r="H31" s="1"/>
      <c r="I31" s="1"/>
      <c r="J31" s="1"/>
      <c r="K31" s="1"/>
      <c r="L31" s="1"/>
      <c r="M31" s="1"/>
      <c r="N31" s="1"/>
      <c r="O31" s="1"/>
      <c r="P31" s="1"/>
      <c r="Q31" s="1"/>
      <c r="R31" s="1221"/>
      <c r="S31" s="1221"/>
      <c r="T31" s="1221"/>
      <c r="U31" s="1"/>
      <c r="V31" s="1219">
        <v>-2314234450</v>
      </c>
      <c r="W31" s="1219"/>
      <c r="X31" s="1219"/>
      <c r="Y31" s="1219"/>
      <c r="Z31" s="1219"/>
      <c r="AA31" s="1219"/>
      <c r="AB31" s="1219"/>
      <c r="AC31" s="51"/>
      <c r="AD31" s="1219">
        <v>-3561928608</v>
      </c>
      <c r="AE31" s="1219"/>
      <c r="AF31" s="1219"/>
      <c r="AG31" s="1219"/>
      <c r="AH31" s="1219"/>
      <c r="AI31" s="1219"/>
      <c r="AJ31" s="1219"/>
      <c r="AK31" s="4"/>
      <c r="AL31" s="52" t="str">
        <f t="shared" si="1"/>
        <v>137</v>
      </c>
      <c r="AM31" s="60" t="str">
        <f>SUBTOTAL(109,$BW$25:BW31)&amp;". Short-term provision for doubtful debts"</f>
        <v>5. Short-term provision for doubtful debts</v>
      </c>
      <c r="AN31" s="47"/>
      <c r="AO31" s="47"/>
      <c r="AP31" s="1"/>
      <c r="AQ31" s="3"/>
      <c r="AR31" s="1"/>
      <c r="AS31" s="1"/>
      <c r="AT31" s="1"/>
      <c r="AU31" s="1"/>
      <c r="AV31" s="1"/>
      <c r="AW31" s="1"/>
      <c r="AX31" s="1"/>
      <c r="AY31" s="1"/>
      <c r="AZ31" s="1"/>
      <c r="BA31" s="1"/>
      <c r="BB31" s="1"/>
      <c r="BC31" s="1221">
        <f t="shared" si="2"/>
        <v>0</v>
      </c>
      <c r="BD31" s="1221"/>
      <c r="BE31" s="1221"/>
      <c r="BF31" s="1"/>
      <c r="BG31" s="1219">
        <f t="shared" si="5"/>
        <v>-2314234450</v>
      </c>
      <c r="BH31" s="1219"/>
      <c r="BI31" s="1219"/>
      <c r="BJ31" s="1219"/>
      <c r="BK31" s="1219"/>
      <c r="BL31" s="1219"/>
      <c r="BM31" s="1219"/>
      <c r="BN31" s="51"/>
      <c r="BO31" s="1219">
        <f t="shared" si="6"/>
        <v>-3561928608</v>
      </c>
      <c r="BP31" s="1219"/>
      <c r="BQ31" s="1219"/>
      <c r="BR31" s="1219"/>
      <c r="BS31" s="1219"/>
      <c r="BT31" s="1219"/>
      <c r="BU31" s="1219"/>
      <c r="BV31" s="3"/>
      <c r="BW31" s="44">
        <f t="shared" si="4"/>
        <v>1</v>
      </c>
      <c r="BX31" s="45">
        <f t="shared" si="0"/>
        <v>0</v>
      </c>
      <c r="BY31" s="45">
        <f t="shared" si="3"/>
        <v>0</v>
      </c>
      <c r="CA31" s="28"/>
    </row>
    <row r="32" spans="1:79" s="27" customFormat="1" ht="14.1" hidden="1" customHeight="1" x14ac:dyDescent="0.25">
      <c r="A32" s="52" t="s">
        <v>34</v>
      </c>
      <c r="B32" s="60" t="str">
        <f>SUBTOTAL(109,$BW$25:BW32)&amp;". Tài sản thiếu chờ xử lý"</f>
        <v>5. Tài sản thiếu chờ xử lý</v>
      </c>
      <c r="C32" s="60"/>
      <c r="D32" s="47"/>
      <c r="E32" s="1"/>
      <c r="F32" s="3"/>
      <c r="G32" s="1"/>
      <c r="H32" s="1"/>
      <c r="I32" s="1"/>
      <c r="J32" s="1"/>
      <c r="K32" s="1"/>
      <c r="L32" s="1"/>
      <c r="M32" s="1"/>
      <c r="N32" s="1"/>
      <c r="O32" s="1"/>
      <c r="P32" s="1"/>
      <c r="Q32" s="1"/>
      <c r="R32" s="1221" t="str">
        <f>IF(STT_TSThieu1&lt;&gt;0,STT_TSThieu,"")</f>
        <v/>
      </c>
      <c r="S32" s="1221"/>
      <c r="T32" s="1221"/>
      <c r="U32" s="1"/>
      <c r="V32" s="1219">
        <f t="shared" si="7"/>
        <v>0</v>
      </c>
      <c r="W32" s="1219"/>
      <c r="X32" s="1219"/>
      <c r="Y32" s="1219"/>
      <c r="Z32" s="1219"/>
      <c r="AA32" s="1219"/>
      <c r="AB32" s="1219"/>
      <c r="AC32" s="51"/>
      <c r="AD32" s="1219">
        <f t="shared" si="8"/>
        <v>0</v>
      </c>
      <c r="AE32" s="1219"/>
      <c r="AF32" s="1219"/>
      <c r="AG32" s="1219"/>
      <c r="AH32" s="1219"/>
      <c r="AI32" s="1219"/>
      <c r="AJ32" s="1219"/>
      <c r="AK32" s="4"/>
      <c r="AL32" s="52" t="str">
        <f t="shared" si="1"/>
        <v>139</v>
      </c>
      <c r="AM32" s="60" t="str">
        <f>SUBTOTAL(109,$BW$25:BW32)&amp;". Shortage of assets awaiting resolution"</f>
        <v>5. Shortage of assets awaiting resolution</v>
      </c>
      <c r="AN32" s="47"/>
      <c r="AO32" s="47"/>
      <c r="AP32" s="1"/>
      <c r="AQ32" s="3"/>
      <c r="AR32" s="1"/>
      <c r="AS32" s="1"/>
      <c r="AT32" s="1"/>
      <c r="AU32" s="1"/>
      <c r="AV32" s="1"/>
      <c r="AW32" s="1"/>
      <c r="AX32" s="1"/>
      <c r="AY32" s="1"/>
      <c r="AZ32" s="1"/>
      <c r="BA32" s="1"/>
      <c r="BB32" s="1"/>
      <c r="BC32" s="1221" t="str">
        <f>R32</f>
        <v/>
      </c>
      <c r="BD32" s="1221"/>
      <c r="BE32" s="1221"/>
      <c r="BF32" s="1"/>
      <c r="BG32" s="1219">
        <f t="shared" si="5"/>
        <v>0</v>
      </c>
      <c r="BH32" s="1219"/>
      <c r="BI32" s="1219"/>
      <c r="BJ32" s="1219"/>
      <c r="BK32" s="1219"/>
      <c r="BL32" s="1219"/>
      <c r="BM32" s="1219"/>
      <c r="BN32" s="51"/>
      <c r="BO32" s="1219">
        <f t="shared" si="6"/>
        <v>0</v>
      </c>
      <c r="BP32" s="1219"/>
      <c r="BQ32" s="1219"/>
      <c r="BR32" s="1219"/>
      <c r="BS32" s="1219"/>
      <c r="BT32" s="1219"/>
      <c r="BU32" s="1219"/>
      <c r="BV32" s="3"/>
      <c r="BW32" s="44">
        <f>IF(ISTEXT(A32),IF(OR(SUM(V32:AB32)&lt;&gt;0,SUM(AD32:AJ32)&lt;&gt;0),1,0),1)</f>
        <v>0</v>
      </c>
      <c r="BX32" s="45">
        <f t="shared" si="0"/>
        <v>0</v>
      </c>
      <c r="BY32" s="45">
        <f t="shared" si="3"/>
        <v>0</v>
      </c>
    </row>
    <row r="33" spans="1:79" s="27" customFormat="1" ht="14.1" customHeight="1" x14ac:dyDescent="0.25">
      <c r="A33" s="52"/>
      <c r="B33" s="53"/>
      <c r="C33" s="47"/>
      <c r="D33" s="47"/>
      <c r="E33" s="1"/>
      <c r="F33" s="3"/>
      <c r="G33" s="1"/>
      <c r="H33" s="1"/>
      <c r="I33" s="1"/>
      <c r="J33" s="1"/>
      <c r="K33" s="1"/>
      <c r="L33" s="1"/>
      <c r="M33" s="1"/>
      <c r="N33" s="1"/>
      <c r="O33" s="1"/>
      <c r="P33" s="1"/>
      <c r="Q33" s="1"/>
      <c r="R33" s="1213"/>
      <c r="S33" s="1213"/>
      <c r="T33" s="1213"/>
      <c r="U33" s="1"/>
      <c r="V33" s="1219"/>
      <c r="W33" s="1219"/>
      <c r="X33" s="1219"/>
      <c r="Y33" s="1219"/>
      <c r="Z33" s="1219"/>
      <c r="AA33" s="1219"/>
      <c r="AB33" s="1219"/>
      <c r="AC33" s="51"/>
      <c r="AD33" s="1219"/>
      <c r="AE33" s="1219"/>
      <c r="AF33" s="1219"/>
      <c r="AG33" s="1219"/>
      <c r="AH33" s="1219"/>
      <c r="AI33" s="1219"/>
      <c r="AJ33" s="1219"/>
      <c r="AK33" s="4"/>
      <c r="AL33" s="52">
        <f t="shared" si="1"/>
        <v>0</v>
      </c>
      <c r="AM33" s="53"/>
      <c r="AN33" s="47"/>
      <c r="AO33" s="47"/>
      <c r="AP33" s="1"/>
      <c r="AQ33" s="3"/>
      <c r="AR33" s="1"/>
      <c r="AS33" s="1"/>
      <c r="AT33" s="1"/>
      <c r="AU33" s="1"/>
      <c r="AV33" s="1"/>
      <c r="AW33" s="1"/>
      <c r="AX33" s="1"/>
      <c r="AY33" s="1"/>
      <c r="AZ33" s="1"/>
      <c r="BA33" s="1"/>
      <c r="BB33" s="1"/>
      <c r="BC33" s="1213">
        <f t="shared" si="2"/>
        <v>0</v>
      </c>
      <c r="BD33" s="1213"/>
      <c r="BE33" s="1213"/>
      <c r="BF33" s="1"/>
      <c r="BG33" s="1219"/>
      <c r="BH33" s="1219"/>
      <c r="BI33" s="1219"/>
      <c r="BJ33" s="1219"/>
      <c r="BK33" s="1219"/>
      <c r="BL33" s="1219"/>
      <c r="BM33" s="1219"/>
      <c r="BN33" s="51"/>
      <c r="BO33" s="1219"/>
      <c r="BP33" s="1219"/>
      <c r="BQ33" s="1219"/>
      <c r="BR33" s="1219"/>
      <c r="BS33" s="1219"/>
      <c r="BT33" s="1219"/>
      <c r="BU33" s="1219"/>
      <c r="BV33" s="3"/>
      <c r="BW33" s="44">
        <f>$BW$34</f>
        <v>1</v>
      </c>
      <c r="BX33" s="45">
        <f t="shared" si="0"/>
        <v>0</v>
      </c>
      <c r="BY33" s="45">
        <f t="shared" si="3"/>
        <v>0</v>
      </c>
      <c r="CA33" s="28"/>
    </row>
    <row r="34" spans="1:79" s="1" customFormat="1" ht="15" customHeight="1" x14ac:dyDescent="0.25">
      <c r="A34" s="50" t="s">
        <v>35</v>
      </c>
      <c r="B34" s="59" t="s">
        <v>36</v>
      </c>
      <c r="C34" s="47"/>
      <c r="D34" s="47"/>
      <c r="F34" s="3"/>
      <c r="R34" s="1222">
        <f>IF(STT_HangTonKho1&lt;&gt;0,STT_HangTonKho,"")</f>
        <v>10</v>
      </c>
      <c r="S34" s="1222"/>
      <c r="T34" s="1222"/>
      <c r="V34" s="1220">
        <f>SUBTOTAL(109,V35:AB37)</f>
        <v>11399712658</v>
      </c>
      <c r="W34" s="1220"/>
      <c r="X34" s="1220"/>
      <c r="Y34" s="1220"/>
      <c r="Z34" s="1220"/>
      <c r="AA34" s="1220"/>
      <c r="AB34" s="1220"/>
      <c r="AC34" s="51"/>
      <c r="AD34" s="1220">
        <f>SUBTOTAL(109,AD35:AJ37)</f>
        <v>10855961973</v>
      </c>
      <c r="AE34" s="1220"/>
      <c r="AF34" s="1220"/>
      <c r="AG34" s="1220"/>
      <c r="AH34" s="1220"/>
      <c r="AI34" s="1220"/>
      <c r="AJ34" s="1220"/>
      <c r="AK34" s="11"/>
      <c r="AL34" s="50" t="str">
        <f t="shared" si="1"/>
        <v>140</v>
      </c>
      <c r="AM34" s="59" t="s">
        <v>37</v>
      </c>
      <c r="AN34" s="47"/>
      <c r="AO34" s="47"/>
      <c r="AQ34" s="3"/>
      <c r="BC34" s="1222">
        <f t="shared" si="2"/>
        <v>10</v>
      </c>
      <c r="BD34" s="1222"/>
      <c r="BE34" s="1222"/>
      <c r="BG34" s="1220">
        <f>V34</f>
        <v>11399712658</v>
      </c>
      <c r="BH34" s="1220"/>
      <c r="BI34" s="1220"/>
      <c r="BJ34" s="1220"/>
      <c r="BK34" s="1220"/>
      <c r="BL34" s="1220"/>
      <c r="BM34" s="1220"/>
      <c r="BN34" s="51"/>
      <c r="BO34" s="1220">
        <f>AD34</f>
        <v>10855961973</v>
      </c>
      <c r="BP34" s="1220"/>
      <c r="BQ34" s="1220"/>
      <c r="BR34" s="1220"/>
      <c r="BS34" s="1220"/>
      <c r="BT34" s="1220"/>
      <c r="BU34" s="1220"/>
      <c r="BV34" s="3"/>
      <c r="BW34" s="44">
        <f>IF(ISTEXT(A34),IF(SUM(BW35:BW36)&gt;0,1,0),1)</f>
        <v>1</v>
      </c>
      <c r="BX34" s="45">
        <f t="shared" si="0"/>
        <v>0</v>
      </c>
      <c r="BY34" s="45">
        <f t="shared" si="3"/>
        <v>0</v>
      </c>
      <c r="CA34" s="5"/>
    </row>
    <row r="35" spans="1:79" s="1" customFormat="1" ht="14.1" customHeight="1" x14ac:dyDescent="0.25">
      <c r="A35" s="52" t="s">
        <v>38</v>
      </c>
      <c r="B35" s="60" t="str">
        <f>SUBTOTAL(109,$BW$35:BW35)&amp;". Hàng tồn kho"</f>
        <v>1. Hàng tồn kho</v>
      </c>
      <c r="C35" s="60"/>
      <c r="D35" s="47"/>
      <c r="F35" s="3"/>
      <c r="R35" s="1221"/>
      <c r="S35" s="1221"/>
      <c r="T35" s="1221"/>
      <c r="V35" s="1219">
        <f>IF(ISBLANK($A35),0,VLOOKUP($A35,CDKT,MATCH($V$8,subTitle,0),0))</f>
        <v>16141765028</v>
      </c>
      <c r="W35" s="1219"/>
      <c r="X35" s="1219"/>
      <c r="Y35" s="1219"/>
      <c r="Z35" s="1219"/>
      <c r="AA35" s="1219"/>
      <c r="AB35" s="1219"/>
      <c r="AC35" s="51"/>
      <c r="AD35" s="1219">
        <f>IF(ISBLANK($A35),0,VLOOKUP($A35,CDKT,MATCH($AD$8,subTitle,0),0))</f>
        <v>12875003042</v>
      </c>
      <c r="AE35" s="1219"/>
      <c r="AF35" s="1219"/>
      <c r="AG35" s="1219"/>
      <c r="AH35" s="1219"/>
      <c r="AI35" s="1219"/>
      <c r="AJ35" s="1219"/>
      <c r="AK35" s="4"/>
      <c r="AL35" s="52" t="str">
        <f t="shared" si="1"/>
        <v>141</v>
      </c>
      <c r="AM35" s="60" t="str">
        <f>SUBTOTAL(109,$BW$35:BW35)&amp;". Inventories"</f>
        <v>1. Inventories</v>
      </c>
      <c r="AN35" s="47"/>
      <c r="AO35" s="47"/>
      <c r="AQ35" s="3"/>
      <c r="BC35" s="1221">
        <f t="shared" si="2"/>
        <v>0</v>
      </c>
      <c r="BD35" s="1221"/>
      <c r="BE35" s="1221"/>
      <c r="BG35" s="1219">
        <f>V35</f>
        <v>16141765028</v>
      </c>
      <c r="BH35" s="1219"/>
      <c r="BI35" s="1219"/>
      <c r="BJ35" s="1219"/>
      <c r="BK35" s="1219"/>
      <c r="BL35" s="1219"/>
      <c r="BM35" s="1219"/>
      <c r="BN35" s="51"/>
      <c r="BO35" s="1219">
        <f>AD35</f>
        <v>12875003042</v>
      </c>
      <c r="BP35" s="1219"/>
      <c r="BQ35" s="1219"/>
      <c r="BR35" s="1219"/>
      <c r="BS35" s="1219"/>
      <c r="BT35" s="1219"/>
      <c r="BU35" s="1219"/>
      <c r="BV35" s="3"/>
      <c r="BW35" s="44">
        <f t="shared" si="4"/>
        <v>1</v>
      </c>
      <c r="BX35" s="45">
        <f t="shared" si="0"/>
        <v>0</v>
      </c>
      <c r="BY35" s="45">
        <f t="shared" si="3"/>
        <v>0</v>
      </c>
      <c r="CA35" s="5"/>
    </row>
    <row r="36" spans="1:79" s="27" customFormat="1" ht="14.1" customHeight="1" x14ac:dyDescent="0.25">
      <c r="A36" s="52" t="s">
        <v>39</v>
      </c>
      <c r="B36" s="60" t="str">
        <f>SUBTOTAL(109,$BW$35:BW36)&amp;". Dự phòng giảm giá hàng tồn kho"</f>
        <v>2. Dự phòng giảm giá hàng tồn kho</v>
      </c>
      <c r="C36" s="60"/>
      <c r="D36" s="47"/>
      <c r="E36" s="1"/>
      <c r="F36" s="3"/>
      <c r="G36" s="1"/>
      <c r="H36" s="1"/>
      <c r="I36" s="1"/>
      <c r="J36" s="1"/>
      <c r="K36" s="1"/>
      <c r="L36" s="1"/>
      <c r="M36" s="1"/>
      <c r="N36" s="1"/>
      <c r="O36" s="1"/>
      <c r="P36" s="1"/>
      <c r="Q36" s="1"/>
      <c r="R36" s="1213"/>
      <c r="S36" s="1213"/>
      <c r="T36" s="1213"/>
      <c r="U36" s="1"/>
      <c r="V36" s="1219">
        <f>IF(ISBLANK($A36),0,VLOOKUP($A36,CDKT,MATCH($V$8,subTitle,0),0))</f>
        <v>-4742052370</v>
      </c>
      <c r="W36" s="1219"/>
      <c r="X36" s="1219"/>
      <c r="Y36" s="1219"/>
      <c r="Z36" s="1219"/>
      <c r="AA36" s="1219"/>
      <c r="AB36" s="1219"/>
      <c r="AC36" s="51"/>
      <c r="AD36" s="1219">
        <f>IF(ISBLANK($A36),0,VLOOKUP($A36,CDKT,MATCH($AD$8,subTitle,0),0))</f>
        <v>-2019041069</v>
      </c>
      <c r="AE36" s="1219"/>
      <c r="AF36" s="1219"/>
      <c r="AG36" s="1219"/>
      <c r="AH36" s="1219"/>
      <c r="AI36" s="1219"/>
      <c r="AJ36" s="1219"/>
      <c r="AK36" s="4"/>
      <c r="AL36" s="52" t="str">
        <f t="shared" si="1"/>
        <v>149</v>
      </c>
      <c r="AM36" s="60" t="str">
        <f>SUBTOTAL(109,$BW$35:BW36)&amp;". Provision against devaluation of inventories"</f>
        <v>2. Provision against devaluation of inventories</v>
      </c>
      <c r="AN36" s="47"/>
      <c r="AO36" s="47"/>
      <c r="AP36" s="1"/>
      <c r="AQ36" s="3"/>
      <c r="AR36" s="1"/>
      <c r="AS36" s="1"/>
      <c r="AT36" s="1"/>
      <c r="AU36" s="1"/>
      <c r="AV36" s="1"/>
      <c r="AW36" s="1"/>
      <c r="AX36" s="1"/>
      <c r="AY36" s="1"/>
      <c r="AZ36" s="1"/>
      <c r="BA36" s="1"/>
      <c r="BB36" s="1"/>
      <c r="BC36" s="1213">
        <f t="shared" si="2"/>
        <v>0</v>
      </c>
      <c r="BD36" s="1213"/>
      <c r="BE36" s="1213"/>
      <c r="BF36" s="1"/>
      <c r="BG36" s="1219">
        <f>V36</f>
        <v>-4742052370</v>
      </c>
      <c r="BH36" s="1219"/>
      <c r="BI36" s="1219"/>
      <c r="BJ36" s="1219"/>
      <c r="BK36" s="1219"/>
      <c r="BL36" s="1219"/>
      <c r="BM36" s="1219"/>
      <c r="BN36" s="51"/>
      <c r="BO36" s="1219">
        <f>AD36</f>
        <v>-2019041069</v>
      </c>
      <c r="BP36" s="1219"/>
      <c r="BQ36" s="1219"/>
      <c r="BR36" s="1219"/>
      <c r="BS36" s="1219"/>
      <c r="BT36" s="1219"/>
      <c r="BU36" s="1219"/>
      <c r="BV36" s="3"/>
      <c r="BW36" s="44">
        <f t="shared" si="4"/>
        <v>1</v>
      </c>
      <c r="BX36" s="45">
        <f t="shared" si="0"/>
        <v>0</v>
      </c>
      <c r="BY36" s="45">
        <f t="shared" si="3"/>
        <v>0</v>
      </c>
      <c r="CA36" s="28"/>
    </row>
    <row r="37" spans="1:79" s="27" customFormat="1" ht="14.1" customHeight="1" x14ac:dyDescent="0.25">
      <c r="A37" s="52"/>
      <c r="B37" s="53"/>
      <c r="C37" s="47"/>
      <c r="D37" s="47"/>
      <c r="E37" s="1"/>
      <c r="F37" s="3"/>
      <c r="G37" s="1"/>
      <c r="H37" s="1"/>
      <c r="I37" s="1"/>
      <c r="J37" s="1"/>
      <c r="K37" s="1"/>
      <c r="L37" s="1"/>
      <c r="M37" s="1"/>
      <c r="N37" s="1"/>
      <c r="O37" s="1"/>
      <c r="P37" s="1"/>
      <c r="Q37" s="1"/>
      <c r="R37" s="1213"/>
      <c r="S37" s="1213"/>
      <c r="T37" s="1213"/>
      <c r="U37" s="1"/>
      <c r="V37" s="1219"/>
      <c r="W37" s="1219"/>
      <c r="X37" s="1219"/>
      <c r="Y37" s="1219"/>
      <c r="Z37" s="1219"/>
      <c r="AA37" s="1219"/>
      <c r="AB37" s="1219"/>
      <c r="AC37" s="51"/>
      <c r="AD37" s="1219"/>
      <c r="AE37" s="1219"/>
      <c r="AF37" s="1219"/>
      <c r="AG37" s="1219"/>
      <c r="AH37" s="1219"/>
      <c r="AI37" s="1219"/>
      <c r="AJ37" s="1219"/>
      <c r="AK37" s="4"/>
      <c r="AL37" s="52">
        <f t="shared" si="1"/>
        <v>0</v>
      </c>
      <c r="AM37" s="53"/>
      <c r="AN37" s="47"/>
      <c r="AO37" s="47"/>
      <c r="AP37" s="1"/>
      <c r="AQ37" s="3"/>
      <c r="AR37" s="1"/>
      <c r="AS37" s="1"/>
      <c r="AT37" s="1"/>
      <c r="AU37" s="1"/>
      <c r="AV37" s="1"/>
      <c r="AW37" s="1"/>
      <c r="AX37" s="1"/>
      <c r="AY37" s="1"/>
      <c r="AZ37" s="1"/>
      <c r="BA37" s="1"/>
      <c r="BB37" s="1"/>
      <c r="BC37" s="1213">
        <f t="shared" si="2"/>
        <v>0</v>
      </c>
      <c r="BD37" s="1213"/>
      <c r="BE37" s="1213"/>
      <c r="BF37" s="1"/>
      <c r="BG37" s="1219"/>
      <c r="BH37" s="1219"/>
      <c r="BI37" s="1219"/>
      <c r="BJ37" s="1219"/>
      <c r="BK37" s="1219"/>
      <c r="BL37" s="1219"/>
      <c r="BM37" s="1219"/>
      <c r="BN37" s="51"/>
      <c r="BO37" s="1219"/>
      <c r="BP37" s="1219"/>
      <c r="BQ37" s="1219"/>
      <c r="BR37" s="1219"/>
      <c r="BS37" s="1219"/>
      <c r="BT37" s="1219"/>
      <c r="BU37" s="1219"/>
      <c r="BV37" s="3"/>
      <c r="BW37" s="44">
        <f>$BW$38</f>
        <v>1</v>
      </c>
      <c r="BX37" s="45">
        <f t="shared" si="0"/>
        <v>0</v>
      </c>
      <c r="BY37" s="45">
        <f t="shared" si="3"/>
        <v>0</v>
      </c>
      <c r="CA37" s="28"/>
    </row>
    <row r="38" spans="1:79" s="27" customFormat="1" ht="15" customHeight="1" x14ac:dyDescent="0.25">
      <c r="A38" s="50" t="s">
        <v>40</v>
      </c>
      <c r="B38" s="59" t="s">
        <v>41</v>
      </c>
      <c r="C38" s="47"/>
      <c r="D38" s="47"/>
      <c r="E38" s="1"/>
      <c r="F38" s="3"/>
      <c r="G38" s="1"/>
      <c r="H38" s="1"/>
      <c r="I38" s="1"/>
      <c r="J38" s="1"/>
      <c r="K38" s="1"/>
      <c r="L38" s="1"/>
      <c r="M38" s="1"/>
      <c r="N38" s="1"/>
      <c r="O38" s="1"/>
      <c r="P38" s="1"/>
      <c r="Q38" s="1"/>
      <c r="R38" s="1213"/>
      <c r="S38" s="1213"/>
      <c r="T38" s="1213"/>
      <c r="U38" s="1"/>
      <c r="V38" s="1220">
        <f>SUBTOTAL(109,V39:AB44)</f>
        <v>0</v>
      </c>
      <c r="W38" s="1220"/>
      <c r="X38" s="1220"/>
      <c r="Y38" s="1220"/>
      <c r="Z38" s="1220"/>
      <c r="AA38" s="1220"/>
      <c r="AB38" s="1220"/>
      <c r="AC38" s="51"/>
      <c r="AD38" s="1220">
        <f>SUBTOTAL(109,AD39:AJ44)</f>
        <v>138346565</v>
      </c>
      <c r="AE38" s="1220"/>
      <c r="AF38" s="1220"/>
      <c r="AG38" s="1220"/>
      <c r="AH38" s="1220"/>
      <c r="AI38" s="1220"/>
      <c r="AJ38" s="1220"/>
      <c r="AK38" s="11"/>
      <c r="AL38" s="50" t="str">
        <f t="shared" si="1"/>
        <v>150</v>
      </c>
      <c r="AM38" s="59" t="s">
        <v>42</v>
      </c>
      <c r="AN38" s="47"/>
      <c r="AO38" s="47"/>
      <c r="AP38" s="1"/>
      <c r="AQ38" s="3"/>
      <c r="AR38" s="1"/>
      <c r="AS38" s="1"/>
      <c r="AT38" s="1"/>
      <c r="AU38" s="1"/>
      <c r="AV38" s="1"/>
      <c r="AW38" s="1"/>
      <c r="AX38" s="1"/>
      <c r="AY38" s="1"/>
      <c r="AZ38" s="1"/>
      <c r="BA38" s="1"/>
      <c r="BB38" s="1"/>
      <c r="BC38" s="1213">
        <f t="shared" si="2"/>
        <v>0</v>
      </c>
      <c r="BD38" s="1213"/>
      <c r="BE38" s="1213"/>
      <c r="BF38" s="1"/>
      <c r="BG38" s="1220">
        <f t="shared" ref="BG38:BG43" si="9">V38</f>
        <v>0</v>
      </c>
      <c r="BH38" s="1220"/>
      <c r="BI38" s="1220"/>
      <c r="BJ38" s="1220"/>
      <c r="BK38" s="1220"/>
      <c r="BL38" s="1220"/>
      <c r="BM38" s="1220"/>
      <c r="BN38" s="51"/>
      <c r="BO38" s="1220">
        <f t="shared" ref="BO38:BO43" si="10">AD38</f>
        <v>138346565</v>
      </c>
      <c r="BP38" s="1220"/>
      <c r="BQ38" s="1220"/>
      <c r="BR38" s="1220"/>
      <c r="BS38" s="1220"/>
      <c r="BT38" s="1220"/>
      <c r="BU38" s="1220"/>
      <c r="BV38" s="3"/>
      <c r="BW38" s="44">
        <f>IF(ISTEXT(A38),IF(SUM(BW39:BW43)&gt;0,1,0),1)</f>
        <v>1</v>
      </c>
      <c r="BX38" s="45">
        <f t="shared" si="0"/>
        <v>0</v>
      </c>
      <c r="BY38" s="45">
        <f t="shared" si="3"/>
        <v>0</v>
      </c>
      <c r="CA38" s="28"/>
    </row>
    <row r="39" spans="1:79" s="27" customFormat="1" ht="14.1" hidden="1" customHeight="1" x14ac:dyDescent="0.25">
      <c r="A39" s="52" t="s">
        <v>43</v>
      </c>
      <c r="B39" s="60" t="str">
        <f>SUBTOTAL(109,$BW$39:BW39)&amp;". Chi phí trả trước ngắn hạn"</f>
        <v>0. Chi phí trả trước ngắn hạn</v>
      </c>
      <c r="C39" s="60"/>
      <c r="D39" s="47"/>
      <c r="E39" s="1"/>
      <c r="F39" s="3"/>
      <c r="G39" s="1"/>
      <c r="H39" s="1"/>
      <c r="I39" s="1"/>
      <c r="J39" s="1"/>
      <c r="K39" s="1"/>
      <c r="L39" s="1"/>
      <c r="M39" s="1"/>
      <c r="N39" s="1"/>
      <c r="O39" s="1"/>
      <c r="P39" s="1"/>
      <c r="Q39" s="1"/>
      <c r="R39" s="1221">
        <f>IF(STT_CPTraTruoc1&lt;&gt;0,STT_CPTraTruoc,"")</f>
        <v>14</v>
      </c>
      <c r="S39" s="1221"/>
      <c r="T39" s="1221"/>
      <c r="U39" s="1"/>
      <c r="V39" s="1219">
        <f>IF(ISBLANK($A39),0,VLOOKUP($A39,CDKT,MATCH($V$8,subTitle,0),0))</f>
        <v>0</v>
      </c>
      <c r="W39" s="1219"/>
      <c r="X39" s="1219"/>
      <c r="Y39" s="1219"/>
      <c r="Z39" s="1219"/>
      <c r="AA39" s="1219"/>
      <c r="AB39" s="1219"/>
      <c r="AC39" s="51"/>
      <c r="AD39" s="1219">
        <f>IF(ISBLANK($A39),0,VLOOKUP($A39,CDKT,MATCH($AD$8,subTitle,0),0))</f>
        <v>0</v>
      </c>
      <c r="AE39" s="1219"/>
      <c r="AF39" s="1219"/>
      <c r="AG39" s="1219"/>
      <c r="AH39" s="1219"/>
      <c r="AI39" s="1219"/>
      <c r="AJ39" s="1219"/>
      <c r="AK39" s="4"/>
      <c r="AL39" s="52" t="str">
        <f t="shared" si="1"/>
        <v>151</v>
      </c>
      <c r="AM39" s="60" t="str">
        <f>SUBTOTAL(109,$BW$39:BW39)&amp;". Short-term prepaid expenses"</f>
        <v>0. Short-term prepaid expenses</v>
      </c>
      <c r="AN39" s="47"/>
      <c r="AO39" s="47"/>
      <c r="AP39" s="1"/>
      <c r="AQ39" s="3"/>
      <c r="AR39" s="1"/>
      <c r="AS39" s="1"/>
      <c r="AT39" s="1"/>
      <c r="AU39" s="1"/>
      <c r="AV39" s="1"/>
      <c r="AW39" s="1"/>
      <c r="AX39" s="1"/>
      <c r="AY39" s="1"/>
      <c r="AZ39" s="1"/>
      <c r="BA39" s="1"/>
      <c r="BB39" s="1"/>
      <c r="BC39" s="1213">
        <f t="shared" si="2"/>
        <v>14</v>
      </c>
      <c r="BD39" s="1213"/>
      <c r="BE39" s="1213"/>
      <c r="BF39" s="1"/>
      <c r="BG39" s="1219">
        <f t="shared" si="9"/>
        <v>0</v>
      </c>
      <c r="BH39" s="1219"/>
      <c r="BI39" s="1219"/>
      <c r="BJ39" s="1219"/>
      <c r="BK39" s="1219"/>
      <c r="BL39" s="1219"/>
      <c r="BM39" s="1219"/>
      <c r="BN39" s="51"/>
      <c r="BO39" s="1219">
        <f t="shared" si="10"/>
        <v>0</v>
      </c>
      <c r="BP39" s="1219"/>
      <c r="BQ39" s="1219"/>
      <c r="BR39" s="1219"/>
      <c r="BS39" s="1219"/>
      <c r="BT39" s="1219"/>
      <c r="BU39" s="1219"/>
      <c r="BV39" s="3"/>
      <c r="BW39" s="44">
        <f t="shared" si="4"/>
        <v>0</v>
      </c>
      <c r="BX39" s="45">
        <f t="shared" si="0"/>
        <v>0</v>
      </c>
      <c r="BY39" s="45">
        <f t="shared" si="3"/>
        <v>0</v>
      </c>
      <c r="CA39" s="28"/>
    </row>
    <row r="40" spans="1:79" s="27" customFormat="1" ht="14.1" customHeight="1" x14ac:dyDescent="0.25">
      <c r="A40" s="52" t="s">
        <v>44</v>
      </c>
      <c r="B40" s="60" t="str">
        <f>SUBTOTAL(109,$BW$39:BW40)&amp;". Thuế GTGT được khấu trừ"</f>
        <v>1. Thuế GTGT được khấu trừ</v>
      </c>
      <c r="C40" s="60"/>
      <c r="D40" s="47"/>
      <c r="E40" s="1"/>
      <c r="F40" s="3"/>
      <c r="G40" s="1"/>
      <c r="H40" s="1"/>
      <c r="I40" s="1"/>
      <c r="J40" s="1"/>
      <c r="K40" s="1"/>
      <c r="L40" s="1"/>
      <c r="M40" s="1"/>
      <c r="N40" s="1"/>
      <c r="O40" s="1"/>
      <c r="P40" s="1"/>
      <c r="Q40" s="1"/>
      <c r="R40" s="1213"/>
      <c r="S40" s="1213"/>
      <c r="T40" s="1213"/>
      <c r="U40" s="1"/>
      <c r="V40" s="1219">
        <f>IF(ISBLANK($A40),0,VLOOKUP($A40,CDKT,MATCH($V$8,subTitle,0),0))</f>
        <v>0</v>
      </c>
      <c r="W40" s="1219"/>
      <c r="X40" s="1219"/>
      <c r="Y40" s="1219"/>
      <c r="Z40" s="1219"/>
      <c r="AA40" s="1219"/>
      <c r="AB40" s="1219"/>
      <c r="AC40" s="51"/>
      <c r="AD40" s="1219">
        <f>IF(ISBLANK($A40),0,VLOOKUP($A40,CDKT,MATCH($AD$8,subTitle,0),0))</f>
        <v>138346565</v>
      </c>
      <c r="AE40" s="1219"/>
      <c r="AF40" s="1219"/>
      <c r="AG40" s="1219"/>
      <c r="AH40" s="1219"/>
      <c r="AI40" s="1219"/>
      <c r="AJ40" s="1219"/>
      <c r="AK40" s="4"/>
      <c r="AL40" s="52" t="str">
        <f t="shared" si="1"/>
        <v>152</v>
      </c>
      <c r="AM40" s="60" t="str">
        <f>SUBTOTAL(109,$BW$39:BW40)&amp;". Deductible value added tax"</f>
        <v>1. Deductible value added tax</v>
      </c>
      <c r="AN40" s="47"/>
      <c r="AO40" s="47"/>
      <c r="AP40" s="1"/>
      <c r="AQ40" s="3"/>
      <c r="AR40" s="1"/>
      <c r="AS40" s="1"/>
      <c r="AT40" s="1"/>
      <c r="AU40" s="1"/>
      <c r="AV40" s="1"/>
      <c r="AW40" s="1"/>
      <c r="AX40" s="1"/>
      <c r="AY40" s="1"/>
      <c r="AZ40" s="1"/>
      <c r="BA40" s="1"/>
      <c r="BB40" s="1"/>
      <c r="BC40" s="1213">
        <f t="shared" si="2"/>
        <v>0</v>
      </c>
      <c r="BD40" s="1213"/>
      <c r="BE40" s="1213"/>
      <c r="BF40" s="1"/>
      <c r="BG40" s="1219">
        <f t="shared" si="9"/>
        <v>0</v>
      </c>
      <c r="BH40" s="1219"/>
      <c r="BI40" s="1219"/>
      <c r="BJ40" s="1219"/>
      <c r="BK40" s="1219"/>
      <c r="BL40" s="1219"/>
      <c r="BM40" s="1219"/>
      <c r="BN40" s="51"/>
      <c r="BO40" s="1219">
        <f t="shared" si="10"/>
        <v>138346565</v>
      </c>
      <c r="BP40" s="1219"/>
      <c r="BQ40" s="1219"/>
      <c r="BR40" s="1219"/>
      <c r="BS40" s="1219"/>
      <c r="BT40" s="1219"/>
      <c r="BU40" s="1219"/>
      <c r="BV40" s="3"/>
      <c r="BW40" s="44">
        <f t="shared" si="4"/>
        <v>1</v>
      </c>
      <c r="BX40" s="45">
        <f t="shared" si="0"/>
        <v>0</v>
      </c>
      <c r="BY40" s="45">
        <f t="shared" si="3"/>
        <v>0</v>
      </c>
      <c r="CA40" s="28"/>
    </row>
    <row r="41" spans="1:79" s="27" customFormat="1" ht="15" hidden="1" customHeight="1" x14ac:dyDescent="0.25">
      <c r="A41" s="52" t="s">
        <v>45</v>
      </c>
      <c r="B41" s="60" t="str">
        <f>SUBTOTAL(109,$BW$39:BW41)&amp;". Thuế và các khoản khác phải thu Nhà nước"</f>
        <v>1. Thuế và các khoản khác phải thu Nhà nước</v>
      </c>
      <c r="C41" s="60"/>
      <c r="D41" s="47"/>
      <c r="E41" s="1"/>
      <c r="F41" s="3"/>
      <c r="G41" s="1"/>
      <c r="H41" s="1"/>
      <c r="I41" s="1"/>
      <c r="J41" s="1"/>
      <c r="K41" s="1"/>
      <c r="L41" s="1"/>
      <c r="M41" s="1"/>
      <c r="N41" s="1"/>
      <c r="O41" s="1"/>
      <c r="P41" s="1"/>
      <c r="Q41" s="1"/>
      <c r="R41" s="1221">
        <f>IF(STT_ThuevaCacKhoanPN1&lt;&gt;0,STT_ThuevaCacKhoanPN,"")</f>
        <v>18</v>
      </c>
      <c r="S41" s="1221"/>
      <c r="T41" s="1221"/>
      <c r="U41" s="1"/>
      <c r="V41" s="1219">
        <f>IF(ISBLANK($A41),0,VLOOKUP($A41,CDKT,MATCH($V$8,subTitle,0),0))</f>
        <v>0</v>
      </c>
      <c r="W41" s="1219"/>
      <c r="X41" s="1219"/>
      <c r="Y41" s="1219"/>
      <c r="Z41" s="1219"/>
      <c r="AA41" s="1219"/>
      <c r="AB41" s="1219"/>
      <c r="AC41" s="51"/>
      <c r="AD41" s="1219">
        <f>IF(ISBLANK($A41),0,VLOOKUP($A41,CDKT,MATCH($AD$8,subTitle,0),0))</f>
        <v>0</v>
      </c>
      <c r="AE41" s="1219"/>
      <c r="AF41" s="1219"/>
      <c r="AG41" s="1219"/>
      <c r="AH41" s="1219"/>
      <c r="AI41" s="1219"/>
      <c r="AJ41" s="1219"/>
      <c r="AK41" s="4"/>
      <c r="AL41" s="52" t="str">
        <f t="shared" si="1"/>
        <v>153</v>
      </c>
      <c r="AM41" s="1225" t="str">
        <f>SUBTOTAL(109,$BW$39:BW41)&amp;". Taxes and other receivables from the State budget"</f>
        <v>1. Taxes and other receivables from the State budget</v>
      </c>
      <c r="AN41" s="1225"/>
      <c r="AO41" s="1225"/>
      <c r="AP41" s="1225"/>
      <c r="AQ41" s="1225"/>
      <c r="AR41" s="1225"/>
      <c r="AS41" s="1225"/>
      <c r="AT41" s="1225"/>
      <c r="AU41" s="1225"/>
      <c r="AV41" s="1225"/>
      <c r="AW41" s="1225"/>
      <c r="AX41" s="1225"/>
      <c r="AY41" s="1225"/>
      <c r="AZ41" s="1225"/>
      <c r="BA41" s="1225"/>
      <c r="BB41" s="1225"/>
      <c r="BC41" s="1221">
        <f t="shared" si="2"/>
        <v>18</v>
      </c>
      <c r="BD41" s="1221"/>
      <c r="BE41" s="1221"/>
      <c r="BF41" s="1"/>
      <c r="BG41" s="1219">
        <f t="shared" si="9"/>
        <v>0</v>
      </c>
      <c r="BH41" s="1219"/>
      <c r="BI41" s="1219"/>
      <c r="BJ41" s="1219"/>
      <c r="BK41" s="1219"/>
      <c r="BL41" s="1219"/>
      <c r="BM41" s="1219"/>
      <c r="BN41" s="51"/>
      <c r="BO41" s="1219">
        <f t="shared" si="10"/>
        <v>0</v>
      </c>
      <c r="BP41" s="1219"/>
      <c r="BQ41" s="1219"/>
      <c r="BR41" s="1219"/>
      <c r="BS41" s="1219"/>
      <c r="BT41" s="1219"/>
      <c r="BU41" s="1219"/>
      <c r="BV41" s="3"/>
      <c r="BW41" s="44">
        <f t="shared" si="4"/>
        <v>0</v>
      </c>
      <c r="BX41" s="45">
        <f t="shared" si="0"/>
        <v>0</v>
      </c>
      <c r="BY41" s="45">
        <f t="shared" si="3"/>
        <v>0</v>
      </c>
    </row>
    <row r="42" spans="1:79" s="27" customFormat="1" ht="14.1" hidden="1" customHeight="1" x14ac:dyDescent="0.25">
      <c r="A42" s="52" t="s">
        <v>46</v>
      </c>
      <c r="B42" s="60" t="str">
        <f>SUBTOTAL(109,$BW$39:BW42)&amp;". Giao dịch mua bán lại trái phiếu Chính phủ"</f>
        <v>1. Giao dịch mua bán lại trái phiếu Chính phủ</v>
      </c>
      <c r="C42" s="60"/>
      <c r="D42" s="47"/>
      <c r="E42" s="1"/>
      <c r="F42" s="3"/>
      <c r="G42" s="1"/>
      <c r="H42" s="1"/>
      <c r="I42" s="1"/>
      <c r="J42" s="1"/>
      <c r="K42" s="1"/>
      <c r="L42" s="1"/>
      <c r="M42" s="1"/>
      <c r="N42" s="1"/>
      <c r="O42" s="1"/>
      <c r="P42" s="1"/>
      <c r="Q42" s="1"/>
      <c r="R42" s="1213"/>
      <c r="S42" s="1213"/>
      <c r="T42" s="1213"/>
      <c r="U42" s="1"/>
      <c r="V42" s="1219">
        <f>IF(ISBLANK($A42),0,VLOOKUP($A42,CDKT,MATCH($V$8,subTitle,0),0))</f>
        <v>0</v>
      </c>
      <c r="W42" s="1219"/>
      <c r="X42" s="1219"/>
      <c r="Y42" s="1219"/>
      <c r="Z42" s="1219"/>
      <c r="AA42" s="1219"/>
      <c r="AB42" s="1219"/>
      <c r="AC42" s="51"/>
      <c r="AD42" s="1219">
        <f>IF(ISBLANK($A42),0,VLOOKUP($A42,CDKT,MATCH($AD$8,subTitle,0),0))</f>
        <v>0</v>
      </c>
      <c r="AE42" s="1219"/>
      <c r="AF42" s="1219"/>
      <c r="AG42" s="1219"/>
      <c r="AH42" s="1219"/>
      <c r="AI42" s="1219"/>
      <c r="AJ42" s="1219"/>
      <c r="AK42" s="4"/>
      <c r="AL42" s="52" t="str">
        <f t="shared" si="1"/>
        <v>154</v>
      </c>
      <c r="AM42" s="60" t="str">
        <f>SUBTOTAL(109,$BW$39:BW42)&amp;". Purchase and resale of Government bonds"</f>
        <v>1. Purchase and resale of Government bonds</v>
      </c>
      <c r="AN42" s="47"/>
      <c r="AO42" s="47"/>
      <c r="AP42" s="1"/>
      <c r="AQ42" s="3"/>
      <c r="AR42" s="1"/>
      <c r="AS42" s="1"/>
      <c r="AT42" s="1"/>
      <c r="AU42" s="1"/>
      <c r="AV42" s="1"/>
      <c r="AW42" s="1"/>
      <c r="AX42" s="1"/>
      <c r="AY42" s="1"/>
      <c r="AZ42" s="1"/>
      <c r="BA42" s="1"/>
      <c r="BB42" s="1"/>
      <c r="BC42" s="1213">
        <f>R42</f>
        <v>0</v>
      </c>
      <c r="BD42" s="1213"/>
      <c r="BE42" s="1213"/>
      <c r="BF42" s="1"/>
      <c r="BG42" s="1219">
        <f t="shared" si="9"/>
        <v>0</v>
      </c>
      <c r="BH42" s="1219"/>
      <c r="BI42" s="1219"/>
      <c r="BJ42" s="1219"/>
      <c r="BK42" s="1219"/>
      <c r="BL42" s="1219"/>
      <c r="BM42" s="1219"/>
      <c r="BN42" s="51"/>
      <c r="BO42" s="1219">
        <f t="shared" si="10"/>
        <v>0</v>
      </c>
      <c r="BP42" s="1219"/>
      <c r="BQ42" s="1219"/>
      <c r="BR42" s="1219"/>
      <c r="BS42" s="1219"/>
      <c r="BT42" s="1219"/>
      <c r="BU42" s="1219"/>
      <c r="BV42" s="3"/>
      <c r="BW42" s="44">
        <f>IF(ISTEXT(A42),IF(OR(SUM(V42:AB42)&lt;&gt;0,SUM(AD42:AJ42)&lt;&gt;0),1,0),1)</f>
        <v>0</v>
      </c>
      <c r="BX42" s="45">
        <f t="shared" si="0"/>
        <v>0</v>
      </c>
      <c r="BY42" s="45">
        <f t="shared" si="3"/>
        <v>0</v>
      </c>
    </row>
    <row r="43" spans="1:79" s="27" customFormat="1" ht="14.1" hidden="1" customHeight="1" x14ac:dyDescent="0.25">
      <c r="A43" s="52" t="s">
        <v>47</v>
      </c>
      <c r="B43" s="60" t="str">
        <f>SUBTOTAL(109,$BW$39:BW43)&amp;". Tài sản ngắn hạn khác"</f>
        <v>1. Tài sản ngắn hạn khác</v>
      </c>
      <c r="C43" s="60"/>
      <c r="D43" s="47"/>
      <c r="E43" s="1"/>
      <c r="F43" s="3"/>
      <c r="G43" s="1"/>
      <c r="H43" s="1"/>
      <c r="I43" s="1"/>
      <c r="J43" s="1"/>
      <c r="K43" s="1"/>
      <c r="L43" s="1"/>
      <c r="M43" s="1"/>
      <c r="N43" s="1"/>
      <c r="O43" s="1"/>
      <c r="P43" s="1"/>
      <c r="Q43" s="1"/>
      <c r="R43" s="1213" t="str">
        <f>IF(STT_TSKhac1&lt;&gt;0,STT_TSKhac,"")</f>
        <v/>
      </c>
      <c r="S43" s="1213"/>
      <c r="T43" s="1213"/>
      <c r="U43" s="1"/>
      <c r="V43" s="1219">
        <f>IF(ISBLANK($A43),0,VLOOKUP($A43,CDKT,MATCH($V$8,subTitle,0),0))</f>
        <v>0</v>
      </c>
      <c r="W43" s="1219"/>
      <c r="X43" s="1219"/>
      <c r="Y43" s="1219"/>
      <c r="Z43" s="1219"/>
      <c r="AA43" s="1219"/>
      <c r="AB43" s="1219"/>
      <c r="AC43" s="51"/>
      <c r="AD43" s="1219">
        <f>IF(ISBLANK($A43),0,VLOOKUP($A43,CDKT,MATCH($AD$8,subTitle,0),0))</f>
        <v>0</v>
      </c>
      <c r="AE43" s="1219"/>
      <c r="AF43" s="1219"/>
      <c r="AG43" s="1219"/>
      <c r="AH43" s="1219"/>
      <c r="AI43" s="1219"/>
      <c r="AJ43" s="1219"/>
      <c r="AK43" s="4"/>
      <c r="AL43" s="52" t="str">
        <f t="shared" si="1"/>
        <v>155</v>
      </c>
      <c r="AM43" s="60" t="str">
        <f>SUBTOTAL(109,$BW$39:BW43)&amp;". Other short-term assets"</f>
        <v>1. Other short-term assets</v>
      </c>
      <c r="AN43" s="47"/>
      <c r="AO43" s="47"/>
      <c r="AP43" s="1"/>
      <c r="AQ43" s="3"/>
      <c r="AR43" s="1"/>
      <c r="AS43" s="1"/>
      <c r="AT43" s="1"/>
      <c r="AU43" s="1"/>
      <c r="AV43" s="1"/>
      <c r="AW43" s="1"/>
      <c r="AX43" s="1"/>
      <c r="AY43" s="1"/>
      <c r="AZ43" s="1"/>
      <c r="BA43" s="1"/>
      <c r="BB43" s="1"/>
      <c r="BC43" s="1213" t="str">
        <f t="shared" si="2"/>
        <v/>
      </c>
      <c r="BD43" s="1213"/>
      <c r="BE43" s="1213"/>
      <c r="BF43" s="1"/>
      <c r="BG43" s="1219">
        <f t="shared" si="9"/>
        <v>0</v>
      </c>
      <c r="BH43" s="1219"/>
      <c r="BI43" s="1219"/>
      <c r="BJ43" s="1219"/>
      <c r="BK43" s="1219"/>
      <c r="BL43" s="1219"/>
      <c r="BM43" s="1219"/>
      <c r="BN43" s="51"/>
      <c r="BO43" s="1219">
        <f t="shared" si="10"/>
        <v>0</v>
      </c>
      <c r="BP43" s="1219"/>
      <c r="BQ43" s="1219"/>
      <c r="BR43" s="1219"/>
      <c r="BS43" s="1219"/>
      <c r="BT43" s="1219"/>
      <c r="BU43" s="1219"/>
      <c r="BV43" s="3"/>
      <c r="BW43" s="44">
        <f t="shared" si="4"/>
        <v>0</v>
      </c>
      <c r="BX43" s="45">
        <f t="shared" si="0"/>
        <v>0</v>
      </c>
      <c r="BY43" s="45">
        <f t="shared" si="3"/>
        <v>0</v>
      </c>
    </row>
    <row r="44" spans="1:79" s="27" customFormat="1" ht="14.1" customHeight="1" x14ac:dyDescent="0.25">
      <c r="A44" s="52"/>
      <c r="B44" s="53"/>
      <c r="C44" s="47"/>
      <c r="D44" s="47"/>
      <c r="E44" s="1"/>
      <c r="F44" s="3"/>
      <c r="G44" s="1"/>
      <c r="H44" s="1"/>
      <c r="I44" s="1"/>
      <c r="J44" s="1"/>
      <c r="K44" s="1"/>
      <c r="L44" s="1"/>
      <c r="M44" s="1"/>
      <c r="N44" s="1"/>
      <c r="O44" s="1"/>
      <c r="P44" s="1"/>
      <c r="Q44" s="1"/>
      <c r="R44" s="1213"/>
      <c r="S44" s="1213"/>
      <c r="T44" s="1213"/>
      <c r="U44" s="1"/>
      <c r="V44" s="1219"/>
      <c r="W44" s="1219"/>
      <c r="X44" s="1219"/>
      <c r="Y44" s="1219"/>
      <c r="Z44" s="1219"/>
      <c r="AA44" s="1219"/>
      <c r="AB44" s="1219"/>
      <c r="AC44" s="51"/>
      <c r="AD44" s="1219"/>
      <c r="AE44" s="1219"/>
      <c r="AF44" s="1219"/>
      <c r="AG44" s="1219"/>
      <c r="AH44" s="1219"/>
      <c r="AI44" s="1219"/>
      <c r="AJ44" s="1219"/>
      <c r="AK44" s="4"/>
      <c r="AL44" s="52">
        <f t="shared" si="1"/>
        <v>0</v>
      </c>
      <c r="AM44" s="53"/>
      <c r="AN44" s="47"/>
      <c r="AO44" s="47"/>
      <c r="AP44" s="1"/>
      <c r="AQ44" s="3"/>
      <c r="AR44" s="1"/>
      <c r="AS44" s="1"/>
      <c r="AT44" s="1"/>
      <c r="AU44" s="1"/>
      <c r="AV44" s="1"/>
      <c r="AW44" s="1"/>
      <c r="AX44" s="1"/>
      <c r="AY44" s="1"/>
      <c r="AZ44" s="1"/>
      <c r="BA44" s="1"/>
      <c r="BB44" s="1"/>
      <c r="BC44" s="1213">
        <f t="shared" si="2"/>
        <v>0</v>
      </c>
      <c r="BD44" s="1213"/>
      <c r="BE44" s="1213"/>
      <c r="BF44" s="1"/>
      <c r="BG44" s="1219"/>
      <c r="BH44" s="1219"/>
      <c r="BI44" s="1219"/>
      <c r="BJ44" s="1219"/>
      <c r="BK44" s="1219"/>
      <c r="BL44" s="1219"/>
      <c r="BM44" s="1219"/>
      <c r="BN44" s="51"/>
      <c r="BO44" s="1219"/>
      <c r="BP44" s="1219"/>
      <c r="BQ44" s="1219"/>
      <c r="BR44" s="1219"/>
      <c r="BS44" s="1219"/>
      <c r="BT44" s="1219"/>
      <c r="BU44" s="1219"/>
      <c r="BV44" s="3"/>
      <c r="BW44" s="44">
        <f>$BW$45</f>
        <v>1</v>
      </c>
      <c r="BX44" s="45">
        <f t="shared" si="0"/>
        <v>0</v>
      </c>
      <c r="BY44" s="45">
        <f t="shared" si="3"/>
        <v>0</v>
      </c>
      <c r="CA44" s="28"/>
    </row>
    <row r="45" spans="1:79" s="27" customFormat="1" ht="15" customHeight="1" x14ac:dyDescent="0.25">
      <c r="A45" s="50" t="s">
        <v>48</v>
      </c>
      <c r="B45" s="61" t="s">
        <v>49</v>
      </c>
      <c r="C45" s="47"/>
      <c r="D45" s="47"/>
      <c r="E45" s="1"/>
      <c r="F45" s="3"/>
      <c r="G45" s="1"/>
      <c r="H45" s="1"/>
      <c r="I45" s="1"/>
      <c r="J45" s="1"/>
      <c r="K45" s="1"/>
      <c r="L45" s="1"/>
      <c r="M45" s="1"/>
      <c r="N45" s="1"/>
      <c r="O45" s="1"/>
      <c r="P45" s="1"/>
      <c r="Q45" s="1"/>
      <c r="R45" s="1213"/>
      <c r="S45" s="1213"/>
      <c r="T45" s="1213"/>
      <c r="U45" s="1"/>
      <c r="V45" s="1220">
        <f>SUBTOTAL(109,V46:AB86)</f>
        <v>16222727734</v>
      </c>
      <c r="W45" s="1220"/>
      <c r="X45" s="1220"/>
      <c r="Y45" s="1220"/>
      <c r="Z45" s="1220"/>
      <c r="AA45" s="1220"/>
      <c r="AB45" s="1220"/>
      <c r="AC45" s="51"/>
      <c r="AD45" s="1220">
        <f>SUBTOTAL(109,AD46:AJ86)</f>
        <v>17856313406</v>
      </c>
      <c r="AE45" s="1220"/>
      <c r="AF45" s="1220"/>
      <c r="AG45" s="1220"/>
      <c r="AH45" s="1220"/>
      <c r="AI45" s="1220"/>
      <c r="AJ45" s="1220"/>
      <c r="AK45" s="11"/>
      <c r="AL45" s="50" t="str">
        <f t="shared" si="1"/>
        <v>200</v>
      </c>
      <c r="AM45" s="61" t="s">
        <v>50</v>
      </c>
      <c r="AN45" s="47"/>
      <c r="AO45" s="47"/>
      <c r="AP45" s="1"/>
      <c r="AQ45" s="3"/>
      <c r="AR45" s="1"/>
      <c r="AS45" s="1"/>
      <c r="AT45" s="1"/>
      <c r="AU45" s="1"/>
      <c r="AV45" s="1"/>
      <c r="AW45" s="1"/>
      <c r="AX45" s="1"/>
      <c r="AY45" s="1"/>
      <c r="AZ45" s="1"/>
      <c r="BA45" s="1"/>
      <c r="BB45" s="1"/>
      <c r="BC45" s="1213">
        <f t="shared" si="2"/>
        <v>0</v>
      </c>
      <c r="BD45" s="1213"/>
      <c r="BE45" s="1213"/>
      <c r="BF45" s="1"/>
      <c r="BG45" s="1220">
        <f>V45</f>
        <v>16222727734</v>
      </c>
      <c r="BH45" s="1220"/>
      <c r="BI45" s="1220"/>
      <c r="BJ45" s="1220"/>
      <c r="BK45" s="1220"/>
      <c r="BL45" s="1220"/>
      <c r="BM45" s="1220"/>
      <c r="BN45" s="51"/>
      <c r="BO45" s="1220">
        <f>AD45</f>
        <v>17856313406</v>
      </c>
      <c r="BP45" s="1220"/>
      <c r="BQ45" s="1220"/>
      <c r="BR45" s="1220"/>
      <c r="BS45" s="1220"/>
      <c r="BT45" s="1220"/>
      <c r="BU45" s="1220"/>
      <c r="BV45" s="3"/>
      <c r="BW45" s="44">
        <f>IF(ISTEXT(A45),IF(SUM(BW46:BW86)&gt;0,1,0),1)</f>
        <v>1</v>
      </c>
      <c r="BX45" s="45">
        <f t="shared" si="0"/>
        <v>0</v>
      </c>
      <c r="BY45" s="45">
        <f t="shared" si="3"/>
        <v>0</v>
      </c>
      <c r="CA45" s="28"/>
    </row>
    <row r="46" spans="1:79" s="27" customFormat="1" ht="14.1" customHeight="1" x14ac:dyDescent="0.25">
      <c r="A46" s="52"/>
      <c r="B46" s="1"/>
      <c r="C46" s="47"/>
      <c r="D46" s="47"/>
      <c r="E46" s="1"/>
      <c r="F46" s="3"/>
      <c r="G46" s="1"/>
      <c r="H46" s="1"/>
      <c r="I46" s="1"/>
      <c r="J46" s="1"/>
      <c r="K46" s="1"/>
      <c r="L46" s="1"/>
      <c r="M46" s="1"/>
      <c r="N46" s="1"/>
      <c r="O46" s="1"/>
      <c r="P46" s="1"/>
      <c r="Q46" s="1"/>
      <c r="R46" s="1213"/>
      <c r="S46" s="1213"/>
      <c r="T46" s="1213"/>
      <c r="U46" s="1"/>
      <c r="V46" s="1219"/>
      <c r="W46" s="1219"/>
      <c r="X46" s="1219"/>
      <c r="Y46" s="1219"/>
      <c r="Z46" s="1219"/>
      <c r="AA46" s="1219"/>
      <c r="AB46" s="1219"/>
      <c r="AC46" s="51"/>
      <c r="AD46" s="1219"/>
      <c r="AE46" s="1219"/>
      <c r="AF46" s="1219"/>
      <c r="AG46" s="1219"/>
      <c r="AH46" s="1219"/>
      <c r="AI46" s="1219"/>
      <c r="AJ46" s="1219"/>
      <c r="AK46" s="4"/>
      <c r="AL46" s="52">
        <f t="shared" si="1"/>
        <v>0</v>
      </c>
      <c r="AM46" s="1"/>
      <c r="AN46" s="47"/>
      <c r="AO46" s="47"/>
      <c r="AP46" s="1"/>
      <c r="AQ46" s="3"/>
      <c r="AR46" s="1"/>
      <c r="AS46" s="1"/>
      <c r="AT46" s="1"/>
      <c r="AU46" s="1"/>
      <c r="AV46" s="1"/>
      <c r="AW46" s="1"/>
      <c r="AX46" s="1"/>
      <c r="AY46" s="1"/>
      <c r="AZ46" s="1"/>
      <c r="BA46" s="1"/>
      <c r="BB46" s="1"/>
      <c r="BC46" s="1213">
        <f t="shared" si="2"/>
        <v>0</v>
      </c>
      <c r="BD46" s="1213"/>
      <c r="BE46" s="1213"/>
      <c r="BF46" s="1"/>
      <c r="BG46" s="1219"/>
      <c r="BH46" s="1219"/>
      <c r="BI46" s="1219"/>
      <c r="BJ46" s="1219"/>
      <c r="BK46" s="1219"/>
      <c r="BL46" s="1219"/>
      <c r="BM46" s="1219"/>
      <c r="BN46" s="51"/>
      <c r="BO46" s="1219"/>
      <c r="BP46" s="1219"/>
      <c r="BQ46" s="1219"/>
      <c r="BR46" s="1219"/>
      <c r="BS46" s="1219"/>
      <c r="BT46" s="1219"/>
      <c r="BU46" s="1219"/>
      <c r="BV46" s="3"/>
      <c r="BW46" s="44">
        <f>$BW$47</f>
        <v>1</v>
      </c>
      <c r="BX46" s="45">
        <f t="shared" si="0"/>
        <v>0</v>
      </c>
      <c r="BY46" s="45">
        <f t="shared" si="3"/>
        <v>0</v>
      </c>
      <c r="CA46" s="28"/>
    </row>
    <row r="47" spans="1:79" s="27" customFormat="1" ht="15" customHeight="1" x14ac:dyDescent="0.25">
      <c r="A47" s="50" t="s">
        <v>51</v>
      </c>
      <c r="B47" s="9" t="s">
        <v>52</v>
      </c>
      <c r="C47" s="47"/>
      <c r="D47" s="47"/>
      <c r="E47" s="1"/>
      <c r="F47" s="3"/>
      <c r="G47" s="1"/>
      <c r="H47" s="1"/>
      <c r="I47" s="1"/>
      <c r="J47" s="1"/>
      <c r="K47" s="1"/>
      <c r="L47" s="1"/>
      <c r="M47" s="1"/>
      <c r="N47" s="1"/>
      <c r="O47" s="1"/>
      <c r="P47" s="1"/>
      <c r="Q47" s="1"/>
      <c r="R47" s="1213"/>
      <c r="S47" s="1213"/>
      <c r="T47" s="1213"/>
      <c r="U47" s="1"/>
      <c r="V47" s="1220">
        <f>SUBTOTAL(109,V48:AB55)</f>
        <v>0</v>
      </c>
      <c r="W47" s="1220"/>
      <c r="X47" s="1220"/>
      <c r="Y47" s="1220"/>
      <c r="Z47" s="1220"/>
      <c r="AA47" s="1220"/>
      <c r="AB47" s="1220"/>
      <c r="AC47" s="51"/>
      <c r="AD47" s="1220">
        <f>SUBTOTAL(109,AD48:AJ55)</f>
        <v>205000000</v>
      </c>
      <c r="AE47" s="1220"/>
      <c r="AF47" s="1220"/>
      <c r="AG47" s="1220"/>
      <c r="AH47" s="1220"/>
      <c r="AI47" s="1220"/>
      <c r="AJ47" s="1220"/>
      <c r="AK47" s="11"/>
      <c r="AL47" s="50" t="str">
        <f t="shared" si="1"/>
        <v>210</v>
      </c>
      <c r="AM47" s="9" t="s">
        <v>53</v>
      </c>
      <c r="AN47" s="47"/>
      <c r="AO47" s="47"/>
      <c r="AP47" s="1"/>
      <c r="AQ47" s="3"/>
      <c r="AR47" s="1"/>
      <c r="AS47" s="1"/>
      <c r="AT47" s="1"/>
      <c r="AU47" s="1"/>
      <c r="AV47" s="1"/>
      <c r="AW47" s="1"/>
      <c r="AX47" s="1"/>
      <c r="AY47" s="1"/>
      <c r="AZ47" s="1"/>
      <c r="BA47" s="1"/>
      <c r="BB47" s="1"/>
      <c r="BC47" s="1213">
        <f t="shared" si="2"/>
        <v>0</v>
      </c>
      <c r="BD47" s="1213"/>
      <c r="BE47" s="1213"/>
      <c r="BF47" s="1"/>
      <c r="BG47" s="1220">
        <f t="shared" ref="BG47:BG54" si="11">V47</f>
        <v>0</v>
      </c>
      <c r="BH47" s="1220"/>
      <c r="BI47" s="1220"/>
      <c r="BJ47" s="1220"/>
      <c r="BK47" s="1220"/>
      <c r="BL47" s="1220"/>
      <c r="BM47" s="1220"/>
      <c r="BN47" s="51"/>
      <c r="BO47" s="1220">
        <f t="shared" ref="BO47:BO54" si="12">AD47</f>
        <v>205000000</v>
      </c>
      <c r="BP47" s="1220"/>
      <c r="BQ47" s="1220"/>
      <c r="BR47" s="1220"/>
      <c r="BS47" s="1220"/>
      <c r="BT47" s="1220"/>
      <c r="BU47" s="1220"/>
      <c r="BV47" s="3"/>
      <c r="BW47" s="44">
        <f>IF(ISTEXT(A47),IF(SUM(BW48:BW54)&gt;0,1,0),1)</f>
        <v>1</v>
      </c>
      <c r="BX47" s="45">
        <f t="shared" si="0"/>
        <v>0</v>
      </c>
      <c r="BY47" s="45">
        <f t="shared" si="3"/>
        <v>0</v>
      </c>
      <c r="CA47" s="28"/>
    </row>
    <row r="48" spans="1:79" s="27" customFormat="1" ht="14.1" hidden="1" customHeight="1" x14ac:dyDescent="0.25">
      <c r="A48" s="52" t="s">
        <v>54</v>
      </c>
      <c r="B48" s="1" t="str">
        <f>SUBTOTAL(109,$BW$48:BW48)&amp;". Phải thu dài hạn của khách hàng"</f>
        <v>0. Phải thu dài hạn của khách hàng</v>
      </c>
      <c r="C48" s="1"/>
      <c r="D48" s="47"/>
      <c r="E48" s="1"/>
      <c r="F48" s="3"/>
      <c r="G48" s="1"/>
      <c r="H48" s="1"/>
      <c r="I48" s="1"/>
      <c r="J48" s="1"/>
      <c r="K48" s="1"/>
      <c r="L48" s="1"/>
      <c r="M48" s="1"/>
      <c r="N48" s="1"/>
      <c r="O48" s="1"/>
      <c r="P48" s="1"/>
      <c r="Q48" s="1"/>
      <c r="R48" s="1221">
        <f>IF(STT_PhaiThuKH1&lt;&gt;0,STT_PhaiThuKH,"")</f>
        <v>5</v>
      </c>
      <c r="S48" s="1221"/>
      <c r="T48" s="1221"/>
      <c r="U48" s="1"/>
      <c r="V48" s="1219">
        <f t="shared" ref="V48:V54" si="13">IF(ISBLANK($A48),0,VLOOKUP($A48,CDKT,MATCH($V$8,subTitle,0),0))</f>
        <v>0</v>
      </c>
      <c r="W48" s="1219"/>
      <c r="X48" s="1219"/>
      <c r="Y48" s="1219"/>
      <c r="Z48" s="1219"/>
      <c r="AA48" s="1219"/>
      <c r="AB48" s="1219"/>
      <c r="AC48" s="51"/>
      <c r="AD48" s="1219">
        <f t="shared" ref="AD48:AD54" si="14">IF(ISBLANK($A48),0,VLOOKUP($A48,CDKT,MATCH($AD$8,subTitle,0),0))</f>
        <v>0</v>
      </c>
      <c r="AE48" s="1219"/>
      <c r="AF48" s="1219"/>
      <c r="AG48" s="1219"/>
      <c r="AH48" s="1219"/>
      <c r="AI48" s="1219"/>
      <c r="AJ48" s="1219"/>
      <c r="AK48" s="4"/>
      <c r="AL48" s="52" t="str">
        <f t="shared" si="1"/>
        <v>211</v>
      </c>
      <c r="AM48" s="1" t="str">
        <f>SUBTOTAL(109,$BW$48:BW48)&amp;". Long-term trade receivables"</f>
        <v>0. Long-term trade receivables</v>
      </c>
      <c r="AN48" s="47"/>
      <c r="AO48" s="47"/>
      <c r="AP48" s="1"/>
      <c r="AQ48" s="3"/>
      <c r="AR48" s="1"/>
      <c r="AS48" s="1"/>
      <c r="AT48" s="1"/>
      <c r="AU48" s="1"/>
      <c r="AV48" s="1"/>
      <c r="AW48" s="1"/>
      <c r="AX48" s="1"/>
      <c r="AY48" s="1"/>
      <c r="AZ48" s="1"/>
      <c r="BA48" s="1"/>
      <c r="BB48" s="1"/>
      <c r="BC48" s="1221">
        <f t="shared" si="2"/>
        <v>5</v>
      </c>
      <c r="BD48" s="1221"/>
      <c r="BE48" s="1221"/>
      <c r="BF48" s="1"/>
      <c r="BG48" s="1219">
        <f t="shared" si="11"/>
        <v>0</v>
      </c>
      <c r="BH48" s="1219"/>
      <c r="BI48" s="1219"/>
      <c r="BJ48" s="1219"/>
      <c r="BK48" s="1219"/>
      <c r="BL48" s="1219"/>
      <c r="BM48" s="1219"/>
      <c r="BN48" s="51"/>
      <c r="BO48" s="1219">
        <f t="shared" si="12"/>
        <v>0</v>
      </c>
      <c r="BP48" s="1219"/>
      <c r="BQ48" s="1219"/>
      <c r="BR48" s="1219"/>
      <c r="BS48" s="1219"/>
      <c r="BT48" s="1219"/>
      <c r="BU48" s="1219"/>
      <c r="BV48" s="3"/>
      <c r="BW48" s="44">
        <f t="shared" si="4"/>
        <v>0</v>
      </c>
      <c r="BX48" s="45">
        <f t="shared" si="0"/>
        <v>0</v>
      </c>
      <c r="BY48" s="45">
        <f t="shared" si="3"/>
        <v>0</v>
      </c>
    </row>
    <row r="49" spans="1:79" s="27" customFormat="1" ht="14.1" hidden="1" customHeight="1" x14ac:dyDescent="0.25">
      <c r="A49" s="62" t="s">
        <v>55</v>
      </c>
      <c r="B49" s="1" t="str">
        <f>SUBTOTAL(109,$BW$48:BW49)&amp;". Trả trước cho người bán dài hạn"</f>
        <v>0. Trả trước cho người bán dài hạn</v>
      </c>
      <c r="C49" s="47"/>
      <c r="D49" s="47"/>
      <c r="E49" s="47"/>
      <c r="F49" s="63"/>
      <c r="G49" s="47"/>
      <c r="H49" s="47"/>
      <c r="I49" s="47"/>
      <c r="J49" s="47"/>
      <c r="K49" s="47"/>
      <c r="L49" s="47"/>
      <c r="M49" s="47"/>
      <c r="N49" s="47"/>
      <c r="O49" s="47"/>
      <c r="P49" s="47"/>
      <c r="Q49" s="47"/>
      <c r="R49" s="1221">
        <f>IF(STT_TraTruocNguoiBan1&lt;&gt;0,STT_TraTruocNguoiBan,"")</f>
        <v>6</v>
      </c>
      <c r="S49" s="1221"/>
      <c r="T49" s="1221"/>
      <c r="U49" s="47"/>
      <c r="V49" s="1219">
        <f t="shared" si="13"/>
        <v>0</v>
      </c>
      <c r="W49" s="1219"/>
      <c r="X49" s="1219"/>
      <c r="Y49" s="1219"/>
      <c r="Z49" s="1219"/>
      <c r="AA49" s="1219"/>
      <c r="AB49" s="1219"/>
      <c r="AC49" s="64"/>
      <c r="AD49" s="1219">
        <f t="shared" si="14"/>
        <v>0</v>
      </c>
      <c r="AE49" s="1219"/>
      <c r="AF49" s="1219"/>
      <c r="AG49" s="1219"/>
      <c r="AH49" s="1219"/>
      <c r="AI49" s="1219"/>
      <c r="AJ49" s="1219"/>
      <c r="AK49" s="4"/>
      <c r="AL49" s="62" t="str">
        <f t="shared" si="1"/>
        <v>212</v>
      </c>
      <c r="AM49" s="1" t="str">
        <f>SUBTOTAL(109,$BW$48:BW49)&amp;". Long-term prepayment to suppliers"</f>
        <v>0. Long-term prepayment to suppliers</v>
      </c>
      <c r="AN49" s="47"/>
      <c r="AO49" s="47"/>
      <c r="AP49" s="47"/>
      <c r="AQ49" s="63"/>
      <c r="AR49" s="47"/>
      <c r="AS49" s="47"/>
      <c r="AT49" s="47"/>
      <c r="AU49" s="47"/>
      <c r="AV49" s="47"/>
      <c r="AW49" s="47"/>
      <c r="AX49" s="47"/>
      <c r="AY49" s="47"/>
      <c r="AZ49" s="47"/>
      <c r="BA49" s="47"/>
      <c r="BB49" s="47"/>
      <c r="BC49" s="1227"/>
      <c r="BD49" s="1227"/>
      <c r="BE49" s="1227"/>
      <c r="BF49" s="47"/>
      <c r="BG49" s="1219">
        <f t="shared" si="11"/>
        <v>0</v>
      </c>
      <c r="BH49" s="1219"/>
      <c r="BI49" s="1219"/>
      <c r="BJ49" s="1219"/>
      <c r="BK49" s="1219"/>
      <c r="BL49" s="1219"/>
      <c r="BM49" s="1219"/>
      <c r="BN49" s="64"/>
      <c r="BO49" s="1219">
        <f t="shared" si="12"/>
        <v>0</v>
      </c>
      <c r="BP49" s="1219"/>
      <c r="BQ49" s="1219"/>
      <c r="BR49" s="1219"/>
      <c r="BS49" s="1219"/>
      <c r="BT49" s="1219"/>
      <c r="BU49" s="1219"/>
      <c r="BV49" s="3"/>
      <c r="BW49" s="44">
        <f>IF(ISTEXT(A49),IF(OR(SUM(V49:AB49)&lt;&gt;0,SUM(AD49:AJ49)&lt;&gt;0),1,0),1)</f>
        <v>0</v>
      </c>
      <c r="BX49" s="45">
        <f t="shared" si="0"/>
        <v>0</v>
      </c>
      <c r="BY49" s="45">
        <f t="shared" si="3"/>
        <v>0</v>
      </c>
    </row>
    <row r="50" spans="1:79" s="27" customFormat="1" ht="14.1" hidden="1" customHeight="1" x14ac:dyDescent="0.25">
      <c r="A50" s="52" t="s">
        <v>56</v>
      </c>
      <c r="B50" s="1" t="str">
        <f>SUBTOTAL(109,$BW$48:BW50)&amp;". Vốn kinh doanh ở đơn vị trực thuộc"</f>
        <v>0. Vốn kinh doanh ở đơn vị trực thuộc</v>
      </c>
      <c r="C50" s="1"/>
      <c r="D50" s="47"/>
      <c r="E50" s="1"/>
      <c r="F50" s="3"/>
      <c r="G50" s="1"/>
      <c r="H50" s="1"/>
      <c r="I50" s="1"/>
      <c r="J50" s="1"/>
      <c r="K50" s="1"/>
      <c r="L50" s="1"/>
      <c r="M50" s="1"/>
      <c r="N50" s="1"/>
      <c r="O50" s="1"/>
      <c r="P50" s="1"/>
      <c r="Q50" s="1"/>
      <c r="R50" s="1221"/>
      <c r="S50" s="1221"/>
      <c r="T50" s="1221"/>
      <c r="U50" s="1"/>
      <c r="V50" s="1219">
        <f t="shared" si="13"/>
        <v>0</v>
      </c>
      <c r="W50" s="1219"/>
      <c r="X50" s="1219"/>
      <c r="Y50" s="1219"/>
      <c r="Z50" s="1219"/>
      <c r="AA50" s="1219"/>
      <c r="AB50" s="1219"/>
      <c r="AC50" s="51"/>
      <c r="AD50" s="1219">
        <f t="shared" si="14"/>
        <v>0</v>
      </c>
      <c r="AE50" s="1219"/>
      <c r="AF50" s="1219"/>
      <c r="AG50" s="1219"/>
      <c r="AH50" s="1219"/>
      <c r="AI50" s="1219"/>
      <c r="AJ50" s="1219"/>
      <c r="AK50" s="4"/>
      <c r="AL50" s="52" t="str">
        <f t="shared" si="1"/>
        <v>213</v>
      </c>
      <c r="AM50" s="1" t="str">
        <f>SUBTOTAL(109,$BW$48:BW50)&amp;". Working captital provided to sub-units"</f>
        <v>0. Working captital provided to sub-units</v>
      </c>
      <c r="AN50" s="47"/>
      <c r="AO50" s="47"/>
      <c r="AP50" s="1"/>
      <c r="AQ50" s="3"/>
      <c r="AR50" s="1"/>
      <c r="AS50" s="1"/>
      <c r="AT50" s="1"/>
      <c r="AU50" s="1"/>
      <c r="AV50" s="1"/>
      <c r="AW50" s="1"/>
      <c r="AX50" s="1"/>
      <c r="AY50" s="1"/>
      <c r="AZ50" s="1"/>
      <c r="BA50" s="1"/>
      <c r="BB50" s="1"/>
      <c r="BC50" s="1221">
        <f t="shared" si="2"/>
        <v>0</v>
      </c>
      <c r="BD50" s="1221"/>
      <c r="BE50" s="1221"/>
      <c r="BF50" s="1"/>
      <c r="BG50" s="1219">
        <f t="shared" si="11"/>
        <v>0</v>
      </c>
      <c r="BH50" s="1219"/>
      <c r="BI50" s="1219"/>
      <c r="BJ50" s="1219"/>
      <c r="BK50" s="1219"/>
      <c r="BL50" s="1219"/>
      <c r="BM50" s="1219"/>
      <c r="BN50" s="51"/>
      <c r="BO50" s="1219">
        <f t="shared" si="12"/>
        <v>0</v>
      </c>
      <c r="BP50" s="1219"/>
      <c r="BQ50" s="1219"/>
      <c r="BR50" s="1219"/>
      <c r="BS50" s="1219"/>
      <c r="BT50" s="1219"/>
      <c r="BU50" s="1219"/>
      <c r="BV50" s="3"/>
      <c r="BW50" s="44">
        <f t="shared" si="4"/>
        <v>0</v>
      </c>
      <c r="BX50" s="45">
        <f t="shared" si="0"/>
        <v>0</v>
      </c>
      <c r="BY50" s="45">
        <f t="shared" si="3"/>
        <v>0</v>
      </c>
    </row>
    <row r="51" spans="1:79" s="27" customFormat="1" ht="14.1" hidden="1" customHeight="1" x14ac:dyDescent="0.25">
      <c r="A51" s="52" t="s">
        <v>57</v>
      </c>
      <c r="B51" s="1" t="str">
        <f>SUBTOTAL(109,$BW$48:BW51)&amp;". Phải thu nội bộ dài hạn"</f>
        <v>0. Phải thu nội bộ dài hạn</v>
      </c>
      <c r="C51" s="1"/>
      <c r="D51" s="47"/>
      <c r="E51" s="1"/>
      <c r="F51" s="3"/>
      <c r="G51" s="1"/>
      <c r="H51" s="1"/>
      <c r="I51" s="1"/>
      <c r="J51" s="1"/>
      <c r="K51" s="1"/>
      <c r="L51" s="1"/>
      <c r="M51" s="1"/>
      <c r="N51" s="1"/>
      <c r="O51" s="1"/>
      <c r="P51" s="1"/>
      <c r="Q51" s="1"/>
      <c r="R51" s="1213">
        <f>IF(STT_PhaiThuNoiBo1&lt;&gt;0,STT_PhaiThuNoiBo,"")</f>
        <v>7</v>
      </c>
      <c r="S51" s="1213"/>
      <c r="T51" s="1213"/>
      <c r="U51" s="1"/>
      <c r="V51" s="1219">
        <f t="shared" si="13"/>
        <v>0</v>
      </c>
      <c r="W51" s="1219"/>
      <c r="X51" s="1219"/>
      <c r="Y51" s="1219"/>
      <c r="Z51" s="1219"/>
      <c r="AA51" s="1219"/>
      <c r="AB51" s="1219"/>
      <c r="AC51" s="51"/>
      <c r="AD51" s="1219">
        <f t="shared" si="14"/>
        <v>0</v>
      </c>
      <c r="AE51" s="1219"/>
      <c r="AF51" s="1219"/>
      <c r="AG51" s="1219"/>
      <c r="AH51" s="1219"/>
      <c r="AI51" s="1219"/>
      <c r="AJ51" s="1219"/>
      <c r="AK51" s="4"/>
      <c r="AL51" s="52" t="str">
        <f t="shared" si="1"/>
        <v>214</v>
      </c>
      <c r="AM51" s="1" t="str">
        <f>SUBTOTAL(109,$BW$48:BW51)&amp;". Long-term intra-company receivables"</f>
        <v>0. Long-term intra-company receivables</v>
      </c>
      <c r="AN51" s="47"/>
      <c r="AO51" s="47"/>
      <c r="AP51" s="1"/>
      <c r="AQ51" s="3"/>
      <c r="AR51" s="1"/>
      <c r="AS51" s="1"/>
      <c r="AT51" s="1"/>
      <c r="AU51" s="1"/>
      <c r="AV51" s="1"/>
      <c r="AW51" s="1"/>
      <c r="AX51" s="1"/>
      <c r="AY51" s="1"/>
      <c r="AZ51" s="1"/>
      <c r="BA51" s="1"/>
      <c r="BB51" s="1"/>
      <c r="BC51" s="1213">
        <f t="shared" si="2"/>
        <v>7</v>
      </c>
      <c r="BD51" s="1213"/>
      <c r="BE51" s="1213"/>
      <c r="BF51" s="1"/>
      <c r="BG51" s="1219">
        <f t="shared" si="11"/>
        <v>0</v>
      </c>
      <c r="BH51" s="1219"/>
      <c r="BI51" s="1219"/>
      <c r="BJ51" s="1219"/>
      <c r="BK51" s="1219"/>
      <c r="BL51" s="1219"/>
      <c r="BM51" s="1219"/>
      <c r="BN51" s="51"/>
      <c r="BO51" s="1219">
        <f t="shared" si="12"/>
        <v>0</v>
      </c>
      <c r="BP51" s="1219"/>
      <c r="BQ51" s="1219"/>
      <c r="BR51" s="1219"/>
      <c r="BS51" s="1219"/>
      <c r="BT51" s="1219"/>
      <c r="BU51" s="1219"/>
      <c r="BV51" s="3"/>
      <c r="BW51" s="44">
        <f t="shared" si="4"/>
        <v>0</v>
      </c>
      <c r="BX51" s="45">
        <f t="shared" si="0"/>
        <v>0</v>
      </c>
      <c r="BY51" s="45">
        <f t="shared" si="3"/>
        <v>0</v>
      </c>
    </row>
    <row r="52" spans="1:79" s="27" customFormat="1" ht="14.1" customHeight="1" x14ac:dyDescent="0.25">
      <c r="A52" s="52" t="s">
        <v>58</v>
      </c>
      <c r="B52" s="1" t="str">
        <f>SUBTOTAL(109,$BW$48:BW52)&amp;". Phải thu về cho vay dài hạn"</f>
        <v>1. Phải thu về cho vay dài hạn</v>
      </c>
      <c r="C52" s="1"/>
      <c r="D52" s="47"/>
      <c r="E52" s="1"/>
      <c r="F52" s="3"/>
      <c r="G52" s="1"/>
      <c r="H52" s="1"/>
      <c r="I52" s="1"/>
      <c r="J52" s="1"/>
      <c r="K52" s="1"/>
      <c r="L52" s="1"/>
      <c r="M52" s="1"/>
      <c r="N52" s="1"/>
      <c r="O52" s="1"/>
      <c r="P52" s="1"/>
      <c r="Q52" s="1"/>
      <c r="R52" s="1226">
        <f>[1]Thuyet_minh!$A$587</f>
        <v>7</v>
      </c>
      <c r="S52" s="1213"/>
      <c r="T52" s="1213"/>
      <c r="U52" s="1"/>
      <c r="V52" s="1219">
        <f t="shared" si="13"/>
        <v>0</v>
      </c>
      <c r="W52" s="1219"/>
      <c r="X52" s="1219"/>
      <c r="Y52" s="1219"/>
      <c r="Z52" s="1219"/>
      <c r="AA52" s="1219"/>
      <c r="AB52" s="1219"/>
      <c r="AC52" s="51"/>
      <c r="AD52" s="1219">
        <f t="shared" si="14"/>
        <v>205000000</v>
      </c>
      <c r="AE52" s="1219"/>
      <c r="AF52" s="1219"/>
      <c r="AG52" s="1219"/>
      <c r="AH52" s="1219"/>
      <c r="AI52" s="1219"/>
      <c r="AJ52" s="1219"/>
      <c r="AK52" s="4"/>
      <c r="AL52" s="52" t="str">
        <f t="shared" si="1"/>
        <v>215</v>
      </c>
      <c r="AM52" s="1" t="str">
        <f>SUBTOTAL(109,$BW$48:BW52)&amp;". Long-term loans receivables"</f>
        <v>1. Long-term loans receivables</v>
      </c>
      <c r="AN52" s="47"/>
      <c r="AO52" s="47"/>
      <c r="AP52" s="1"/>
      <c r="AQ52" s="3"/>
      <c r="AR52" s="1"/>
      <c r="AS52" s="1"/>
      <c r="AT52" s="1"/>
      <c r="AU52" s="1"/>
      <c r="AV52" s="1"/>
      <c r="AW52" s="1"/>
      <c r="AX52" s="1"/>
      <c r="AY52" s="1"/>
      <c r="AZ52" s="1"/>
      <c r="BA52" s="1"/>
      <c r="BB52" s="1"/>
      <c r="BC52" s="1213">
        <f t="shared" si="2"/>
        <v>7</v>
      </c>
      <c r="BD52" s="1213"/>
      <c r="BE52" s="1213"/>
      <c r="BF52" s="1"/>
      <c r="BG52" s="1219">
        <f t="shared" si="11"/>
        <v>0</v>
      </c>
      <c r="BH52" s="1219"/>
      <c r="BI52" s="1219"/>
      <c r="BJ52" s="1219"/>
      <c r="BK52" s="1219"/>
      <c r="BL52" s="1219"/>
      <c r="BM52" s="1219"/>
      <c r="BN52" s="51"/>
      <c r="BO52" s="1219">
        <f t="shared" si="12"/>
        <v>205000000</v>
      </c>
      <c r="BP52" s="1219"/>
      <c r="BQ52" s="1219"/>
      <c r="BR52" s="1219"/>
      <c r="BS52" s="1219"/>
      <c r="BT52" s="1219"/>
      <c r="BU52" s="1219"/>
      <c r="BV52" s="3"/>
      <c r="BW52" s="44">
        <f t="shared" si="4"/>
        <v>1</v>
      </c>
      <c r="BX52" s="45">
        <f t="shared" si="0"/>
        <v>0</v>
      </c>
      <c r="BY52" s="45">
        <f t="shared" si="3"/>
        <v>0</v>
      </c>
      <c r="CA52" s="28"/>
    </row>
    <row r="53" spans="1:79" s="27" customFormat="1" ht="14.1" hidden="1" customHeight="1" x14ac:dyDescent="0.25">
      <c r="A53" s="62" t="s">
        <v>59</v>
      </c>
      <c r="B53" s="1" t="str">
        <f>SUBTOTAL(109,$BW$48:BW53)&amp;". Phải thu dài hạn khác"</f>
        <v>1. Phải thu dài hạn khác</v>
      </c>
      <c r="C53" s="47"/>
      <c r="D53" s="47"/>
      <c r="E53" s="47"/>
      <c r="F53" s="63"/>
      <c r="G53" s="47"/>
      <c r="H53" s="47"/>
      <c r="I53" s="47"/>
      <c r="J53" s="47"/>
      <c r="K53" s="47"/>
      <c r="L53" s="47"/>
      <c r="M53" s="47"/>
      <c r="N53" s="47"/>
      <c r="O53" s="47"/>
      <c r="P53" s="47"/>
      <c r="Q53" s="47"/>
      <c r="R53" s="1228">
        <f>IF(STT_PhaiThuKhac1&lt;&gt;0,STT_PhaiThuKhac,"")</f>
        <v>8</v>
      </c>
      <c r="S53" s="1228"/>
      <c r="T53" s="1228"/>
      <c r="U53" s="47"/>
      <c r="V53" s="1219">
        <f t="shared" si="13"/>
        <v>0</v>
      </c>
      <c r="W53" s="1219"/>
      <c r="X53" s="1219"/>
      <c r="Y53" s="1219"/>
      <c r="Z53" s="1219"/>
      <c r="AA53" s="1219"/>
      <c r="AB53" s="1219"/>
      <c r="AC53" s="64"/>
      <c r="AD53" s="1219">
        <f t="shared" si="14"/>
        <v>0</v>
      </c>
      <c r="AE53" s="1219"/>
      <c r="AF53" s="1219"/>
      <c r="AG53" s="1219"/>
      <c r="AH53" s="1219"/>
      <c r="AI53" s="1219"/>
      <c r="AJ53" s="1219"/>
      <c r="AK53" s="4"/>
      <c r="AL53" s="62" t="str">
        <f t="shared" si="1"/>
        <v>216</v>
      </c>
      <c r="AM53" s="1" t="str">
        <f>SUBTOTAL(109,$BW$48:BW53)&amp;". Other long-term receivables"</f>
        <v>1. Other long-term receivables</v>
      </c>
      <c r="AN53" s="47"/>
      <c r="AO53" s="47"/>
      <c r="AP53" s="47"/>
      <c r="AQ53" s="63"/>
      <c r="AR53" s="47"/>
      <c r="AS53" s="47"/>
      <c r="AT53" s="47"/>
      <c r="AU53" s="47"/>
      <c r="AV53" s="47"/>
      <c r="AW53" s="47"/>
      <c r="AX53" s="47"/>
      <c r="AY53" s="47"/>
      <c r="AZ53" s="47"/>
      <c r="BA53" s="47"/>
      <c r="BB53" s="47"/>
      <c r="BC53" s="1213">
        <f>R53</f>
        <v>8</v>
      </c>
      <c r="BD53" s="1213"/>
      <c r="BE53" s="1213"/>
      <c r="BF53" s="47"/>
      <c r="BG53" s="1219">
        <f t="shared" si="11"/>
        <v>0</v>
      </c>
      <c r="BH53" s="1219"/>
      <c r="BI53" s="1219"/>
      <c r="BJ53" s="1219"/>
      <c r="BK53" s="1219"/>
      <c r="BL53" s="1219"/>
      <c r="BM53" s="1219"/>
      <c r="BN53" s="64"/>
      <c r="BO53" s="1219">
        <f t="shared" si="12"/>
        <v>0</v>
      </c>
      <c r="BP53" s="1219"/>
      <c r="BQ53" s="1219"/>
      <c r="BR53" s="1219"/>
      <c r="BS53" s="1219"/>
      <c r="BT53" s="1219"/>
      <c r="BU53" s="1219"/>
      <c r="BV53" s="3"/>
      <c r="BW53" s="44">
        <f>IF(ISTEXT(A53),IF(OR(SUM(V53:AB53)&lt;&gt;0,SUM(AD53:AJ53)&lt;&gt;0),1,0),1)</f>
        <v>0</v>
      </c>
      <c r="BX53" s="45">
        <f t="shared" si="0"/>
        <v>0</v>
      </c>
      <c r="BY53" s="45">
        <f t="shared" si="3"/>
        <v>0</v>
      </c>
    </row>
    <row r="54" spans="1:79" s="27" customFormat="1" ht="14.1" hidden="1" customHeight="1" x14ac:dyDescent="0.25">
      <c r="A54" s="52" t="s">
        <v>60</v>
      </c>
      <c r="B54" s="1" t="str">
        <f>SUBTOTAL(109,$BW$48:BW54)&amp;". Dự phòng phải thu dài hạn khó đòi"</f>
        <v>1. Dự phòng phải thu dài hạn khó đòi</v>
      </c>
      <c r="C54" s="1"/>
      <c r="D54" s="47"/>
      <c r="E54" s="1"/>
      <c r="F54" s="3"/>
      <c r="G54" s="1"/>
      <c r="H54" s="1"/>
      <c r="I54" s="1"/>
      <c r="J54" s="1"/>
      <c r="K54" s="1"/>
      <c r="L54" s="1"/>
      <c r="M54" s="1"/>
      <c r="N54" s="1"/>
      <c r="O54" s="1"/>
      <c r="P54" s="1"/>
      <c r="Q54" s="1"/>
      <c r="R54" s="1213"/>
      <c r="S54" s="1213"/>
      <c r="T54" s="1213"/>
      <c r="U54" s="1"/>
      <c r="V54" s="1219">
        <f t="shared" si="13"/>
        <v>0</v>
      </c>
      <c r="W54" s="1219"/>
      <c r="X54" s="1219"/>
      <c r="Y54" s="1219"/>
      <c r="Z54" s="1219"/>
      <c r="AA54" s="1219"/>
      <c r="AB54" s="1219"/>
      <c r="AC54" s="51"/>
      <c r="AD54" s="1219">
        <f t="shared" si="14"/>
        <v>0</v>
      </c>
      <c r="AE54" s="1219"/>
      <c r="AF54" s="1219"/>
      <c r="AG54" s="1219"/>
      <c r="AH54" s="1219"/>
      <c r="AI54" s="1219"/>
      <c r="AJ54" s="1219"/>
      <c r="AK54" s="4"/>
      <c r="AL54" s="52" t="str">
        <f t="shared" si="1"/>
        <v>219</v>
      </c>
      <c r="AM54" s="1" t="str">
        <f>SUBTOTAL(109,$BW$48:BW54)&amp;". Long-term provision for doubtful debts"</f>
        <v>1. Long-term provision for doubtful debts</v>
      </c>
      <c r="AN54" s="47"/>
      <c r="AO54" s="47"/>
      <c r="AP54" s="1"/>
      <c r="AQ54" s="3"/>
      <c r="AR54" s="1"/>
      <c r="AS54" s="1"/>
      <c r="AT54" s="1"/>
      <c r="AU54" s="1"/>
      <c r="AV54" s="1"/>
      <c r="AW54" s="1"/>
      <c r="AX54" s="1"/>
      <c r="AY54" s="1"/>
      <c r="AZ54" s="1"/>
      <c r="BA54" s="1"/>
      <c r="BB54" s="1"/>
      <c r="BC54" s="1213">
        <f t="shared" si="2"/>
        <v>0</v>
      </c>
      <c r="BD54" s="1213"/>
      <c r="BE54" s="1213"/>
      <c r="BF54" s="1"/>
      <c r="BG54" s="1219">
        <f t="shared" si="11"/>
        <v>0</v>
      </c>
      <c r="BH54" s="1219"/>
      <c r="BI54" s="1219"/>
      <c r="BJ54" s="1219"/>
      <c r="BK54" s="1219"/>
      <c r="BL54" s="1219"/>
      <c r="BM54" s="1219"/>
      <c r="BN54" s="51"/>
      <c r="BO54" s="1219">
        <f t="shared" si="12"/>
        <v>0</v>
      </c>
      <c r="BP54" s="1219"/>
      <c r="BQ54" s="1219"/>
      <c r="BR54" s="1219"/>
      <c r="BS54" s="1219"/>
      <c r="BT54" s="1219"/>
      <c r="BU54" s="1219"/>
      <c r="BV54" s="3"/>
      <c r="BW54" s="44">
        <f t="shared" si="4"/>
        <v>0</v>
      </c>
      <c r="BX54" s="45">
        <f t="shared" si="0"/>
        <v>0</v>
      </c>
      <c r="BY54" s="45">
        <f t="shared" si="3"/>
        <v>0</v>
      </c>
    </row>
    <row r="55" spans="1:79" s="27" customFormat="1" ht="14.1" customHeight="1" x14ac:dyDescent="0.25">
      <c r="A55" s="52"/>
      <c r="B55" s="1"/>
      <c r="C55" s="47"/>
      <c r="D55" s="47"/>
      <c r="E55" s="1"/>
      <c r="F55" s="3"/>
      <c r="G55" s="1"/>
      <c r="H55" s="1"/>
      <c r="I55" s="1"/>
      <c r="J55" s="1"/>
      <c r="K55" s="1"/>
      <c r="L55" s="1"/>
      <c r="M55" s="1"/>
      <c r="N55" s="1"/>
      <c r="O55" s="1"/>
      <c r="P55" s="1"/>
      <c r="Q55" s="1"/>
      <c r="R55" s="1213"/>
      <c r="S55" s="1213"/>
      <c r="T55" s="1213"/>
      <c r="U55" s="1"/>
      <c r="V55" s="1219"/>
      <c r="W55" s="1219"/>
      <c r="X55" s="1219"/>
      <c r="Y55" s="1219"/>
      <c r="Z55" s="1219"/>
      <c r="AA55" s="1219"/>
      <c r="AB55" s="1219"/>
      <c r="AC55" s="51"/>
      <c r="AD55" s="1219"/>
      <c r="AE55" s="1219"/>
      <c r="AF55" s="1219"/>
      <c r="AG55" s="1219"/>
      <c r="AH55" s="1219"/>
      <c r="AI55" s="1219"/>
      <c r="AJ55" s="1219"/>
      <c r="AK55" s="4"/>
      <c r="AL55" s="52">
        <f t="shared" si="1"/>
        <v>0</v>
      </c>
      <c r="AM55" s="1"/>
      <c r="AN55" s="47"/>
      <c r="AO55" s="47"/>
      <c r="AP55" s="1"/>
      <c r="AQ55" s="3"/>
      <c r="AR55" s="1"/>
      <c r="AS55" s="1"/>
      <c r="AT55" s="1"/>
      <c r="AU55" s="1"/>
      <c r="AV55" s="1"/>
      <c r="AW55" s="1"/>
      <c r="AX55" s="1"/>
      <c r="AY55" s="1"/>
      <c r="AZ55" s="1"/>
      <c r="BA55" s="1"/>
      <c r="BB55" s="1"/>
      <c r="BC55" s="1213">
        <f t="shared" si="2"/>
        <v>0</v>
      </c>
      <c r="BD55" s="1213"/>
      <c r="BE55" s="1213"/>
      <c r="BF55" s="1"/>
      <c r="BG55" s="1219"/>
      <c r="BH55" s="1219"/>
      <c r="BI55" s="1219"/>
      <c r="BJ55" s="1219"/>
      <c r="BK55" s="1219"/>
      <c r="BL55" s="1219"/>
      <c r="BM55" s="1219"/>
      <c r="BN55" s="51"/>
      <c r="BO55" s="1219"/>
      <c r="BP55" s="1219"/>
      <c r="BQ55" s="1219"/>
      <c r="BR55" s="1219"/>
      <c r="BS55" s="1219"/>
      <c r="BT55" s="1219"/>
      <c r="BU55" s="1219"/>
      <c r="BV55" s="3"/>
      <c r="BW55" s="44">
        <f>$BW$56</f>
        <v>1</v>
      </c>
      <c r="BX55" s="45">
        <f t="shared" si="0"/>
        <v>0</v>
      </c>
      <c r="BY55" s="45">
        <f t="shared" si="3"/>
        <v>0</v>
      </c>
      <c r="CA55" s="28"/>
    </row>
    <row r="56" spans="1:79" s="27" customFormat="1" ht="15" customHeight="1" x14ac:dyDescent="0.25">
      <c r="A56" s="50" t="s">
        <v>61</v>
      </c>
      <c r="B56" s="61" t="s">
        <v>62</v>
      </c>
      <c r="C56" s="47"/>
      <c r="D56" s="47"/>
      <c r="E56" s="1"/>
      <c r="F56" s="3"/>
      <c r="G56" s="1"/>
      <c r="H56" s="1"/>
      <c r="I56" s="1"/>
      <c r="J56" s="1"/>
      <c r="K56" s="1"/>
      <c r="L56" s="1"/>
      <c r="M56" s="1"/>
      <c r="N56" s="1"/>
      <c r="O56" s="1"/>
      <c r="P56" s="1"/>
      <c r="Q56" s="1"/>
      <c r="R56" s="1213"/>
      <c r="S56" s="1213"/>
      <c r="T56" s="1213"/>
      <c r="U56" s="1"/>
      <c r="V56" s="1220">
        <f>SUBTOTAL(109,V57:AB66)</f>
        <v>13663661544</v>
      </c>
      <c r="W56" s="1220"/>
      <c r="X56" s="1220"/>
      <c r="Y56" s="1220"/>
      <c r="Z56" s="1220"/>
      <c r="AA56" s="1220"/>
      <c r="AB56" s="1220"/>
      <c r="AC56" s="51"/>
      <c r="AD56" s="1220">
        <f>SUBTOTAL(109,AD57:AJ66)</f>
        <v>16846103211</v>
      </c>
      <c r="AE56" s="1220"/>
      <c r="AF56" s="1220"/>
      <c r="AG56" s="1220"/>
      <c r="AH56" s="1220"/>
      <c r="AI56" s="1220"/>
      <c r="AJ56" s="1220"/>
      <c r="AK56" s="11"/>
      <c r="AL56" s="50" t="str">
        <f t="shared" si="1"/>
        <v>220</v>
      </c>
      <c r="AM56" s="61" t="s">
        <v>63</v>
      </c>
      <c r="AN56" s="47"/>
      <c r="AO56" s="47"/>
      <c r="AP56" s="1"/>
      <c r="AQ56" s="3"/>
      <c r="AR56" s="1"/>
      <c r="AS56" s="1"/>
      <c r="AT56" s="1"/>
      <c r="AU56" s="1"/>
      <c r="AV56" s="1"/>
      <c r="AW56" s="1"/>
      <c r="AX56" s="1"/>
      <c r="AY56" s="1"/>
      <c r="AZ56" s="1"/>
      <c r="BA56" s="1"/>
      <c r="BB56" s="1"/>
      <c r="BC56" s="1213">
        <f t="shared" si="2"/>
        <v>0</v>
      </c>
      <c r="BD56" s="1213"/>
      <c r="BE56" s="1213"/>
      <c r="BF56" s="1"/>
      <c r="BG56" s="1220">
        <f t="shared" ref="BG56:BG65" si="15">V56</f>
        <v>13663661544</v>
      </c>
      <c r="BH56" s="1220"/>
      <c r="BI56" s="1220"/>
      <c r="BJ56" s="1220"/>
      <c r="BK56" s="1220"/>
      <c r="BL56" s="1220"/>
      <c r="BM56" s="1220"/>
      <c r="BN56" s="51"/>
      <c r="BO56" s="1220">
        <f t="shared" ref="BO56:BO65" si="16">AD56</f>
        <v>16846103211</v>
      </c>
      <c r="BP56" s="1220"/>
      <c r="BQ56" s="1220"/>
      <c r="BR56" s="1220"/>
      <c r="BS56" s="1220"/>
      <c r="BT56" s="1220"/>
      <c r="BU56" s="1220"/>
      <c r="BV56" s="3"/>
      <c r="BW56" s="44">
        <f>IF(ISTEXT(A56),IF(SUM(BW57:BW65)&gt;0,1,0),1)</f>
        <v>1</v>
      </c>
      <c r="BX56" s="45">
        <f t="shared" si="0"/>
        <v>0</v>
      </c>
      <c r="BY56" s="45">
        <f t="shared" si="3"/>
        <v>0</v>
      </c>
      <c r="CA56" s="28"/>
    </row>
    <row r="57" spans="1:79" s="27" customFormat="1" ht="14.1" customHeight="1" x14ac:dyDescent="0.25">
      <c r="A57" s="52" t="s">
        <v>64</v>
      </c>
      <c r="B57" s="60" t="str">
        <f>BW58&amp;". Tài sản cố định hữu hình"</f>
        <v>1. Tài sản cố định hữu hình</v>
      </c>
      <c r="C57" s="60"/>
      <c r="D57" s="47"/>
      <c r="E57" s="1"/>
      <c r="F57" s="3"/>
      <c r="G57" s="1"/>
      <c r="H57" s="1"/>
      <c r="I57" s="1"/>
      <c r="J57" s="1"/>
      <c r="K57" s="1"/>
      <c r="L57" s="1"/>
      <c r="M57" s="1"/>
      <c r="N57" s="1"/>
      <c r="O57" s="1"/>
      <c r="P57" s="1"/>
      <c r="Q57" s="1"/>
      <c r="R57" s="1213">
        <f>IF(STT_TSCDHH1&lt;&gt;0,STT_TSCDHH,"")</f>
        <v>12</v>
      </c>
      <c r="S57" s="1213"/>
      <c r="T57" s="1213"/>
      <c r="U57" s="1"/>
      <c r="V57" s="1219">
        <f>SUBTOTAL(109,V58:AB59)</f>
        <v>13597286537</v>
      </c>
      <c r="W57" s="1219"/>
      <c r="X57" s="1219"/>
      <c r="Y57" s="1219"/>
      <c r="Z57" s="1219"/>
      <c r="AA57" s="1219"/>
      <c r="AB57" s="1219"/>
      <c r="AC57" s="51"/>
      <c r="AD57" s="1219">
        <f>SUBTOTAL(109,AD58:AJ59)</f>
        <v>16750228208</v>
      </c>
      <c r="AE57" s="1219"/>
      <c r="AF57" s="1219"/>
      <c r="AG57" s="1219"/>
      <c r="AH57" s="1219"/>
      <c r="AI57" s="1219"/>
      <c r="AJ57" s="1219"/>
      <c r="AK57" s="4"/>
      <c r="AL57" s="52" t="str">
        <f t="shared" si="1"/>
        <v>221</v>
      </c>
      <c r="AM57" s="60" t="str">
        <f>BW58&amp;". Tangible fixed assets"</f>
        <v>1. Tangible fixed assets</v>
      </c>
      <c r="AN57" s="47"/>
      <c r="AO57" s="47"/>
      <c r="AP57" s="1"/>
      <c r="AQ57" s="3"/>
      <c r="AR57" s="1"/>
      <c r="AS57" s="1"/>
      <c r="AT57" s="1"/>
      <c r="AU57" s="1"/>
      <c r="AV57" s="1"/>
      <c r="AW57" s="1"/>
      <c r="AX57" s="1"/>
      <c r="AY57" s="1"/>
      <c r="AZ57" s="1"/>
      <c r="BA57" s="1"/>
      <c r="BB57" s="1"/>
      <c r="BC57" s="1221">
        <f t="shared" si="2"/>
        <v>12</v>
      </c>
      <c r="BD57" s="1221"/>
      <c r="BE57" s="1221"/>
      <c r="BF57" s="1"/>
      <c r="BG57" s="1219">
        <f t="shared" si="15"/>
        <v>13597286537</v>
      </c>
      <c r="BH57" s="1219"/>
      <c r="BI57" s="1219"/>
      <c r="BJ57" s="1219"/>
      <c r="BK57" s="1219"/>
      <c r="BL57" s="1219"/>
      <c r="BM57" s="1219"/>
      <c r="BN57" s="51"/>
      <c r="BO57" s="1219">
        <f t="shared" si="16"/>
        <v>16750228208</v>
      </c>
      <c r="BP57" s="1219"/>
      <c r="BQ57" s="1219"/>
      <c r="BR57" s="1219"/>
      <c r="BS57" s="1219"/>
      <c r="BT57" s="1219"/>
      <c r="BU57" s="1219"/>
      <c r="BV57" s="3"/>
      <c r="BW57" s="44">
        <f>$BW$58</f>
        <v>1</v>
      </c>
      <c r="BX57" s="45">
        <f t="shared" si="0"/>
        <v>0</v>
      </c>
      <c r="BY57" s="45">
        <f t="shared" si="3"/>
        <v>0</v>
      </c>
      <c r="CA57" s="28"/>
    </row>
    <row r="58" spans="1:79" s="27" customFormat="1" ht="14.1" customHeight="1" x14ac:dyDescent="0.25">
      <c r="A58" s="65" t="s">
        <v>65</v>
      </c>
      <c r="B58" s="66" t="s">
        <v>66</v>
      </c>
      <c r="C58" s="47"/>
      <c r="D58" s="47"/>
      <c r="E58" s="1"/>
      <c r="F58" s="3"/>
      <c r="G58" s="1"/>
      <c r="H58" s="1"/>
      <c r="I58" s="1"/>
      <c r="J58" s="1"/>
      <c r="K58" s="1"/>
      <c r="L58" s="1"/>
      <c r="M58" s="1"/>
      <c r="N58" s="1"/>
      <c r="O58" s="1"/>
      <c r="P58" s="1"/>
      <c r="Q58" s="1"/>
      <c r="R58" s="1213"/>
      <c r="S58" s="1213"/>
      <c r="T58" s="1213"/>
      <c r="U58" s="1"/>
      <c r="V58" s="1229">
        <f>IF(ISBLANK($A58),0,VLOOKUP($A58,CDKT,MATCH($V$8,subTitle,0),0))</f>
        <v>71815102087</v>
      </c>
      <c r="W58" s="1229"/>
      <c r="X58" s="1229"/>
      <c r="Y58" s="1229"/>
      <c r="Z58" s="1229"/>
      <c r="AA58" s="1229"/>
      <c r="AB58" s="1229"/>
      <c r="AC58" s="67"/>
      <c r="AD58" s="1229">
        <f>IF(ISBLANK($A58),0,VLOOKUP($A58,CDKT,MATCH($AD$8,subTitle,0),0))</f>
        <v>75152051369</v>
      </c>
      <c r="AE58" s="1229"/>
      <c r="AF58" s="1229"/>
      <c r="AG58" s="1229"/>
      <c r="AH58" s="1229"/>
      <c r="AI58" s="1229"/>
      <c r="AJ58" s="1229"/>
      <c r="AK58" s="68"/>
      <c r="AL58" s="65" t="str">
        <f t="shared" si="1"/>
        <v>222</v>
      </c>
      <c r="AM58" s="66" t="s">
        <v>67</v>
      </c>
      <c r="AN58" s="47"/>
      <c r="AO58" s="47"/>
      <c r="AP58" s="1"/>
      <c r="AQ58" s="3"/>
      <c r="AR58" s="1"/>
      <c r="AS58" s="1"/>
      <c r="AT58" s="1"/>
      <c r="AU58" s="1"/>
      <c r="AV58" s="1"/>
      <c r="AW58" s="1"/>
      <c r="AX58" s="1"/>
      <c r="AY58" s="1"/>
      <c r="AZ58" s="1"/>
      <c r="BA58" s="1"/>
      <c r="BB58" s="1"/>
      <c r="BC58" s="1213">
        <f t="shared" si="2"/>
        <v>0</v>
      </c>
      <c r="BD58" s="1213"/>
      <c r="BE58" s="1213"/>
      <c r="BF58" s="1"/>
      <c r="BG58" s="1229">
        <f t="shared" si="15"/>
        <v>71815102087</v>
      </c>
      <c r="BH58" s="1229"/>
      <c r="BI58" s="1229"/>
      <c r="BJ58" s="1229"/>
      <c r="BK58" s="1229"/>
      <c r="BL58" s="1229"/>
      <c r="BM58" s="1229"/>
      <c r="BN58" s="51"/>
      <c r="BO58" s="1229">
        <f t="shared" si="16"/>
        <v>75152051369</v>
      </c>
      <c r="BP58" s="1229"/>
      <c r="BQ58" s="1229"/>
      <c r="BR58" s="1229"/>
      <c r="BS58" s="1229"/>
      <c r="BT58" s="1229"/>
      <c r="BU58" s="1229"/>
      <c r="BV58" s="3"/>
      <c r="BW58" s="44">
        <f t="shared" si="4"/>
        <v>1</v>
      </c>
      <c r="BX58" s="45">
        <f t="shared" si="0"/>
        <v>0</v>
      </c>
      <c r="BY58" s="45">
        <f t="shared" si="3"/>
        <v>0</v>
      </c>
      <c r="CA58" s="28"/>
    </row>
    <row r="59" spans="1:79" s="27" customFormat="1" ht="14.1" customHeight="1" x14ac:dyDescent="0.25">
      <c r="A59" s="65" t="s">
        <v>68</v>
      </c>
      <c r="B59" s="66" t="s">
        <v>69</v>
      </c>
      <c r="C59" s="47"/>
      <c r="D59" s="47"/>
      <c r="E59" s="1"/>
      <c r="F59" s="3"/>
      <c r="G59" s="1"/>
      <c r="H59" s="1"/>
      <c r="I59" s="1"/>
      <c r="J59" s="1"/>
      <c r="K59" s="1"/>
      <c r="L59" s="1"/>
      <c r="M59" s="1"/>
      <c r="N59" s="1"/>
      <c r="O59" s="1"/>
      <c r="P59" s="1"/>
      <c r="Q59" s="1"/>
      <c r="R59" s="1213"/>
      <c r="S59" s="1213"/>
      <c r="T59" s="1213"/>
      <c r="U59" s="1"/>
      <c r="V59" s="1229">
        <f>IF(ISBLANK($A59),0,VLOOKUP($A59,CDKT,MATCH($V$8,subTitle,0),0))</f>
        <v>-58217815550</v>
      </c>
      <c r="W59" s="1229"/>
      <c r="X59" s="1229"/>
      <c r="Y59" s="1229"/>
      <c r="Z59" s="1229"/>
      <c r="AA59" s="1229"/>
      <c r="AB59" s="1229"/>
      <c r="AC59" s="67"/>
      <c r="AD59" s="1229">
        <f>IF(ISBLANK($A59),0,VLOOKUP($A59,CDKT,MATCH($AD$8,subTitle,0),0))</f>
        <v>-58401823161</v>
      </c>
      <c r="AE59" s="1229"/>
      <c r="AF59" s="1229"/>
      <c r="AG59" s="1229"/>
      <c r="AH59" s="1229"/>
      <c r="AI59" s="1229"/>
      <c r="AJ59" s="1229"/>
      <c r="AK59" s="68"/>
      <c r="AL59" s="65" t="str">
        <f t="shared" si="1"/>
        <v>223</v>
      </c>
      <c r="AM59" s="66" t="s">
        <v>70</v>
      </c>
      <c r="AN59" s="47"/>
      <c r="AO59" s="47"/>
      <c r="AP59" s="1"/>
      <c r="AQ59" s="3"/>
      <c r="AR59" s="1"/>
      <c r="AS59" s="1"/>
      <c r="AT59" s="1"/>
      <c r="AU59" s="1"/>
      <c r="AV59" s="1"/>
      <c r="AW59" s="1"/>
      <c r="AX59" s="1"/>
      <c r="AY59" s="1"/>
      <c r="AZ59" s="1"/>
      <c r="BA59" s="1"/>
      <c r="BB59" s="1"/>
      <c r="BC59" s="1213">
        <f t="shared" si="2"/>
        <v>0</v>
      </c>
      <c r="BD59" s="1213"/>
      <c r="BE59" s="1213"/>
      <c r="BF59" s="1"/>
      <c r="BG59" s="1229">
        <f t="shared" si="15"/>
        <v>-58217815550</v>
      </c>
      <c r="BH59" s="1229"/>
      <c r="BI59" s="1229"/>
      <c r="BJ59" s="1229"/>
      <c r="BK59" s="1229"/>
      <c r="BL59" s="1229"/>
      <c r="BM59" s="1229"/>
      <c r="BN59" s="51"/>
      <c r="BO59" s="1229">
        <f t="shared" si="16"/>
        <v>-58401823161</v>
      </c>
      <c r="BP59" s="1229"/>
      <c r="BQ59" s="1229"/>
      <c r="BR59" s="1229"/>
      <c r="BS59" s="1229"/>
      <c r="BT59" s="1229"/>
      <c r="BU59" s="1229"/>
      <c r="BV59" s="3"/>
      <c r="BW59" s="44">
        <f t="shared" si="4"/>
        <v>1</v>
      </c>
      <c r="BX59" s="45">
        <f t="shared" si="0"/>
        <v>0</v>
      </c>
      <c r="BY59" s="45">
        <f t="shared" si="3"/>
        <v>0</v>
      </c>
      <c r="CA59" s="28"/>
    </row>
    <row r="60" spans="1:79" s="27" customFormat="1" ht="14.1" hidden="1" customHeight="1" x14ac:dyDescent="0.25">
      <c r="A60" s="52" t="s">
        <v>71</v>
      </c>
      <c r="B60" s="60" t="str">
        <f>(BW57+BW60)&amp;". Tài sản cố định thuê tài chính"</f>
        <v>1. Tài sản cố định thuê tài chính</v>
      </c>
      <c r="C60" s="60"/>
      <c r="D60" s="47"/>
      <c r="E60" s="1"/>
      <c r="F60" s="3"/>
      <c r="G60" s="1"/>
      <c r="H60" s="1"/>
      <c r="I60" s="1"/>
      <c r="J60" s="1"/>
      <c r="K60" s="1"/>
      <c r="L60" s="1"/>
      <c r="M60" s="1"/>
      <c r="N60" s="1"/>
      <c r="O60" s="1"/>
      <c r="P60" s="1"/>
      <c r="Q60" s="1"/>
      <c r="R60" s="1213" t="str">
        <f>IF(STT_TSCDTTC1&lt;&gt;0,STT_TSCDTTC,"")</f>
        <v/>
      </c>
      <c r="S60" s="1213"/>
      <c r="T60" s="1213"/>
      <c r="U60" s="1"/>
      <c r="V60" s="1219">
        <f>SUBTOTAL(109,V61:AB62)</f>
        <v>0</v>
      </c>
      <c r="W60" s="1219"/>
      <c r="X60" s="1219"/>
      <c r="Y60" s="1219"/>
      <c r="Z60" s="1219"/>
      <c r="AA60" s="1219"/>
      <c r="AB60" s="1219"/>
      <c r="AC60" s="51"/>
      <c r="AD60" s="1219">
        <f>SUBTOTAL(109,AD61:AJ62)</f>
        <v>0</v>
      </c>
      <c r="AE60" s="1219"/>
      <c r="AF60" s="1219"/>
      <c r="AG60" s="1219"/>
      <c r="AH60" s="1219"/>
      <c r="AI60" s="1219"/>
      <c r="AJ60" s="1219"/>
      <c r="AK60" s="4"/>
      <c r="AL60" s="52" t="str">
        <f t="shared" si="1"/>
        <v>224</v>
      </c>
      <c r="AM60" s="60" t="str">
        <f>(BW57+BW60)&amp;". Finance lease fixed assets"</f>
        <v>1. Finance lease fixed assets</v>
      </c>
      <c r="AN60" s="47"/>
      <c r="AO60" s="47"/>
      <c r="AP60" s="1"/>
      <c r="AQ60" s="3"/>
      <c r="AR60" s="1"/>
      <c r="AS60" s="1"/>
      <c r="AT60" s="1"/>
      <c r="AU60" s="1"/>
      <c r="AV60" s="1"/>
      <c r="AW60" s="1"/>
      <c r="AX60" s="1"/>
      <c r="AY60" s="1"/>
      <c r="AZ60" s="1"/>
      <c r="BA60" s="1"/>
      <c r="BB60" s="1"/>
      <c r="BC60" s="1221" t="str">
        <f t="shared" si="2"/>
        <v/>
      </c>
      <c r="BD60" s="1221"/>
      <c r="BE60" s="1221"/>
      <c r="BF60" s="1"/>
      <c r="BG60" s="1219">
        <f t="shared" si="15"/>
        <v>0</v>
      </c>
      <c r="BH60" s="1219"/>
      <c r="BI60" s="1219"/>
      <c r="BJ60" s="1219"/>
      <c r="BK60" s="1219"/>
      <c r="BL60" s="1219"/>
      <c r="BM60" s="1219"/>
      <c r="BN60" s="51"/>
      <c r="BO60" s="1219">
        <f t="shared" si="16"/>
        <v>0</v>
      </c>
      <c r="BP60" s="1219"/>
      <c r="BQ60" s="1219"/>
      <c r="BR60" s="1219"/>
      <c r="BS60" s="1219"/>
      <c r="BT60" s="1219"/>
      <c r="BU60" s="1219"/>
      <c r="BV60" s="3"/>
      <c r="BW60" s="44">
        <f>$BW$61</f>
        <v>0</v>
      </c>
      <c r="BX60" s="45">
        <f t="shared" si="0"/>
        <v>0</v>
      </c>
      <c r="BY60" s="45">
        <f t="shared" si="3"/>
        <v>0</v>
      </c>
    </row>
    <row r="61" spans="1:79" s="27" customFormat="1" ht="14.1" hidden="1" customHeight="1" x14ac:dyDescent="0.25">
      <c r="A61" s="65" t="s">
        <v>72</v>
      </c>
      <c r="B61" s="66" t="s">
        <v>66</v>
      </c>
      <c r="C61" s="47"/>
      <c r="D61" s="47"/>
      <c r="E61" s="1"/>
      <c r="F61" s="3"/>
      <c r="G61" s="1"/>
      <c r="H61" s="1"/>
      <c r="I61" s="1"/>
      <c r="J61" s="1"/>
      <c r="K61" s="1"/>
      <c r="L61" s="1"/>
      <c r="M61" s="1"/>
      <c r="N61" s="1"/>
      <c r="O61" s="1"/>
      <c r="P61" s="1"/>
      <c r="Q61" s="1"/>
      <c r="R61" s="1213"/>
      <c r="S61" s="1213"/>
      <c r="T61" s="1213"/>
      <c r="U61" s="1"/>
      <c r="V61" s="1229">
        <f>IF(ISBLANK($A61),0,VLOOKUP($A61,CDKT,MATCH($V$8,subTitle,0),0))</f>
        <v>0</v>
      </c>
      <c r="W61" s="1229"/>
      <c r="X61" s="1229"/>
      <c r="Y61" s="1229"/>
      <c r="Z61" s="1229"/>
      <c r="AA61" s="1229"/>
      <c r="AB61" s="1229"/>
      <c r="AC61" s="67"/>
      <c r="AD61" s="1229">
        <f>IF(ISBLANK($A61),0,VLOOKUP($A61,CDKT,MATCH($AD$8,subTitle,0),0))</f>
        <v>0</v>
      </c>
      <c r="AE61" s="1229"/>
      <c r="AF61" s="1229"/>
      <c r="AG61" s="1229"/>
      <c r="AH61" s="1229"/>
      <c r="AI61" s="1229"/>
      <c r="AJ61" s="1229"/>
      <c r="AK61" s="68"/>
      <c r="AL61" s="65" t="str">
        <f t="shared" si="1"/>
        <v>225</v>
      </c>
      <c r="AM61" s="66" t="s">
        <v>67</v>
      </c>
      <c r="AN61" s="47"/>
      <c r="AO61" s="47"/>
      <c r="AP61" s="1"/>
      <c r="AQ61" s="3"/>
      <c r="AR61" s="1"/>
      <c r="AS61" s="1"/>
      <c r="AT61" s="1"/>
      <c r="AU61" s="1"/>
      <c r="AV61" s="1"/>
      <c r="AW61" s="1"/>
      <c r="AX61" s="1"/>
      <c r="AY61" s="1"/>
      <c r="AZ61" s="1"/>
      <c r="BA61" s="1"/>
      <c r="BB61" s="1"/>
      <c r="BC61" s="1213">
        <f t="shared" si="2"/>
        <v>0</v>
      </c>
      <c r="BD61" s="1213"/>
      <c r="BE61" s="1213"/>
      <c r="BF61" s="1"/>
      <c r="BG61" s="1229">
        <f t="shared" si="15"/>
        <v>0</v>
      </c>
      <c r="BH61" s="1229"/>
      <c r="BI61" s="1229"/>
      <c r="BJ61" s="1229"/>
      <c r="BK61" s="1229"/>
      <c r="BL61" s="1229"/>
      <c r="BM61" s="1229"/>
      <c r="BN61" s="51"/>
      <c r="BO61" s="1229">
        <f t="shared" si="16"/>
        <v>0</v>
      </c>
      <c r="BP61" s="1229"/>
      <c r="BQ61" s="1229"/>
      <c r="BR61" s="1229"/>
      <c r="BS61" s="1229"/>
      <c r="BT61" s="1229"/>
      <c r="BU61" s="1229"/>
      <c r="BV61" s="3"/>
      <c r="BW61" s="44">
        <f t="shared" si="4"/>
        <v>0</v>
      </c>
      <c r="BX61" s="45">
        <f t="shared" si="0"/>
        <v>0</v>
      </c>
      <c r="BY61" s="45">
        <f t="shared" si="3"/>
        <v>0</v>
      </c>
    </row>
    <row r="62" spans="1:79" s="27" customFormat="1" ht="14.1" hidden="1" customHeight="1" x14ac:dyDescent="0.25">
      <c r="A62" s="65" t="s">
        <v>73</v>
      </c>
      <c r="B62" s="66" t="s">
        <v>69</v>
      </c>
      <c r="C62" s="47"/>
      <c r="D62" s="47"/>
      <c r="E62" s="1"/>
      <c r="F62" s="3"/>
      <c r="G62" s="1"/>
      <c r="H62" s="1"/>
      <c r="I62" s="1"/>
      <c r="J62" s="1"/>
      <c r="K62" s="1"/>
      <c r="L62" s="1"/>
      <c r="M62" s="1"/>
      <c r="N62" s="1"/>
      <c r="O62" s="1"/>
      <c r="P62" s="1"/>
      <c r="Q62" s="1"/>
      <c r="R62" s="1213"/>
      <c r="S62" s="1213"/>
      <c r="T62" s="1213"/>
      <c r="U62" s="1"/>
      <c r="V62" s="1229">
        <f>IF(ISBLANK($A62),0,VLOOKUP($A62,CDKT,MATCH($V$8,subTitle,0),0))</f>
        <v>0</v>
      </c>
      <c r="W62" s="1229"/>
      <c r="X62" s="1229"/>
      <c r="Y62" s="1229"/>
      <c r="Z62" s="1229"/>
      <c r="AA62" s="1229"/>
      <c r="AB62" s="1229"/>
      <c r="AC62" s="67"/>
      <c r="AD62" s="1229">
        <f>IF(ISBLANK($A62),0,VLOOKUP($A62,CDKT,MATCH($AD$8,subTitle,0),0))</f>
        <v>0</v>
      </c>
      <c r="AE62" s="1229"/>
      <c r="AF62" s="1229"/>
      <c r="AG62" s="1229"/>
      <c r="AH62" s="1229"/>
      <c r="AI62" s="1229"/>
      <c r="AJ62" s="1229"/>
      <c r="AK62" s="68"/>
      <c r="AL62" s="65" t="str">
        <f t="shared" si="1"/>
        <v>226</v>
      </c>
      <c r="AM62" s="66" t="s">
        <v>70</v>
      </c>
      <c r="AN62" s="47"/>
      <c r="AO62" s="47"/>
      <c r="AP62" s="1"/>
      <c r="AQ62" s="3"/>
      <c r="AR62" s="1"/>
      <c r="AS62" s="1"/>
      <c r="AT62" s="1"/>
      <c r="AU62" s="1"/>
      <c r="AV62" s="1"/>
      <c r="AW62" s="1"/>
      <c r="AX62" s="1"/>
      <c r="AY62" s="1"/>
      <c r="AZ62" s="1"/>
      <c r="BA62" s="1"/>
      <c r="BB62" s="1"/>
      <c r="BC62" s="1213">
        <f t="shared" si="2"/>
        <v>0</v>
      </c>
      <c r="BD62" s="1213"/>
      <c r="BE62" s="1213"/>
      <c r="BF62" s="1"/>
      <c r="BG62" s="1229">
        <f t="shared" si="15"/>
        <v>0</v>
      </c>
      <c r="BH62" s="1229"/>
      <c r="BI62" s="1229"/>
      <c r="BJ62" s="1229"/>
      <c r="BK62" s="1229"/>
      <c r="BL62" s="1229"/>
      <c r="BM62" s="1229"/>
      <c r="BN62" s="51"/>
      <c r="BO62" s="1229">
        <f t="shared" si="16"/>
        <v>0</v>
      </c>
      <c r="BP62" s="1229"/>
      <c r="BQ62" s="1229"/>
      <c r="BR62" s="1229"/>
      <c r="BS62" s="1229"/>
      <c r="BT62" s="1229"/>
      <c r="BU62" s="1229"/>
      <c r="BV62" s="3"/>
      <c r="BW62" s="44">
        <f t="shared" si="4"/>
        <v>0</v>
      </c>
      <c r="BX62" s="45">
        <f t="shared" si="0"/>
        <v>0</v>
      </c>
      <c r="BY62" s="45">
        <f t="shared" si="3"/>
        <v>0</v>
      </c>
    </row>
    <row r="63" spans="1:79" s="27" customFormat="1" ht="14.1" customHeight="1" x14ac:dyDescent="0.25">
      <c r="A63" s="52" t="s">
        <v>74</v>
      </c>
      <c r="B63" s="60" t="str">
        <f>(BW57+BW60+BW63)&amp;". Tài sản cố định vô hình"</f>
        <v>2. Tài sản cố định vô hình</v>
      </c>
      <c r="C63" s="60"/>
      <c r="D63" s="47"/>
      <c r="E63" s="1"/>
      <c r="F63" s="3"/>
      <c r="G63" s="1"/>
      <c r="H63" s="1"/>
      <c r="I63" s="1"/>
      <c r="J63" s="1"/>
      <c r="K63" s="1"/>
      <c r="L63" s="1"/>
      <c r="M63" s="1"/>
      <c r="N63" s="1"/>
      <c r="O63" s="1"/>
      <c r="P63" s="1"/>
      <c r="Q63" s="1"/>
      <c r="R63" s="1213">
        <f>IF(STT_TSCDVH1&lt;&gt;0,STT_TSCDVH,"")</f>
        <v>13</v>
      </c>
      <c r="S63" s="1213"/>
      <c r="T63" s="1213"/>
      <c r="U63" s="1"/>
      <c r="V63" s="1219">
        <f>SUBTOTAL(109,V64:AB65)</f>
        <v>66375007</v>
      </c>
      <c r="W63" s="1219"/>
      <c r="X63" s="1219"/>
      <c r="Y63" s="1219"/>
      <c r="Z63" s="1219"/>
      <c r="AA63" s="1219"/>
      <c r="AB63" s="1219"/>
      <c r="AC63" s="51"/>
      <c r="AD63" s="1219">
        <f>SUBTOTAL(109,AD64:AJ65)</f>
        <v>95875003</v>
      </c>
      <c r="AE63" s="1219"/>
      <c r="AF63" s="1219"/>
      <c r="AG63" s="1219"/>
      <c r="AH63" s="1219"/>
      <c r="AI63" s="1219"/>
      <c r="AJ63" s="1219"/>
      <c r="AK63" s="4"/>
      <c r="AL63" s="52" t="str">
        <f t="shared" si="1"/>
        <v>227</v>
      </c>
      <c r="AM63" s="60" t="str">
        <f>(BW57+BW60+BW63)&amp;". Intangible fixed assets"</f>
        <v>2. Intangible fixed assets</v>
      </c>
      <c r="AN63" s="47"/>
      <c r="AO63" s="47"/>
      <c r="AP63" s="1"/>
      <c r="AQ63" s="3"/>
      <c r="AR63" s="1"/>
      <c r="AS63" s="1"/>
      <c r="AT63" s="1"/>
      <c r="AU63" s="1"/>
      <c r="AV63" s="1"/>
      <c r="AW63" s="1"/>
      <c r="AX63" s="1"/>
      <c r="AY63" s="1"/>
      <c r="AZ63" s="1"/>
      <c r="BA63" s="1"/>
      <c r="BB63" s="1"/>
      <c r="BC63" s="1221">
        <f t="shared" si="2"/>
        <v>13</v>
      </c>
      <c r="BD63" s="1221"/>
      <c r="BE63" s="1221"/>
      <c r="BF63" s="1"/>
      <c r="BG63" s="1219">
        <f t="shared" si="15"/>
        <v>66375007</v>
      </c>
      <c r="BH63" s="1219"/>
      <c r="BI63" s="1219"/>
      <c r="BJ63" s="1219"/>
      <c r="BK63" s="1219"/>
      <c r="BL63" s="1219"/>
      <c r="BM63" s="1219"/>
      <c r="BN63" s="51"/>
      <c r="BO63" s="1219">
        <f t="shared" si="16"/>
        <v>95875003</v>
      </c>
      <c r="BP63" s="1219"/>
      <c r="BQ63" s="1219"/>
      <c r="BR63" s="1219"/>
      <c r="BS63" s="1219"/>
      <c r="BT63" s="1219"/>
      <c r="BU63" s="1219"/>
      <c r="BV63" s="3"/>
      <c r="BW63" s="44">
        <f>$BW$64</f>
        <v>1</v>
      </c>
      <c r="BX63" s="45">
        <f t="shared" si="0"/>
        <v>0</v>
      </c>
      <c r="BY63" s="45">
        <f t="shared" si="3"/>
        <v>0</v>
      </c>
      <c r="CA63" s="28"/>
    </row>
    <row r="64" spans="1:79" s="27" customFormat="1" ht="14.1" customHeight="1" x14ac:dyDescent="0.25">
      <c r="A64" s="65" t="s">
        <v>75</v>
      </c>
      <c r="B64" s="66" t="s">
        <v>66</v>
      </c>
      <c r="C64" s="47"/>
      <c r="D64" s="47"/>
      <c r="E64" s="1"/>
      <c r="F64" s="3"/>
      <c r="G64" s="1"/>
      <c r="H64" s="1"/>
      <c r="I64" s="1"/>
      <c r="J64" s="1"/>
      <c r="K64" s="1"/>
      <c r="L64" s="1"/>
      <c r="M64" s="1"/>
      <c r="N64" s="1"/>
      <c r="O64" s="1"/>
      <c r="P64" s="1"/>
      <c r="Q64" s="1"/>
      <c r="R64" s="1213"/>
      <c r="S64" s="1213"/>
      <c r="T64" s="1213"/>
      <c r="U64" s="1"/>
      <c r="V64" s="1229">
        <f>IF(ISBLANK($A64),0,VLOOKUP($A64,CDKT,MATCH($V$8,subTitle,0),0))</f>
        <v>118000000</v>
      </c>
      <c r="W64" s="1229"/>
      <c r="X64" s="1229"/>
      <c r="Y64" s="1229"/>
      <c r="Z64" s="1229"/>
      <c r="AA64" s="1229"/>
      <c r="AB64" s="1229"/>
      <c r="AC64" s="67"/>
      <c r="AD64" s="1229">
        <f>IF(ISBLANK($A64),0,VLOOKUP($A64,CDKT,MATCH($AD$8,subTitle,0),0))</f>
        <v>118000000</v>
      </c>
      <c r="AE64" s="1229"/>
      <c r="AF64" s="1229"/>
      <c r="AG64" s="1229"/>
      <c r="AH64" s="1229"/>
      <c r="AI64" s="1229"/>
      <c r="AJ64" s="1229"/>
      <c r="AK64" s="68"/>
      <c r="AL64" s="65" t="str">
        <f t="shared" si="1"/>
        <v>228</v>
      </c>
      <c r="AM64" s="66" t="s">
        <v>67</v>
      </c>
      <c r="AN64" s="47"/>
      <c r="AO64" s="47"/>
      <c r="AP64" s="1"/>
      <c r="AQ64" s="3"/>
      <c r="AR64" s="1"/>
      <c r="AS64" s="1"/>
      <c r="AT64" s="1"/>
      <c r="AU64" s="1"/>
      <c r="AV64" s="1"/>
      <c r="AW64" s="1"/>
      <c r="AX64" s="1"/>
      <c r="AY64" s="1"/>
      <c r="AZ64" s="1"/>
      <c r="BA64" s="1"/>
      <c r="BB64" s="1"/>
      <c r="BC64" s="1213">
        <f t="shared" si="2"/>
        <v>0</v>
      </c>
      <c r="BD64" s="1213"/>
      <c r="BE64" s="1213"/>
      <c r="BF64" s="1"/>
      <c r="BG64" s="1229">
        <f t="shared" si="15"/>
        <v>118000000</v>
      </c>
      <c r="BH64" s="1229"/>
      <c r="BI64" s="1229"/>
      <c r="BJ64" s="1229"/>
      <c r="BK64" s="1229"/>
      <c r="BL64" s="1229"/>
      <c r="BM64" s="1229"/>
      <c r="BN64" s="51"/>
      <c r="BO64" s="1229">
        <f t="shared" si="16"/>
        <v>118000000</v>
      </c>
      <c r="BP64" s="1229"/>
      <c r="BQ64" s="1229"/>
      <c r="BR64" s="1229"/>
      <c r="BS64" s="1229"/>
      <c r="BT64" s="1229"/>
      <c r="BU64" s="1229"/>
      <c r="BV64" s="3"/>
      <c r="BW64" s="44">
        <f t="shared" si="4"/>
        <v>1</v>
      </c>
      <c r="BX64" s="45">
        <f t="shared" si="0"/>
        <v>0</v>
      </c>
      <c r="BY64" s="45">
        <f t="shared" si="3"/>
        <v>0</v>
      </c>
      <c r="CA64" s="28"/>
    </row>
    <row r="65" spans="1:79" s="27" customFormat="1" ht="14.1" customHeight="1" x14ac:dyDescent="0.25">
      <c r="A65" s="65" t="s">
        <v>76</v>
      </c>
      <c r="B65" s="66" t="s">
        <v>69</v>
      </c>
      <c r="C65" s="47"/>
      <c r="D65" s="47"/>
      <c r="E65" s="1"/>
      <c r="F65" s="3"/>
      <c r="G65" s="1"/>
      <c r="H65" s="1"/>
      <c r="I65" s="1"/>
      <c r="J65" s="1"/>
      <c r="K65" s="1"/>
      <c r="L65" s="1"/>
      <c r="M65" s="1"/>
      <c r="N65" s="1"/>
      <c r="O65" s="1"/>
      <c r="P65" s="1"/>
      <c r="Q65" s="1"/>
      <c r="R65" s="1213"/>
      <c r="S65" s="1213"/>
      <c r="T65" s="1213"/>
      <c r="U65" s="1"/>
      <c r="V65" s="1229">
        <f>IF(ISBLANK($A65),0,VLOOKUP($A65,CDKT,MATCH($V$8,subTitle,0),0))</f>
        <v>-51624993</v>
      </c>
      <c r="W65" s="1229"/>
      <c r="X65" s="1229"/>
      <c r="Y65" s="1229"/>
      <c r="Z65" s="1229"/>
      <c r="AA65" s="1229"/>
      <c r="AB65" s="1229"/>
      <c r="AC65" s="67"/>
      <c r="AD65" s="1229">
        <f>IF(ISBLANK($A65),0,VLOOKUP($A65,CDKT,MATCH($AD$8,subTitle,0),0))</f>
        <v>-22124997</v>
      </c>
      <c r="AE65" s="1229"/>
      <c r="AF65" s="1229"/>
      <c r="AG65" s="1229"/>
      <c r="AH65" s="1229"/>
      <c r="AI65" s="1229"/>
      <c r="AJ65" s="1229"/>
      <c r="AK65" s="68"/>
      <c r="AL65" s="65" t="str">
        <f t="shared" si="1"/>
        <v>229</v>
      </c>
      <c r="AM65" s="66" t="s">
        <v>77</v>
      </c>
      <c r="AN65" s="47"/>
      <c r="AO65" s="47"/>
      <c r="AP65" s="1"/>
      <c r="AQ65" s="3"/>
      <c r="AR65" s="1"/>
      <c r="AS65" s="1"/>
      <c r="AT65" s="1"/>
      <c r="AU65" s="1"/>
      <c r="AV65" s="1"/>
      <c r="AW65" s="1"/>
      <c r="AX65" s="1"/>
      <c r="AY65" s="1"/>
      <c r="AZ65" s="1"/>
      <c r="BA65" s="1"/>
      <c r="BB65" s="1"/>
      <c r="BC65" s="1213">
        <f t="shared" si="2"/>
        <v>0</v>
      </c>
      <c r="BD65" s="1213"/>
      <c r="BE65" s="1213"/>
      <c r="BF65" s="1"/>
      <c r="BG65" s="1229">
        <f t="shared" si="15"/>
        <v>-51624993</v>
      </c>
      <c r="BH65" s="1229"/>
      <c r="BI65" s="1229"/>
      <c r="BJ65" s="1229"/>
      <c r="BK65" s="1229"/>
      <c r="BL65" s="1229"/>
      <c r="BM65" s="1229"/>
      <c r="BN65" s="51"/>
      <c r="BO65" s="1229">
        <f t="shared" si="16"/>
        <v>-22124997</v>
      </c>
      <c r="BP65" s="1229"/>
      <c r="BQ65" s="1229"/>
      <c r="BR65" s="1229"/>
      <c r="BS65" s="1229"/>
      <c r="BT65" s="1229"/>
      <c r="BU65" s="1229"/>
      <c r="BV65" s="3"/>
      <c r="BW65" s="44">
        <f t="shared" si="4"/>
        <v>1</v>
      </c>
      <c r="BX65" s="45">
        <f t="shared" si="0"/>
        <v>0</v>
      </c>
      <c r="BY65" s="45">
        <f t="shared" si="3"/>
        <v>0</v>
      </c>
      <c r="CA65" s="28"/>
    </row>
    <row r="66" spans="1:79" s="27" customFormat="1" ht="14.1" hidden="1" customHeight="1" x14ac:dyDescent="0.25">
      <c r="A66" s="52"/>
      <c r="B66" s="60"/>
      <c r="C66" s="47"/>
      <c r="D66" s="47"/>
      <c r="E66" s="1"/>
      <c r="F66" s="3"/>
      <c r="G66" s="1"/>
      <c r="H66" s="1"/>
      <c r="I66" s="1"/>
      <c r="J66" s="1"/>
      <c r="K66" s="1"/>
      <c r="L66" s="1"/>
      <c r="M66" s="1"/>
      <c r="N66" s="1"/>
      <c r="O66" s="1"/>
      <c r="P66" s="1"/>
      <c r="Q66" s="1"/>
      <c r="R66" s="1213"/>
      <c r="S66" s="1213"/>
      <c r="T66" s="1213"/>
      <c r="U66" s="1"/>
      <c r="V66" s="1219"/>
      <c r="W66" s="1219"/>
      <c r="X66" s="1219"/>
      <c r="Y66" s="1219"/>
      <c r="Z66" s="1219"/>
      <c r="AA66" s="1219"/>
      <c r="AB66" s="1219"/>
      <c r="AC66" s="51"/>
      <c r="AD66" s="1219"/>
      <c r="AE66" s="1219"/>
      <c r="AF66" s="1219"/>
      <c r="AG66" s="1219"/>
      <c r="AH66" s="1219"/>
      <c r="AI66" s="1219"/>
      <c r="AJ66" s="1219"/>
      <c r="AK66" s="4"/>
      <c r="AL66" s="52">
        <f t="shared" si="1"/>
        <v>0</v>
      </c>
      <c r="AM66" s="60"/>
      <c r="AN66" s="47"/>
      <c r="AO66" s="47"/>
      <c r="AP66" s="1"/>
      <c r="AQ66" s="3"/>
      <c r="AR66" s="1"/>
      <c r="AS66" s="1"/>
      <c r="AT66" s="1"/>
      <c r="AU66" s="1"/>
      <c r="AV66" s="1"/>
      <c r="AW66" s="1"/>
      <c r="AX66" s="1"/>
      <c r="AY66" s="1"/>
      <c r="AZ66" s="1"/>
      <c r="BA66" s="1"/>
      <c r="BB66" s="1"/>
      <c r="BC66" s="1213">
        <f t="shared" si="2"/>
        <v>0</v>
      </c>
      <c r="BD66" s="1213"/>
      <c r="BE66" s="1213"/>
      <c r="BF66" s="1"/>
      <c r="BG66" s="1219"/>
      <c r="BH66" s="1219"/>
      <c r="BI66" s="1219"/>
      <c r="BJ66" s="1219"/>
      <c r="BK66" s="1219"/>
      <c r="BL66" s="1219"/>
      <c r="BM66" s="1219"/>
      <c r="BN66" s="51"/>
      <c r="BO66" s="1219"/>
      <c r="BP66" s="1219"/>
      <c r="BQ66" s="1219"/>
      <c r="BR66" s="1219"/>
      <c r="BS66" s="1219"/>
      <c r="BT66" s="1219"/>
      <c r="BU66" s="1219"/>
      <c r="BV66" s="3"/>
      <c r="BW66" s="44">
        <f>$BW$67</f>
        <v>0</v>
      </c>
      <c r="BX66" s="45">
        <f t="shared" si="0"/>
        <v>0</v>
      </c>
      <c r="BY66" s="45">
        <f t="shared" si="3"/>
        <v>0</v>
      </c>
    </row>
    <row r="67" spans="1:79" s="27" customFormat="1" ht="15" hidden="1" customHeight="1" x14ac:dyDescent="0.25">
      <c r="A67" s="50" t="s">
        <v>78</v>
      </c>
      <c r="B67" s="59" t="s">
        <v>79</v>
      </c>
      <c r="C67" s="47"/>
      <c r="D67" s="47"/>
      <c r="E67" s="1"/>
      <c r="F67" s="3"/>
      <c r="G67" s="1"/>
      <c r="H67" s="1"/>
      <c r="I67" s="1"/>
      <c r="J67" s="1"/>
      <c r="K67" s="1"/>
      <c r="L67" s="1"/>
      <c r="M67" s="1"/>
      <c r="N67" s="1"/>
      <c r="O67" s="1"/>
      <c r="P67" s="1"/>
      <c r="Q67" s="1"/>
      <c r="R67" s="1222" t="str">
        <f>IF(STT_BDSDT1&lt;&gt;0,STT_BDSDT,"")</f>
        <v/>
      </c>
      <c r="S67" s="1222"/>
      <c r="T67" s="1222"/>
      <c r="U67" s="1"/>
      <c r="V67" s="1220">
        <f>SUBTOTAL(109,V68:AB70)</f>
        <v>0</v>
      </c>
      <c r="W67" s="1220"/>
      <c r="X67" s="1220"/>
      <c r="Y67" s="1220"/>
      <c r="Z67" s="1220"/>
      <c r="AA67" s="1220"/>
      <c r="AB67" s="1220"/>
      <c r="AC67" s="51"/>
      <c r="AD67" s="1220">
        <f>SUBTOTAL(109,AD68:AJ70)</f>
        <v>0</v>
      </c>
      <c r="AE67" s="1220"/>
      <c r="AF67" s="1220"/>
      <c r="AG67" s="1220"/>
      <c r="AH67" s="1220"/>
      <c r="AI67" s="1220"/>
      <c r="AJ67" s="1220"/>
      <c r="AK67" s="11"/>
      <c r="AL67" s="50" t="str">
        <f t="shared" si="1"/>
        <v>230</v>
      </c>
      <c r="AM67" s="59" t="s">
        <v>80</v>
      </c>
      <c r="AN67" s="47"/>
      <c r="AO67" s="47"/>
      <c r="AP67" s="1"/>
      <c r="AQ67" s="3"/>
      <c r="AR67" s="1"/>
      <c r="AS67" s="1"/>
      <c r="AT67" s="1"/>
      <c r="AU67" s="1"/>
      <c r="AV67" s="1"/>
      <c r="AW67" s="1"/>
      <c r="AX67" s="1"/>
      <c r="AY67" s="1"/>
      <c r="AZ67" s="1"/>
      <c r="BA67" s="1"/>
      <c r="BB67" s="1"/>
      <c r="BC67" s="1223" t="str">
        <f t="shared" si="2"/>
        <v/>
      </c>
      <c r="BD67" s="1223"/>
      <c r="BE67" s="1223"/>
      <c r="BF67" s="1"/>
      <c r="BG67" s="1220">
        <f>V67</f>
        <v>0</v>
      </c>
      <c r="BH67" s="1220"/>
      <c r="BI67" s="1220"/>
      <c r="BJ67" s="1220"/>
      <c r="BK67" s="1220"/>
      <c r="BL67" s="1220"/>
      <c r="BM67" s="1220"/>
      <c r="BN67" s="51"/>
      <c r="BO67" s="1220">
        <f>AD67</f>
        <v>0</v>
      </c>
      <c r="BP67" s="1220"/>
      <c r="BQ67" s="1220"/>
      <c r="BR67" s="1220"/>
      <c r="BS67" s="1220"/>
      <c r="BT67" s="1220"/>
      <c r="BU67" s="1220"/>
      <c r="BV67" s="3"/>
      <c r="BW67" s="44">
        <f>$BW$68</f>
        <v>0</v>
      </c>
      <c r="BX67" s="45">
        <f t="shared" si="0"/>
        <v>0</v>
      </c>
      <c r="BY67" s="45">
        <f t="shared" si="3"/>
        <v>0</v>
      </c>
    </row>
    <row r="68" spans="1:79" s="27" customFormat="1" ht="14.1" hidden="1" customHeight="1" x14ac:dyDescent="0.25">
      <c r="A68" s="52" t="s">
        <v>81</v>
      </c>
      <c r="B68" s="60" t="s">
        <v>66</v>
      </c>
      <c r="C68" s="47"/>
      <c r="D68" s="47"/>
      <c r="E68" s="1"/>
      <c r="F68" s="3"/>
      <c r="G68" s="1"/>
      <c r="H68" s="1"/>
      <c r="I68" s="1"/>
      <c r="J68" s="1"/>
      <c r="K68" s="1"/>
      <c r="L68" s="1"/>
      <c r="M68" s="1"/>
      <c r="N68" s="1"/>
      <c r="O68" s="1"/>
      <c r="P68" s="1"/>
      <c r="Q68" s="1"/>
      <c r="R68" s="1213"/>
      <c r="S68" s="1213"/>
      <c r="T68" s="1213"/>
      <c r="U68" s="1"/>
      <c r="V68" s="1219">
        <f>IF(ISBLANK($A68),0,VLOOKUP($A68,CDKT,MATCH($V$8,subTitle,0),0))</f>
        <v>0</v>
      </c>
      <c r="W68" s="1219"/>
      <c r="X68" s="1219"/>
      <c r="Y68" s="1219"/>
      <c r="Z68" s="1219"/>
      <c r="AA68" s="1219"/>
      <c r="AB68" s="1219"/>
      <c r="AC68" s="51"/>
      <c r="AD68" s="1219">
        <f>IF(ISBLANK($A68),0,VLOOKUP($A68,CDKT,MATCH($AD$8,subTitle,0),0))</f>
        <v>0</v>
      </c>
      <c r="AE68" s="1219"/>
      <c r="AF68" s="1219"/>
      <c r="AG68" s="1219"/>
      <c r="AH68" s="1219"/>
      <c r="AI68" s="1219"/>
      <c r="AJ68" s="1219"/>
      <c r="AK68" s="4"/>
      <c r="AL68" s="52" t="str">
        <f t="shared" si="1"/>
        <v>231</v>
      </c>
      <c r="AM68" s="60" t="s">
        <v>67</v>
      </c>
      <c r="AN68" s="47"/>
      <c r="AO68" s="47"/>
      <c r="AP68" s="1"/>
      <c r="AQ68" s="3"/>
      <c r="AR68" s="1"/>
      <c r="AS68" s="1"/>
      <c r="AT68" s="1"/>
      <c r="AU68" s="1"/>
      <c r="AV68" s="1"/>
      <c r="AW68" s="1"/>
      <c r="AX68" s="1"/>
      <c r="AY68" s="1"/>
      <c r="AZ68" s="1"/>
      <c r="BA68" s="1"/>
      <c r="BB68" s="1"/>
      <c r="BC68" s="1213">
        <f t="shared" si="2"/>
        <v>0</v>
      </c>
      <c r="BD68" s="1213"/>
      <c r="BE68" s="1213"/>
      <c r="BF68" s="1"/>
      <c r="BG68" s="1219">
        <f>V68</f>
        <v>0</v>
      </c>
      <c r="BH68" s="1219"/>
      <c r="BI68" s="1219"/>
      <c r="BJ68" s="1219"/>
      <c r="BK68" s="1219"/>
      <c r="BL68" s="1219"/>
      <c r="BM68" s="1219"/>
      <c r="BN68" s="51"/>
      <c r="BO68" s="1219">
        <f>AD68</f>
        <v>0</v>
      </c>
      <c r="BP68" s="1219"/>
      <c r="BQ68" s="1219"/>
      <c r="BR68" s="1219"/>
      <c r="BS68" s="1219"/>
      <c r="BT68" s="1219"/>
      <c r="BU68" s="1219"/>
      <c r="BV68" s="3"/>
      <c r="BW68" s="44">
        <f t="shared" si="4"/>
        <v>0</v>
      </c>
      <c r="BX68" s="45">
        <f t="shared" si="0"/>
        <v>0</v>
      </c>
      <c r="BY68" s="45">
        <f t="shared" si="3"/>
        <v>0</v>
      </c>
    </row>
    <row r="69" spans="1:79" s="27" customFormat="1" ht="14.1" hidden="1" customHeight="1" x14ac:dyDescent="0.25">
      <c r="A69" s="52" t="s">
        <v>82</v>
      </c>
      <c r="B69" s="60" t="s">
        <v>83</v>
      </c>
      <c r="C69" s="47"/>
      <c r="D69" s="47"/>
      <c r="E69" s="1"/>
      <c r="F69" s="3"/>
      <c r="G69" s="1"/>
      <c r="H69" s="1"/>
      <c r="I69" s="1"/>
      <c r="J69" s="1"/>
      <c r="K69" s="1"/>
      <c r="L69" s="1"/>
      <c r="M69" s="1"/>
      <c r="N69" s="1"/>
      <c r="O69" s="1"/>
      <c r="P69" s="1"/>
      <c r="Q69" s="1"/>
      <c r="R69" s="1213"/>
      <c r="S69" s="1213"/>
      <c r="T69" s="1213"/>
      <c r="U69" s="1"/>
      <c r="V69" s="1219">
        <f>IF(ISBLANK($A69),0,VLOOKUP($A69,CDKT,MATCH($V$8,subTitle,0),0))</f>
        <v>0</v>
      </c>
      <c r="W69" s="1219"/>
      <c r="X69" s="1219"/>
      <c r="Y69" s="1219"/>
      <c r="Z69" s="1219"/>
      <c r="AA69" s="1219"/>
      <c r="AB69" s="1219"/>
      <c r="AC69" s="51"/>
      <c r="AD69" s="1219">
        <f>IF(ISBLANK($A69),0,VLOOKUP($A69,CDKT,MATCH($AD$8,subTitle,0),0))</f>
        <v>0</v>
      </c>
      <c r="AE69" s="1219"/>
      <c r="AF69" s="1219"/>
      <c r="AG69" s="1219"/>
      <c r="AH69" s="1219"/>
      <c r="AI69" s="1219"/>
      <c r="AJ69" s="1219"/>
      <c r="AK69" s="4"/>
      <c r="AL69" s="52" t="str">
        <f t="shared" si="1"/>
        <v>232</v>
      </c>
      <c r="AM69" s="60" t="s">
        <v>84</v>
      </c>
      <c r="AN69" s="47"/>
      <c r="AO69" s="47"/>
      <c r="AP69" s="1"/>
      <c r="AQ69" s="3"/>
      <c r="AR69" s="1"/>
      <c r="AS69" s="1"/>
      <c r="AT69" s="1"/>
      <c r="AU69" s="1"/>
      <c r="AV69" s="1"/>
      <c r="AW69" s="1"/>
      <c r="AX69" s="1"/>
      <c r="AY69" s="1"/>
      <c r="AZ69" s="1"/>
      <c r="BA69" s="1"/>
      <c r="BB69" s="1"/>
      <c r="BC69" s="1213">
        <f t="shared" si="2"/>
        <v>0</v>
      </c>
      <c r="BD69" s="1213"/>
      <c r="BE69" s="1213"/>
      <c r="BF69" s="1"/>
      <c r="BG69" s="1219">
        <f>V69</f>
        <v>0</v>
      </c>
      <c r="BH69" s="1219"/>
      <c r="BI69" s="1219"/>
      <c r="BJ69" s="1219"/>
      <c r="BK69" s="1219"/>
      <c r="BL69" s="1219"/>
      <c r="BM69" s="1219"/>
      <c r="BN69" s="51"/>
      <c r="BO69" s="1219">
        <f>AD69</f>
        <v>0</v>
      </c>
      <c r="BP69" s="1219"/>
      <c r="BQ69" s="1219"/>
      <c r="BR69" s="1219"/>
      <c r="BS69" s="1219"/>
      <c r="BT69" s="1219"/>
      <c r="BU69" s="1219"/>
      <c r="BV69" s="3"/>
      <c r="BW69" s="44">
        <f t="shared" si="4"/>
        <v>0</v>
      </c>
      <c r="BX69" s="45">
        <f t="shared" si="0"/>
        <v>0</v>
      </c>
      <c r="BY69" s="45">
        <f t="shared" si="3"/>
        <v>0</v>
      </c>
    </row>
    <row r="70" spans="1:79" s="27" customFormat="1" ht="14.1" customHeight="1" x14ac:dyDescent="0.25">
      <c r="A70" s="62"/>
      <c r="B70" s="69"/>
      <c r="C70" s="47"/>
      <c r="D70" s="47"/>
      <c r="E70" s="47"/>
      <c r="F70" s="63"/>
      <c r="G70" s="47"/>
      <c r="H70" s="47"/>
      <c r="I70" s="47"/>
      <c r="J70" s="47"/>
      <c r="K70" s="47"/>
      <c r="L70" s="47"/>
      <c r="M70" s="47"/>
      <c r="N70" s="47"/>
      <c r="O70" s="47"/>
      <c r="P70" s="47"/>
      <c r="Q70" s="47"/>
      <c r="R70" s="1228"/>
      <c r="S70" s="1228"/>
      <c r="T70" s="1228"/>
      <c r="U70" s="47"/>
      <c r="V70" s="1230"/>
      <c r="W70" s="1230"/>
      <c r="X70" s="1230"/>
      <c r="Y70" s="1230"/>
      <c r="Z70" s="1230"/>
      <c r="AA70" s="1230"/>
      <c r="AB70" s="1230"/>
      <c r="AC70" s="64"/>
      <c r="AD70" s="1230"/>
      <c r="AE70" s="1230"/>
      <c r="AF70" s="1230"/>
      <c r="AG70" s="1230"/>
      <c r="AH70" s="1230"/>
      <c r="AI70" s="1230"/>
      <c r="AJ70" s="1230"/>
      <c r="AK70" s="4"/>
      <c r="AL70" s="62"/>
      <c r="AM70" s="69"/>
      <c r="AN70" s="47"/>
      <c r="AO70" s="47"/>
      <c r="AP70" s="47"/>
      <c r="AQ70" s="63"/>
      <c r="AR70" s="47"/>
      <c r="AS70" s="47"/>
      <c r="AT70" s="47"/>
      <c r="AU70" s="47"/>
      <c r="AV70" s="47"/>
      <c r="AW70" s="47"/>
      <c r="AX70" s="47"/>
      <c r="AY70" s="47"/>
      <c r="AZ70" s="47"/>
      <c r="BA70" s="47"/>
      <c r="BB70" s="47"/>
      <c r="BC70" s="1228"/>
      <c r="BD70" s="1228"/>
      <c r="BE70" s="1228"/>
      <c r="BF70" s="47"/>
      <c r="BG70" s="1230"/>
      <c r="BH70" s="1230"/>
      <c r="BI70" s="1230"/>
      <c r="BJ70" s="1230"/>
      <c r="BK70" s="1230"/>
      <c r="BL70" s="1230"/>
      <c r="BM70" s="1230"/>
      <c r="BN70" s="64"/>
      <c r="BO70" s="1230"/>
      <c r="BP70" s="1230"/>
      <c r="BQ70" s="1230"/>
      <c r="BR70" s="1230"/>
      <c r="BS70" s="1230"/>
      <c r="BT70" s="1230"/>
      <c r="BU70" s="1230"/>
      <c r="BV70" s="3"/>
      <c r="BW70" s="44">
        <f>$BW$71</f>
        <v>1</v>
      </c>
      <c r="BX70" s="45">
        <f t="shared" si="0"/>
        <v>0</v>
      </c>
      <c r="BY70" s="45">
        <f t="shared" si="3"/>
        <v>0</v>
      </c>
      <c r="CA70" s="28"/>
    </row>
    <row r="71" spans="1:79" s="77" customFormat="1" ht="15" customHeight="1" x14ac:dyDescent="0.25">
      <c r="A71" s="71" t="s">
        <v>85</v>
      </c>
      <c r="B71" s="72" t="s">
        <v>86</v>
      </c>
      <c r="C71" s="73"/>
      <c r="D71" s="73"/>
      <c r="E71" s="73"/>
      <c r="F71" s="74"/>
      <c r="G71" s="73"/>
      <c r="H71" s="73"/>
      <c r="I71" s="73"/>
      <c r="J71" s="73"/>
      <c r="K71" s="73"/>
      <c r="L71" s="73"/>
      <c r="M71" s="73"/>
      <c r="N71" s="73"/>
      <c r="O71" s="73"/>
      <c r="P71" s="73"/>
      <c r="Q71" s="73"/>
      <c r="R71" s="1222">
        <f>IF(STT_TAISANDD1&lt;&gt;0,STT_TAISANDD,"")</f>
        <v>11</v>
      </c>
      <c r="S71" s="1222"/>
      <c r="T71" s="1222"/>
      <c r="U71" s="73"/>
      <c r="V71" s="1231">
        <f>SUBTOTAL(109,V72:AB74)</f>
        <v>1598224389</v>
      </c>
      <c r="W71" s="1231"/>
      <c r="X71" s="1231"/>
      <c r="Y71" s="1231"/>
      <c r="Z71" s="1231"/>
      <c r="AA71" s="1231"/>
      <c r="AB71" s="1231"/>
      <c r="AC71" s="75"/>
      <c r="AD71" s="1231">
        <f>SUBTOTAL(109,AD72:AJ74)</f>
        <v>0</v>
      </c>
      <c r="AE71" s="1231"/>
      <c r="AF71" s="1231"/>
      <c r="AG71" s="1231"/>
      <c r="AH71" s="1231"/>
      <c r="AI71" s="1231"/>
      <c r="AJ71" s="1231"/>
      <c r="AK71" s="11"/>
      <c r="AL71" s="50" t="str">
        <f t="shared" si="1"/>
        <v>240</v>
      </c>
      <c r="AM71" s="72" t="s">
        <v>87</v>
      </c>
      <c r="AN71" s="73"/>
      <c r="AO71" s="73"/>
      <c r="AP71" s="73"/>
      <c r="AQ71" s="74"/>
      <c r="AR71" s="73"/>
      <c r="AS71" s="73"/>
      <c r="AT71" s="73"/>
      <c r="AU71" s="73"/>
      <c r="AV71" s="73"/>
      <c r="AW71" s="73"/>
      <c r="AX71" s="73"/>
      <c r="AY71" s="73"/>
      <c r="AZ71" s="73"/>
      <c r="BA71" s="73"/>
      <c r="BB71" s="73"/>
      <c r="BC71" s="1223">
        <f>R71</f>
        <v>11</v>
      </c>
      <c r="BD71" s="1223"/>
      <c r="BE71" s="1223"/>
      <c r="BF71" s="73"/>
      <c r="BG71" s="1220">
        <f>V71</f>
        <v>1598224389</v>
      </c>
      <c r="BH71" s="1220"/>
      <c r="BI71" s="1220"/>
      <c r="BJ71" s="1220"/>
      <c r="BK71" s="1220"/>
      <c r="BL71" s="1220"/>
      <c r="BM71" s="1220"/>
      <c r="BN71" s="75"/>
      <c r="BO71" s="1220">
        <f>AD71</f>
        <v>0</v>
      </c>
      <c r="BP71" s="1220"/>
      <c r="BQ71" s="1220"/>
      <c r="BR71" s="1220"/>
      <c r="BS71" s="1220"/>
      <c r="BT71" s="1220"/>
      <c r="BU71" s="1220"/>
      <c r="BV71" s="76"/>
      <c r="BW71" s="44">
        <f>IF(ISTEXT(A71),IF(SUM(BW72:BW80)&gt;0,1,0),1)</f>
        <v>1</v>
      </c>
      <c r="BX71" s="45">
        <f t="shared" si="0"/>
        <v>0</v>
      </c>
      <c r="BY71" s="45">
        <f t="shared" si="3"/>
        <v>0</v>
      </c>
      <c r="CA71" s="78"/>
    </row>
    <row r="72" spans="1:79" s="1" customFormat="1" ht="14.1" hidden="1" customHeight="1" x14ac:dyDescent="0.25">
      <c r="A72" s="62" t="s">
        <v>88</v>
      </c>
      <c r="B72" s="69" t="str">
        <f>SUBTOTAL(109,$BW$72:BW72)&amp;". Chi phí sản xuất, kinh doanh dở dang dài hạn"</f>
        <v>0. Chi phí sản xuất, kinh doanh dở dang dài hạn</v>
      </c>
      <c r="C72" s="69"/>
      <c r="D72" s="47"/>
      <c r="E72" s="47"/>
      <c r="F72" s="63"/>
      <c r="G72" s="47"/>
      <c r="H72" s="47"/>
      <c r="I72" s="47"/>
      <c r="J72" s="47"/>
      <c r="K72" s="47"/>
      <c r="L72" s="47"/>
      <c r="M72" s="47"/>
      <c r="N72" s="47"/>
      <c r="O72" s="47"/>
      <c r="P72" s="47"/>
      <c r="Q72" s="47"/>
      <c r="R72" s="1213"/>
      <c r="S72" s="1213"/>
      <c r="T72" s="1213"/>
      <c r="U72" s="47"/>
      <c r="V72" s="1219">
        <f>IF(ISBLANK($A72),0,VLOOKUP($A72,CDKT,MATCH($V$8,subTitle,0),0))</f>
        <v>0</v>
      </c>
      <c r="W72" s="1219"/>
      <c r="X72" s="1219"/>
      <c r="Y72" s="1219"/>
      <c r="Z72" s="1219"/>
      <c r="AA72" s="1219"/>
      <c r="AB72" s="1219"/>
      <c r="AC72" s="64"/>
      <c r="AD72" s="1219">
        <f>IF(ISBLANK($A72),0,VLOOKUP($A72,CDKT,MATCH($AD$8,subTitle,0),0))</f>
        <v>0</v>
      </c>
      <c r="AE72" s="1219"/>
      <c r="AF72" s="1219"/>
      <c r="AG72" s="1219"/>
      <c r="AH72" s="1219"/>
      <c r="AI72" s="1219"/>
      <c r="AJ72" s="1219"/>
      <c r="AK72" s="4"/>
      <c r="AL72" s="52" t="str">
        <f t="shared" si="1"/>
        <v>241</v>
      </c>
      <c r="AM72" s="69" t="str">
        <f>SUBTOTAL(109,$BW$72:BW72)&amp;". Long-term work in progress"</f>
        <v>0. Long-term work in progress</v>
      </c>
      <c r="AN72" s="47"/>
      <c r="AO72" s="47"/>
      <c r="AP72" s="47"/>
      <c r="AQ72" s="63"/>
      <c r="AR72" s="47"/>
      <c r="AS72" s="47"/>
      <c r="AT72" s="47"/>
      <c r="AU72" s="47"/>
      <c r="AV72" s="47"/>
      <c r="AW72" s="47"/>
      <c r="AX72" s="47"/>
      <c r="AY72" s="47"/>
      <c r="AZ72" s="47"/>
      <c r="BA72" s="47"/>
      <c r="BB72" s="47"/>
      <c r="BC72" s="1228"/>
      <c r="BD72" s="1228"/>
      <c r="BE72" s="1228"/>
      <c r="BF72" s="47"/>
      <c r="BG72" s="1219">
        <f>V72</f>
        <v>0</v>
      </c>
      <c r="BH72" s="1219"/>
      <c r="BI72" s="1219"/>
      <c r="BJ72" s="1219"/>
      <c r="BK72" s="1219"/>
      <c r="BL72" s="1219"/>
      <c r="BM72" s="1219"/>
      <c r="BN72" s="64"/>
      <c r="BO72" s="1219">
        <f>AD72</f>
        <v>0</v>
      </c>
      <c r="BP72" s="1219"/>
      <c r="BQ72" s="1219"/>
      <c r="BR72" s="1219"/>
      <c r="BS72" s="1219"/>
      <c r="BT72" s="1219"/>
      <c r="BU72" s="1219"/>
      <c r="BV72" s="3"/>
      <c r="BW72" s="44">
        <f>IF(ISTEXT(A72),IF(OR(SUM(V72:AB72)&lt;&gt;0,SUM(AD72:AJ72)&lt;&gt;0),1,0),1)</f>
        <v>0</v>
      </c>
      <c r="BX72" s="79">
        <f t="shared" si="0"/>
        <v>0</v>
      </c>
      <c r="BY72" s="79">
        <f t="shared" si="3"/>
        <v>0</v>
      </c>
    </row>
    <row r="73" spans="1:79" s="1" customFormat="1" ht="14.1" customHeight="1" x14ac:dyDescent="0.25">
      <c r="A73" s="62" t="s">
        <v>89</v>
      </c>
      <c r="B73" s="69" t="str">
        <f>SUBTOTAL(109,$BW$72:BW73)&amp;". Chi phí xây dựng cơ bản dở dang"</f>
        <v>1. Chi phí xây dựng cơ bản dở dang</v>
      </c>
      <c r="C73" s="69"/>
      <c r="D73" s="47"/>
      <c r="E73" s="47"/>
      <c r="F73" s="63"/>
      <c r="G73" s="47"/>
      <c r="H73" s="47"/>
      <c r="I73" s="47"/>
      <c r="J73" s="47"/>
      <c r="K73" s="47"/>
      <c r="L73" s="47"/>
      <c r="M73" s="47"/>
      <c r="N73" s="47"/>
      <c r="O73" s="47"/>
      <c r="P73" s="47"/>
      <c r="Q73" s="47"/>
      <c r="R73" s="1213"/>
      <c r="S73" s="1213"/>
      <c r="T73" s="1213"/>
      <c r="U73" s="47"/>
      <c r="V73" s="1219">
        <f>IF(ISBLANK($A73),0,VLOOKUP($A73,CDKT,MATCH($V$8,subTitle,0),0))</f>
        <v>1598224389</v>
      </c>
      <c r="W73" s="1219"/>
      <c r="X73" s="1219"/>
      <c r="Y73" s="1219"/>
      <c r="Z73" s="1219"/>
      <c r="AA73" s="1219"/>
      <c r="AB73" s="1219"/>
      <c r="AC73" s="64"/>
      <c r="AD73" s="1219">
        <f>IF(ISBLANK($A73),0,VLOOKUP($A73,CDKT,MATCH($AD$8,subTitle,0),0))</f>
        <v>0</v>
      </c>
      <c r="AE73" s="1219"/>
      <c r="AF73" s="1219"/>
      <c r="AG73" s="1219"/>
      <c r="AH73" s="1219"/>
      <c r="AI73" s="1219"/>
      <c r="AJ73" s="1219"/>
      <c r="AK73" s="4"/>
      <c r="AL73" s="52" t="str">
        <f t="shared" si="1"/>
        <v>242</v>
      </c>
      <c r="AM73" s="69" t="str">
        <f>SUBTOTAL(109,$BW$72:BW73)&amp;". Construction in progress"</f>
        <v>1. Construction in progress</v>
      </c>
      <c r="AN73" s="47"/>
      <c r="AO73" s="47"/>
      <c r="AP73" s="47"/>
      <c r="AQ73" s="63"/>
      <c r="AR73" s="47"/>
      <c r="AS73" s="47"/>
      <c r="AT73" s="47"/>
      <c r="AU73" s="47"/>
      <c r="AV73" s="47"/>
      <c r="AW73" s="47"/>
      <c r="AX73" s="47"/>
      <c r="AY73" s="47"/>
      <c r="AZ73" s="47"/>
      <c r="BA73" s="47"/>
      <c r="BB73" s="47"/>
      <c r="BC73" s="1228"/>
      <c r="BD73" s="1228"/>
      <c r="BE73" s="1228"/>
      <c r="BF73" s="47"/>
      <c r="BG73" s="1219">
        <f>V73</f>
        <v>1598224389</v>
      </c>
      <c r="BH73" s="1219"/>
      <c r="BI73" s="1219"/>
      <c r="BJ73" s="1219"/>
      <c r="BK73" s="1219"/>
      <c r="BL73" s="1219"/>
      <c r="BM73" s="1219"/>
      <c r="BN73" s="64"/>
      <c r="BO73" s="1219">
        <f>AD73</f>
        <v>0</v>
      </c>
      <c r="BP73" s="1219"/>
      <c r="BQ73" s="1219"/>
      <c r="BR73" s="1219"/>
      <c r="BS73" s="1219"/>
      <c r="BT73" s="1219"/>
      <c r="BU73" s="1219"/>
      <c r="BV73" s="3"/>
      <c r="BW73" s="44">
        <f>IF(ISTEXT(A73),IF(OR(SUM(V73:AB73)&lt;&gt;0,SUM(AD73:AJ73)&lt;&gt;0),1,0),1)</f>
        <v>1</v>
      </c>
      <c r="BX73" s="45">
        <f t="shared" si="0"/>
        <v>0</v>
      </c>
      <c r="BY73" s="45">
        <f t="shared" si="3"/>
        <v>0</v>
      </c>
      <c r="CA73" s="5"/>
    </row>
    <row r="74" spans="1:79" s="1" customFormat="1" ht="7.5" customHeight="1" x14ac:dyDescent="0.25">
      <c r="A74" s="52"/>
      <c r="C74" s="47"/>
      <c r="D74" s="47"/>
      <c r="F74" s="3"/>
      <c r="R74" s="1213"/>
      <c r="S74" s="1213"/>
      <c r="T74" s="1213"/>
      <c r="V74" s="1219"/>
      <c r="W74" s="1219"/>
      <c r="X74" s="1219"/>
      <c r="Y74" s="1219"/>
      <c r="Z74" s="1219"/>
      <c r="AA74" s="1219"/>
      <c r="AB74" s="1219"/>
      <c r="AC74" s="51"/>
      <c r="AD74" s="1219"/>
      <c r="AE74" s="1219"/>
      <c r="AF74" s="1219"/>
      <c r="AG74" s="1219"/>
      <c r="AH74" s="1219"/>
      <c r="AI74" s="1219"/>
      <c r="AJ74" s="1219"/>
      <c r="AK74" s="4"/>
      <c r="AL74" s="52">
        <f t="shared" si="1"/>
        <v>0</v>
      </c>
      <c r="AN74" s="47"/>
      <c r="AO74" s="47"/>
      <c r="AQ74" s="3"/>
      <c r="BC74" s="1213">
        <f t="shared" si="2"/>
        <v>0</v>
      </c>
      <c r="BD74" s="1213"/>
      <c r="BE74" s="1213"/>
      <c r="BG74" s="1219"/>
      <c r="BH74" s="1219"/>
      <c r="BI74" s="1219"/>
      <c r="BJ74" s="1219"/>
      <c r="BK74" s="1219"/>
      <c r="BL74" s="1219"/>
      <c r="BM74" s="1219"/>
      <c r="BN74" s="51"/>
      <c r="BO74" s="1219"/>
      <c r="BP74" s="1219"/>
      <c r="BQ74" s="1219"/>
      <c r="BR74" s="1219"/>
      <c r="BS74" s="1219"/>
      <c r="BT74" s="1219"/>
      <c r="BU74" s="1219"/>
      <c r="BV74" s="3"/>
      <c r="BW74" s="44">
        <f>$BW$75</f>
        <v>1</v>
      </c>
      <c r="BX74" s="45">
        <f t="shared" si="0"/>
        <v>0</v>
      </c>
      <c r="BY74" s="45">
        <f t="shared" si="3"/>
        <v>0</v>
      </c>
      <c r="CA74" s="5"/>
    </row>
    <row r="75" spans="1:79" s="1" customFormat="1" ht="15" customHeight="1" x14ac:dyDescent="0.25">
      <c r="A75" s="50" t="s">
        <v>90</v>
      </c>
      <c r="B75" s="61" t="s">
        <v>91</v>
      </c>
      <c r="C75" s="47"/>
      <c r="D75" s="47"/>
      <c r="F75" s="3"/>
      <c r="R75" s="1221">
        <f>IF(STT_CKDTTaiChinh1&lt;&gt;0,STT_CKDTTaiChinh,"")</f>
        <v>4</v>
      </c>
      <c r="S75" s="1221"/>
      <c r="T75" s="1221"/>
      <c r="V75" s="1220">
        <f>SUBTOTAL(109,V76:AB81)</f>
        <v>452901954</v>
      </c>
      <c r="W75" s="1220"/>
      <c r="X75" s="1220"/>
      <c r="Y75" s="1220"/>
      <c r="Z75" s="1220"/>
      <c r="AA75" s="1220"/>
      <c r="AB75" s="1220"/>
      <c r="AC75" s="51"/>
      <c r="AD75" s="1220">
        <f>SUBTOTAL(109,AD76:AJ81)</f>
        <v>452106383</v>
      </c>
      <c r="AE75" s="1220"/>
      <c r="AF75" s="1220"/>
      <c r="AG75" s="1220"/>
      <c r="AH75" s="1220"/>
      <c r="AI75" s="1220"/>
      <c r="AJ75" s="1220"/>
      <c r="AK75" s="11"/>
      <c r="AL75" s="50" t="str">
        <f t="shared" si="1"/>
        <v>250</v>
      </c>
      <c r="AM75" s="61" t="s">
        <v>92</v>
      </c>
      <c r="AN75" s="47"/>
      <c r="AO75" s="47"/>
      <c r="AQ75" s="3"/>
      <c r="BC75" s="1223">
        <f t="shared" si="2"/>
        <v>4</v>
      </c>
      <c r="BD75" s="1223"/>
      <c r="BE75" s="1223"/>
      <c r="BG75" s="1220">
        <f t="shared" ref="BG75:BG80" si="17">V75</f>
        <v>452901954</v>
      </c>
      <c r="BH75" s="1220"/>
      <c r="BI75" s="1220"/>
      <c r="BJ75" s="1220"/>
      <c r="BK75" s="1220"/>
      <c r="BL75" s="1220"/>
      <c r="BM75" s="1220"/>
      <c r="BN75" s="51"/>
      <c r="BO75" s="1220">
        <f t="shared" ref="BO75:BO80" si="18">AD75</f>
        <v>452106383</v>
      </c>
      <c r="BP75" s="1220"/>
      <c r="BQ75" s="1220"/>
      <c r="BR75" s="1220"/>
      <c r="BS75" s="1220"/>
      <c r="BT75" s="1220"/>
      <c r="BU75" s="1220"/>
      <c r="BV75" s="3"/>
      <c r="BW75" s="44">
        <f>IF(ISTEXT(A75),IF(SUM(BW76:BW80)&gt;0,1,0),1)</f>
        <v>1</v>
      </c>
      <c r="BX75" s="79">
        <f t="shared" ref="BX75:BX136" si="19">IF(ISNONTEXT(V75),V75-BG75,0)</f>
        <v>0</v>
      </c>
      <c r="BY75" s="79">
        <f t="shared" si="3"/>
        <v>0</v>
      </c>
      <c r="CA75" s="5"/>
    </row>
    <row r="76" spans="1:79" s="27" customFormat="1" ht="14.1" hidden="1" customHeight="1" x14ac:dyDescent="0.25">
      <c r="A76" s="52" t="s">
        <v>93</v>
      </c>
      <c r="B76" s="60" t="str">
        <f>SUBTOTAL(109,$BW$76:BW76)&amp;". Đầu tư vào công ty con"</f>
        <v>0. Đầu tư vào công ty con</v>
      </c>
      <c r="C76" s="60"/>
      <c r="D76" s="47"/>
      <c r="E76" s="1"/>
      <c r="F76" s="3"/>
      <c r="G76" s="1"/>
      <c r="H76" s="1"/>
      <c r="I76" s="1"/>
      <c r="J76" s="1"/>
      <c r="K76" s="1"/>
      <c r="L76" s="1"/>
      <c r="M76" s="1"/>
      <c r="N76" s="1"/>
      <c r="O76" s="1"/>
      <c r="P76" s="1"/>
      <c r="Q76" s="1"/>
      <c r="R76" s="1213"/>
      <c r="S76" s="1213"/>
      <c r="T76" s="1213"/>
      <c r="U76" s="1"/>
      <c r="V76" s="1219">
        <f>IF(ISBLANK($A76),0,VLOOKUP($A76,CDKT,MATCH($V$8,subTitle,0),0))</f>
        <v>0</v>
      </c>
      <c r="W76" s="1219"/>
      <c r="X76" s="1219"/>
      <c r="Y76" s="1219"/>
      <c r="Z76" s="1219"/>
      <c r="AA76" s="1219"/>
      <c r="AB76" s="1219"/>
      <c r="AC76" s="51"/>
      <c r="AD76" s="1219">
        <f>IF(ISBLANK($A76),0,VLOOKUP($A76,CDKT,MATCH($AD$8,subTitle,0),0))</f>
        <v>0</v>
      </c>
      <c r="AE76" s="1219"/>
      <c r="AF76" s="1219"/>
      <c r="AG76" s="1219"/>
      <c r="AH76" s="1219"/>
      <c r="AI76" s="1219"/>
      <c r="AJ76" s="1219"/>
      <c r="AK76" s="4"/>
      <c r="AL76" s="52" t="str">
        <f t="shared" si="1"/>
        <v>251</v>
      </c>
      <c r="AM76" s="60" t="str">
        <f>SUBTOTAL(109,$BW$76:BW76)&amp;". Investments in subsidiaries"</f>
        <v>0. Investments in subsidiaries</v>
      </c>
      <c r="AN76" s="47"/>
      <c r="AO76" s="47"/>
      <c r="AP76" s="1"/>
      <c r="AQ76" s="3"/>
      <c r="AR76" s="1"/>
      <c r="AS76" s="1"/>
      <c r="AT76" s="1"/>
      <c r="AU76" s="1"/>
      <c r="AV76" s="1"/>
      <c r="AW76" s="1"/>
      <c r="AX76" s="1"/>
      <c r="AY76" s="1"/>
      <c r="AZ76" s="1"/>
      <c r="BA76" s="1"/>
      <c r="BB76" s="1"/>
      <c r="BC76" s="1213"/>
      <c r="BD76" s="1213"/>
      <c r="BE76" s="1213"/>
      <c r="BF76" s="1"/>
      <c r="BG76" s="1219">
        <f t="shared" si="17"/>
        <v>0</v>
      </c>
      <c r="BH76" s="1219"/>
      <c r="BI76" s="1219"/>
      <c r="BJ76" s="1219"/>
      <c r="BK76" s="1219"/>
      <c r="BL76" s="1219"/>
      <c r="BM76" s="1219"/>
      <c r="BN76" s="51"/>
      <c r="BO76" s="1219">
        <f t="shared" si="18"/>
        <v>0</v>
      </c>
      <c r="BP76" s="1219"/>
      <c r="BQ76" s="1219"/>
      <c r="BR76" s="1219"/>
      <c r="BS76" s="1219"/>
      <c r="BT76" s="1219"/>
      <c r="BU76" s="1219"/>
      <c r="BV76" s="3"/>
      <c r="BW76" s="44">
        <f t="shared" si="4"/>
        <v>0</v>
      </c>
      <c r="BX76" s="45">
        <f t="shared" si="19"/>
        <v>0</v>
      </c>
      <c r="BY76" s="45">
        <f t="shared" si="3"/>
        <v>0</v>
      </c>
    </row>
    <row r="77" spans="1:79" s="27" customFormat="1" ht="14.1" hidden="1" customHeight="1" x14ac:dyDescent="0.25">
      <c r="A77" s="52" t="s">
        <v>94</v>
      </c>
      <c r="B77" s="60" t="str">
        <f>SUBTOTAL(109,$BW$76:BW77)&amp;". Đầu tư vào công ty liên doanh, liên kết"</f>
        <v>0. Đầu tư vào công ty liên doanh, liên kết</v>
      </c>
      <c r="C77" s="60"/>
      <c r="D77" s="47"/>
      <c r="E77" s="1"/>
      <c r="F77" s="3"/>
      <c r="G77" s="1"/>
      <c r="H77" s="1"/>
      <c r="I77" s="1"/>
      <c r="J77" s="1"/>
      <c r="K77" s="1"/>
      <c r="L77" s="1"/>
      <c r="M77" s="1"/>
      <c r="N77" s="1"/>
      <c r="O77" s="1"/>
      <c r="P77" s="1"/>
      <c r="Q77" s="1"/>
      <c r="R77" s="1213"/>
      <c r="S77" s="1213"/>
      <c r="T77" s="1213"/>
      <c r="U77" s="1"/>
      <c r="V77" s="1219">
        <f>IF(ISBLANK($A77),0,VLOOKUP($A77,CDKT,MATCH($V$8,subTitle,0),0))</f>
        <v>0</v>
      </c>
      <c r="W77" s="1219"/>
      <c r="X77" s="1219"/>
      <c r="Y77" s="1219"/>
      <c r="Z77" s="1219"/>
      <c r="AA77" s="1219"/>
      <c r="AB77" s="1219"/>
      <c r="AC77" s="51"/>
      <c r="AD77" s="1219">
        <f>IF(ISBLANK($A77),0,VLOOKUP($A77,CDKT,MATCH($AD$8,subTitle,0),0))</f>
        <v>0</v>
      </c>
      <c r="AE77" s="1219"/>
      <c r="AF77" s="1219"/>
      <c r="AG77" s="1219"/>
      <c r="AH77" s="1219"/>
      <c r="AI77" s="1219"/>
      <c r="AJ77" s="1219"/>
      <c r="AK77" s="4"/>
      <c r="AL77" s="52" t="str">
        <f t="shared" si="1"/>
        <v>252</v>
      </c>
      <c r="AM77" s="60" t="str">
        <f>SUBTOTAL(109,$BW$76:BW77)&amp;". Investments in joint-ventures, associates"</f>
        <v>0. Investments in joint-ventures, associates</v>
      </c>
      <c r="AN77" s="47"/>
      <c r="AO77" s="47"/>
      <c r="AP77" s="1"/>
      <c r="AQ77" s="3"/>
      <c r="AR77" s="1"/>
      <c r="AS77" s="1"/>
      <c r="AT77" s="1"/>
      <c r="AU77" s="1"/>
      <c r="AV77" s="1"/>
      <c r="AW77" s="1"/>
      <c r="AX77" s="1"/>
      <c r="AY77" s="1"/>
      <c r="AZ77" s="1"/>
      <c r="BA77" s="1"/>
      <c r="BB77" s="1"/>
      <c r="BC77" s="1213"/>
      <c r="BD77" s="1213"/>
      <c r="BE77" s="1213"/>
      <c r="BF77" s="1"/>
      <c r="BG77" s="1219">
        <f t="shared" si="17"/>
        <v>0</v>
      </c>
      <c r="BH77" s="1219"/>
      <c r="BI77" s="1219"/>
      <c r="BJ77" s="1219"/>
      <c r="BK77" s="1219"/>
      <c r="BL77" s="1219"/>
      <c r="BM77" s="1219"/>
      <c r="BN77" s="51"/>
      <c r="BO77" s="1219">
        <f t="shared" si="18"/>
        <v>0</v>
      </c>
      <c r="BP77" s="1219"/>
      <c r="BQ77" s="1219"/>
      <c r="BR77" s="1219"/>
      <c r="BS77" s="1219"/>
      <c r="BT77" s="1219"/>
      <c r="BU77" s="1219"/>
      <c r="BV77" s="3"/>
      <c r="BW77" s="44">
        <f t="shared" si="4"/>
        <v>0</v>
      </c>
      <c r="BX77" s="45">
        <f t="shared" si="19"/>
        <v>0</v>
      </c>
      <c r="BY77" s="45">
        <f t="shared" si="3"/>
        <v>0</v>
      </c>
    </row>
    <row r="78" spans="1:79" s="27" customFormat="1" ht="14.1" customHeight="1" x14ac:dyDescent="0.25">
      <c r="A78" s="52" t="s">
        <v>95</v>
      </c>
      <c r="B78" s="60" t="str">
        <f>SUBTOTAL(109,$BW$76:BW78)&amp;". Đầu tư góp vốn vào đơn vị khác"</f>
        <v>1. Đầu tư góp vốn vào đơn vị khác</v>
      </c>
      <c r="C78" s="60"/>
      <c r="D78" s="47"/>
      <c r="E78" s="1"/>
      <c r="F78" s="3"/>
      <c r="G78" s="1"/>
      <c r="H78" s="1"/>
      <c r="I78" s="1"/>
      <c r="J78" s="1"/>
      <c r="K78" s="1"/>
      <c r="L78" s="1"/>
      <c r="M78" s="1"/>
      <c r="N78" s="1"/>
      <c r="O78" s="1"/>
      <c r="P78" s="1"/>
      <c r="Q78" s="1"/>
      <c r="R78" s="1213"/>
      <c r="S78" s="1213"/>
      <c r="T78" s="1213"/>
      <c r="U78" s="1"/>
      <c r="V78" s="1219">
        <f>IF(ISBLANK($A78),0,VLOOKUP($A78,CDKT,MATCH($V$8,subTitle,0),0))</f>
        <v>1300000000</v>
      </c>
      <c r="W78" s="1219"/>
      <c r="X78" s="1219"/>
      <c r="Y78" s="1219"/>
      <c r="Z78" s="1219"/>
      <c r="AA78" s="1219"/>
      <c r="AB78" s="1219"/>
      <c r="AC78" s="51"/>
      <c r="AD78" s="1219">
        <f>IF(ISBLANK($A78),0,VLOOKUP($A78,CDKT,MATCH($AD$8,subTitle,0),0))</f>
        <v>1300000000</v>
      </c>
      <c r="AE78" s="1219"/>
      <c r="AF78" s="1219"/>
      <c r="AG78" s="1219"/>
      <c r="AH78" s="1219"/>
      <c r="AI78" s="1219"/>
      <c r="AJ78" s="1219"/>
      <c r="AK78" s="4"/>
      <c r="AL78" s="52" t="str">
        <f t="shared" si="1"/>
        <v>253</v>
      </c>
      <c r="AM78" s="60" t="str">
        <f>SUBTOTAL(109,$BW$76:BW78)&amp;". Invesments in equity of other entities"</f>
        <v>1. Invesments in equity of other entities</v>
      </c>
      <c r="AN78" s="47"/>
      <c r="AO78" s="47"/>
      <c r="AP78" s="1"/>
      <c r="AQ78" s="3"/>
      <c r="AR78" s="1"/>
      <c r="AS78" s="1"/>
      <c r="AT78" s="1"/>
      <c r="AU78" s="1"/>
      <c r="AV78" s="1"/>
      <c r="AW78" s="1"/>
      <c r="AX78" s="1"/>
      <c r="AY78" s="1"/>
      <c r="AZ78" s="1"/>
      <c r="BA78" s="1"/>
      <c r="BB78" s="1"/>
      <c r="BC78" s="1213"/>
      <c r="BD78" s="1213"/>
      <c r="BE78" s="1213"/>
      <c r="BF78" s="1"/>
      <c r="BG78" s="1219">
        <f t="shared" si="17"/>
        <v>1300000000</v>
      </c>
      <c r="BH78" s="1219"/>
      <c r="BI78" s="1219"/>
      <c r="BJ78" s="1219"/>
      <c r="BK78" s="1219"/>
      <c r="BL78" s="1219"/>
      <c r="BM78" s="1219"/>
      <c r="BN78" s="51"/>
      <c r="BO78" s="1219">
        <f t="shared" si="18"/>
        <v>1300000000</v>
      </c>
      <c r="BP78" s="1219"/>
      <c r="BQ78" s="1219"/>
      <c r="BR78" s="1219"/>
      <c r="BS78" s="1219"/>
      <c r="BT78" s="1219"/>
      <c r="BU78" s="1219"/>
      <c r="BV78" s="3"/>
      <c r="BW78" s="44">
        <f t="shared" si="4"/>
        <v>1</v>
      </c>
      <c r="BX78" s="45">
        <f t="shared" si="19"/>
        <v>0</v>
      </c>
      <c r="BY78" s="45">
        <f t="shared" si="3"/>
        <v>0</v>
      </c>
      <c r="CA78" s="28"/>
    </row>
    <row r="79" spans="1:79" s="27" customFormat="1" ht="15" customHeight="1" x14ac:dyDescent="0.25">
      <c r="A79" s="62" t="s">
        <v>96</v>
      </c>
      <c r="B79" s="60" t="str">
        <f>SUBTOTAL(109,$BW$76:BW79)&amp;". Dự phòng đầu tư tài chính dài hạn"</f>
        <v>2. Dự phòng đầu tư tài chính dài hạn</v>
      </c>
      <c r="C79" s="69"/>
      <c r="D79" s="47"/>
      <c r="E79" s="47"/>
      <c r="F79" s="63"/>
      <c r="G79" s="47"/>
      <c r="H79" s="47"/>
      <c r="I79" s="47"/>
      <c r="J79" s="47"/>
      <c r="K79" s="47"/>
      <c r="L79" s="47"/>
      <c r="M79" s="47"/>
      <c r="N79" s="47"/>
      <c r="O79" s="47"/>
      <c r="P79" s="47"/>
      <c r="Q79" s="47"/>
      <c r="R79" s="1228"/>
      <c r="S79" s="1228"/>
      <c r="T79" s="1228"/>
      <c r="U79" s="47"/>
      <c r="V79" s="1219">
        <f>IF(ISBLANK($A79),0,VLOOKUP($A79,CDKT,MATCH($V$8,subTitle,0),0))</f>
        <v>-847098046</v>
      </c>
      <c r="W79" s="1219"/>
      <c r="X79" s="1219"/>
      <c r="Y79" s="1219"/>
      <c r="Z79" s="1219"/>
      <c r="AA79" s="1219"/>
      <c r="AB79" s="1219"/>
      <c r="AC79" s="64"/>
      <c r="AD79" s="1219">
        <f>IF(ISBLANK($A79),0,VLOOKUP($A79,CDKT,MATCH($AD$8,subTitle,0),0))</f>
        <v>-847893617</v>
      </c>
      <c r="AE79" s="1219"/>
      <c r="AF79" s="1219"/>
      <c r="AG79" s="1219"/>
      <c r="AH79" s="1219"/>
      <c r="AI79" s="1219"/>
      <c r="AJ79" s="1219"/>
      <c r="AK79" s="4"/>
      <c r="AL79" s="62" t="str">
        <f t="shared" si="1"/>
        <v>254</v>
      </c>
      <c r="AM79" s="1225" t="str">
        <f>SUBTOTAL(109,$BW$76:BW79)&amp;". Provision for diminution of value long-term investments"</f>
        <v>2. Provision for diminution of value long-term investments</v>
      </c>
      <c r="AN79" s="1225"/>
      <c r="AO79" s="1225"/>
      <c r="AP79" s="1225"/>
      <c r="AQ79" s="1225"/>
      <c r="AR79" s="1225"/>
      <c r="AS79" s="1225"/>
      <c r="AT79" s="1225"/>
      <c r="AU79" s="1225"/>
      <c r="AV79" s="1225"/>
      <c r="AW79" s="1225"/>
      <c r="AX79" s="1225"/>
      <c r="AY79" s="1225"/>
      <c r="AZ79" s="1225"/>
      <c r="BA79" s="1225"/>
      <c r="BB79" s="1225"/>
      <c r="BC79" s="80"/>
      <c r="BD79" s="80"/>
      <c r="BE79" s="80"/>
      <c r="BF79" s="47"/>
      <c r="BG79" s="1219">
        <f t="shared" si="17"/>
        <v>-847098046</v>
      </c>
      <c r="BH79" s="1219"/>
      <c r="BI79" s="1219"/>
      <c r="BJ79" s="1219"/>
      <c r="BK79" s="1219"/>
      <c r="BL79" s="1219"/>
      <c r="BM79" s="1219"/>
      <c r="BN79" s="64"/>
      <c r="BO79" s="1219">
        <f t="shared" si="18"/>
        <v>-847893617</v>
      </c>
      <c r="BP79" s="1219"/>
      <c r="BQ79" s="1219"/>
      <c r="BR79" s="1219"/>
      <c r="BS79" s="1219"/>
      <c r="BT79" s="1219"/>
      <c r="BU79" s="1219"/>
      <c r="BV79" s="3"/>
      <c r="BW79" s="44">
        <f>IF(ISTEXT(A79),IF(OR(SUM(V79:AB79)&lt;&gt;0,SUM(AD79:AJ79)&lt;&gt;0),1,0),1)</f>
        <v>1</v>
      </c>
      <c r="BX79" s="45">
        <f t="shared" si="19"/>
        <v>0</v>
      </c>
      <c r="BY79" s="45">
        <f t="shared" si="3"/>
        <v>0</v>
      </c>
      <c r="CA79" s="28"/>
    </row>
    <row r="80" spans="1:79" s="27" customFormat="1" ht="14.1" hidden="1" customHeight="1" x14ac:dyDescent="0.25">
      <c r="A80" s="52" t="s">
        <v>97</v>
      </c>
      <c r="B80" s="60" t="str">
        <f>SUBTOTAL(109,$BW$76:BW80)&amp;". Đầu tư nắm giữ đến ngày đáo hạn"</f>
        <v>2. Đầu tư nắm giữ đến ngày đáo hạn</v>
      </c>
      <c r="C80" s="60"/>
      <c r="D80" s="47"/>
      <c r="E80" s="1"/>
      <c r="F80" s="3"/>
      <c r="G80" s="1"/>
      <c r="H80" s="1"/>
      <c r="I80" s="1"/>
      <c r="J80" s="1"/>
      <c r="K80" s="1"/>
      <c r="L80" s="1"/>
      <c r="M80" s="1"/>
      <c r="N80" s="1"/>
      <c r="O80" s="1"/>
      <c r="P80" s="1"/>
      <c r="Q80" s="1"/>
      <c r="R80" s="1213"/>
      <c r="S80" s="1213"/>
      <c r="T80" s="1213"/>
      <c r="U80" s="1"/>
      <c r="V80" s="1219">
        <f>IF(ISBLANK($A80),0,VLOOKUP($A80,CDKT,MATCH($V$8,subTitle,0),0))</f>
        <v>0</v>
      </c>
      <c r="W80" s="1219"/>
      <c r="X80" s="1219"/>
      <c r="Y80" s="1219"/>
      <c r="Z80" s="1219"/>
      <c r="AA80" s="1219"/>
      <c r="AB80" s="1219"/>
      <c r="AC80" s="51"/>
      <c r="AD80" s="1219">
        <f>IF(ISBLANK($A80),0,VLOOKUP($A80,CDKT,MATCH($AD$8,subTitle,0),0))</f>
        <v>0</v>
      </c>
      <c r="AE80" s="1219"/>
      <c r="AF80" s="1219"/>
      <c r="AG80" s="1219"/>
      <c r="AH80" s="1219"/>
      <c r="AI80" s="1219"/>
      <c r="AJ80" s="1219"/>
      <c r="AK80" s="4"/>
      <c r="AL80" s="52" t="str">
        <f t="shared" si="1"/>
        <v>255</v>
      </c>
      <c r="AM80" s="60" t="str">
        <f>SUBTOTAL(109,$BW$76:BW80)&amp;". Held-to-maturity investments"</f>
        <v>2. Held-to-maturity investments</v>
      </c>
      <c r="AN80" s="47"/>
      <c r="AO80" s="47"/>
      <c r="AP80" s="1"/>
      <c r="AQ80" s="3"/>
      <c r="AR80" s="1"/>
      <c r="AS80" s="1"/>
      <c r="AT80" s="1"/>
      <c r="AU80" s="1"/>
      <c r="AV80" s="1"/>
      <c r="AW80" s="1"/>
      <c r="AX80" s="1"/>
      <c r="AY80" s="1"/>
      <c r="AZ80" s="1"/>
      <c r="BA80" s="1"/>
      <c r="BB80" s="1"/>
      <c r="BC80" s="1213"/>
      <c r="BD80" s="1213"/>
      <c r="BE80" s="1213"/>
      <c r="BF80" s="1"/>
      <c r="BG80" s="1219">
        <f t="shared" si="17"/>
        <v>0</v>
      </c>
      <c r="BH80" s="1219"/>
      <c r="BI80" s="1219"/>
      <c r="BJ80" s="1219"/>
      <c r="BK80" s="1219"/>
      <c r="BL80" s="1219"/>
      <c r="BM80" s="1219"/>
      <c r="BN80" s="51"/>
      <c r="BO80" s="1219">
        <f t="shared" si="18"/>
        <v>0</v>
      </c>
      <c r="BP80" s="1219"/>
      <c r="BQ80" s="1219"/>
      <c r="BR80" s="1219"/>
      <c r="BS80" s="1219"/>
      <c r="BT80" s="1219"/>
      <c r="BU80" s="1219"/>
      <c r="BV80" s="3"/>
      <c r="BW80" s="44">
        <f t="shared" si="4"/>
        <v>0</v>
      </c>
      <c r="BX80" s="45">
        <f t="shared" si="19"/>
        <v>0</v>
      </c>
      <c r="BY80" s="45">
        <f t="shared" si="3"/>
        <v>0</v>
      </c>
    </row>
    <row r="81" spans="1:79" s="27" customFormat="1" ht="9.75" customHeight="1" x14ac:dyDescent="0.25">
      <c r="A81" s="52"/>
      <c r="C81" s="47"/>
      <c r="D81" s="47"/>
      <c r="E81" s="1"/>
      <c r="F81" s="3"/>
      <c r="G81" s="1"/>
      <c r="H81" s="1"/>
      <c r="I81" s="1"/>
      <c r="J81" s="1"/>
      <c r="K81" s="1"/>
      <c r="L81" s="1"/>
      <c r="M81" s="1"/>
      <c r="N81" s="1"/>
      <c r="O81" s="1"/>
      <c r="P81" s="1"/>
      <c r="Q81" s="1"/>
      <c r="R81" s="1213"/>
      <c r="S81" s="1213"/>
      <c r="T81" s="1213"/>
      <c r="U81" s="1"/>
      <c r="V81" s="1219"/>
      <c r="W81" s="1219"/>
      <c r="X81" s="1219"/>
      <c r="Y81" s="1219"/>
      <c r="Z81" s="1219"/>
      <c r="AA81" s="1219"/>
      <c r="AB81" s="1219"/>
      <c r="AC81" s="51"/>
      <c r="AD81" s="1219"/>
      <c r="AE81" s="1219"/>
      <c r="AF81" s="1219"/>
      <c r="AG81" s="1219"/>
      <c r="AH81" s="1219"/>
      <c r="AI81" s="1219"/>
      <c r="AJ81" s="1219"/>
      <c r="AK81" s="4"/>
      <c r="AL81" s="52">
        <f t="shared" si="1"/>
        <v>0</v>
      </c>
      <c r="AN81" s="47"/>
      <c r="AO81" s="47"/>
      <c r="AP81" s="1"/>
      <c r="AQ81" s="3"/>
      <c r="AR81" s="1"/>
      <c r="AS81" s="1"/>
      <c r="AT81" s="1"/>
      <c r="AU81" s="1"/>
      <c r="AV81" s="1"/>
      <c r="AW81" s="1"/>
      <c r="AX81" s="1"/>
      <c r="AY81" s="1"/>
      <c r="AZ81" s="1"/>
      <c r="BA81" s="1"/>
      <c r="BB81" s="1"/>
      <c r="BC81" s="1213">
        <f t="shared" si="2"/>
        <v>0</v>
      </c>
      <c r="BD81" s="1213"/>
      <c r="BE81" s="1213"/>
      <c r="BF81" s="1"/>
      <c r="BG81" s="1219"/>
      <c r="BH81" s="1219"/>
      <c r="BI81" s="1219"/>
      <c r="BJ81" s="1219"/>
      <c r="BK81" s="1219"/>
      <c r="BL81" s="1219"/>
      <c r="BM81" s="1219"/>
      <c r="BN81" s="51"/>
      <c r="BO81" s="1219"/>
      <c r="BP81" s="1219"/>
      <c r="BQ81" s="1219"/>
      <c r="BR81" s="1219"/>
      <c r="BS81" s="1219"/>
      <c r="BT81" s="1219"/>
      <c r="BU81" s="1219"/>
      <c r="BV81" s="3"/>
      <c r="BW81" s="44">
        <f>$BW$82</f>
        <v>1</v>
      </c>
      <c r="BX81" s="45">
        <f t="shared" si="19"/>
        <v>0</v>
      </c>
      <c r="BY81" s="45">
        <f t="shared" si="3"/>
        <v>0</v>
      </c>
      <c r="CA81" s="28"/>
    </row>
    <row r="82" spans="1:79" s="1" customFormat="1" ht="15" customHeight="1" x14ac:dyDescent="0.25">
      <c r="A82" s="50" t="s">
        <v>98</v>
      </c>
      <c r="B82" s="61" t="s">
        <v>99</v>
      </c>
      <c r="C82" s="47"/>
      <c r="D82" s="47"/>
      <c r="F82" s="3"/>
      <c r="R82" s="1213"/>
      <c r="S82" s="1213"/>
      <c r="T82" s="1213"/>
      <c r="V82" s="1220">
        <f>SUBTOTAL(109,V83:AB86)</f>
        <v>507939847</v>
      </c>
      <c r="W82" s="1220"/>
      <c r="X82" s="1220"/>
      <c r="Y82" s="1220"/>
      <c r="Z82" s="1220"/>
      <c r="AA82" s="1220"/>
      <c r="AB82" s="1220"/>
      <c r="AC82" s="51"/>
      <c r="AD82" s="1220">
        <f>SUBTOTAL(109,AD83:AJ86)</f>
        <v>353103812</v>
      </c>
      <c r="AE82" s="1220"/>
      <c r="AF82" s="1220"/>
      <c r="AG82" s="1220"/>
      <c r="AH82" s="1220"/>
      <c r="AI82" s="1220"/>
      <c r="AJ82" s="1220"/>
      <c r="AK82" s="11"/>
      <c r="AL82" s="50" t="str">
        <f t="shared" si="1"/>
        <v>260</v>
      </c>
      <c r="AM82" s="61" t="s">
        <v>100</v>
      </c>
      <c r="AN82" s="47"/>
      <c r="AO82" s="47"/>
      <c r="AQ82" s="3"/>
      <c r="BC82" s="1213">
        <f t="shared" si="2"/>
        <v>0</v>
      </c>
      <c r="BD82" s="1213"/>
      <c r="BE82" s="1213"/>
      <c r="BG82" s="1220">
        <f t="shared" ref="BG82:BG87" si="20">V82</f>
        <v>507939847</v>
      </c>
      <c r="BH82" s="1220"/>
      <c r="BI82" s="1220"/>
      <c r="BJ82" s="1220"/>
      <c r="BK82" s="1220"/>
      <c r="BL82" s="1220"/>
      <c r="BM82" s="1220"/>
      <c r="BN82" s="51"/>
      <c r="BO82" s="1220">
        <f t="shared" ref="BO82:BO87" si="21">AD82</f>
        <v>353103812</v>
      </c>
      <c r="BP82" s="1220"/>
      <c r="BQ82" s="1220"/>
      <c r="BR82" s="1220"/>
      <c r="BS82" s="1220"/>
      <c r="BT82" s="1220"/>
      <c r="BU82" s="1220"/>
      <c r="BV82" s="3"/>
      <c r="BW82" s="44">
        <f>IF(ISTEXT(A82),IF(SUM(BW83:BW86)&gt;0,1,0),1)</f>
        <v>1</v>
      </c>
      <c r="BX82" s="79">
        <f t="shared" si="19"/>
        <v>0</v>
      </c>
      <c r="BY82" s="79">
        <f t="shared" si="3"/>
        <v>0</v>
      </c>
      <c r="CA82" s="5"/>
    </row>
    <row r="83" spans="1:79" s="27" customFormat="1" ht="14.1" customHeight="1" x14ac:dyDescent="0.25">
      <c r="A83" s="52" t="s">
        <v>101</v>
      </c>
      <c r="B83" s="81" t="str">
        <f>SUBTOTAL(109,$BW$83:BW83)&amp;". Chi phí trả trước dài hạn"</f>
        <v>1. Chi phí trả trước dài hạn</v>
      </c>
      <c r="C83" s="81"/>
      <c r="D83" s="47"/>
      <c r="E83" s="1"/>
      <c r="F83" s="3"/>
      <c r="G83" s="1"/>
      <c r="H83" s="1"/>
      <c r="I83" s="1"/>
      <c r="J83" s="1"/>
      <c r="K83" s="1"/>
      <c r="L83" s="1"/>
      <c r="M83" s="1"/>
      <c r="N83" s="1"/>
      <c r="O83" s="1"/>
      <c r="P83" s="1"/>
      <c r="Q83" s="1"/>
      <c r="R83" s="1221">
        <f>IF(STT_CPTraTruoc1&lt;&gt;0,STT_CPTraTruoc,"")</f>
        <v>14</v>
      </c>
      <c r="S83" s="1221"/>
      <c r="T83" s="1221"/>
      <c r="U83" s="1"/>
      <c r="V83" s="1219">
        <f>IF(ISBLANK($A83),0,VLOOKUP($A83,CDKT,MATCH($V$8,subTitle,0),0))</f>
        <v>507939847</v>
      </c>
      <c r="W83" s="1219"/>
      <c r="X83" s="1219"/>
      <c r="Y83" s="1219"/>
      <c r="Z83" s="1219"/>
      <c r="AA83" s="1219"/>
      <c r="AB83" s="1219"/>
      <c r="AC83" s="54"/>
      <c r="AD83" s="1219">
        <f>IF(ISBLANK($A83),0,VLOOKUP($A83,CDKT,MATCH($AD$8,subTitle,0),0))</f>
        <v>353103812</v>
      </c>
      <c r="AE83" s="1219"/>
      <c r="AF83" s="1219"/>
      <c r="AG83" s="1219"/>
      <c r="AH83" s="1219"/>
      <c r="AI83" s="1219"/>
      <c r="AJ83" s="1219"/>
      <c r="AK83" s="4"/>
      <c r="AL83" s="52" t="str">
        <f t="shared" si="1"/>
        <v>261</v>
      </c>
      <c r="AM83" s="81" t="str">
        <f>SUBTOTAL(109,$BW$83:BW83)&amp;". Long-term prepaid expenses"</f>
        <v>1. Long-term prepaid expenses</v>
      </c>
      <c r="AN83" s="47"/>
      <c r="AO83" s="47"/>
      <c r="AP83" s="1"/>
      <c r="AQ83" s="3"/>
      <c r="AR83" s="1"/>
      <c r="AS83" s="1"/>
      <c r="AT83" s="1"/>
      <c r="AU83" s="1"/>
      <c r="AV83" s="1"/>
      <c r="AW83" s="1"/>
      <c r="AX83" s="1"/>
      <c r="AY83" s="1"/>
      <c r="AZ83" s="1"/>
      <c r="BA83" s="1"/>
      <c r="BB83" s="1"/>
      <c r="BC83" s="1213">
        <f t="shared" si="2"/>
        <v>14</v>
      </c>
      <c r="BD83" s="1213"/>
      <c r="BE83" s="1213"/>
      <c r="BF83" s="1"/>
      <c r="BG83" s="1219">
        <f t="shared" si="20"/>
        <v>507939847</v>
      </c>
      <c r="BH83" s="1219"/>
      <c r="BI83" s="1219"/>
      <c r="BJ83" s="1219"/>
      <c r="BK83" s="1219"/>
      <c r="BL83" s="1219"/>
      <c r="BM83" s="1219"/>
      <c r="BN83" s="51"/>
      <c r="BO83" s="1219">
        <f t="shared" si="21"/>
        <v>353103812</v>
      </c>
      <c r="BP83" s="1219"/>
      <c r="BQ83" s="1219"/>
      <c r="BR83" s="1219"/>
      <c r="BS83" s="1219"/>
      <c r="BT83" s="1219"/>
      <c r="BU83" s="1219"/>
      <c r="BV83" s="3"/>
      <c r="BW83" s="44">
        <f t="shared" si="4"/>
        <v>1</v>
      </c>
      <c r="BX83" s="45">
        <f t="shared" si="19"/>
        <v>0</v>
      </c>
      <c r="BY83" s="45">
        <f t="shared" si="3"/>
        <v>0</v>
      </c>
      <c r="CA83" s="28"/>
    </row>
    <row r="84" spans="1:79" s="27" customFormat="1" ht="14.1" hidden="1" customHeight="1" x14ac:dyDescent="0.25">
      <c r="A84" s="52" t="s">
        <v>102</v>
      </c>
      <c r="B84" s="81" t="str">
        <f>SUBTOTAL(109,$BW$83:BW84)&amp;". Tài sản thuế thu nhập hoãn lại"</f>
        <v>1. Tài sản thuế thu nhập hoãn lại</v>
      </c>
      <c r="C84" s="81"/>
      <c r="D84" s="47"/>
      <c r="E84" s="1"/>
      <c r="F84" s="3"/>
      <c r="G84" s="1"/>
      <c r="H84" s="1"/>
      <c r="I84" s="1"/>
      <c r="J84" s="1"/>
      <c r="K84" s="1"/>
      <c r="L84" s="1"/>
      <c r="M84" s="1"/>
      <c r="N84" s="1"/>
      <c r="O84" s="1"/>
      <c r="P84" s="1"/>
      <c r="Q84" s="1"/>
      <c r="R84" s="1221" t="str">
        <f>IF(STT_ThueTNHoanLai1&lt;&gt;0,STT_ThueTNHoanLai,"")</f>
        <v/>
      </c>
      <c r="S84" s="1221"/>
      <c r="T84" s="1221"/>
      <c r="U84" s="1"/>
      <c r="V84" s="1219">
        <f>IF(ISBLANK($A84),0,VLOOKUP($A84,CDKT,MATCH($V$8,subTitle,0),0))</f>
        <v>0</v>
      </c>
      <c r="W84" s="1219"/>
      <c r="X84" s="1219"/>
      <c r="Y84" s="1219"/>
      <c r="Z84" s="1219"/>
      <c r="AA84" s="1219"/>
      <c r="AB84" s="1219"/>
      <c r="AC84" s="54"/>
      <c r="AD84" s="1219">
        <f>IF(ISBLANK($A84),0,VLOOKUP($A84,CDKT,MATCH($AD$8,subTitle,0),0))</f>
        <v>0</v>
      </c>
      <c r="AE84" s="1219"/>
      <c r="AF84" s="1219"/>
      <c r="AG84" s="1219"/>
      <c r="AH84" s="1219"/>
      <c r="AI84" s="1219"/>
      <c r="AJ84" s="1219"/>
      <c r="AK84" s="4"/>
      <c r="AL84" s="52" t="str">
        <f t="shared" si="1"/>
        <v>262</v>
      </c>
      <c r="AM84" s="81" t="str">
        <f>SUBTOTAL(109,$BW$83:BW84)&amp;". Deferred income tax assets"</f>
        <v>1. Deferred income tax assets</v>
      </c>
      <c r="AN84" s="47"/>
      <c r="AO84" s="47"/>
      <c r="AP84" s="1"/>
      <c r="AQ84" s="3"/>
      <c r="AR84" s="1"/>
      <c r="AS84" s="1"/>
      <c r="AT84" s="1"/>
      <c r="AU84" s="1"/>
      <c r="AV84" s="1"/>
      <c r="AW84" s="1"/>
      <c r="AX84" s="1"/>
      <c r="AY84" s="1"/>
      <c r="AZ84" s="1"/>
      <c r="BA84" s="1"/>
      <c r="BB84" s="1"/>
      <c r="BC84" s="1221" t="str">
        <f t="shared" si="2"/>
        <v/>
      </c>
      <c r="BD84" s="1221"/>
      <c r="BE84" s="1221"/>
      <c r="BF84" s="1"/>
      <c r="BG84" s="1219">
        <f t="shared" si="20"/>
        <v>0</v>
      </c>
      <c r="BH84" s="1219"/>
      <c r="BI84" s="1219"/>
      <c r="BJ84" s="1219"/>
      <c r="BK84" s="1219"/>
      <c r="BL84" s="1219"/>
      <c r="BM84" s="1219"/>
      <c r="BN84" s="51"/>
      <c r="BO84" s="1219">
        <f t="shared" si="21"/>
        <v>0</v>
      </c>
      <c r="BP84" s="1219"/>
      <c r="BQ84" s="1219"/>
      <c r="BR84" s="1219"/>
      <c r="BS84" s="1219"/>
      <c r="BT84" s="1219"/>
      <c r="BU84" s="1219"/>
      <c r="BV84" s="3"/>
      <c r="BW84" s="44">
        <f>IF(ISTEXT(A84),IF(OR(SUM(V84:AB84)&lt;&gt;0,SUM(AD84:AJ84)&lt;&gt;0),1,0),1)</f>
        <v>0</v>
      </c>
      <c r="BX84" s="45">
        <f t="shared" si="19"/>
        <v>0</v>
      </c>
      <c r="BY84" s="45">
        <f t="shared" si="3"/>
        <v>0</v>
      </c>
    </row>
    <row r="85" spans="1:79" s="27" customFormat="1" ht="15" hidden="1" customHeight="1" x14ac:dyDescent="0.25">
      <c r="A85" s="62" t="s">
        <v>103</v>
      </c>
      <c r="B85" s="81" t="str">
        <f>SUBTOTAL(109,$BW$83:BW85)&amp;". Thiết bị, vật tư, phụ tùng thay thế dài hạn"</f>
        <v>1. Thiết bị, vật tư, phụ tùng thay thế dài hạn</v>
      </c>
      <c r="C85" s="82"/>
      <c r="D85" s="47"/>
      <c r="E85" s="47"/>
      <c r="F85" s="63"/>
      <c r="G85" s="47"/>
      <c r="H85" s="47"/>
      <c r="I85" s="47"/>
      <c r="J85" s="47"/>
      <c r="K85" s="47"/>
      <c r="L85" s="47"/>
      <c r="M85" s="47"/>
      <c r="N85" s="47"/>
      <c r="O85" s="47"/>
      <c r="P85" s="47"/>
      <c r="Q85" s="47"/>
      <c r="R85" s="1227"/>
      <c r="S85" s="1227"/>
      <c r="T85" s="1227"/>
      <c r="U85" s="47"/>
      <c r="V85" s="1219">
        <f>IF(ISBLANK($A85),0,VLOOKUP($A85,CDKT,MATCH($V$8,subTitle,0),0))</f>
        <v>0</v>
      </c>
      <c r="W85" s="1219"/>
      <c r="X85" s="1219"/>
      <c r="Y85" s="1219"/>
      <c r="Z85" s="1219"/>
      <c r="AA85" s="1219"/>
      <c r="AB85" s="1219"/>
      <c r="AC85" s="70"/>
      <c r="AD85" s="1219">
        <f>IF(ISBLANK($A85),0,VLOOKUP($A85,CDKT,MATCH($AD$8,subTitle,0),0))</f>
        <v>0</v>
      </c>
      <c r="AE85" s="1219"/>
      <c r="AF85" s="1219"/>
      <c r="AG85" s="1219"/>
      <c r="AH85" s="1219"/>
      <c r="AI85" s="1219"/>
      <c r="AJ85" s="1219"/>
      <c r="AK85" s="4"/>
      <c r="AL85" s="62" t="str">
        <f t="shared" si="1"/>
        <v>263</v>
      </c>
      <c r="AM85" s="1225" t="str">
        <f>SUBTOTAL(109,$BW$83:BW85)&amp;". Long-term equipment and spare parts for replacement"</f>
        <v>1. Long-term equipment and spare parts for replacement</v>
      </c>
      <c r="AN85" s="1225"/>
      <c r="AO85" s="1225"/>
      <c r="AP85" s="1225"/>
      <c r="AQ85" s="1225"/>
      <c r="AR85" s="1225"/>
      <c r="AS85" s="1225"/>
      <c r="AT85" s="1225"/>
      <c r="AU85" s="1225"/>
      <c r="AV85" s="1225"/>
      <c r="AW85" s="1225"/>
      <c r="AX85" s="1225"/>
      <c r="AY85" s="1225"/>
      <c r="AZ85" s="1225"/>
      <c r="BA85" s="1225"/>
      <c r="BB85" s="1225"/>
      <c r="BC85" s="83"/>
      <c r="BD85" s="83"/>
      <c r="BE85" s="83"/>
      <c r="BF85" s="47"/>
      <c r="BG85" s="1219">
        <f t="shared" si="20"/>
        <v>0</v>
      </c>
      <c r="BH85" s="1219"/>
      <c r="BI85" s="1219"/>
      <c r="BJ85" s="1219"/>
      <c r="BK85" s="1219"/>
      <c r="BL85" s="1219"/>
      <c r="BM85" s="1219"/>
      <c r="BN85" s="64"/>
      <c r="BO85" s="1219">
        <f t="shared" si="21"/>
        <v>0</v>
      </c>
      <c r="BP85" s="1219"/>
      <c r="BQ85" s="1219"/>
      <c r="BR85" s="1219"/>
      <c r="BS85" s="1219"/>
      <c r="BT85" s="1219"/>
      <c r="BU85" s="1219"/>
      <c r="BV85" s="3"/>
      <c r="BW85" s="44">
        <f>IF(ISTEXT(A85),IF(OR(SUM(V85:AB85)&lt;&gt;0,SUM(AD85:AJ85)&lt;&gt;0),1,0),1)</f>
        <v>0</v>
      </c>
      <c r="BX85" s="45">
        <f t="shared" si="19"/>
        <v>0</v>
      </c>
      <c r="BY85" s="45">
        <f t="shared" ref="BY85:BY146" si="22">IF(ISNONTEXT(AD85),AD85-BO85,0)</f>
        <v>0</v>
      </c>
    </row>
    <row r="86" spans="1:79" s="27" customFormat="1" ht="6.75" hidden="1" customHeight="1" x14ac:dyDescent="0.25">
      <c r="A86" s="52" t="s">
        <v>104</v>
      </c>
      <c r="B86" s="81" t="str">
        <f>SUBTOTAL(109,$BW$83:BW86)&amp;". Tài sản dài hạn khác"</f>
        <v>1. Tài sản dài hạn khác</v>
      </c>
      <c r="C86" s="81"/>
      <c r="D86" s="47"/>
      <c r="E86" s="1"/>
      <c r="F86" s="3"/>
      <c r="G86" s="1"/>
      <c r="H86" s="1"/>
      <c r="I86" s="1"/>
      <c r="J86" s="1"/>
      <c r="K86" s="1"/>
      <c r="L86" s="1"/>
      <c r="M86" s="1"/>
      <c r="N86" s="1"/>
      <c r="O86" s="1"/>
      <c r="P86" s="1"/>
      <c r="Q86" s="1"/>
      <c r="R86" s="1221" t="str">
        <f>IF(STT_TSKhac1&lt;&gt;0,STT_TSKhac,"")</f>
        <v/>
      </c>
      <c r="S86" s="1221"/>
      <c r="T86" s="1221"/>
      <c r="U86" s="1"/>
      <c r="V86" s="1219">
        <f>IF(ISBLANK($A86),0,VLOOKUP($A86,CDKT,MATCH($V$8,subTitle,0),0))</f>
        <v>0</v>
      </c>
      <c r="W86" s="1219"/>
      <c r="X86" s="1219"/>
      <c r="Y86" s="1219"/>
      <c r="Z86" s="1219"/>
      <c r="AA86" s="1219"/>
      <c r="AB86" s="1219"/>
      <c r="AC86" s="54"/>
      <c r="AD86" s="1219">
        <f>IF(ISBLANK($A86),0,VLOOKUP($A86,CDKT,MATCH($AD$8,subTitle,0),0))</f>
        <v>0</v>
      </c>
      <c r="AE86" s="1219"/>
      <c r="AF86" s="1219"/>
      <c r="AG86" s="1219"/>
      <c r="AH86" s="1219"/>
      <c r="AI86" s="1219"/>
      <c r="AJ86" s="1219"/>
      <c r="AK86" s="4"/>
      <c r="AL86" s="52" t="str">
        <f>$A86</f>
        <v>268</v>
      </c>
      <c r="AM86" s="81" t="str">
        <f>SUBTOTAL(109,$BW$83:BW86)&amp;". Other long-term assets"</f>
        <v>1. Other long-term assets</v>
      </c>
      <c r="AN86" s="47"/>
      <c r="AO86" s="47"/>
      <c r="AP86" s="1"/>
      <c r="AQ86" s="3"/>
      <c r="AR86" s="1"/>
      <c r="AS86" s="1"/>
      <c r="AT86" s="1"/>
      <c r="AU86" s="1"/>
      <c r="AV86" s="1"/>
      <c r="AW86" s="1"/>
      <c r="AX86" s="1"/>
      <c r="AY86" s="1"/>
      <c r="AZ86" s="1"/>
      <c r="BA86" s="1"/>
      <c r="BB86" s="1"/>
      <c r="BC86" s="1221" t="str">
        <f>R86</f>
        <v/>
      </c>
      <c r="BD86" s="1221"/>
      <c r="BE86" s="1221"/>
      <c r="BF86" s="1"/>
      <c r="BG86" s="1219">
        <f t="shared" si="20"/>
        <v>0</v>
      </c>
      <c r="BH86" s="1219"/>
      <c r="BI86" s="1219"/>
      <c r="BJ86" s="1219"/>
      <c r="BK86" s="1219"/>
      <c r="BL86" s="1219"/>
      <c r="BM86" s="1219"/>
      <c r="BN86" s="51"/>
      <c r="BO86" s="1219">
        <f t="shared" si="21"/>
        <v>0</v>
      </c>
      <c r="BP86" s="1219"/>
      <c r="BQ86" s="1219"/>
      <c r="BR86" s="1219"/>
      <c r="BS86" s="1219"/>
      <c r="BT86" s="1219"/>
      <c r="BU86" s="1219"/>
      <c r="BV86" s="3"/>
      <c r="BW86" s="44">
        <f>IF(ISTEXT(A86),IF(OR(SUM(V86:AB86)&lt;&gt;0,SUM(AD86:AJ86)&lt;&gt;0),1,0),1)</f>
        <v>0</v>
      </c>
      <c r="BX86" s="45">
        <f t="shared" si="19"/>
        <v>0</v>
      </c>
      <c r="BY86" s="45">
        <f t="shared" si="22"/>
        <v>0</v>
      </c>
    </row>
    <row r="87" spans="1:79" s="27" customFormat="1" ht="15" customHeight="1" thickBot="1" x14ac:dyDescent="0.3">
      <c r="A87" s="50" t="s">
        <v>105</v>
      </c>
      <c r="B87" s="1235" t="s">
        <v>106</v>
      </c>
      <c r="C87" s="1235"/>
      <c r="D87" s="1235"/>
      <c r="E87" s="1235"/>
      <c r="F87" s="1235"/>
      <c r="G87" s="1235"/>
      <c r="H87" s="1235"/>
      <c r="I87" s="1235"/>
      <c r="J87" s="1235"/>
      <c r="K87" s="1235"/>
      <c r="L87" s="1235"/>
      <c r="M87" s="1235"/>
      <c r="N87" s="1235"/>
      <c r="O87" s="1235"/>
      <c r="P87" s="1235"/>
      <c r="Q87" s="1"/>
      <c r="R87" s="1236"/>
      <c r="S87" s="1236"/>
      <c r="T87" s="1236"/>
      <c r="U87" s="1"/>
      <c r="V87" s="1232">
        <f>SUBTOTAL(109,V12:AB86)</f>
        <v>59565933025</v>
      </c>
      <c r="W87" s="1232"/>
      <c r="X87" s="1232"/>
      <c r="Y87" s="1232"/>
      <c r="Z87" s="1232"/>
      <c r="AA87" s="1232"/>
      <c r="AB87" s="1232"/>
      <c r="AC87" s="54"/>
      <c r="AD87" s="1232">
        <f>SUBTOTAL(109,AD12:AJ86)</f>
        <v>56296382432</v>
      </c>
      <c r="AE87" s="1232"/>
      <c r="AF87" s="1232"/>
      <c r="AG87" s="1232"/>
      <c r="AH87" s="1232"/>
      <c r="AI87" s="1232"/>
      <c r="AJ87" s="1232"/>
      <c r="AK87" s="11"/>
      <c r="AL87" s="50" t="str">
        <f>$A87</f>
        <v>270</v>
      </c>
      <c r="AM87" s="1235" t="s">
        <v>107</v>
      </c>
      <c r="AN87" s="1235"/>
      <c r="AO87" s="1235"/>
      <c r="AP87" s="1235"/>
      <c r="AQ87" s="1235"/>
      <c r="AR87" s="1235"/>
      <c r="AS87" s="1235"/>
      <c r="AT87" s="1235"/>
      <c r="AU87" s="1235"/>
      <c r="AV87" s="1235"/>
      <c r="AW87" s="1235"/>
      <c r="AX87" s="1235"/>
      <c r="AY87" s="1235"/>
      <c r="AZ87" s="1235"/>
      <c r="BA87" s="1235"/>
      <c r="BB87" s="1"/>
      <c r="BC87" s="1236">
        <f>R87</f>
        <v>0</v>
      </c>
      <c r="BD87" s="1236"/>
      <c r="BE87" s="1236"/>
      <c r="BF87" s="1"/>
      <c r="BG87" s="1232">
        <f t="shared" si="20"/>
        <v>59565933025</v>
      </c>
      <c r="BH87" s="1232"/>
      <c r="BI87" s="1232"/>
      <c r="BJ87" s="1232"/>
      <c r="BK87" s="1232"/>
      <c r="BL87" s="1232"/>
      <c r="BM87" s="1232"/>
      <c r="BN87" s="51"/>
      <c r="BO87" s="1232">
        <f t="shared" si="21"/>
        <v>56296382432</v>
      </c>
      <c r="BP87" s="1232"/>
      <c r="BQ87" s="1232"/>
      <c r="BR87" s="1232"/>
      <c r="BS87" s="1232"/>
      <c r="BT87" s="1232"/>
      <c r="BU87" s="1232"/>
      <c r="BV87" s="76"/>
      <c r="BW87" s="44">
        <f>IF(ISTEXT(A87),IF(OR(SUM(V87:AB87)&lt;&gt;0,SUM(AD87:AJ87)&lt;&gt;0),1,0),1)</f>
        <v>1</v>
      </c>
      <c r="BX87" s="45">
        <f t="shared" si="19"/>
        <v>0</v>
      </c>
      <c r="BY87" s="45">
        <f t="shared" si="22"/>
        <v>0</v>
      </c>
      <c r="CA87" s="28"/>
    </row>
    <row r="88" spans="1:79" s="88" customFormat="1" ht="18.95" customHeight="1" thickTop="1" x14ac:dyDescent="0.25">
      <c r="A88" s="1233" t="str">
        <f>$A$6</f>
        <v>BẢNG CÂN ĐỐI KẾ TOÁN</v>
      </c>
      <c r="B88" s="1233"/>
      <c r="C88" s="1233"/>
      <c r="D88" s="1233"/>
      <c r="E88" s="1233"/>
      <c r="F88" s="1233"/>
      <c r="G88" s="1233"/>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85"/>
      <c r="AL88" s="1202" t="s">
        <v>0</v>
      </c>
      <c r="AM88" s="1202"/>
      <c r="AN88" s="1202"/>
      <c r="AO88" s="1202"/>
      <c r="AP88" s="1202"/>
      <c r="AQ88" s="1202"/>
      <c r="AR88" s="1202"/>
      <c r="AS88" s="1202"/>
      <c r="AT88" s="1202"/>
      <c r="AU88" s="1202"/>
      <c r="AV88" s="1202"/>
      <c r="AW88" s="1202"/>
      <c r="AX88" s="1202"/>
      <c r="AY88" s="1202"/>
      <c r="AZ88" s="1202"/>
      <c r="BA88" s="1202"/>
      <c r="BB88" s="1202"/>
      <c r="BC88" s="1202"/>
      <c r="BD88" s="1202"/>
      <c r="BE88" s="1202"/>
      <c r="BF88" s="1202"/>
      <c r="BG88" s="1202"/>
      <c r="BH88" s="1202"/>
      <c r="BI88" s="1202"/>
      <c r="BJ88" s="1202"/>
      <c r="BK88" s="1202"/>
      <c r="BL88" s="1202"/>
      <c r="BM88" s="1202"/>
      <c r="BN88" s="1202"/>
      <c r="BO88" s="1202"/>
      <c r="BP88" s="1202"/>
      <c r="BQ88" s="1202"/>
      <c r="BR88" s="1202"/>
      <c r="BS88" s="1202"/>
      <c r="BT88" s="1202"/>
      <c r="BU88" s="1202"/>
      <c r="BV88" s="86"/>
      <c r="BW88" s="87">
        <v>1</v>
      </c>
      <c r="BX88" s="45">
        <f t="shared" si="19"/>
        <v>0</v>
      </c>
      <c r="BY88" s="45">
        <f t="shared" si="22"/>
        <v>0</v>
      </c>
      <c r="CA88" s="89"/>
    </row>
    <row r="89" spans="1:79" s="27" customFormat="1" ht="15" customHeight="1" x14ac:dyDescent="0.25">
      <c r="A89" s="1234" t="str">
        <f>$A$7</f>
        <v>Tại ngày 31 tháng 12 năm 2017</v>
      </c>
      <c r="B89" s="1234"/>
      <c r="C89" s="1234"/>
      <c r="D89" s="1234"/>
      <c r="E89" s="1234"/>
      <c r="F89" s="1234"/>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25"/>
      <c r="AL89" s="1203" t="str">
        <f>AL7</f>
        <v>As at 31 December 2015</v>
      </c>
      <c r="AM89" s="1203"/>
      <c r="AN89" s="1203"/>
      <c r="AO89" s="1203"/>
      <c r="AP89" s="1203"/>
      <c r="AQ89" s="1203"/>
      <c r="AR89" s="1203"/>
      <c r="AS89" s="1203"/>
      <c r="AT89" s="1203"/>
      <c r="AU89" s="1203"/>
      <c r="AV89" s="1203"/>
      <c r="AW89" s="1203"/>
      <c r="AX89" s="1203"/>
      <c r="AY89" s="1203"/>
      <c r="AZ89" s="1203"/>
      <c r="BA89" s="1203"/>
      <c r="BB89" s="1203"/>
      <c r="BC89" s="1203"/>
      <c r="BD89" s="1203"/>
      <c r="BE89" s="1203"/>
      <c r="BF89" s="1203"/>
      <c r="BG89" s="1203"/>
      <c r="BH89" s="1203"/>
      <c r="BI89" s="1203"/>
      <c r="BJ89" s="1203"/>
      <c r="BK89" s="1203"/>
      <c r="BL89" s="1203"/>
      <c r="BM89" s="1203"/>
      <c r="BN89" s="1203"/>
      <c r="BO89" s="1203"/>
      <c r="BP89" s="1203"/>
      <c r="BQ89" s="1203"/>
      <c r="BR89" s="1203"/>
      <c r="BS89" s="1203"/>
      <c r="BT89" s="1203"/>
      <c r="BU89" s="1203"/>
      <c r="BV89" s="26"/>
      <c r="BW89" s="44">
        <v>1</v>
      </c>
      <c r="BX89" s="45">
        <f t="shared" si="19"/>
        <v>0</v>
      </c>
      <c r="BY89" s="45">
        <f t="shared" si="22"/>
        <v>0</v>
      </c>
      <c r="CA89" s="28"/>
    </row>
    <row r="90" spans="1:79" s="27" customFormat="1" ht="15" customHeight="1" x14ac:dyDescent="0.25">
      <c r="A90" s="1203" t="s">
        <v>108</v>
      </c>
      <c r="B90" s="1203"/>
      <c r="C90" s="1203"/>
      <c r="D90" s="1203"/>
      <c r="E90" s="1203"/>
      <c r="F90" s="1203"/>
      <c r="G90" s="1203"/>
      <c r="H90" s="1203"/>
      <c r="I90" s="1203"/>
      <c r="J90" s="1203"/>
      <c r="K90" s="1203"/>
      <c r="L90" s="1203"/>
      <c r="M90" s="1203"/>
      <c r="N90" s="1203"/>
      <c r="O90" s="1203"/>
      <c r="P90" s="1203"/>
      <c r="Q90" s="1203"/>
      <c r="R90" s="1203"/>
      <c r="S90" s="1203"/>
      <c r="T90" s="1203"/>
      <c r="U90" s="1203"/>
      <c r="V90" s="1203"/>
      <c r="W90" s="1203"/>
      <c r="X90" s="1203"/>
      <c r="Y90" s="1203"/>
      <c r="Z90" s="1203"/>
      <c r="AA90" s="1203"/>
      <c r="AB90" s="1203"/>
      <c r="AC90" s="1203"/>
      <c r="AD90" s="1203"/>
      <c r="AE90" s="1203"/>
      <c r="AF90" s="1203"/>
      <c r="AG90" s="1203"/>
      <c r="AH90" s="1203"/>
      <c r="AI90" s="1203"/>
      <c r="AJ90" s="1203"/>
      <c r="AK90" s="25"/>
      <c r="AL90" s="1203" t="s">
        <v>109</v>
      </c>
      <c r="AM90" s="1203"/>
      <c r="AN90" s="1203"/>
      <c r="AO90" s="1203"/>
      <c r="AP90" s="1203"/>
      <c r="AQ90" s="1203"/>
      <c r="AR90" s="1203"/>
      <c r="AS90" s="1203"/>
      <c r="AT90" s="1203"/>
      <c r="AU90" s="1203"/>
      <c r="AV90" s="1203"/>
      <c r="AW90" s="1203"/>
      <c r="AX90" s="1203"/>
      <c r="AY90" s="1203"/>
      <c r="AZ90" s="1203"/>
      <c r="BA90" s="1203"/>
      <c r="BB90" s="1203"/>
      <c r="BC90" s="1203"/>
      <c r="BD90" s="1203"/>
      <c r="BE90" s="1203"/>
      <c r="BF90" s="1203"/>
      <c r="BG90" s="1203"/>
      <c r="BH90" s="1203"/>
      <c r="BI90" s="1203"/>
      <c r="BJ90" s="1203"/>
      <c r="BK90" s="1203"/>
      <c r="BL90" s="1203"/>
      <c r="BM90" s="1203"/>
      <c r="BN90" s="1203"/>
      <c r="BO90" s="1203"/>
      <c r="BP90" s="1203"/>
      <c r="BQ90" s="1203"/>
      <c r="BR90" s="1203"/>
      <c r="BS90" s="1203"/>
      <c r="BT90" s="1203"/>
      <c r="BU90" s="1203"/>
      <c r="BV90" s="26"/>
      <c r="BW90" s="44">
        <v>1</v>
      </c>
      <c r="BX90" s="45">
        <f t="shared" si="19"/>
        <v>0</v>
      </c>
      <c r="BY90" s="45">
        <f t="shared" si="22"/>
        <v>0</v>
      </c>
      <c r="CA90" s="28"/>
    </row>
    <row r="91" spans="1:79" s="27" customFormat="1" ht="14.1" customHeight="1" x14ac:dyDescent="0.25">
      <c r="A91" s="46"/>
      <c r="B91" s="1"/>
      <c r="C91" s="1"/>
      <c r="D91" s="1"/>
      <c r="E91" s="1"/>
      <c r="F91" s="3"/>
      <c r="G91" s="1"/>
      <c r="H91" s="1"/>
      <c r="I91" s="1"/>
      <c r="J91" s="1"/>
      <c r="K91" s="1"/>
      <c r="L91" s="1"/>
      <c r="M91" s="1"/>
      <c r="N91" s="1"/>
      <c r="O91" s="1"/>
      <c r="P91" s="1"/>
      <c r="Q91" s="1"/>
      <c r="R91" s="1"/>
      <c r="S91" s="1"/>
      <c r="T91" s="1"/>
      <c r="U91" s="1"/>
      <c r="V91" s="1"/>
      <c r="W91" s="1"/>
      <c r="X91" s="3"/>
      <c r="Y91" s="1"/>
      <c r="Z91" s="1"/>
      <c r="AA91" s="1"/>
      <c r="AB91" s="1"/>
      <c r="AC91" s="1"/>
      <c r="AD91" s="1"/>
      <c r="AE91" s="3"/>
      <c r="AF91" s="1"/>
      <c r="AG91" s="1"/>
      <c r="AH91" s="1"/>
      <c r="AI91" s="1"/>
      <c r="AJ91" s="1"/>
      <c r="AK91" s="1"/>
      <c r="AL91" s="90"/>
      <c r="AM91" s="1"/>
      <c r="AN91" s="1"/>
      <c r="AO91" s="1"/>
      <c r="AP91" s="1"/>
      <c r="AQ91" s="3"/>
      <c r="AR91" s="1"/>
      <c r="AS91" s="1"/>
      <c r="AT91" s="1"/>
      <c r="AU91" s="1"/>
      <c r="AV91" s="1"/>
      <c r="AW91" s="1"/>
      <c r="AX91" s="1"/>
      <c r="AY91" s="1"/>
      <c r="AZ91" s="1"/>
      <c r="BA91" s="1"/>
      <c r="BB91" s="1"/>
      <c r="BC91" s="1"/>
      <c r="BD91" s="1"/>
      <c r="BE91" s="1"/>
      <c r="BF91" s="1"/>
      <c r="BG91" s="1"/>
      <c r="BH91" s="1"/>
      <c r="BI91" s="3"/>
      <c r="BJ91" s="1"/>
      <c r="BK91" s="1"/>
      <c r="BL91" s="1"/>
      <c r="BM91" s="1"/>
      <c r="BN91" s="1"/>
      <c r="BO91" s="1"/>
      <c r="BP91" s="3"/>
      <c r="BQ91" s="1"/>
      <c r="BR91" s="1"/>
      <c r="BS91" s="1"/>
      <c r="BT91" s="1"/>
      <c r="BU91" s="1"/>
      <c r="BV91" s="1"/>
      <c r="BW91" s="44">
        <v>1</v>
      </c>
      <c r="BX91" s="45">
        <f t="shared" si="19"/>
        <v>0</v>
      </c>
      <c r="BY91" s="45">
        <f t="shared" si="22"/>
        <v>0</v>
      </c>
      <c r="CA91" s="28"/>
    </row>
    <row r="92" spans="1:79" s="27" customFormat="1" ht="15" customHeight="1" x14ac:dyDescent="0.25">
      <c r="A92" s="1209" t="str">
        <f>A10</f>
        <v>Mã số</v>
      </c>
      <c r="B92" s="1237" t="s">
        <v>110</v>
      </c>
      <c r="C92" s="1237"/>
      <c r="D92" s="1237"/>
      <c r="E92" s="1237"/>
      <c r="F92" s="1237"/>
      <c r="G92" s="1237"/>
      <c r="H92" s="1237"/>
      <c r="I92" s="1237"/>
      <c r="J92" s="1237"/>
      <c r="K92" s="1237"/>
      <c r="L92" s="1237"/>
      <c r="M92" s="1237"/>
      <c r="N92" s="1237"/>
      <c r="O92" s="1237"/>
      <c r="P92" s="1237"/>
      <c r="Q92" s="1"/>
      <c r="R92" s="1238" t="str">
        <f>R10</f>
        <v>Thuyết minh</v>
      </c>
      <c r="S92" s="1238"/>
      <c r="T92" s="1238"/>
      <c r="U92" s="36"/>
      <c r="V92" s="1212" t="str">
        <f>V10</f>
        <v>31/12/2017</v>
      </c>
      <c r="W92" s="1212"/>
      <c r="X92" s="1212"/>
      <c r="Y92" s="1212"/>
      <c r="Z92" s="1212"/>
      <c r="AA92" s="1212"/>
      <c r="AB92" s="1212"/>
      <c r="AC92" s="37"/>
      <c r="AD92" s="1212" t="str">
        <f>AD10</f>
        <v>01/01/2017</v>
      </c>
      <c r="AE92" s="1212"/>
      <c r="AF92" s="1212"/>
      <c r="AG92" s="1212"/>
      <c r="AH92" s="1212"/>
      <c r="AI92" s="1212"/>
      <c r="AJ92" s="1212"/>
      <c r="AK92" s="38"/>
      <c r="AL92" s="1209" t="str">
        <f>AL10</f>
        <v>Code</v>
      </c>
      <c r="AM92" s="1237" t="s">
        <v>111</v>
      </c>
      <c r="AN92" s="1237"/>
      <c r="AO92" s="1237"/>
      <c r="AP92" s="1237"/>
      <c r="AQ92" s="1237"/>
      <c r="AR92" s="1237"/>
      <c r="AS92" s="1237"/>
      <c r="AT92" s="1237"/>
      <c r="AU92" s="1237"/>
      <c r="AV92" s="1237"/>
      <c r="AW92" s="1237"/>
      <c r="AX92" s="1237"/>
      <c r="AY92" s="1237"/>
      <c r="AZ92" s="1237"/>
      <c r="BA92" s="1237"/>
      <c r="BB92" s="1"/>
      <c r="BC92" s="1238" t="str">
        <f>BC10</f>
        <v>Note</v>
      </c>
      <c r="BD92" s="1238"/>
      <c r="BE92" s="1238"/>
      <c r="BF92" s="1"/>
      <c r="BG92" s="1212" t="str">
        <f>BG10</f>
        <v>31/12/2017</v>
      </c>
      <c r="BH92" s="1212"/>
      <c r="BI92" s="1212"/>
      <c r="BJ92" s="1212"/>
      <c r="BK92" s="1212"/>
      <c r="BL92" s="1212"/>
      <c r="BM92" s="1212"/>
      <c r="BN92" s="37"/>
      <c r="BO92" s="1212" t="str">
        <f>BO10</f>
        <v>01/01/2017</v>
      </c>
      <c r="BP92" s="1212"/>
      <c r="BQ92" s="1212"/>
      <c r="BR92" s="1212"/>
      <c r="BS92" s="1212"/>
      <c r="BT92" s="1212"/>
      <c r="BU92" s="1212"/>
      <c r="BV92" s="39"/>
      <c r="BW92" s="44">
        <v>1</v>
      </c>
      <c r="BX92" s="45">
        <f t="shared" si="19"/>
        <v>0</v>
      </c>
      <c r="BY92" s="45">
        <f t="shared" si="22"/>
        <v>0</v>
      </c>
      <c r="CA92" s="28"/>
    </row>
    <row r="93" spans="1:79" s="27" customFormat="1" ht="15" customHeight="1" x14ac:dyDescent="0.25">
      <c r="A93" s="1209"/>
      <c r="B93" s="1237"/>
      <c r="C93" s="1237"/>
      <c r="D93" s="1237"/>
      <c r="E93" s="1237"/>
      <c r="F93" s="1237"/>
      <c r="G93" s="1237"/>
      <c r="H93" s="1237"/>
      <c r="I93" s="1237"/>
      <c r="J93" s="1237"/>
      <c r="K93" s="1237"/>
      <c r="L93" s="1237"/>
      <c r="M93" s="1237"/>
      <c r="N93" s="1237"/>
      <c r="O93" s="1237"/>
      <c r="P93" s="1237"/>
      <c r="Q93" s="1"/>
      <c r="R93" s="1238"/>
      <c r="S93" s="1238"/>
      <c r="T93" s="1238"/>
      <c r="U93" s="1"/>
      <c r="V93" s="1218" t="str">
        <f>Don_Vi_Tinh_V</f>
        <v>VND</v>
      </c>
      <c r="W93" s="1218"/>
      <c r="X93" s="1218"/>
      <c r="Y93" s="1218"/>
      <c r="Z93" s="1218"/>
      <c r="AA93" s="1218"/>
      <c r="AB93" s="1218"/>
      <c r="AC93" s="43"/>
      <c r="AD93" s="1218" t="str">
        <f>Don_Vi_Tinh_V</f>
        <v>VND</v>
      </c>
      <c r="AE93" s="1218"/>
      <c r="AF93" s="1218"/>
      <c r="AG93" s="1218"/>
      <c r="AH93" s="1218"/>
      <c r="AI93" s="1218"/>
      <c r="AJ93" s="1218"/>
      <c r="AK93" s="4"/>
      <c r="AL93" s="1209"/>
      <c r="AM93" s="1237"/>
      <c r="AN93" s="1237"/>
      <c r="AO93" s="1237"/>
      <c r="AP93" s="1237"/>
      <c r="AQ93" s="1237"/>
      <c r="AR93" s="1237"/>
      <c r="AS93" s="1237"/>
      <c r="AT93" s="1237"/>
      <c r="AU93" s="1237"/>
      <c r="AV93" s="1237"/>
      <c r="AW93" s="1237"/>
      <c r="AX93" s="1237"/>
      <c r="AY93" s="1237"/>
      <c r="AZ93" s="1237"/>
      <c r="BA93" s="1237"/>
      <c r="BB93" s="1"/>
      <c r="BC93" s="1238"/>
      <c r="BD93" s="1238"/>
      <c r="BE93" s="1238"/>
      <c r="BF93" s="1"/>
      <c r="BG93" s="1218" t="str">
        <f>Don_Vi_Tinh_E</f>
        <v>VND</v>
      </c>
      <c r="BH93" s="1218"/>
      <c r="BI93" s="1218"/>
      <c r="BJ93" s="1218"/>
      <c r="BK93" s="1218"/>
      <c r="BL93" s="1218"/>
      <c r="BM93" s="1218"/>
      <c r="BN93" s="43"/>
      <c r="BO93" s="1218" t="str">
        <f>Don_Vi_Tinh_E</f>
        <v>VND</v>
      </c>
      <c r="BP93" s="1218"/>
      <c r="BQ93" s="1218"/>
      <c r="BR93" s="1218"/>
      <c r="BS93" s="1218"/>
      <c r="BT93" s="1218"/>
      <c r="BU93" s="1218"/>
      <c r="BV93" s="3"/>
      <c r="BW93" s="44">
        <v>1</v>
      </c>
      <c r="BX93" s="45">
        <f t="shared" si="19"/>
        <v>0</v>
      </c>
      <c r="BY93" s="45">
        <f t="shared" si="22"/>
        <v>0</v>
      </c>
      <c r="CA93" s="28"/>
    </row>
    <row r="94" spans="1:79" s="27" customFormat="1" ht="14.1" customHeight="1" x14ac:dyDescent="0.25">
      <c r="A94" s="46"/>
      <c r="B94" s="1"/>
      <c r="C94" s="47"/>
      <c r="D94" s="47"/>
      <c r="E94" s="1"/>
      <c r="F94" s="3"/>
      <c r="G94" s="1"/>
      <c r="H94" s="1"/>
      <c r="I94" s="1"/>
      <c r="J94" s="1"/>
      <c r="K94" s="1"/>
      <c r="L94" s="1"/>
      <c r="M94" s="1"/>
      <c r="N94" s="1"/>
      <c r="O94" s="1"/>
      <c r="P94" s="1"/>
      <c r="Q94" s="1"/>
      <c r="R94" s="1239"/>
      <c r="S94" s="1239"/>
      <c r="T94" s="1239"/>
      <c r="U94" s="1"/>
      <c r="V94" s="1214"/>
      <c r="W94" s="1214"/>
      <c r="X94" s="1214"/>
      <c r="Y94" s="1214"/>
      <c r="Z94" s="1214"/>
      <c r="AA94" s="1214"/>
      <c r="AB94" s="1214"/>
      <c r="AC94" s="48"/>
      <c r="AD94" s="1214"/>
      <c r="AE94" s="1214"/>
      <c r="AF94" s="1214"/>
      <c r="AG94" s="1214"/>
      <c r="AH94" s="1214"/>
      <c r="AI94" s="1214"/>
      <c r="AJ94" s="1214"/>
      <c r="AK94" s="4"/>
      <c r="AL94" s="46">
        <f t="shared" ref="AL94:AL152" si="23">$A94</f>
        <v>0</v>
      </c>
      <c r="AM94" s="1"/>
      <c r="AN94" s="47"/>
      <c r="AO94" s="47"/>
      <c r="AP94" s="1"/>
      <c r="AQ94" s="3"/>
      <c r="AR94" s="1"/>
      <c r="AS94" s="1"/>
      <c r="AT94" s="1"/>
      <c r="AU94" s="1"/>
      <c r="AV94" s="1"/>
      <c r="AW94" s="1"/>
      <c r="AX94" s="1"/>
      <c r="AY94" s="1"/>
      <c r="AZ94" s="1"/>
      <c r="BA94" s="1"/>
      <c r="BB94" s="1"/>
      <c r="BC94" s="1215"/>
      <c r="BD94" s="1215"/>
      <c r="BE94" s="1215"/>
      <c r="BF94" s="1"/>
      <c r="BG94" s="1216"/>
      <c r="BH94" s="1216"/>
      <c r="BI94" s="1216"/>
      <c r="BJ94" s="1216"/>
      <c r="BK94" s="1216"/>
      <c r="BL94" s="1216"/>
      <c r="BM94" s="1216"/>
      <c r="BN94" s="49"/>
      <c r="BO94" s="1216"/>
      <c r="BP94" s="1216"/>
      <c r="BQ94" s="1216"/>
      <c r="BR94" s="1216"/>
      <c r="BS94" s="1216"/>
      <c r="BT94" s="1216"/>
      <c r="BU94" s="1216"/>
      <c r="BV94" s="3"/>
      <c r="BW94" s="44">
        <f>$BW$95</f>
        <v>1</v>
      </c>
      <c r="BX94" s="45">
        <f t="shared" si="19"/>
        <v>0</v>
      </c>
      <c r="BY94" s="45">
        <f t="shared" si="22"/>
        <v>0</v>
      </c>
      <c r="CA94" s="28"/>
    </row>
    <row r="95" spans="1:79" s="1" customFormat="1" ht="15" customHeight="1" x14ac:dyDescent="0.25">
      <c r="A95" s="50" t="s">
        <v>112</v>
      </c>
      <c r="B95" s="12" t="s">
        <v>113</v>
      </c>
      <c r="C95" s="47"/>
      <c r="D95" s="47"/>
      <c r="F95" s="3"/>
      <c r="R95" s="1223"/>
      <c r="S95" s="1223"/>
      <c r="T95" s="1223"/>
      <c r="V95" s="1220">
        <f>SUBTOTAL(109,V96:AB127)</f>
        <v>11122263882</v>
      </c>
      <c r="W95" s="1220"/>
      <c r="X95" s="1220"/>
      <c r="Y95" s="1220"/>
      <c r="Z95" s="1220"/>
      <c r="AA95" s="1220"/>
      <c r="AB95" s="1220"/>
      <c r="AC95" s="51"/>
      <c r="AD95" s="1220">
        <f>SUBTOTAL(109,AD96:AJ127)</f>
        <v>10058304147</v>
      </c>
      <c r="AE95" s="1220"/>
      <c r="AF95" s="1220"/>
      <c r="AG95" s="1220"/>
      <c r="AH95" s="1220"/>
      <c r="AI95" s="1220"/>
      <c r="AJ95" s="1220"/>
      <c r="AK95" s="11"/>
      <c r="AL95" s="50" t="str">
        <f t="shared" si="23"/>
        <v>300</v>
      </c>
      <c r="AM95" s="12" t="s">
        <v>114</v>
      </c>
      <c r="AN95" s="47"/>
      <c r="AO95" s="47"/>
      <c r="AQ95" s="3"/>
      <c r="BC95" s="1223">
        <f>R95</f>
        <v>0</v>
      </c>
      <c r="BD95" s="1223"/>
      <c r="BE95" s="1223"/>
      <c r="BG95" s="1220">
        <f>V95</f>
        <v>11122263882</v>
      </c>
      <c r="BH95" s="1220"/>
      <c r="BI95" s="1220"/>
      <c r="BJ95" s="1220"/>
      <c r="BK95" s="1220"/>
      <c r="BL95" s="1220"/>
      <c r="BM95" s="1220"/>
      <c r="BN95" s="51"/>
      <c r="BO95" s="1220">
        <f>AD95</f>
        <v>10058304147</v>
      </c>
      <c r="BP95" s="1220"/>
      <c r="BQ95" s="1220"/>
      <c r="BR95" s="1220"/>
      <c r="BS95" s="1220"/>
      <c r="BT95" s="1220"/>
      <c r="BU95" s="1220"/>
      <c r="BV95" s="3"/>
      <c r="BW95" s="44">
        <f>IF(ISTEXT(A95),IF(SUM(BW96:BW126)&gt;0,1,0),1)</f>
        <v>1</v>
      </c>
      <c r="BX95" s="45">
        <f t="shared" si="19"/>
        <v>0</v>
      </c>
      <c r="BY95" s="45">
        <f t="shared" si="22"/>
        <v>0</v>
      </c>
      <c r="CA95" s="5"/>
    </row>
    <row r="96" spans="1:79" s="27" customFormat="1" ht="14.1" customHeight="1" x14ac:dyDescent="0.25">
      <c r="A96" s="52"/>
      <c r="B96" s="1"/>
      <c r="C96" s="47"/>
      <c r="D96" s="47"/>
      <c r="E96" s="1"/>
      <c r="F96" s="3"/>
      <c r="G96" s="1"/>
      <c r="H96" s="1"/>
      <c r="I96" s="1"/>
      <c r="J96" s="1"/>
      <c r="K96" s="1"/>
      <c r="L96" s="1"/>
      <c r="M96" s="1"/>
      <c r="N96" s="1"/>
      <c r="O96" s="1"/>
      <c r="P96" s="1"/>
      <c r="Q96" s="1"/>
      <c r="R96" s="1221"/>
      <c r="S96" s="1221"/>
      <c r="T96" s="1221"/>
      <c r="U96" s="1"/>
      <c r="V96" s="1219"/>
      <c r="W96" s="1219"/>
      <c r="X96" s="1219"/>
      <c r="Y96" s="1219"/>
      <c r="Z96" s="1219"/>
      <c r="AA96" s="1219"/>
      <c r="AB96" s="1219"/>
      <c r="AC96" s="51"/>
      <c r="AD96" s="1219"/>
      <c r="AE96" s="1219"/>
      <c r="AF96" s="1219"/>
      <c r="AG96" s="1219"/>
      <c r="AH96" s="1219"/>
      <c r="AI96" s="1219"/>
      <c r="AJ96" s="1219"/>
      <c r="AK96" s="4"/>
      <c r="AL96" s="52">
        <f t="shared" si="23"/>
        <v>0</v>
      </c>
      <c r="AM96" s="1"/>
      <c r="AN96" s="47"/>
      <c r="AO96" s="47"/>
      <c r="AP96" s="1"/>
      <c r="AQ96" s="3"/>
      <c r="AR96" s="1"/>
      <c r="AS96" s="1"/>
      <c r="AT96" s="1"/>
      <c r="AU96" s="1"/>
      <c r="AV96" s="1"/>
      <c r="AW96" s="1"/>
      <c r="AX96" s="1"/>
      <c r="AY96" s="1"/>
      <c r="AZ96" s="1"/>
      <c r="BA96" s="1"/>
      <c r="BB96" s="1"/>
      <c r="BC96" s="1221">
        <f t="shared" ref="BC96:BC152" si="24">R96</f>
        <v>0</v>
      </c>
      <c r="BD96" s="1221"/>
      <c r="BE96" s="1221"/>
      <c r="BF96" s="1"/>
      <c r="BG96" s="1219"/>
      <c r="BH96" s="1219"/>
      <c r="BI96" s="1219"/>
      <c r="BJ96" s="1219"/>
      <c r="BK96" s="1219"/>
      <c r="BL96" s="1219"/>
      <c r="BM96" s="1219"/>
      <c r="BN96" s="51"/>
      <c r="BO96" s="1219"/>
      <c r="BP96" s="1219"/>
      <c r="BQ96" s="1219"/>
      <c r="BR96" s="1219"/>
      <c r="BS96" s="1219"/>
      <c r="BT96" s="1219"/>
      <c r="BU96" s="1219"/>
      <c r="BV96" s="3"/>
      <c r="BW96" s="44">
        <f>$BW$97</f>
        <v>1</v>
      </c>
      <c r="BX96" s="45">
        <f t="shared" si="19"/>
        <v>0</v>
      </c>
      <c r="BY96" s="45">
        <f t="shared" si="22"/>
        <v>0</v>
      </c>
      <c r="CA96" s="28"/>
    </row>
    <row r="97" spans="1:79" s="27" customFormat="1" ht="15" customHeight="1" x14ac:dyDescent="0.25">
      <c r="A97" s="50" t="s">
        <v>115</v>
      </c>
      <c r="B97" s="61" t="s">
        <v>116</v>
      </c>
      <c r="C97" s="47"/>
      <c r="D97" s="47"/>
      <c r="E97" s="1"/>
      <c r="F97" s="3"/>
      <c r="G97" s="1"/>
      <c r="H97" s="1"/>
      <c r="I97" s="1"/>
      <c r="J97" s="1"/>
      <c r="K97" s="1"/>
      <c r="L97" s="1"/>
      <c r="M97" s="1"/>
      <c r="N97" s="1"/>
      <c r="O97" s="1"/>
      <c r="P97" s="1"/>
      <c r="Q97" s="1"/>
      <c r="R97" s="1223"/>
      <c r="S97" s="1223"/>
      <c r="T97" s="1223"/>
      <c r="U97" s="1"/>
      <c r="V97" s="1220">
        <f>SUBTOTAL(109,V98:AB112)</f>
        <v>11122263882</v>
      </c>
      <c r="W97" s="1220"/>
      <c r="X97" s="1220"/>
      <c r="Y97" s="1220"/>
      <c r="Z97" s="1220"/>
      <c r="AA97" s="1220"/>
      <c r="AB97" s="1220"/>
      <c r="AC97" s="51"/>
      <c r="AD97" s="1220">
        <f>SUBTOTAL(109,AD98:AJ112)</f>
        <v>10058304147</v>
      </c>
      <c r="AE97" s="1220"/>
      <c r="AF97" s="1220"/>
      <c r="AG97" s="1220"/>
      <c r="AH97" s="1220"/>
      <c r="AI97" s="1220"/>
      <c r="AJ97" s="1220"/>
      <c r="AK97" s="11"/>
      <c r="AL97" s="50" t="str">
        <f t="shared" si="23"/>
        <v>310</v>
      </c>
      <c r="AM97" s="61" t="s">
        <v>117</v>
      </c>
      <c r="AN97" s="47"/>
      <c r="AO97" s="47"/>
      <c r="AP97" s="1"/>
      <c r="AQ97" s="3"/>
      <c r="AR97" s="1"/>
      <c r="AS97" s="1"/>
      <c r="AT97" s="1"/>
      <c r="AU97" s="1"/>
      <c r="AV97" s="1"/>
      <c r="AW97" s="1"/>
      <c r="AX97" s="1"/>
      <c r="AY97" s="1"/>
      <c r="AZ97" s="1"/>
      <c r="BA97" s="1"/>
      <c r="BB97" s="1"/>
      <c r="BC97" s="1223">
        <f t="shared" si="24"/>
        <v>0</v>
      </c>
      <c r="BD97" s="1223"/>
      <c r="BE97" s="1223"/>
      <c r="BF97" s="1"/>
      <c r="BG97" s="1220">
        <f t="shared" ref="BG97:BG111" si="25">V97</f>
        <v>11122263882</v>
      </c>
      <c r="BH97" s="1220"/>
      <c r="BI97" s="1220"/>
      <c r="BJ97" s="1220"/>
      <c r="BK97" s="1220"/>
      <c r="BL97" s="1220"/>
      <c r="BM97" s="1220"/>
      <c r="BN97" s="51"/>
      <c r="BO97" s="1220">
        <f t="shared" ref="BO97:BO111" si="26">AD97</f>
        <v>10058304147</v>
      </c>
      <c r="BP97" s="1220"/>
      <c r="BQ97" s="1220"/>
      <c r="BR97" s="1220"/>
      <c r="BS97" s="1220"/>
      <c r="BT97" s="1220"/>
      <c r="BU97" s="1220"/>
      <c r="BV97" s="3"/>
      <c r="BW97" s="44">
        <f>IF(ISTEXT(A97),IF(SUM(BW98:BW111)&gt;0,1,0),1)</f>
        <v>1</v>
      </c>
      <c r="BX97" s="45">
        <f t="shared" si="19"/>
        <v>0</v>
      </c>
      <c r="BY97" s="45">
        <f t="shared" si="22"/>
        <v>0</v>
      </c>
      <c r="CA97" s="28"/>
    </row>
    <row r="98" spans="1:79" s="27" customFormat="1" ht="14.1" customHeight="1" x14ac:dyDescent="0.25">
      <c r="A98" s="52" t="s">
        <v>118</v>
      </c>
      <c r="B98" s="60" t="str">
        <f>SUBTOTAL(109,$BW$98:BW98)&amp;". Phải trả người bán ngắn hạn"</f>
        <v>1. Phải trả người bán ngắn hạn</v>
      </c>
      <c r="C98" s="60"/>
      <c r="D98" s="47"/>
      <c r="E98" s="1"/>
      <c r="F98" s="3"/>
      <c r="G98" s="1"/>
      <c r="H98" s="1"/>
      <c r="I98" s="1"/>
      <c r="J98" s="1"/>
      <c r="K98" s="1"/>
      <c r="L98" s="1"/>
      <c r="M98" s="1"/>
      <c r="N98" s="1"/>
      <c r="O98" s="1"/>
      <c r="P98" s="1"/>
      <c r="Q98" s="1"/>
      <c r="R98" s="1221">
        <f>IF(STT_PhaiTraNguoiBan1&lt;&gt;0,STT_PhaiTraNguoiBan,"")</f>
        <v>16</v>
      </c>
      <c r="S98" s="1221"/>
      <c r="T98" s="1221"/>
      <c r="U98" s="1"/>
      <c r="V98" s="1219">
        <f t="shared" ref="V98:V106" si="27">IF(ISBLANK($A98),0,VLOOKUP($A98,CDKT,MATCH($V$8,subTitle,0),0))</f>
        <v>3576953621</v>
      </c>
      <c r="W98" s="1219"/>
      <c r="X98" s="1219"/>
      <c r="Y98" s="1219"/>
      <c r="Z98" s="1219"/>
      <c r="AA98" s="1219"/>
      <c r="AB98" s="1219"/>
      <c r="AC98" s="51"/>
      <c r="AD98" s="1219">
        <f t="shared" ref="AD98:AD106" si="28">IF(ISBLANK($A98),0,VLOOKUP($A98,CDKT,MATCH($AD$8,subTitle,0),0))</f>
        <v>1535920008</v>
      </c>
      <c r="AE98" s="1219"/>
      <c r="AF98" s="1219"/>
      <c r="AG98" s="1219"/>
      <c r="AH98" s="1219"/>
      <c r="AI98" s="1219"/>
      <c r="AJ98" s="1219"/>
      <c r="AK98" s="4"/>
      <c r="AL98" s="52" t="str">
        <f t="shared" si="23"/>
        <v>311</v>
      </c>
      <c r="AM98" s="60" t="str">
        <f>SUBTOTAL(109,$BW$98:BW98)&amp;". Short-term trade payables"</f>
        <v>1. Short-term trade payables</v>
      </c>
      <c r="AN98" s="47"/>
      <c r="AO98" s="47"/>
      <c r="AP98" s="1"/>
      <c r="AQ98" s="3"/>
      <c r="AR98" s="1"/>
      <c r="AS98" s="1"/>
      <c r="AT98" s="1"/>
      <c r="AU98" s="1"/>
      <c r="AV98" s="1"/>
      <c r="AW98" s="1"/>
      <c r="AX98" s="1"/>
      <c r="AY98" s="1"/>
      <c r="AZ98" s="1"/>
      <c r="BA98" s="1"/>
      <c r="BB98" s="1"/>
      <c r="BC98" s="1221">
        <f t="shared" si="24"/>
        <v>16</v>
      </c>
      <c r="BD98" s="1221"/>
      <c r="BE98" s="1221"/>
      <c r="BF98" s="1"/>
      <c r="BG98" s="1219">
        <f t="shared" si="25"/>
        <v>3576953621</v>
      </c>
      <c r="BH98" s="1219"/>
      <c r="BI98" s="1219"/>
      <c r="BJ98" s="1219"/>
      <c r="BK98" s="1219"/>
      <c r="BL98" s="1219"/>
      <c r="BM98" s="1219"/>
      <c r="BN98" s="51"/>
      <c r="BO98" s="1219">
        <f t="shared" si="26"/>
        <v>1535920008</v>
      </c>
      <c r="BP98" s="1219"/>
      <c r="BQ98" s="1219"/>
      <c r="BR98" s="1219"/>
      <c r="BS98" s="1219"/>
      <c r="BT98" s="1219"/>
      <c r="BU98" s="1219"/>
      <c r="BV98" s="3"/>
      <c r="BW98" s="44">
        <f t="shared" ref="BW98:BW152" si="29">IF(ISTEXT(A98),IF(OR(SUM(V98:AB98)&lt;&gt;0,SUM(AD98:AJ98)&lt;&gt;0),1,0),1)</f>
        <v>1</v>
      </c>
      <c r="BX98" s="45">
        <f t="shared" si="19"/>
        <v>0</v>
      </c>
      <c r="BY98" s="45">
        <f t="shared" si="22"/>
        <v>0</v>
      </c>
      <c r="CA98" s="28"/>
    </row>
    <row r="99" spans="1:79" s="27" customFormat="1" ht="14.1" customHeight="1" x14ac:dyDescent="0.25">
      <c r="A99" s="52" t="s">
        <v>119</v>
      </c>
      <c r="B99" s="60" t="str">
        <f>SUBTOTAL(109,$BW$98:BW99)&amp;". Người mua trả tiền trước ngắn hạn"</f>
        <v>2. Người mua trả tiền trước ngắn hạn</v>
      </c>
      <c r="C99" s="60"/>
      <c r="D99" s="47"/>
      <c r="E99" s="1"/>
      <c r="F99" s="3"/>
      <c r="G99" s="1"/>
      <c r="H99" s="1"/>
      <c r="I99" s="1"/>
      <c r="J99" s="1"/>
      <c r="K99" s="1"/>
      <c r="L99" s="1"/>
      <c r="M99" s="1"/>
      <c r="N99" s="1"/>
      <c r="O99" s="1"/>
      <c r="P99" s="1"/>
      <c r="Q99" s="1"/>
      <c r="R99" s="1221">
        <f>IF(STT_NguoimuaTTT1&lt;&gt;0,STT_NguoimuaTTT,"")</f>
        <v>17</v>
      </c>
      <c r="S99" s="1221"/>
      <c r="T99" s="1221"/>
      <c r="U99" s="1"/>
      <c r="V99" s="1219">
        <f t="shared" si="27"/>
        <v>477990748</v>
      </c>
      <c r="W99" s="1219"/>
      <c r="X99" s="1219"/>
      <c r="Y99" s="1219"/>
      <c r="Z99" s="1219"/>
      <c r="AA99" s="1219"/>
      <c r="AB99" s="1219"/>
      <c r="AC99" s="51"/>
      <c r="AD99" s="1219">
        <f t="shared" si="28"/>
        <v>531182479</v>
      </c>
      <c r="AE99" s="1219"/>
      <c r="AF99" s="1219"/>
      <c r="AG99" s="1219"/>
      <c r="AH99" s="1219"/>
      <c r="AI99" s="1219"/>
      <c r="AJ99" s="1219"/>
      <c r="AK99" s="4"/>
      <c r="AL99" s="52" t="str">
        <f t="shared" si="23"/>
        <v>312</v>
      </c>
      <c r="AM99" s="60" t="str">
        <f>SUBTOTAL(109,$BW$98:BW99)&amp;". Short-term prepayments from customers"</f>
        <v>2. Short-term prepayments from customers</v>
      </c>
      <c r="AN99" s="47"/>
      <c r="AO99" s="47"/>
      <c r="AP99" s="1"/>
      <c r="AQ99" s="3"/>
      <c r="AR99" s="1"/>
      <c r="AS99" s="1"/>
      <c r="AT99" s="1"/>
      <c r="AU99" s="1"/>
      <c r="AV99" s="1"/>
      <c r="AW99" s="1"/>
      <c r="AX99" s="1"/>
      <c r="AY99" s="1"/>
      <c r="AZ99" s="1"/>
      <c r="BA99" s="1"/>
      <c r="BB99" s="1"/>
      <c r="BC99" s="1221">
        <f t="shared" si="24"/>
        <v>17</v>
      </c>
      <c r="BD99" s="1221"/>
      <c r="BE99" s="1221"/>
      <c r="BF99" s="1"/>
      <c r="BG99" s="1219">
        <f t="shared" si="25"/>
        <v>477990748</v>
      </c>
      <c r="BH99" s="1219"/>
      <c r="BI99" s="1219"/>
      <c r="BJ99" s="1219"/>
      <c r="BK99" s="1219"/>
      <c r="BL99" s="1219"/>
      <c r="BM99" s="1219"/>
      <c r="BN99" s="51"/>
      <c r="BO99" s="1219">
        <f t="shared" si="26"/>
        <v>531182479</v>
      </c>
      <c r="BP99" s="1219"/>
      <c r="BQ99" s="1219"/>
      <c r="BR99" s="1219"/>
      <c r="BS99" s="1219"/>
      <c r="BT99" s="1219"/>
      <c r="BU99" s="1219"/>
      <c r="BV99" s="3"/>
      <c r="BW99" s="44">
        <f t="shared" si="29"/>
        <v>1</v>
      </c>
      <c r="BX99" s="45">
        <f t="shared" si="19"/>
        <v>0</v>
      </c>
      <c r="BY99" s="45">
        <f t="shared" si="22"/>
        <v>0</v>
      </c>
      <c r="CA99" s="28"/>
    </row>
    <row r="100" spans="1:79" s="27" customFormat="1" ht="14.1" customHeight="1" x14ac:dyDescent="0.25">
      <c r="A100" s="52" t="s">
        <v>120</v>
      </c>
      <c r="B100" s="60" t="str">
        <f>SUBTOTAL(109,$BW$98:BW100)&amp;". Thuế và các khoản phải nộp Nhà nước"</f>
        <v>3. Thuế và các khoản phải nộp Nhà nước</v>
      </c>
      <c r="C100" s="60"/>
      <c r="D100" s="47"/>
      <c r="E100" s="1"/>
      <c r="F100" s="3"/>
      <c r="G100" s="1"/>
      <c r="H100" s="1"/>
      <c r="I100" s="1"/>
      <c r="J100" s="1"/>
      <c r="K100" s="1"/>
      <c r="L100" s="1"/>
      <c r="M100" s="1"/>
      <c r="N100" s="1"/>
      <c r="O100" s="1"/>
      <c r="P100" s="1"/>
      <c r="Q100" s="1"/>
      <c r="R100" s="1221">
        <f>IF(STT_ThuevaCacKhoanPN1&lt;&gt;0,STT_ThuevaCacKhoanPN,"")</f>
        <v>18</v>
      </c>
      <c r="S100" s="1221"/>
      <c r="T100" s="1221"/>
      <c r="U100" s="1"/>
      <c r="V100" s="1219">
        <f t="shared" si="27"/>
        <v>1637844261</v>
      </c>
      <c r="W100" s="1219"/>
      <c r="X100" s="1219"/>
      <c r="Y100" s="1219"/>
      <c r="Z100" s="1219"/>
      <c r="AA100" s="1219"/>
      <c r="AB100" s="1219"/>
      <c r="AC100" s="51"/>
      <c r="AD100" s="1219">
        <f t="shared" si="28"/>
        <v>269948934</v>
      </c>
      <c r="AE100" s="1219"/>
      <c r="AF100" s="1219"/>
      <c r="AG100" s="1219"/>
      <c r="AH100" s="1219"/>
      <c r="AI100" s="1219"/>
      <c r="AJ100" s="1219"/>
      <c r="AK100" s="4"/>
      <c r="AL100" s="52" t="str">
        <f t="shared" si="23"/>
        <v>313</v>
      </c>
      <c r="AM100" s="60" t="str">
        <f>SUBTOTAL(109,$BW$98:BW100)&amp;". Taxes and other payables to the State budget"</f>
        <v>3. Taxes and other payables to the State budget</v>
      </c>
      <c r="AN100" s="47"/>
      <c r="AO100" s="47"/>
      <c r="AP100" s="1"/>
      <c r="AQ100" s="3"/>
      <c r="AR100" s="1"/>
      <c r="AS100" s="1"/>
      <c r="AT100" s="1"/>
      <c r="AU100" s="1"/>
      <c r="AV100" s="1"/>
      <c r="AW100" s="1"/>
      <c r="AX100" s="1"/>
      <c r="AY100" s="1"/>
      <c r="AZ100" s="1"/>
      <c r="BA100" s="1"/>
      <c r="BB100" s="1"/>
      <c r="BC100" s="1221">
        <f t="shared" si="24"/>
        <v>18</v>
      </c>
      <c r="BD100" s="1221"/>
      <c r="BE100" s="1221"/>
      <c r="BF100" s="1"/>
      <c r="BG100" s="1219">
        <f t="shared" si="25"/>
        <v>1637844261</v>
      </c>
      <c r="BH100" s="1219"/>
      <c r="BI100" s="1219"/>
      <c r="BJ100" s="1219"/>
      <c r="BK100" s="1219"/>
      <c r="BL100" s="1219"/>
      <c r="BM100" s="1219"/>
      <c r="BN100" s="51"/>
      <c r="BO100" s="1219">
        <f t="shared" si="26"/>
        <v>269948934</v>
      </c>
      <c r="BP100" s="1219"/>
      <c r="BQ100" s="1219"/>
      <c r="BR100" s="1219"/>
      <c r="BS100" s="1219"/>
      <c r="BT100" s="1219"/>
      <c r="BU100" s="1219"/>
      <c r="BV100" s="3"/>
      <c r="BW100" s="44">
        <f t="shared" si="29"/>
        <v>1</v>
      </c>
      <c r="BX100" s="45">
        <f t="shared" si="19"/>
        <v>0</v>
      </c>
      <c r="BY100" s="45">
        <f t="shared" si="22"/>
        <v>0</v>
      </c>
      <c r="CA100" s="28"/>
    </row>
    <row r="101" spans="1:79" s="27" customFormat="1" ht="14.1" customHeight="1" x14ac:dyDescent="0.25">
      <c r="A101" s="52" t="s">
        <v>121</v>
      </c>
      <c r="B101" s="60" t="str">
        <f>SUBTOTAL(109,$BW$98:BW101)&amp;". Phải trả người lao động"</f>
        <v>4. Phải trả người lao động</v>
      </c>
      <c r="C101" s="60"/>
      <c r="D101" s="47"/>
      <c r="E101" s="1"/>
      <c r="F101" s="3"/>
      <c r="G101" s="1"/>
      <c r="H101" s="1"/>
      <c r="I101" s="1"/>
      <c r="J101" s="1"/>
      <c r="K101" s="1"/>
      <c r="L101" s="1"/>
      <c r="M101" s="1"/>
      <c r="N101" s="1"/>
      <c r="O101" s="1"/>
      <c r="P101" s="1"/>
      <c r="Q101" s="1"/>
      <c r="R101" s="1221"/>
      <c r="S101" s="1221"/>
      <c r="T101" s="1221"/>
      <c r="U101" s="1"/>
      <c r="V101" s="1219">
        <f t="shared" si="27"/>
        <v>2590463885</v>
      </c>
      <c r="W101" s="1219"/>
      <c r="X101" s="1219"/>
      <c r="Y101" s="1219"/>
      <c r="Z101" s="1219"/>
      <c r="AA101" s="1219"/>
      <c r="AB101" s="1219"/>
      <c r="AC101" s="51"/>
      <c r="AD101" s="1219">
        <f t="shared" si="28"/>
        <v>3286343171</v>
      </c>
      <c r="AE101" s="1219"/>
      <c r="AF101" s="1219"/>
      <c r="AG101" s="1219"/>
      <c r="AH101" s="1219"/>
      <c r="AI101" s="1219"/>
      <c r="AJ101" s="1219"/>
      <c r="AK101" s="4"/>
      <c r="AL101" s="52" t="str">
        <f t="shared" si="23"/>
        <v>314</v>
      </c>
      <c r="AM101" s="60" t="str">
        <f>SUBTOTAL(109,$BW$98:BW101)&amp;". Payables to employees"</f>
        <v>4. Payables to employees</v>
      </c>
      <c r="AN101" s="47"/>
      <c r="AO101" s="47"/>
      <c r="AP101" s="1"/>
      <c r="AQ101" s="3"/>
      <c r="AR101" s="1"/>
      <c r="AS101" s="1"/>
      <c r="AT101" s="1"/>
      <c r="AU101" s="1"/>
      <c r="AV101" s="1"/>
      <c r="AW101" s="1"/>
      <c r="AX101" s="1"/>
      <c r="AY101" s="1"/>
      <c r="AZ101" s="1"/>
      <c r="BA101" s="1"/>
      <c r="BB101" s="1"/>
      <c r="BC101" s="1221">
        <f t="shared" si="24"/>
        <v>0</v>
      </c>
      <c r="BD101" s="1221"/>
      <c r="BE101" s="1221"/>
      <c r="BF101" s="1"/>
      <c r="BG101" s="1219">
        <f t="shared" si="25"/>
        <v>2590463885</v>
      </c>
      <c r="BH101" s="1219"/>
      <c r="BI101" s="1219"/>
      <c r="BJ101" s="1219"/>
      <c r="BK101" s="1219"/>
      <c r="BL101" s="1219"/>
      <c r="BM101" s="1219"/>
      <c r="BN101" s="51"/>
      <c r="BO101" s="1219">
        <f t="shared" si="26"/>
        <v>3286343171</v>
      </c>
      <c r="BP101" s="1219"/>
      <c r="BQ101" s="1219"/>
      <c r="BR101" s="1219"/>
      <c r="BS101" s="1219"/>
      <c r="BT101" s="1219"/>
      <c r="BU101" s="1219"/>
      <c r="BV101" s="3"/>
      <c r="BW101" s="44">
        <f t="shared" si="29"/>
        <v>1</v>
      </c>
      <c r="BX101" s="45">
        <f t="shared" si="19"/>
        <v>0</v>
      </c>
      <c r="BY101" s="45">
        <f t="shared" si="22"/>
        <v>0</v>
      </c>
      <c r="CA101" s="28"/>
    </row>
    <row r="102" spans="1:79" s="27" customFormat="1" ht="14.1" customHeight="1" x14ac:dyDescent="0.25">
      <c r="A102" s="52" t="s">
        <v>122</v>
      </c>
      <c r="B102" s="60" t="str">
        <f>SUBTOTAL(109,$BW$98:BW102)&amp;". Chi phí phải trả ngắn hạn"</f>
        <v>5. Chi phí phải trả ngắn hạn</v>
      </c>
      <c r="C102" s="60"/>
      <c r="D102" s="47"/>
      <c r="E102" s="1"/>
      <c r="F102" s="3"/>
      <c r="G102" s="1"/>
      <c r="H102" s="1"/>
      <c r="I102" s="1"/>
      <c r="J102" s="1"/>
      <c r="K102" s="1"/>
      <c r="L102" s="1"/>
      <c r="M102" s="1"/>
      <c r="N102" s="1"/>
      <c r="O102" s="1"/>
      <c r="P102" s="1"/>
      <c r="Q102" s="1"/>
      <c r="R102" s="1221" t="str">
        <f>IF(STT_ChiPhiPhaiTra1&lt;&gt;0,STT_ChiPhiPhaiTra,"")</f>
        <v/>
      </c>
      <c r="S102" s="1221"/>
      <c r="T102" s="1221"/>
      <c r="U102" s="1"/>
      <c r="V102" s="1219">
        <f t="shared" si="27"/>
        <v>125537580</v>
      </c>
      <c r="W102" s="1219"/>
      <c r="X102" s="1219"/>
      <c r="Y102" s="1219"/>
      <c r="Z102" s="1219"/>
      <c r="AA102" s="1219"/>
      <c r="AB102" s="1219"/>
      <c r="AC102" s="51"/>
      <c r="AD102" s="1219">
        <f t="shared" si="28"/>
        <v>93606333</v>
      </c>
      <c r="AE102" s="1219"/>
      <c r="AF102" s="1219"/>
      <c r="AG102" s="1219"/>
      <c r="AH102" s="1219"/>
      <c r="AI102" s="1219"/>
      <c r="AJ102" s="1219"/>
      <c r="AK102" s="4"/>
      <c r="AL102" s="52" t="str">
        <f t="shared" si="23"/>
        <v>315</v>
      </c>
      <c r="AM102" s="60" t="str">
        <f>SUBTOTAL(109,$BW$98:BW102)&amp;". Short-term accrued expenses"</f>
        <v>5. Short-term accrued expenses</v>
      </c>
      <c r="AN102" s="47"/>
      <c r="AO102" s="47"/>
      <c r="AP102" s="1"/>
      <c r="AQ102" s="3"/>
      <c r="AR102" s="1"/>
      <c r="AS102" s="1"/>
      <c r="AT102" s="1"/>
      <c r="AU102" s="1"/>
      <c r="AV102" s="1"/>
      <c r="AW102" s="1"/>
      <c r="AX102" s="1"/>
      <c r="AY102" s="1"/>
      <c r="AZ102" s="1"/>
      <c r="BA102" s="1"/>
      <c r="BB102" s="1"/>
      <c r="BC102" s="1221" t="str">
        <f t="shared" si="24"/>
        <v/>
      </c>
      <c r="BD102" s="1221"/>
      <c r="BE102" s="1221"/>
      <c r="BF102" s="1"/>
      <c r="BG102" s="1219">
        <f t="shared" si="25"/>
        <v>125537580</v>
      </c>
      <c r="BH102" s="1219"/>
      <c r="BI102" s="1219"/>
      <c r="BJ102" s="1219"/>
      <c r="BK102" s="1219"/>
      <c r="BL102" s="1219"/>
      <c r="BM102" s="1219"/>
      <c r="BN102" s="51"/>
      <c r="BO102" s="1219">
        <f t="shared" si="26"/>
        <v>93606333</v>
      </c>
      <c r="BP102" s="1219"/>
      <c r="BQ102" s="1219"/>
      <c r="BR102" s="1219"/>
      <c r="BS102" s="1219"/>
      <c r="BT102" s="1219"/>
      <c r="BU102" s="1219"/>
      <c r="BV102" s="3"/>
      <c r="BW102" s="44">
        <f t="shared" si="29"/>
        <v>1</v>
      </c>
      <c r="BX102" s="45">
        <f t="shared" si="19"/>
        <v>0</v>
      </c>
      <c r="BY102" s="45">
        <f t="shared" si="22"/>
        <v>0</v>
      </c>
      <c r="CA102" s="28"/>
    </row>
    <row r="103" spans="1:79" s="27" customFormat="1" ht="14.1" hidden="1" customHeight="1" x14ac:dyDescent="0.25">
      <c r="A103" s="52" t="s">
        <v>123</v>
      </c>
      <c r="B103" s="60" t="str">
        <f>SUBTOTAL(109,$BW$98:BW103)&amp;". Phải trả nội bộ ngắn hạn"</f>
        <v>5. Phải trả nội bộ ngắn hạn</v>
      </c>
      <c r="C103" s="60"/>
      <c r="D103" s="47"/>
      <c r="E103" s="1"/>
      <c r="F103" s="3"/>
      <c r="G103" s="1"/>
      <c r="H103" s="1"/>
      <c r="I103" s="1"/>
      <c r="J103" s="1"/>
      <c r="K103" s="1"/>
      <c r="L103" s="1"/>
      <c r="M103" s="1"/>
      <c r="N103" s="1"/>
      <c r="O103" s="1"/>
      <c r="P103" s="1"/>
      <c r="Q103" s="1"/>
      <c r="R103" s="1221" t="str">
        <f>IF(STT_PhaiTraNoiBo1&lt;&gt;0,STT_PhaiTraNoiBo,"")</f>
        <v/>
      </c>
      <c r="S103" s="1221"/>
      <c r="T103" s="1221"/>
      <c r="U103" s="1"/>
      <c r="V103" s="1219">
        <f t="shared" si="27"/>
        <v>0</v>
      </c>
      <c r="W103" s="1219"/>
      <c r="X103" s="1219"/>
      <c r="Y103" s="1219"/>
      <c r="Z103" s="1219"/>
      <c r="AA103" s="1219"/>
      <c r="AB103" s="1219"/>
      <c r="AC103" s="51"/>
      <c r="AD103" s="1219">
        <f t="shared" si="28"/>
        <v>0</v>
      </c>
      <c r="AE103" s="1219"/>
      <c r="AF103" s="1219"/>
      <c r="AG103" s="1219"/>
      <c r="AH103" s="1219"/>
      <c r="AI103" s="1219"/>
      <c r="AJ103" s="1219"/>
      <c r="AK103" s="4"/>
      <c r="AL103" s="52" t="str">
        <f t="shared" si="23"/>
        <v>316</v>
      </c>
      <c r="AM103" s="60" t="str">
        <f>SUBTOTAL(109,$BW$98:BW103)&amp;". Short-term intra-company payables"</f>
        <v>5. Short-term intra-company payables</v>
      </c>
      <c r="AN103" s="47"/>
      <c r="AO103" s="47"/>
      <c r="AP103" s="1"/>
      <c r="AQ103" s="3"/>
      <c r="AR103" s="1"/>
      <c r="AS103" s="1"/>
      <c r="AT103" s="1"/>
      <c r="AU103" s="1"/>
      <c r="AV103" s="1"/>
      <c r="AW103" s="1"/>
      <c r="AX103" s="1"/>
      <c r="AY103" s="1"/>
      <c r="AZ103" s="1"/>
      <c r="BA103" s="1"/>
      <c r="BB103" s="1"/>
      <c r="BC103" s="1221" t="str">
        <f t="shared" si="24"/>
        <v/>
      </c>
      <c r="BD103" s="1221"/>
      <c r="BE103" s="1221"/>
      <c r="BF103" s="1"/>
      <c r="BG103" s="1219">
        <f t="shared" si="25"/>
        <v>0</v>
      </c>
      <c r="BH103" s="1219"/>
      <c r="BI103" s="1219"/>
      <c r="BJ103" s="1219"/>
      <c r="BK103" s="1219"/>
      <c r="BL103" s="1219"/>
      <c r="BM103" s="1219"/>
      <c r="BN103" s="51"/>
      <c r="BO103" s="1219">
        <f t="shared" si="26"/>
        <v>0</v>
      </c>
      <c r="BP103" s="1219"/>
      <c r="BQ103" s="1219"/>
      <c r="BR103" s="1219"/>
      <c r="BS103" s="1219"/>
      <c r="BT103" s="1219"/>
      <c r="BU103" s="1219"/>
      <c r="BV103" s="3"/>
      <c r="BW103" s="44">
        <f t="shared" si="29"/>
        <v>0</v>
      </c>
      <c r="BX103" s="45">
        <f t="shared" si="19"/>
        <v>0</v>
      </c>
      <c r="BY103" s="45">
        <f t="shared" si="22"/>
        <v>0</v>
      </c>
    </row>
    <row r="104" spans="1:79" s="27" customFormat="1" ht="15" hidden="1" customHeight="1" x14ac:dyDescent="0.25">
      <c r="A104" s="52" t="s">
        <v>124</v>
      </c>
      <c r="B104" s="60" t="str">
        <f>SUBTOTAL(109,$BW$98:BW104)&amp;". Phải trả theo tiến độ kế hoạch hợp đồng xây dựng"</f>
        <v>5. Phải trả theo tiến độ kế hoạch hợp đồng xây dựng</v>
      </c>
      <c r="C104" s="81"/>
      <c r="D104" s="81"/>
      <c r="E104" s="81"/>
      <c r="F104" s="81"/>
      <c r="G104" s="81"/>
      <c r="H104" s="81"/>
      <c r="I104" s="81"/>
      <c r="J104" s="81"/>
      <c r="K104" s="81"/>
      <c r="L104" s="81"/>
      <c r="M104" s="81"/>
      <c r="N104" s="81"/>
      <c r="O104" s="81"/>
      <c r="P104" s="81"/>
      <c r="Q104" s="91"/>
      <c r="R104" s="92"/>
      <c r="S104" s="92"/>
      <c r="T104" s="92"/>
      <c r="U104" s="1"/>
      <c r="V104" s="1219">
        <f t="shared" si="27"/>
        <v>0</v>
      </c>
      <c r="W104" s="1219"/>
      <c r="X104" s="1219"/>
      <c r="Y104" s="1219"/>
      <c r="Z104" s="1219"/>
      <c r="AA104" s="1219"/>
      <c r="AB104" s="1219"/>
      <c r="AC104" s="51"/>
      <c r="AD104" s="1219">
        <f t="shared" si="28"/>
        <v>0</v>
      </c>
      <c r="AE104" s="1219"/>
      <c r="AF104" s="1219"/>
      <c r="AG104" s="1219"/>
      <c r="AH104" s="1219"/>
      <c r="AI104" s="1219"/>
      <c r="AJ104" s="1219"/>
      <c r="AK104" s="4"/>
      <c r="AL104" s="52" t="str">
        <f t="shared" si="23"/>
        <v>317</v>
      </c>
      <c r="AM104" s="1224" t="str">
        <f>SUBTOTAL(109,$BW$98:BW104)&amp;". Payables according to the progress of construction contracts"</f>
        <v>5. Payables according to the progress of construction contracts</v>
      </c>
      <c r="AN104" s="1224"/>
      <c r="AO104" s="1224"/>
      <c r="AP104" s="1224"/>
      <c r="AQ104" s="1224"/>
      <c r="AR104" s="1224"/>
      <c r="AS104" s="1224"/>
      <c r="AT104" s="1224"/>
      <c r="AU104" s="1224"/>
      <c r="AV104" s="1224"/>
      <c r="AW104" s="1224"/>
      <c r="AX104" s="1224"/>
      <c r="AY104" s="1224"/>
      <c r="AZ104" s="1224"/>
      <c r="BA104" s="1224"/>
      <c r="BB104" s="1224"/>
      <c r="BC104" s="1221">
        <f t="shared" si="24"/>
        <v>0</v>
      </c>
      <c r="BD104" s="1221"/>
      <c r="BE104" s="1221"/>
      <c r="BF104" s="1"/>
      <c r="BG104" s="1219">
        <f t="shared" si="25"/>
        <v>0</v>
      </c>
      <c r="BH104" s="1219"/>
      <c r="BI104" s="1219"/>
      <c r="BJ104" s="1219"/>
      <c r="BK104" s="1219"/>
      <c r="BL104" s="1219"/>
      <c r="BM104" s="1219"/>
      <c r="BN104" s="51"/>
      <c r="BO104" s="1219">
        <f t="shared" si="26"/>
        <v>0</v>
      </c>
      <c r="BP104" s="1219"/>
      <c r="BQ104" s="1219"/>
      <c r="BR104" s="1219"/>
      <c r="BS104" s="1219"/>
      <c r="BT104" s="1219"/>
      <c r="BU104" s="1219"/>
      <c r="BV104" s="3"/>
      <c r="BW104" s="44">
        <f t="shared" si="29"/>
        <v>0</v>
      </c>
      <c r="BX104" s="45">
        <f t="shared" si="19"/>
        <v>0</v>
      </c>
      <c r="BY104" s="45">
        <f t="shared" si="22"/>
        <v>0</v>
      </c>
    </row>
    <row r="105" spans="1:79" s="27" customFormat="1" ht="14.1" hidden="1" customHeight="1" x14ac:dyDescent="0.25">
      <c r="A105" s="52" t="s">
        <v>125</v>
      </c>
      <c r="B105" s="60" t="str">
        <f>SUBTOTAL(109,$BW$98:BW105)&amp;". Doanh thu chưa thực hiện ngắn hạn"</f>
        <v>5. Doanh thu chưa thực hiện ngắn hạn</v>
      </c>
      <c r="C105" s="60"/>
      <c r="D105" s="47"/>
      <c r="E105" s="1"/>
      <c r="F105" s="3"/>
      <c r="G105" s="1"/>
      <c r="H105" s="1"/>
      <c r="I105" s="1"/>
      <c r="J105" s="1"/>
      <c r="K105" s="1"/>
      <c r="L105" s="1"/>
      <c r="M105" s="1"/>
      <c r="N105" s="1"/>
      <c r="O105" s="1"/>
      <c r="P105" s="1"/>
      <c r="Q105" s="1"/>
      <c r="R105" s="1221" t="str">
        <f>IF(STT_DoanhThuCTH1&lt;&gt;0,STT_DoanhThuCTH,"")</f>
        <v/>
      </c>
      <c r="S105" s="1221"/>
      <c r="T105" s="1221"/>
      <c r="U105" s="1"/>
      <c r="V105" s="1219">
        <f t="shared" si="27"/>
        <v>0</v>
      </c>
      <c r="W105" s="1219"/>
      <c r="X105" s="1219"/>
      <c r="Y105" s="1219"/>
      <c r="Z105" s="1219"/>
      <c r="AA105" s="1219"/>
      <c r="AB105" s="1219"/>
      <c r="AC105" s="51"/>
      <c r="AD105" s="1219">
        <f t="shared" si="28"/>
        <v>0</v>
      </c>
      <c r="AE105" s="1219"/>
      <c r="AF105" s="1219"/>
      <c r="AG105" s="1219"/>
      <c r="AH105" s="1219"/>
      <c r="AI105" s="1219"/>
      <c r="AJ105" s="1219"/>
      <c r="AK105" s="4"/>
      <c r="AL105" s="52" t="str">
        <f t="shared" si="23"/>
        <v>318</v>
      </c>
      <c r="AM105" s="60" t="str">
        <f>SUBTOTAL(109,$BW$98:BW105)&amp;". Short-term unrealised revenue"</f>
        <v>5. Short-term unrealised revenue</v>
      </c>
      <c r="AN105" s="47"/>
      <c r="AO105" s="47"/>
      <c r="AP105" s="1"/>
      <c r="AQ105" s="3"/>
      <c r="AR105" s="1"/>
      <c r="AS105" s="1"/>
      <c r="AT105" s="1"/>
      <c r="AU105" s="1"/>
      <c r="AV105" s="1"/>
      <c r="AW105" s="1"/>
      <c r="AX105" s="1"/>
      <c r="AY105" s="1"/>
      <c r="AZ105" s="1"/>
      <c r="BA105" s="1"/>
      <c r="BB105" s="1"/>
      <c r="BC105" s="1221" t="str">
        <f t="shared" si="24"/>
        <v/>
      </c>
      <c r="BD105" s="1221"/>
      <c r="BE105" s="1221"/>
      <c r="BF105" s="1"/>
      <c r="BG105" s="1219">
        <f t="shared" si="25"/>
        <v>0</v>
      </c>
      <c r="BH105" s="1219"/>
      <c r="BI105" s="1219"/>
      <c r="BJ105" s="1219"/>
      <c r="BK105" s="1219"/>
      <c r="BL105" s="1219"/>
      <c r="BM105" s="1219"/>
      <c r="BN105" s="51"/>
      <c r="BO105" s="1219">
        <f t="shared" si="26"/>
        <v>0</v>
      </c>
      <c r="BP105" s="1219"/>
      <c r="BQ105" s="1219"/>
      <c r="BR105" s="1219"/>
      <c r="BS105" s="1219"/>
      <c r="BT105" s="1219"/>
      <c r="BU105" s="1219"/>
      <c r="BV105" s="3"/>
      <c r="BW105" s="44">
        <f t="shared" si="29"/>
        <v>0</v>
      </c>
      <c r="BX105" s="45">
        <f t="shared" si="19"/>
        <v>0</v>
      </c>
      <c r="BY105" s="45">
        <f t="shared" si="22"/>
        <v>0</v>
      </c>
    </row>
    <row r="106" spans="1:79" s="27" customFormat="1" ht="14.1" customHeight="1" x14ac:dyDescent="0.25">
      <c r="A106" s="52" t="s">
        <v>126</v>
      </c>
      <c r="B106" s="60" t="str">
        <f>SUBTOTAL(109,$BW$98:BW106)&amp;". Phải trả ngắn hạn khác"</f>
        <v>6. Phải trả ngắn hạn khác</v>
      </c>
      <c r="C106" s="60"/>
      <c r="D106" s="47"/>
      <c r="E106" s="1"/>
      <c r="F106" s="3"/>
      <c r="G106" s="1"/>
      <c r="H106" s="1"/>
      <c r="I106" s="1"/>
      <c r="J106" s="1"/>
      <c r="K106" s="1"/>
      <c r="L106" s="1"/>
      <c r="M106" s="1"/>
      <c r="N106" s="1"/>
      <c r="O106" s="1"/>
      <c r="P106" s="1"/>
      <c r="Q106" s="1"/>
      <c r="R106" s="1221">
        <f>IF(STT_PhaiTraKhac1&lt;&gt;0,STT_PhaiTraKhac,"")</f>
        <v>19</v>
      </c>
      <c r="S106" s="1221"/>
      <c r="T106" s="1221"/>
      <c r="U106" s="1"/>
      <c r="V106" s="1219">
        <f t="shared" si="27"/>
        <v>892532338</v>
      </c>
      <c r="W106" s="1219"/>
      <c r="X106" s="1219"/>
      <c r="Y106" s="1219"/>
      <c r="Z106" s="1219"/>
      <c r="AA106" s="1219"/>
      <c r="AB106" s="1219"/>
      <c r="AC106" s="51"/>
      <c r="AD106" s="1219">
        <f t="shared" si="28"/>
        <v>902619985</v>
      </c>
      <c r="AE106" s="1219"/>
      <c r="AF106" s="1219"/>
      <c r="AG106" s="1219"/>
      <c r="AH106" s="1219"/>
      <c r="AI106" s="1219"/>
      <c r="AJ106" s="1219"/>
      <c r="AK106" s="4"/>
      <c r="AL106" s="52" t="str">
        <f t="shared" si="23"/>
        <v>319</v>
      </c>
      <c r="AM106" s="60" t="str">
        <f>SUBTOTAL(109,$BW$98:BW106)&amp;". Other short-term payments"</f>
        <v>6. Other short-term payments</v>
      </c>
      <c r="AN106" s="47"/>
      <c r="AO106" s="47"/>
      <c r="AP106" s="1"/>
      <c r="AQ106" s="3"/>
      <c r="AR106" s="1"/>
      <c r="AS106" s="1"/>
      <c r="AT106" s="1"/>
      <c r="AU106" s="1"/>
      <c r="AV106" s="1"/>
      <c r="AW106" s="1"/>
      <c r="AX106" s="1"/>
      <c r="AY106" s="1"/>
      <c r="AZ106" s="1"/>
      <c r="BA106" s="1"/>
      <c r="BB106" s="1"/>
      <c r="BC106" s="1221">
        <f t="shared" si="24"/>
        <v>19</v>
      </c>
      <c r="BD106" s="1221"/>
      <c r="BE106" s="1221"/>
      <c r="BF106" s="1"/>
      <c r="BG106" s="1219">
        <f t="shared" si="25"/>
        <v>892532338</v>
      </c>
      <c r="BH106" s="1219"/>
      <c r="BI106" s="1219"/>
      <c r="BJ106" s="1219"/>
      <c r="BK106" s="1219"/>
      <c r="BL106" s="1219"/>
      <c r="BM106" s="1219"/>
      <c r="BN106" s="51"/>
      <c r="BO106" s="1219">
        <f t="shared" si="26"/>
        <v>902619985</v>
      </c>
      <c r="BP106" s="1219"/>
      <c r="BQ106" s="1219"/>
      <c r="BR106" s="1219"/>
      <c r="BS106" s="1219"/>
      <c r="BT106" s="1219"/>
      <c r="BU106" s="1219"/>
      <c r="BV106" s="3"/>
      <c r="BW106" s="44">
        <f t="shared" si="29"/>
        <v>1</v>
      </c>
      <c r="BX106" s="45">
        <f t="shared" si="19"/>
        <v>0</v>
      </c>
      <c r="BY106" s="45">
        <f t="shared" si="22"/>
        <v>0</v>
      </c>
      <c r="CA106" s="28"/>
    </row>
    <row r="107" spans="1:79" s="27" customFormat="1" ht="14.1" customHeight="1" x14ac:dyDescent="0.25">
      <c r="A107" s="52" t="s">
        <v>127</v>
      </c>
      <c r="B107" s="60" t="str">
        <f>SUBTOTAL(109,$BW$98:BW107)&amp;". Vay và nợ thuê tài chính ngắn hạn"</f>
        <v>7. Vay và nợ thuê tài chính ngắn hạn</v>
      </c>
      <c r="C107" s="60"/>
      <c r="D107" s="47"/>
      <c r="E107" s="1"/>
      <c r="F107" s="3"/>
      <c r="G107" s="1"/>
      <c r="H107" s="1"/>
      <c r="I107" s="1"/>
      <c r="J107" s="1"/>
      <c r="K107" s="1"/>
      <c r="L107" s="1"/>
      <c r="M107" s="1"/>
      <c r="N107" s="1"/>
      <c r="O107" s="1"/>
      <c r="P107" s="1"/>
      <c r="Q107" s="1"/>
      <c r="R107" s="1221">
        <f>IF(STT_VayvaNoThueTC1&lt;&gt;0,STT_VayvaNoThueTC,"")</f>
        <v>15</v>
      </c>
      <c r="S107" s="1221"/>
      <c r="T107" s="1221"/>
      <c r="U107" s="1"/>
      <c r="V107" s="1219">
        <f>IF(ISBLANK($A107),0,VLOOKUP($A107,CDKT,MATCH($V$8,subTitle,0),0))</f>
        <v>1074476402</v>
      </c>
      <c r="W107" s="1219"/>
      <c r="X107" s="1219"/>
      <c r="Y107" s="1219"/>
      <c r="Z107" s="1219"/>
      <c r="AA107" s="1219"/>
      <c r="AB107" s="1219"/>
      <c r="AC107" s="51"/>
      <c r="AD107" s="1219">
        <f>IF(ISBLANK($A107),0,VLOOKUP($A107,CDKT,MATCH($AD$8,subTitle,0),0))</f>
        <v>2627000000</v>
      </c>
      <c r="AE107" s="1219"/>
      <c r="AF107" s="1219"/>
      <c r="AG107" s="1219"/>
      <c r="AH107" s="1219"/>
      <c r="AI107" s="1219"/>
      <c r="AJ107" s="1219"/>
      <c r="AK107" s="4"/>
      <c r="AL107" s="52" t="str">
        <f t="shared" si="23"/>
        <v>320</v>
      </c>
      <c r="AM107" s="60" t="str">
        <f>SUBTOTAL(109,$BW$98:BW107)&amp;". Short-term loans and finance lease liabilities"</f>
        <v>7. Short-term loans and finance lease liabilities</v>
      </c>
      <c r="AN107" s="47"/>
      <c r="AO107" s="47"/>
      <c r="AP107" s="1"/>
      <c r="AQ107" s="3"/>
      <c r="AR107" s="1"/>
      <c r="AS107" s="1"/>
      <c r="AT107" s="1"/>
      <c r="AU107" s="1"/>
      <c r="AV107" s="1"/>
      <c r="AW107" s="1"/>
      <c r="AX107" s="1"/>
      <c r="AY107" s="1"/>
      <c r="AZ107" s="1"/>
      <c r="BA107" s="1"/>
      <c r="BB107" s="1"/>
      <c r="BC107" s="1221">
        <f t="shared" si="24"/>
        <v>15</v>
      </c>
      <c r="BD107" s="1221"/>
      <c r="BE107" s="1221"/>
      <c r="BF107" s="1"/>
      <c r="BG107" s="1219">
        <f t="shared" si="25"/>
        <v>1074476402</v>
      </c>
      <c r="BH107" s="1219"/>
      <c r="BI107" s="1219"/>
      <c r="BJ107" s="1219"/>
      <c r="BK107" s="1219"/>
      <c r="BL107" s="1219"/>
      <c r="BM107" s="1219"/>
      <c r="BN107" s="51"/>
      <c r="BO107" s="1219">
        <f t="shared" si="26"/>
        <v>2627000000</v>
      </c>
      <c r="BP107" s="1219"/>
      <c r="BQ107" s="1219"/>
      <c r="BR107" s="1219"/>
      <c r="BS107" s="1219"/>
      <c r="BT107" s="1219"/>
      <c r="BU107" s="1219"/>
      <c r="BV107" s="3"/>
      <c r="BW107" s="44">
        <f t="shared" si="29"/>
        <v>1</v>
      </c>
      <c r="BX107" s="45">
        <f t="shared" si="19"/>
        <v>0</v>
      </c>
      <c r="BY107" s="45">
        <f t="shared" si="22"/>
        <v>0</v>
      </c>
      <c r="CA107" s="28"/>
    </row>
    <row r="108" spans="1:79" s="27" customFormat="1" ht="14.1" hidden="1" customHeight="1" x14ac:dyDescent="0.25">
      <c r="A108" s="52" t="s">
        <v>128</v>
      </c>
      <c r="B108" s="60" t="str">
        <f>SUBTOTAL(109,$BW$98:BW108)&amp;". Dự phòng phải trả ngắn hạn"</f>
        <v>7. Dự phòng phải trả ngắn hạn</v>
      </c>
      <c r="C108" s="60"/>
      <c r="D108" s="47"/>
      <c r="E108" s="1"/>
      <c r="F108" s="3"/>
      <c r="G108" s="1"/>
      <c r="H108" s="1"/>
      <c r="I108" s="1"/>
      <c r="J108" s="1"/>
      <c r="K108" s="1"/>
      <c r="L108" s="1"/>
      <c r="M108" s="1"/>
      <c r="N108" s="1"/>
      <c r="O108" s="1"/>
      <c r="P108" s="1"/>
      <c r="Q108" s="1"/>
      <c r="R108" s="1221" t="str">
        <f>IF(STT_DPPhaiTra1&lt;&gt;0,STT_DPPhaiTra,"")</f>
        <v/>
      </c>
      <c r="S108" s="1221"/>
      <c r="T108" s="1221"/>
      <c r="U108" s="1"/>
      <c r="V108" s="1219">
        <f>IF(ISBLANK($A108),0,VLOOKUP($A108,CDKT,MATCH($V$8,subTitle,0),0))</f>
        <v>0</v>
      </c>
      <c r="W108" s="1219"/>
      <c r="X108" s="1219"/>
      <c r="Y108" s="1219"/>
      <c r="Z108" s="1219"/>
      <c r="AA108" s="1219"/>
      <c r="AB108" s="1219"/>
      <c r="AC108" s="51"/>
      <c r="AD108" s="1219">
        <f>IF(ISBLANK($A108),0,VLOOKUP($A108,CDKT,MATCH($AD$8,subTitle,0),0))</f>
        <v>0</v>
      </c>
      <c r="AE108" s="1219"/>
      <c r="AF108" s="1219"/>
      <c r="AG108" s="1219"/>
      <c r="AH108" s="1219"/>
      <c r="AI108" s="1219"/>
      <c r="AJ108" s="1219"/>
      <c r="AK108" s="4"/>
      <c r="AL108" s="52" t="str">
        <f t="shared" si="23"/>
        <v>321</v>
      </c>
      <c r="AM108" s="60" t="str">
        <f>SUBTOTAL(109,$BW$98:BW108)&amp;". Short-term provisions for payables"</f>
        <v>7. Short-term provisions for payables</v>
      </c>
      <c r="AN108" s="47"/>
      <c r="AO108" s="47"/>
      <c r="AP108" s="1"/>
      <c r="AQ108" s="3"/>
      <c r="AR108" s="1"/>
      <c r="AS108" s="1"/>
      <c r="AT108" s="1"/>
      <c r="AU108" s="1"/>
      <c r="AV108" s="1"/>
      <c r="AW108" s="1"/>
      <c r="AX108" s="1"/>
      <c r="AY108" s="1"/>
      <c r="AZ108" s="1"/>
      <c r="BA108" s="1"/>
      <c r="BB108" s="1"/>
      <c r="BC108" s="1221" t="str">
        <f t="shared" si="24"/>
        <v/>
      </c>
      <c r="BD108" s="1221"/>
      <c r="BE108" s="1221"/>
      <c r="BF108" s="1"/>
      <c r="BG108" s="1219">
        <f t="shared" si="25"/>
        <v>0</v>
      </c>
      <c r="BH108" s="1219"/>
      <c r="BI108" s="1219"/>
      <c r="BJ108" s="1219"/>
      <c r="BK108" s="1219"/>
      <c r="BL108" s="1219"/>
      <c r="BM108" s="1219"/>
      <c r="BN108" s="51"/>
      <c r="BO108" s="1219">
        <f t="shared" si="26"/>
        <v>0</v>
      </c>
      <c r="BP108" s="1219"/>
      <c r="BQ108" s="1219"/>
      <c r="BR108" s="1219"/>
      <c r="BS108" s="1219"/>
      <c r="BT108" s="1219"/>
      <c r="BU108" s="1219"/>
      <c r="BV108" s="3"/>
      <c r="BW108" s="44">
        <f t="shared" si="29"/>
        <v>0</v>
      </c>
      <c r="BX108" s="45">
        <f t="shared" si="19"/>
        <v>0</v>
      </c>
      <c r="BY108" s="45">
        <f t="shared" si="22"/>
        <v>0</v>
      </c>
    </row>
    <row r="109" spans="1:79" s="27" customFormat="1" ht="14.1" customHeight="1" x14ac:dyDescent="0.25">
      <c r="A109" s="52" t="s">
        <v>129</v>
      </c>
      <c r="B109" s="60" t="str">
        <f>SUBTOTAL(109,$BW$98:BW109)&amp;". Quỹ khen thưởng, phúc lợi"</f>
        <v>8. Quỹ khen thưởng, phúc lợi</v>
      </c>
      <c r="C109" s="60"/>
      <c r="D109" s="47"/>
      <c r="E109" s="1"/>
      <c r="F109" s="3"/>
      <c r="G109" s="1"/>
      <c r="H109" s="1"/>
      <c r="I109" s="1"/>
      <c r="J109" s="1"/>
      <c r="K109" s="1"/>
      <c r="L109" s="1"/>
      <c r="M109" s="1"/>
      <c r="N109" s="1"/>
      <c r="O109" s="1"/>
      <c r="P109" s="1"/>
      <c r="Q109" s="1"/>
      <c r="R109" s="1221"/>
      <c r="S109" s="1221"/>
      <c r="T109" s="1221"/>
      <c r="U109" s="1"/>
      <c r="V109" s="1219">
        <f>IF(ISBLANK($A109),0,VLOOKUP($A109,CDKT,MATCH($V$8,subTitle,0),0))</f>
        <v>746465047</v>
      </c>
      <c r="W109" s="1219"/>
      <c r="X109" s="1219"/>
      <c r="Y109" s="1219"/>
      <c r="Z109" s="1219"/>
      <c r="AA109" s="1219"/>
      <c r="AB109" s="1219"/>
      <c r="AC109" s="51"/>
      <c r="AD109" s="1219">
        <f>IF(ISBLANK($A109),0,VLOOKUP($A109,CDKT,MATCH($AD$8,subTitle,0),0))</f>
        <v>811683237</v>
      </c>
      <c r="AE109" s="1219"/>
      <c r="AF109" s="1219"/>
      <c r="AG109" s="1219"/>
      <c r="AH109" s="1219"/>
      <c r="AI109" s="1219"/>
      <c r="AJ109" s="1219"/>
      <c r="AK109" s="4"/>
      <c r="AL109" s="52" t="str">
        <f t="shared" si="23"/>
        <v>322</v>
      </c>
      <c r="AM109" s="60" t="str">
        <f>SUBTOTAL(109,$BW$98:BW109)&amp;". Bonus and welfare fund"</f>
        <v>8. Bonus and welfare fund</v>
      </c>
      <c r="AN109" s="47"/>
      <c r="AO109" s="47"/>
      <c r="AP109" s="1"/>
      <c r="AQ109" s="3"/>
      <c r="AR109" s="1"/>
      <c r="AS109" s="1"/>
      <c r="AT109" s="1"/>
      <c r="AU109" s="1"/>
      <c r="AV109" s="1"/>
      <c r="AW109" s="1"/>
      <c r="AX109" s="1"/>
      <c r="AY109" s="1"/>
      <c r="AZ109" s="1"/>
      <c r="BA109" s="1"/>
      <c r="BB109" s="1"/>
      <c r="BC109" s="1221">
        <f t="shared" si="24"/>
        <v>0</v>
      </c>
      <c r="BD109" s="1221"/>
      <c r="BE109" s="1221"/>
      <c r="BF109" s="1"/>
      <c r="BG109" s="1219">
        <f>V109</f>
        <v>746465047</v>
      </c>
      <c r="BH109" s="1219"/>
      <c r="BI109" s="1219"/>
      <c r="BJ109" s="1219"/>
      <c r="BK109" s="1219"/>
      <c r="BL109" s="1219"/>
      <c r="BM109" s="1219"/>
      <c r="BN109" s="51"/>
      <c r="BO109" s="1219">
        <f>AD109</f>
        <v>811683237</v>
      </c>
      <c r="BP109" s="1219"/>
      <c r="BQ109" s="1219"/>
      <c r="BR109" s="1219"/>
      <c r="BS109" s="1219"/>
      <c r="BT109" s="1219"/>
      <c r="BU109" s="1219"/>
      <c r="BV109" s="3"/>
      <c r="BW109" s="44">
        <f t="shared" si="29"/>
        <v>1</v>
      </c>
      <c r="BX109" s="45">
        <f t="shared" si="19"/>
        <v>0</v>
      </c>
      <c r="BY109" s="45">
        <f t="shared" si="22"/>
        <v>0</v>
      </c>
      <c r="CA109" s="28"/>
    </row>
    <row r="110" spans="1:79" s="1" customFormat="1" ht="14.1" hidden="1" customHeight="1" x14ac:dyDescent="0.25">
      <c r="A110" s="52" t="s">
        <v>130</v>
      </c>
      <c r="B110" s="60" t="str">
        <f>SUBTOTAL(109,$BW$98:BW110)&amp;". Quỹ bình ổn giá"</f>
        <v>8. Quỹ bình ổn giá</v>
      </c>
      <c r="C110" s="60"/>
      <c r="D110" s="47"/>
      <c r="E110" s="47"/>
      <c r="F110" s="63"/>
      <c r="G110" s="47"/>
      <c r="H110" s="47"/>
      <c r="I110" s="47"/>
      <c r="J110" s="47"/>
      <c r="K110" s="47"/>
      <c r="L110" s="47"/>
      <c r="M110" s="47"/>
      <c r="N110" s="47"/>
      <c r="O110" s="47"/>
      <c r="P110" s="47"/>
      <c r="Q110" s="47"/>
      <c r="R110" s="1227"/>
      <c r="S110" s="1227"/>
      <c r="T110" s="1227"/>
      <c r="U110" s="47"/>
      <c r="V110" s="1219">
        <f>IF(ISBLANK($A110),0,VLOOKUP($A110,CDKT,MATCH($V$8,subTitle,0),0))</f>
        <v>0</v>
      </c>
      <c r="W110" s="1219"/>
      <c r="X110" s="1219"/>
      <c r="Y110" s="1219"/>
      <c r="Z110" s="1219"/>
      <c r="AA110" s="1219"/>
      <c r="AB110" s="1219"/>
      <c r="AC110" s="64"/>
      <c r="AD110" s="1219">
        <f>IF(ISBLANK($A110),0,VLOOKUP($A110,CDKT,MATCH($AD$8,subTitle,0),0))</f>
        <v>0</v>
      </c>
      <c r="AE110" s="1219"/>
      <c r="AF110" s="1219"/>
      <c r="AG110" s="1219"/>
      <c r="AH110" s="1219"/>
      <c r="AI110" s="1219"/>
      <c r="AJ110" s="1219"/>
      <c r="AK110" s="4"/>
      <c r="AL110" s="52" t="str">
        <f t="shared" si="23"/>
        <v>323</v>
      </c>
      <c r="AM110" s="60" t="str">
        <f>SUBTOTAL(109,$BW$98:BW110)&amp;". Price stabilization fund"</f>
        <v>8. Price stabilization fund</v>
      </c>
      <c r="AN110" s="47"/>
      <c r="AO110" s="47"/>
      <c r="AP110" s="47"/>
      <c r="AQ110" s="63"/>
      <c r="AR110" s="47"/>
      <c r="AS110" s="47"/>
      <c r="AT110" s="47"/>
      <c r="AU110" s="47"/>
      <c r="AV110" s="47"/>
      <c r="AW110" s="47"/>
      <c r="AX110" s="47"/>
      <c r="AY110" s="47"/>
      <c r="AZ110" s="47"/>
      <c r="BA110" s="47"/>
      <c r="BB110" s="47"/>
      <c r="BC110" s="1227"/>
      <c r="BD110" s="1227"/>
      <c r="BE110" s="1227"/>
      <c r="BF110" s="47"/>
      <c r="BG110" s="1219">
        <f>V110</f>
        <v>0</v>
      </c>
      <c r="BH110" s="1219"/>
      <c r="BI110" s="1219"/>
      <c r="BJ110" s="1219"/>
      <c r="BK110" s="1219"/>
      <c r="BL110" s="1219"/>
      <c r="BM110" s="1219"/>
      <c r="BN110" s="64"/>
      <c r="BO110" s="1219">
        <f>AD110</f>
        <v>0</v>
      </c>
      <c r="BP110" s="1219"/>
      <c r="BQ110" s="1219"/>
      <c r="BR110" s="1219"/>
      <c r="BS110" s="1219"/>
      <c r="BT110" s="1219"/>
      <c r="BU110" s="1219"/>
      <c r="BV110" s="3"/>
      <c r="BW110" s="44">
        <f>IF(ISTEXT(A110),IF(OR(SUM(V110:AB110)&lt;&gt;0,SUM(AD110:AJ110)&lt;&gt;0),1,0),1)</f>
        <v>0</v>
      </c>
      <c r="BX110" s="79">
        <f t="shared" si="19"/>
        <v>0</v>
      </c>
      <c r="BY110" s="79">
        <f t="shared" si="22"/>
        <v>0</v>
      </c>
    </row>
    <row r="111" spans="1:79" s="27" customFormat="1" ht="14.1" hidden="1" customHeight="1" x14ac:dyDescent="0.25">
      <c r="A111" s="52" t="s">
        <v>131</v>
      </c>
      <c r="B111" s="60" t="str">
        <f>SUBTOTAL(109,$BW$98:BW111)&amp;". Giao dịch mua bán lại trái phiếu Chính phủ"</f>
        <v>8. Giao dịch mua bán lại trái phiếu Chính phủ</v>
      </c>
      <c r="C111" s="60"/>
      <c r="D111" s="47"/>
      <c r="E111" s="1"/>
      <c r="F111" s="3"/>
      <c r="G111" s="1"/>
      <c r="H111" s="1"/>
      <c r="I111" s="1"/>
      <c r="J111" s="1"/>
      <c r="K111" s="1"/>
      <c r="L111" s="1"/>
      <c r="M111" s="1"/>
      <c r="N111" s="1"/>
      <c r="O111" s="1"/>
      <c r="P111" s="1"/>
      <c r="Q111" s="1"/>
      <c r="R111" s="1221"/>
      <c r="S111" s="1221"/>
      <c r="T111" s="1221"/>
      <c r="U111" s="1"/>
      <c r="V111" s="1219">
        <f>IF(ISBLANK($A111),0,VLOOKUP($A111,CDKT,MATCH($V$8,subTitle,0),0))</f>
        <v>0</v>
      </c>
      <c r="W111" s="1219"/>
      <c r="X111" s="1219"/>
      <c r="Y111" s="1219"/>
      <c r="Z111" s="1219"/>
      <c r="AA111" s="1219"/>
      <c r="AB111" s="1219"/>
      <c r="AC111" s="51"/>
      <c r="AD111" s="1219">
        <f>IF(ISBLANK($A111),0,VLOOKUP($A111,CDKT,MATCH($AD$8,subTitle,0),0))</f>
        <v>0</v>
      </c>
      <c r="AE111" s="1219"/>
      <c r="AF111" s="1219"/>
      <c r="AG111" s="1219"/>
      <c r="AH111" s="1219"/>
      <c r="AI111" s="1219"/>
      <c r="AJ111" s="1219"/>
      <c r="AK111" s="4"/>
      <c r="AL111" s="52" t="str">
        <f t="shared" si="23"/>
        <v>324</v>
      </c>
      <c r="AM111" s="60" t="str">
        <f>SUBTOTAL(109,$BW$98:BW111)&amp;". Purchase and resale of Government bonds "</f>
        <v xml:space="preserve">8. Purchase and resale of Government bonds </v>
      </c>
      <c r="AN111" s="47"/>
      <c r="AO111" s="47"/>
      <c r="AP111" s="1"/>
      <c r="AQ111" s="3"/>
      <c r="AR111" s="1"/>
      <c r="AS111" s="1"/>
      <c r="AT111" s="1"/>
      <c r="AU111" s="1"/>
      <c r="AV111" s="1"/>
      <c r="AW111" s="1"/>
      <c r="AX111" s="1"/>
      <c r="AY111" s="1"/>
      <c r="AZ111" s="1"/>
      <c r="BA111" s="1"/>
      <c r="BB111" s="1"/>
      <c r="BC111" s="1221">
        <f>R111</f>
        <v>0</v>
      </c>
      <c r="BD111" s="1221"/>
      <c r="BE111" s="1221"/>
      <c r="BF111" s="1"/>
      <c r="BG111" s="1219">
        <f t="shared" si="25"/>
        <v>0</v>
      </c>
      <c r="BH111" s="1219"/>
      <c r="BI111" s="1219"/>
      <c r="BJ111" s="1219"/>
      <c r="BK111" s="1219"/>
      <c r="BL111" s="1219"/>
      <c r="BM111" s="1219"/>
      <c r="BN111" s="51"/>
      <c r="BO111" s="1219">
        <f t="shared" si="26"/>
        <v>0</v>
      </c>
      <c r="BP111" s="1219"/>
      <c r="BQ111" s="1219"/>
      <c r="BR111" s="1219"/>
      <c r="BS111" s="1219"/>
      <c r="BT111" s="1219"/>
      <c r="BU111" s="1219"/>
      <c r="BV111" s="3"/>
      <c r="BW111" s="44">
        <f>IF(ISTEXT(A111),IF(OR(SUM(V111:AB111)&lt;&gt;0,SUM(AD111:AJ111)&lt;&gt;0),1,0),1)</f>
        <v>0</v>
      </c>
      <c r="BX111" s="45">
        <f t="shared" si="19"/>
        <v>0</v>
      </c>
      <c r="BY111" s="45">
        <f t="shared" si="22"/>
        <v>0</v>
      </c>
    </row>
    <row r="112" spans="1:79" s="27" customFormat="1" ht="14.1" hidden="1" customHeight="1" x14ac:dyDescent="0.25">
      <c r="A112" s="52"/>
      <c r="B112" s="1"/>
      <c r="C112" s="47"/>
      <c r="D112" s="47"/>
      <c r="E112" s="1"/>
      <c r="F112" s="3"/>
      <c r="G112" s="1"/>
      <c r="H112" s="1"/>
      <c r="I112" s="1"/>
      <c r="J112" s="1"/>
      <c r="K112" s="1"/>
      <c r="L112" s="1"/>
      <c r="M112" s="1"/>
      <c r="N112" s="1"/>
      <c r="O112" s="1"/>
      <c r="P112" s="1"/>
      <c r="Q112" s="1"/>
      <c r="R112" s="1221"/>
      <c r="S112" s="1221"/>
      <c r="T112" s="1221"/>
      <c r="U112" s="1"/>
      <c r="V112" s="1219"/>
      <c r="W112" s="1219"/>
      <c r="X112" s="1219"/>
      <c r="Y112" s="1219"/>
      <c r="Z112" s="1219"/>
      <c r="AA112" s="1219"/>
      <c r="AB112" s="1219"/>
      <c r="AC112" s="51"/>
      <c r="AD112" s="1219"/>
      <c r="AE112" s="1219"/>
      <c r="AF112" s="1219"/>
      <c r="AG112" s="1219"/>
      <c r="AH112" s="1219"/>
      <c r="AI112" s="1219"/>
      <c r="AJ112" s="1219"/>
      <c r="AK112" s="4"/>
      <c r="AL112" s="52">
        <f t="shared" si="23"/>
        <v>0</v>
      </c>
      <c r="AM112" s="1"/>
      <c r="AN112" s="47"/>
      <c r="AO112" s="47"/>
      <c r="AP112" s="1"/>
      <c r="AQ112" s="3"/>
      <c r="AR112" s="1"/>
      <c r="AS112" s="1"/>
      <c r="AT112" s="1"/>
      <c r="AU112" s="1"/>
      <c r="AV112" s="1"/>
      <c r="AW112" s="1"/>
      <c r="AX112" s="1"/>
      <c r="AY112" s="1"/>
      <c r="AZ112" s="1"/>
      <c r="BA112" s="1"/>
      <c r="BB112" s="1"/>
      <c r="BC112" s="1221">
        <f t="shared" si="24"/>
        <v>0</v>
      </c>
      <c r="BD112" s="1221"/>
      <c r="BE112" s="1221"/>
      <c r="BF112" s="1"/>
      <c r="BG112" s="1219"/>
      <c r="BH112" s="1219"/>
      <c r="BI112" s="1219"/>
      <c r="BJ112" s="1219"/>
      <c r="BK112" s="1219"/>
      <c r="BL112" s="1219"/>
      <c r="BM112" s="1219"/>
      <c r="BN112" s="51"/>
      <c r="BO112" s="1219"/>
      <c r="BP112" s="1219"/>
      <c r="BQ112" s="1219"/>
      <c r="BR112" s="1219"/>
      <c r="BS112" s="1219"/>
      <c r="BT112" s="1219"/>
      <c r="BU112" s="1219"/>
      <c r="BV112" s="3"/>
      <c r="BW112" s="44">
        <f>$BW$113</f>
        <v>0</v>
      </c>
      <c r="BX112" s="45">
        <f t="shared" si="19"/>
        <v>0</v>
      </c>
      <c r="BY112" s="45">
        <f t="shared" si="22"/>
        <v>0</v>
      </c>
    </row>
    <row r="113" spans="1:79" s="27" customFormat="1" ht="15" hidden="1" customHeight="1" x14ac:dyDescent="0.25">
      <c r="A113" s="50" t="s">
        <v>132</v>
      </c>
      <c r="B113" s="61" t="s">
        <v>133</v>
      </c>
      <c r="C113" s="47"/>
      <c r="D113" s="47"/>
      <c r="E113" s="1"/>
      <c r="F113" s="3"/>
      <c r="G113" s="1"/>
      <c r="H113" s="1"/>
      <c r="I113" s="1"/>
      <c r="J113" s="1"/>
      <c r="K113" s="1"/>
      <c r="L113" s="1"/>
      <c r="M113" s="1"/>
      <c r="N113" s="1"/>
      <c r="O113" s="1"/>
      <c r="P113" s="1"/>
      <c r="Q113" s="1"/>
      <c r="R113" s="1223"/>
      <c r="S113" s="1223"/>
      <c r="T113" s="1223"/>
      <c r="U113" s="1"/>
      <c r="V113" s="1220">
        <f>SUBTOTAL(109,V114:AB127)</f>
        <v>0</v>
      </c>
      <c r="W113" s="1220"/>
      <c r="X113" s="1220"/>
      <c r="Y113" s="1220"/>
      <c r="Z113" s="1220"/>
      <c r="AA113" s="1220"/>
      <c r="AB113" s="1220"/>
      <c r="AC113" s="51"/>
      <c r="AD113" s="1220">
        <f>SUBTOTAL(109,AD114:AJ127)</f>
        <v>0</v>
      </c>
      <c r="AE113" s="1220"/>
      <c r="AF113" s="1220"/>
      <c r="AG113" s="1220"/>
      <c r="AH113" s="1220"/>
      <c r="AI113" s="1220"/>
      <c r="AJ113" s="1220"/>
      <c r="AK113" s="11"/>
      <c r="AL113" s="50" t="str">
        <f t="shared" si="23"/>
        <v>330</v>
      </c>
      <c r="AM113" s="61" t="s">
        <v>134</v>
      </c>
      <c r="AN113" s="47"/>
      <c r="AO113" s="47"/>
      <c r="AP113" s="1"/>
      <c r="AQ113" s="3"/>
      <c r="AR113" s="1"/>
      <c r="AS113" s="1"/>
      <c r="AT113" s="1"/>
      <c r="AU113" s="1"/>
      <c r="AV113" s="1"/>
      <c r="AW113" s="1"/>
      <c r="AX113" s="1"/>
      <c r="AY113" s="1"/>
      <c r="AZ113" s="1"/>
      <c r="BA113" s="1"/>
      <c r="BB113" s="1"/>
      <c r="BC113" s="1223">
        <f t="shared" si="24"/>
        <v>0</v>
      </c>
      <c r="BD113" s="1223"/>
      <c r="BE113" s="1223"/>
      <c r="BF113" s="1"/>
      <c r="BG113" s="1220">
        <f t="shared" ref="BG113:BG126" si="30">V113</f>
        <v>0</v>
      </c>
      <c r="BH113" s="1220"/>
      <c r="BI113" s="1220"/>
      <c r="BJ113" s="1220"/>
      <c r="BK113" s="1220"/>
      <c r="BL113" s="1220"/>
      <c r="BM113" s="1220"/>
      <c r="BN113" s="51"/>
      <c r="BO113" s="1220">
        <f t="shared" ref="BO113:BO126" si="31">AD113</f>
        <v>0</v>
      </c>
      <c r="BP113" s="1220"/>
      <c r="BQ113" s="1220"/>
      <c r="BR113" s="1220"/>
      <c r="BS113" s="1220"/>
      <c r="BT113" s="1220"/>
      <c r="BU113" s="1220"/>
      <c r="BV113" s="3"/>
      <c r="BW113" s="44">
        <f>IF(ISTEXT(A113),IF(SUM(BW114:BW126)&gt;0,1,0),1)</f>
        <v>0</v>
      </c>
      <c r="BX113" s="45">
        <f t="shared" si="19"/>
        <v>0</v>
      </c>
      <c r="BY113" s="45">
        <f t="shared" si="22"/>
        <v>0</v>
      </c>
    </row>
    <row r="114" spans="1:79" s="27" customFormat="1" ht="14.1" hidden="1" customHeight="1" x14ac:dyDescent="0.25">
      <c r="A114" s="52" t="s">
        <v>135</v>
      </c>
      <c r="B114" s="60" t="str">
        <f>SUBTOTAL(109,$BW$114:BW114)&amp;". Phải trả người bán dài hạn"</f>
        <v>0. Phải trả người bán dài hạn</v>
      </c>
      <c r="C114" s="60"/>
      <c r="D114" s="47"/>
      <c r="E114" s="1"/>
      <c r="F114" s="3"/>
      <c r="G114" s="1"/>
      <c r="H114" s="1"/>
      <c r="I114" s="1"/>
      <c r="J114" s="1"/>
      <c r="K114" s="1"/>
      <c r="L114" s="1"/>
      <c r="M114" s="1"/>
      <c r="N114" s="1"/>
      <c r="O114" s="1"/>
      <c r="P114" s="1"/>
      <c r="Q114" s="1"/>
      <c r="R114" s="1221">
        <f>IF(STT_PhaiTraNguoiBan1&lt;&gt;0,STT_PhaiTraNguoiBan,"")</f>
        <v>16</v>
      </c>
      <c r="S114" s="1221"/>
      <c r="T114" s="1221"/>
      <c r="U114" s="1"/>
      <c r="V114" s="1219">
        <f t="shared" ref="V114:V126" si="32">IF(ISBLANK($A114),0,VLOOKUP($A114,CDKT,MATCH($V$8,subTitle,0),0))</f>
        <v>0</v>
      </c>
      <c r="W114" s="1219"/>
      <c r="X114" s="1219"/>
      <c r="Y114" s="1219"/>
      <c r="Z114" s="1219"/>
      <c r="AA114" s="1219"/>
      <c r="AB114" s="1219"/>
      <c r="AC114" s="51"/>
      <c r="AD114" s="1219">
        <f t="shared" ref="AD114:AD126" si="33">IF(ISBLANK($A114),0,VLOOKUP($A114,CDKT,MATCH($AD$8,subTitle,0),0))</f>
        <v>0</v>
      </c>
      <c r="AE114" s="1219"/>
      <c r="AF114" s="1219"/>
      <c r="AG114" s="1219"/>
      <c r="AH114" s="1219"/>
      <c r="AI114" s="1219"/>
      <c r="AJ114" s="1219"/>
      <c r="AK114" s="4"/>
      <c r="AL114" s="52" t="str">
        <f t="shared" si="23"/>
        <v>331</v>
      </c>
      <c r="AM114" s="60" t="str">
        <f>SUBTOTAL(109,$BW$114:BW114)&amp;". Long-term trade payables"</f>
        <v>0. Long-term trade payables</v>
      </c>
      <c r="AN114" s="47"/>
      <c r="AO114" s="47"/>
      <c r="AP114" s="1"/>
      <c r="AQ114" s="3"/>
      <c r="AR114" s="1"/>
      <c r="AS114" s="1"/>
      <c r="AT114" s="1"/>
      <c r="AU114" s="1"/>
      <c r="AV114" s="1"/>
      <c r="AW114" s="1"/>
      <c r="AX114" s="1"/>
      <c r="AY114" s="1"/>
      <c r="AZ114" s="1"/>
      <c r="BA114" s="1"/>
      <c r="BB114" s="1"/>
      <c r="BC114" s="1221">
        <f t="shared" si="24"/>
        <v>16</v>
      </c>
      <c r="BD114" s="1221"/>
      <c r="BE114" s="1221"/>
      <c r="BF114" s="1"/>
      <c r="BG114" s="1219">
        <f t="shared" si="30"/>
        <v>0</v>
      </c>
      <c r="BH114" s="1219"/>
      <c r="BI114" s="1219"/>
      <c r="BJ114" s="1219"/>
      <c r="BK114" s="1219"/>
      <c r="BL114" s="1219"/>
      <c r="BM114" s="1219"/>
      <c r="BN114" s="51"/>
      <c r="BO114" s="1219">
        <f t="shared" si="31"/>
        <v>0</v>
      </c>
      <c r="BP114" s="1219"/>
      <c r="BQ114" s="1219"/>
      <c r="BR114" s="1219"/>
      <c r="BS114" s="1219"/>
      <c r="BT114" s="1219"/>
      <c r="BU114" s="1219"/>
      <c r="BV114" s="3"/>
      <c r="BW114" s="44">
        <f t="shared" si="29"/>
        <v>0</v>
      </c>
      <c r="BX114" s="45">
        <f t="shared" si="19"/>
        <v>0</v>
      </c>
      <c r="BY114" s="45">
        <f t="shared" si="22"/>
        <v>0</v>
      </c>
    </row>
    <row r="115" spans="1:79" s="27" customFormat="1" ht="14.1" hidden="1" customHeight="1" x14ac:dyDescent="0.25">
      <c r="A115" s="52" t="s">
        <v>136</v>
      </c>
      <c r="B115" s="60" t="str">
        <f>SUBTOTAL(109,$BW$114:BW115)&amp;". Người mua trả tiền trước dài hạn"</f>
        <v>0. Người mua trả tiền trước dài hạn</v>
      </c>
      <c r="C115" s="60"/>
      <c r="D115" s="47"/>
      <c r="E115" s="1"/>
      <c r="F115" s="3"/>
      <c r="G115" s="1"/>
      <c r="H115" s="1"/>
      <c r="I115" s="1"/>
      <c r="J115" s="1"/>
      <c r="K115" s="1"/>
      <c r="L115" s="1"/>
      <c r="M115" s="1"/>
      <c r="N115" s="1"/>
      <c r="O115" s="1"/>
      <c r="P115" s="1"/>
      <c r="Q115" s="1"/>
      <c r="R115" s="1221">
        <f>IF(STT_NguoimuaTTT1&lt;&gt;0,STT_NguoimuaTTT,"")</f>
        <v>17</v>
      </c>
      <c r="S115" s="1221"/>
      <c r="T115" s="1221"/>
      <c r="U115" s="1"/>
      <c r="V115" s="1219">
        <f t="shared" si="32"/>
        <v>0</v>
      </c>
      <c r="W115" s="1219"/>
      <c r="X115" s="1219"/>
      <c r="Y115" s="1219"/>
      <c r="Z115" s="1219"/>
      <c r="AA115" s="1219"/>
      <c r="AB115" s="1219"/>
      <c r="AC115" s="51"/>
      <c r="AD115" s="1219">
        <f t="shared" si="33"/>
        <v>0</v>
      </c>
      <c r="AE115" s="1219"/>
      <c r="AF115" s="1219"/>
      <c r="AG115" s="1219"/>
      <c r="AH115" s="1219"/>
      <c r="AI115" s="1219"/>
      <c r="AJ115" s="1219"/>
      <c r="AK115" s="4"/>
      <c r="AL115" s="52" t="str">
        <f t="shared" si="23"/>
        <v>332</v>
      </c>
      <c r="AM115" s="60" t="str">
        <f>SUBTOTAL(109,$BW$114:BW115)&amp;". Long-term prepayments from customers"</f>
        <v>0. Long-term prepayments from customers</v>
      </c>
      <c r="AN115" s="47"/>
      <c r="AO115" s="47"/>
      <c r="AP115" s="1"/>
      <c r="AQ115" s="3"/>
      <c r="AR115" s="1"/>
      <c r="AS115" s="1"/>
      <c r="AT115" s="1"/>
      <c r="AU115" s="1"/>
      <c r="AV115" s="1"/>
      <c r="AW115" s="1"/>
      <c r="AX115" s="1"/>
      <c r="AY115" s="1"/>
      <c r="AZ115" s="1"/>
      <c r="BA115" s="1"/>
      <c r="BB115" s="1"/>
      <c r="BC115" s="1221">
        <f t="shared" si="24"/>
        <v>17</v>
      </c>
      <c r="BD115" s="1221"/>
      <c r="BE115" s="1221"/>
      <c r="BF115" s="1"/>
      <c r="BG115" s="1219">
        <f t="shared" si="30"/>
        <v>0</v>
      </c>
      <c r="BH115" s="1219"/>
      <c r="BI115" s="1219"/>
      <c r="BJ115" s="1219"/>
      <c r="BK115" s="1219"/>
      <c r="BL115" s="1219"/>
      <c r="BM115" s="1219"/>
      <c r="BN115" s="51"/>
      <c r="BO115" s="1219">
        <f t="shared" si="31"/>
        <v>0</v>
      </c>
      <c r="BP115" s="1219"/>
      <c r="BQ115" s="1219"/>
      <c r="BR115" s="1219"/>
      <c r="BS115" s="1219"/>
      <c r="BT115" s="1219"/>
      <c r="BU115" s="1219"/>
      <c r="BV115" s="3"/>
      <c r="BW115" s="44">
        <f t="shared" si="29"/>
        <v>0</v>
      </c>
      <c r="BX115" s="45">
        <f t="shared" si="19"/>
        <v>0</v>
      </c>
      <c r="BY115" s="45">
        <f t="shared" si="22"/>
        <v>0</v>
      </c>
    </row>
    <row r="116" spans="1:79" s="27" customFormat="1" ht="14.1" hidden="1" customHeight="1" x14ac:dyDescent="0.25">
      <c r="A116" s="52" t="s">
        <v>137</v>
      </c>
      <c r="B116" s="60" t="str">
        <f>SUBTOTAL(109,$BW$114:BW116)&amp;". Chi phí phải trả dài hạn"</f>
        <v>0. Chi phí phải trả dài hạn</v>
      </c>
      <c r="C116" s="60"/>
      <c r="D116" s="47"/>
      <c r="E116" s="1"/>
      <c r="F116" s="3"/>
      <c r="G116" s="1"/>
      <c r="H116" s="1"/>
      <c r="I116" s="1"/>
      <c r="J116" s="1"/>
      <c r="K116" s="1"/>
      <c r="L116" s="1"/>
      <c r="M116" s="1"/>
      <c r="N116" s="1"/>
      <c r="O116" s="1"/>
      <c r="P116" s="1"/>
      <c r="Q116" s="1"/>
      <c r="R116" s="1221" t="str">
        <f>IF(STT_ChiPhiPhaiTra1&lt;&gt;0,STT_ChiPhiPhaiTra,"")</f>
        <v/>
      </c>
      <c r="S116" s="1221"/>
      <c r="T116" s="1221"/>
      <c r="U116" s="1"/>
      <c r="V116" s="1219">
        <f t="shared" si="32"/>
        <v>0</v>
      </c>
      <c r="W116" s="1219"/>
      <c r="X116" s="1219"/>
      <c r="Y116" s="1219"/>
      <c r="Z116" s="1219"/>
      <c r="AA116" s="1219"/>
      <c r="AB116" s="1219"/>
      <c r="AC116" s="51"/>
      <c r="AD116" s="1219">
        <f t="shared" si="33"/>
        <v>0</v>
      </c>
      <c r="AE116" s="1219"/>
      <c r="AF116" s="1219"/>
      <c r="AG116" s="1219"/>
      <c r="AH116" s="1219"/>
      <c r="AI116" s="1219"/>
      <c r="AJ116" s="1219"/>
      <c r="AK116" s="4"/>
      <c r="AL116" s="52" t="str">
        <f t="shared" si="23"/>
        <v>333</v>
      </c>
      <c r="AM116" s="60" t="str">
        <f>SUBTOTAL(109,$BW$114:BW116)&amp;". Long-term accrued expenses"</f>
        <v>0. Long-term accrued expenses</v>
      </c>
      <c r="AN116" s="47"/>
      <c r="AO116" s="47"/>
      <c r="AP116" s="1"/>
      <c r="AQ116" s="3"/>
      <c r="AR116" s="1"/>
      <c r="AS116" s="1"/>
      <c r="AT116" s="1"/>
      <c r="AU116" s="1"/>
      <c r="AV116" s="1"/>
      <c r="AW116" s="1"/>
      <c r="AX116" s="1"/>
      <c r="AY116" s="1"/>
      <c r="AZ116" s="1"/>
      <c r="BA116" s="1"/>
      <c r="BB116" s="1"/>
      <c r="BC116" s="1221" t="str">
        <f t="shared" si="24"/>
        <v/>
      </c>
      <c r="BD116" s="1221"/>
      <c r="BE116" s="1221"/>
      <c r="BF116" s="1"/>
      <c r="BG116" s="1219">
        <f t="shared" si="30"/>
        <v>0</v>
      </c>
      <c r="BH116" s="1219"/>
      <c r="BI116" s="1219"/>
      <c r="BJ116" s="1219"/>
      <c r="BK116" s="1219"/>
      <c r="BL116" s="1219"/>
      <c r="BM116" s="1219"/>
      <c r="BN116" s="51"/>
      <c r="BO116" s="1219">
        <f t="shared" si="31"/>
        <v>0</v>
      </c>
      <c r="BP116" s="1219"/>
      <c r="BQ116" s="1219"/>
      <c r="BR116" s="1219"/>
      <c r="BS116" s="1219"/>
      <c r="BT116" s="1219"/>
      <c r="BU116" s="1219"/>
      <c r="BV116" s="3"/>
      <c r="BW116" s="44">
        <f t="shared" si="29"/>
        <v>0</v>
      </c>
      <c r="BX116" s="45">
        <f t="shared" si="19"/>
        <v>0</v>
      </c>
      <c r="BY116" s="45">
        <f t="shared" si="22"/>
        <v>0</v>
      </c>
    </row>
    <row r="117" spans="1:79" s="27" customFormat="1" ht="14.1" hidden="1" customHeight="1" x14ac:dyDescent="0.25">
      <c r="A117" s="52" t="s">
        <v>138</v>
      </c>
      <c r="B117" s="60" t="str">
        <f>SUBTOTAL(109,$BW$114:BW117)&amp;". Phải trả nội bộ về vốn kinh doanh"</f>
        <v>0. Phải trả nội bộ về vốn kinh doanh</v>
      </c>
      <c r="C117" s="60"/>
      <c r="D117" s="47"/>
      <c r="E117" s="1"/>
      <c r="F117" s="3"/>
      <c r="G117" s="1"/>
      <c r="H117" s="1"/>
      <c r="I117" s="1"/>
      <c r="J117" s="1"/>
      <c r="K117" s="1"/>
      <c r="L117" s="1"/>
      <c r="M117" s="1"/>
      <c r="N117" s="1"/>
      <c r="O117" s="1"/>
      <c r="P117" s="1"/>
      <c r="Q117" s="1"/>
      <c r="R117" s="1221"/>
      <c r="S117" s="1221"/>
      <c r="T117" s="1221"/>
      <c r="U117" s="1"/>
      <c r="V117" s="1219">
        <f t="shared" si="32"/>
        <v>0</v>
      </c>
      <c r="W117" s="1219"/>
      <c r="X117" s="1219"/>
      <c r="Y117" s="1219"/>
      <c r="Z117" s="1219"/>
      <c r="AA117" s="1219"/>
      <c r="AB117" s="1219"/>
      <c r="AC117" s="51"/>
      <c r="AD117" s="1219">
        <f t="shared" si="33"/>
        <v>0</v>
      </c>
      <c r="AE117" s="1219"/>
      <c r="AF117" s="1219"/>
      <c r="AG117" s="1219"/>
      <c r="AH117" s="1219"/>
      <c r="AI117" s="1219"/>
      <c r="AJ117" s="1219"/>
      <c r="AK117" s="4"/>
      <c r="AL117" s="52" t="str">
        <f t="shared" si="23"/>
        <v>334</v>
      </c>
      <c r="AM117" s="60" t="str">
        <f>SUBTOTAL(109,$BW$114:BW117)&amp;". Intra-company payables for operating capital received"</f>
        <v>0. Intra-company payables for operating capital received</v>
      </c>
      <c r="AN117" s="47"/>
      <c r="AO117" s="47"/>
      <c r="AP117" s="1"/>
      <c r="AQ117" s="3"/>
      <c r="AR117" s="1"/>
      <c r="AS117" s="1"/>
      <c r="AT117" s="1"/>
      <c r="AU117" s="1"/>
      <c r="AV117" s="1"/>
      <c r="AW117" s="1"/>
      <c r="AX117" s="1"/>
      <c r="AY117" s="1"/>
      <c r="AZ117" s="1"/>
      <c r="BA117" s="1"/>
      <c r="BB117" s="1"/>
      <c r="BC117" s="1221">
        <f t="shared" si="24"/>
        <v>0</v>
      </c>
      <c r="BD117" s="1221"/>
      <c r="BE117" s="1221"/>
      <c r="BF117" s="1"/>
      <c r="BG117" s="1219">
        <f t="shared" si="30"/>
        <v>0</v>
      </c>
      <c r="BH117" s="1219"/>
      <c r="BI117" s="1219"/>
      <c r="BJ117" s="1219"/>
      <c r="BK117" s="1219"/>
      <c r="BL117" s="1219"/>
      <c r="BM117" s="1219"/>
      <c r="BN117" s="51"/>
      <c r="BO117" s="1219">
        <f t="shared" si="31"/>
        <v>0</v>
      </c>
      <c r="BP117" s="1219"/>
      <c r="BQ117" s="1219"/>
      <c r="BR117" s="1219"/>
      <c r="BS117" s="1219"/>
      <c r="BT117" s="1219"/>
      <c r="BU117" s="1219"/>
      <c r="BV117" s="3"/>
      <c r="BW117" s="44">
        <f t="shared" si="29"/>
        <v>0</v>
      </c>
      <c r="BX117" s="45">
        <f t="shared" si="19"/>
        <v>0</v>
      </c>
      <c r="BY117" s="45">
        <f t="shared" si="22"/>
        <v>0</v>
      </c>
    </row>
    <row r="118" spans="1:79" s="27" customFormat="1" ht="14.1" hidden="1" customHeight="1" x14ac:dyDescent="0.25">
      <c r="A118" s="52" t="s">
        <v>139</v>
      </c>
      <c r="B118" s="60" t="str">
        <f>SUBTOTAL(109,$BW$114:BW118)&amp;". Phải trả nội bộ dài hạn"</f>
        <v>0. Phải trả nội bộ dài hạn</v>
      </c>
      <c r="C118" s="60"/>
      <c r="D118" s="47"/>
      <c r="E118" s="1"/>
      <c r="F118" s="3"/>
      <c r="G118" s="1"/>
      <c r="H118" s="1"/>
      <c r="I118" s="1"/>
      <c r="J118" s="1"/>
      <c r="K118" s="1"/>
      <c r="L118" s="1"/>
      <c r="M118" s="1"/>
      <c r="N118" s="1"/>
      <c r="O118" s="1"/>
      <c r="P118" s="1"/>
      <c r="Q118" s="1"/>
      <c r="R118" s="1221" t="str">
        <f>IF(STT_PhaiTraNoiBo1&lt;&gt;0,STT_PhaiTraNoiBo,"")</f>
        <v/>
      </c>
      <c r="S118" s="1221"/>
      <c r="T118" s="1221"/>
      <c r="U118" s="1"/>
      <c r="V118" s="1219">
        <f t="shared" si="32"/>
        <v>0</v>
      </c>
      <c r="W118" s="1219"/>
      <c r="X118" s="1219"/>
      <c r="Y118" s="1219"/>
      <c r="Z118" s="1219"/>
      <c r="AA118" s="1219"/>
      <c r="AB118" s="1219"/>
      <c r="AC118" s="51"/>
      <c r="AD118" s="1219">
        <f t="shared" si="33"/>
        <v>0</v>
      </c>
      <c r="AE118" s="1219"/>
      <c r="AF118" s="1219"/>
      <c r="AG118" s="1219"/>
      <c r="AH118" s="1219"/>
      <c r="AI118" s="1219"/>
      <c r="AJ118" s="1219"/>
      <c r="AK118" s="4"/>
      <c r="AL118" s="52" t="str">
        <f t="shared" si="23"/>
        <v>335</v>
      </c>
      <c r="AM118" s="60" t="str">
        <f>SUBTOTAL(109,$BW$114:BW118)&amp;". Long-term intra-company payables"</f>
        <v>0. Long-term intra-company payables</v>
      </c>
      <c r="AN118" s="47"/>
      <c r="AO118" s="47"/>
      <c r="AP118" s="1"/>
      <c r="AQ118" s="3"/>
      <c r="AR118" s="1"/>
      <c r="AS118" s="1"/>
      <c r="AT118" s="1"/>
      <c r="AU118" s="1"/>
      <c r="AV118" s="1"/>
      <c r="AW118" s="1"/>
      <c r="AX118" s="1"/>
      <c r="AY118" s="1"/>
      <c r="AZ118" s="1"/>
      <c r="BA118" s="1"/>
      <c r="BB118" s="1"/>
      <c r="BC118" s="1221" t="str">
        <f t="shared" si="24"/>
        <v/>
      </c>
      <c r="BD118" s="1221"/>
      <c r="BE118" s="1221"/>
      <c r="BF118" s="1"/>
      <c r="BG118" s="1219">
        <f t="shared" si="30"/>
        <v>0</v>
      </c>
      <c r="BH118" s="1219"/>
      <c r="BI118" s="1219"/>
      <c r="BJ118" s="1219"/>
      <c r="BK118" s="1219"/>
      <c r="BL118" s="1219"/>
      <c r="BM118" s="1219"/>
      <c r="BN118" s="51"/>
      <c r="BO118" s="1219">
        <f t="shared" si="31"/>
        <v>0</v>
      </c>
      <c r="BP118" s="1219"/>
      <c r="BQ118" s="1219"/>
      <c r="BR118" s="1219"/>
      <c r="BS118" s="1219"/>
      <c r="BT118" s="1219"/>
      <c r="BU118" s="1219"/>
      <c r="BV118" s="3"/>
      <c r="BW118" s="44">
        <f t="shared" si="29"/>
        <v>0</v>
      </c>
      <c r="BX118" s="45">
        <f t="shared" si="19"/>
        <v>0</v>
      </c>
      <c r="BY118" s="45">
        <f t="shared" si="22"/>
        <v>0</v>
      </c>
    </row>
    <row r="119" spans="1:79" s="27" customFormat="1" ht="14.1" hidden="1" customHeight="1" x14ac:dyDescent="0.25">
      <c r="A119" s="52" t="s">
        <v>140</v>
      </c>
      <c r="B119" s="60" t="str">
        <f>SUBTOTAL(109,$BW$114:BW119)&amp;". Doanh thu chưa thực hiện dài hạn"</f>
        <v>0. Doanh thu chưa thực hiện dài hạn</v>
      </c>
      <c r="C119" s="60"/>
      <c r="D119" s="47"/>
      <c r="E119" s="1"/>
      <c r="F119" s="3"/>
      <c r="G119" s="1"/>
      <c r="H119" s="1"/>
      <c r="I119" s="1"/>
      <c r="J119" s="1"/>
      <c r="K119" s="1"/>
      <c r="L119" s="1"/>
      <c r="M119" s="1"/>
      <c r="N119" s="1"/>
      <c r="O119" s="1"/>
      <c r="P119" s="1"/>
      <c r="Q119" s="1"/>
      <c r="R119" s="1221" t="str">
        <f>IF(STT_DoanhThuCTH1&lt;&gt;0,STT_DoanhThuCTH,"")</f>
        <v/>
      </c>
      <c r="S119" s="1221"/>
      <c r="T119" s="1221"/>
      <c r="U119" s="1"/>
      <c r="V119" s="1219">
        <f t="shared" si="32"/>
        <v>0</v>
      </c>
      <c r="W119" s="1219"/>
      <c r="X119" s="1219"/>
      <c r="Y119" s="1219"/>
      <c r="Z119" s="1219"/>
      <c r="AA119" s="1219"/>
      <c r="AB119" s="1219"/>
      <c r="AC119" s="51"/>
      <c r="AD119" s="1219">
        <f t="shared" si="33"/>
        <v>0</v>
      </c>
      <c r="AE119" s="1219"/>
      <c r="AF119" s="1219"/>
      <c r="AG119" s="1219"/>
      <c r="AH119" s="1219"/>
      <c r="AI119" s="1219"/>
      <c r="AJ119" s="1219"/>
      <c r="AK119" s="4"/>
      <c r="AL119" s="52" t="str">
        <f t="shared" si="23"/>
        <v>336</v>
      </c>
      <c r="AM119" s="60" t="str">
        <f>SUBTOTAL(109,$BW$114:BW119)&amp;". Long-term unrealised revenue"</f>
        <v>0. Long-term unrealised revenue</v>
      </c>
      <c r="AN119" s="47"/>
      <c r="AO119" s="47"/>
      <c r="AP119" s="1"/>
      <c r="AQ119" s="3"/>
      <c r="AR119" s="1"/>
      <c r="AS119" s="1"/>
      <c r="AT119" s="1"/>
      <c r="AU119" s="1"/>
      <c r="AV119" s="1"/>
      <c r="AW119" s="1"/>
      <c r="AX119" s="1"/>
      <c r="AY119" s="1"/>
      <c r="AZ119" s="1"/>
      <c r="BA119" s="1"/>
      <c r="BB119" s="1"/>
      <c r="BC119" s="1221" t="str">
        <f t="shared" si="24"/>
        <v/>
      </c>
      <c r="BD119" s="1221"/>
      <c r="BE119" s="1221"/>
      <c r="BF119" s="1"/>
      <c r="BG119" s="1219">
        <f t="shared" si="30"/>
        <v>0</v>
      </c>
      <c r="BH119" s="1219"/>
      <c r="BI119" s="1219"/>
      <c r="BJ119" s="1219"/>
      <c r="BK119" s="1219"/>
      <c r="BL119" s="1219"/>
      <c r="BM119" s="1219"/>
      <c r="BN119" s="51"/>
      <c r="BO119" s="1219">
        <f t="shared" si="31"/>
        <v>0</v>
      </c>
      <c r="BP119" s="1219"/>
      <c r="BQ119" s="1219"/>
      <c r="BR119" s="1219"/>
      <c r="BS119" s="1219"/>
      <c r="BT119" s="1219"/>
      <c r="BU119" s="1219"/>
      <c r="BV119" s="3"/>
      <c r="BW119" s="44">
        <f t="shared" si="29"/>
        <v>0</v>
      </c>
      <c r="BX119" s="45">
        <f t="shared" si="19"/>
        <v>0</v>
      </c>
      <c r="BY119" s="45">
        <f t="shared" si="22"/>
        <v>0</v>
      </c>
    </row>
    <row r="120" spans="1:79" s="27" customFormat="1" ht="14.1" hidden="1" customHeight="1" x14ac:dyDescent="0.25">
      <c r="A120" s="52" t="s">
        <v>141</v>
      </c>
      <c r="B120" s="60" t="str">
        <f>SUBTOTAL(109,$BW$114:BW120)&amp;". Phải trả dài hạn khác"</f>
        <v>0. Phải trả dài hạn khác</v>
      </c>
      <c r="C120" s="60"/>
      <c r="D120" s="47"/>
      <c r="E120" s="1"/>
      <c r="F120" s="3"/>
      <c r="G120" s="1"/>
      <c r="H120" s="1"/>
      <c r="I120" s="1"/>
      <c r="J120" s="1"/>
      <c r="K120" s="1"/>
      <c r="L120" s="1"/>
      <c r="M120" s="1"/>
      <c r="N120" s="1"/>
      <c r="O120" s="1"/>
      <c r="P120" s="1"/>
      <c r="Q120" s="1"/>
      <c r="R120" s="1221">
        <f>IF(STT_PhaiTraKhac1&lt;&gt;0,STT_PhaiTraKhac,"")</f>
        <v>19</v>
      </c>
      <c r="S120" s="1221"/>
      <c r="T120" s="1221"/>
      <c r="U120" s="1"/>
      <c r="V120" s="1219">
        <f t="shared" si="32"/>
        <v>0</v>
      </c>
      <c r="W120" s="1219"/>
      <c r="X120" s="1219"/>
      <c r="Y120" s="1219"/>
      <c r="Z120" s="1219"/>
      <c r="AA120" s="1219"/>
      <c r="AB120" s="1219"/>
      <c r="AC120" s="51"/>
      <c r="AD120" s="1219">
        <f t="shared" si="33"/>
        <v>0</v>
      </c>
      <c r="AE120" s="1219"/>
      <c r="AF120" s="1219"/>
      <c r="AG120" s="1219"/>
      <c r="AH120" s="1219"/>
      <c r="AI120" s="1219"/>
      <c r="AJ120" s="1219"/>
      <c r="AK120" s="4"/>
      <c r="AL120" s="52" t="str">
        <f t="shared" si="23"/>
        <v>337</v>
      </c>
      <c r="AM120" s="60" t="str">
        <f>SUBTOTAL(109,$BW$114:BW120)&amp;". Other long-term payables"</f>
        <v>0. Other long-term payables</v>
      </c>
      <c r="AN120" s="47"/>
      <c r="AO120" s="47"/>
      <c r="AP120" s="1"/>
      <c r="AQ120" s="3"/>
      <c r="AR120" s="1"/>
      <c r="AS120" s="1"/>
      <c r="AT120" s="1"/>
      <c r="AU120" s="1"/>
      <c r="AV120" s="1"/>
      <c r="AW120" s="1"/>
      <c r="AX120" s="1"/>
      <c r="AY120" s="1"/>
      <c r="AZ120" s="1"/>
      <c r="BA120" s="1"/>
      <c r="BB120" s="1"/>
      <c r="BC120" s="1221">
        <f t="shared" si="24"/>
        <v>19</v>
      </c>
      <c r="BD120" s="1221"/>
      <c r="BE120" s="1221"/>
      <c r="BF120" s="1"/>
      <c r="BG120" s="1219">
        <f t="shared" si="30"/>
        <v>0</v>
      </c>
      <c r="BH120" s="1219"/>
      <c r="BI120" s="1219"/>
      <c r="BJ120" s="1219"/>
      <c r="BK120" s="1219"/>
      <c r="BL120" s="1219"/>
      <c r="BM120" s="1219"/>
      <c r="BN120" s="51"/>
      <c r="BO120" s="1219">
        <f t="shared" si="31"/>
        <v>0</v>
      </c>
      <c r="BP120" s="1219"/>
      <c r="BQ120" s="1219"/>
      <c r="BR120" s="1219"/>
      <c r="BS120" s="1219"/>
      <c r="BT120" s="1219"/>
      <c r="BU120" s="1219"/>
      <c r="BV120" s="3"/>
      <c r="BW120" s="44">
        <f t="shared" si="29"/>
        <v>0</v>
      </c>
      <c r="BX120" s="45">
        <f t="shared" si="19"/>
        <v>0</v>
      </c>
      <c r="BY120" s="45">
        <f t="shared" si="22"/>
        <v>0</v>
      </c>
    </row>
    <row r="121" spans="1:79" s="27" customFormat="1" ht="14.1" hidden="1" customHeight="1" x14ac:dyDescent="0.25">
      <c r="A121" s="52" t="s">
        <v>142</v>
      </c>
      <c r="B121" s="60" t="str">
        <f>SUBTOTAL(109,$BW$114:BW121)&amp;". Vay và nợ thuê tài chính dài hạn"</f>
        <v>0. Vay và nợ thuê tài chính dài hạn</v>
      </c>
      <c r="C121" s="60"/>
      <c r="D121" s="47"/>
      <c r="E121" s="1"/>
      <c r="F121" s="3"/>
      <c r="G121" s="1"/>
      <c r="H121" s="1"/>
      <c r="I121" s="1"/>
      <c r="J121" s="1"/>
      <c r="K121" s="1"/>
      <c r="L121" s="1"/>
      <c r="M121" s="1"/>
      <c r="N121" s="1"/>
      <c r="O121" s="1"/>
      <c r="P121" s="1"/>
      <c r="Q121" s="1"/>
      <c r="R121" s="1221" t="str">
        <f>IF(STT_VayvaNoThueTC1&lt;&gt;0,STT_VayvaNoThueTC,"")&amp;""</f>
        <v>15</v>
      </c>
      <c r="S121" s="1221"/>
      <c r="T121" s="1221"/>
      <c r="U121" s="1"/>
      <c r="V121" s="1219">
        <f t="shared" si="32"/>
        <v>0</v>
      </c>
      <c r="W121" s="1219"/>
      <c r="X121" s="1219"/>
      <c r="Y121" s="1219"/>
      <c r="Z121" s="1219"/>
      <c r="AA121" s="1219"/>
      <c r="AB121" s="1219"/>
      <c r="AC121" s="51"/>
      <c r="AD121" s="1219">
        <f t="shared" si="33"/>
        <v>0</v>
      </c>
      <c r="AE121" s="1219"/>
      <c r="AF121" s="1219"/>
      <c r="AG121" s="1219"/>
      <c r="AH121" s="1219"/>
      <c r="AI121" s="1219"/>
      <c r="AJ121" s="1219"/>
      <c r="AK121" s="4"/>
      <c r="AL121" s="52" t="str">
        <f t="shared" si="23"/>
        <v>338</v>
      </c>
      <c r="AM121" s="60" t="str">
        <f>SUBTOTAL(109,$BW$114:BW121)&amp;". Long-term loans and finance lease liabilities"</f>
        <v>0. Long-term loans and finance lease liabilities</v>
      </c>
      <c r="AN121" s="47"/>
      <c r="AO121" s="47"/>
      <c r="AP121" s="1"/>
      <c r="AQ121" s="3"/>
      <c r="AR121" s="1"/>
      <c r="AS121" s="1"/>
      <c r="AT121" s="1"/>
      <c r="AU121" s="1"/>
      <c r="AV121" s="1"/>
      <c r="AW121" s="1"/>
      <c r="AX121" s="1"/>
      <c r="AY121" s="1"/>
      <c r="AZ121" s="1"/>
      <c r="BA121" s="1"/>
      <c r="BB121" s="1"/>
      <c r="BC121" s="1221" t="str">
        <f t="shared" si="24"/>
        <v>15</v>
      </c>
      <c r="BD121" s="1221"/>
      <c r="BE121" s="1221"/>
      <c r="BF121" s="1"/>
      <c r="BG121" s="1219">
        <f t="shared" si="30"/>
        <v>0</v>
      </c>
      <c r="BH121" s="1219"/>
      <c r="BI121" s="1219"/>
      <c r="BJ121" s="1219"/>
      <c r="BK121" s="1219"/>
      <c r="BL121" s="1219"/>
      <c r="BM121" s="1219"/>
      <c r="BN121" s="51"/>
      <c r="BO121" s="1219">
        <f t="shared" si="31"/>
        <v>0</v>
      </c>
      <c r="BP121" s="1219"/>
      <c r="BQ121" s="1219"/>
      <c r="BR121" s="1219"/>
      <c r="BS121" s="1219"/>
      <c r="BT121" s="1219"/>
      <c r="BU121" s="1219"/>
      <c r="BV121" s="3"/>
      <c r="BW121" s="44">
        <f t="shared" si="29"/>
        <v>0</v>
      </c>
      <c r="BX121" s="45">
        <f t="shared" si="19"/>
        <v>0</v>
      </c>
      <c r="BY121" s="45">
        <f t="shared" si="22"/>
        <v>0</v>
      </c>
    </row>
    <row r="122" spans="1:79" s="27" customFormat="1" ht="14.1" hidden="1" customHeight="1" x14ac:dyDescent="0.25">
      <c r="A122" s="52" t="s">
        <v>143</v>
      </c>
      <c r="B122" s="60" t="str">
        <f>SUBTOTAL(109,$BW$114:BW122)&amp;". Trái phiếu chuyển đổi"</f>
        <v>0. Trái phiếu chuyển đổi</v>
      </c>
      <c r="C122" s="60"/>
      <c r="D122" s="47"/>
      <c r="E122" s="1"/>
      <c r="F122" s="3"/>
      <c r="G122" s="1"/>
      <c r="H122" s="1"/>
      <c r="I122" s="1"/>
      <c r="J122" s="1"/>
      <c r="K122" s="1"/>
      <c r="L122" s="1"/>
      <c r="M122" s="1"/>
      <c r="N122" s="1"/>
      <c r="O122" s="1"/>
      <c r="P122" s="1"/>
      <c r="Q122" s="1"/>
      <c r="R122" s="1221" t="str">
        <f>IF(STT_TraiPhieuPhatHanh1&lt;&gt;0,STT_TraiPhieuPhatHanh,"")</f>
        <v/>
      </c>
      <c r="S122" s="1221"/>
      <c r="T122" s="1221"/>
      <c r="U122" s="1"/>
      <c r="V122" s="1219">
        <f t="shared" si="32"/>
        <v>0</v>
      </c>
      <c r="W122" s="1219"/>
      <c r="X122" s="1219"/>
      <c r="Y122" s="1219"/>
      <c r="Z122" s="1219"/>
      <c r="AA122" s="1219"/>
      <c r="AB122" s="1219"/>
      <c r="AC122" s="51"/>
      <c r="AD122" s="1219">
        <f t="shared" si="33"/>
        <v>0</v>
      </c>
      <c r="AE122" s="1219"/>
      <c r="AF122" s="1219"/>
      <c r="AG122" s="1219"/>
      <c r="AH122" s="1219"/>
      <c r="AI122" s="1219"/>
      <c r="AJ122" s="1219"/>
      <c r="AK122" s="4"/>
      <c r="AL122" s="52" t="str">
        <f t="shared" si="23"/>
        <v>339</v>
      </c>
      <c r="AM122" s="60" t="str">
        <f>SUBTOTAL(109,$BW$114:BW122)&amp;". Convertible bonds"</f>
        <v>0. Convertible bonds</v>
      </c>
      <c r="AN122" s="47"/>
      <c r="AO122" s="47"/>
      <c r="AP122" s="1"/>
      <c r="AQ122" s="3"/>
      <c r="AR122" s="1"/>
      <c r="AS122" s="1"/>
      <c r="AT122" s="1"/>
      <c r="AU122" s="1"/>
      <c r="AV122" s="1"/>
      <c r="AW122" s="1"/>
      <c r="AX122" s="1"/>
      <c r="AY122" s="1"/>
      <c r="AZ122" s="1"/>
      <c r="BA122" s="1"/>
      <c r="BB122" s="1"/>
      <c r="BC122" s="1221" t="str">
        <f>R122</f>
        <v/>
      </c>
      <c r="BD122" s="1221"/>
      <c r="BE122" s="1221"/>
      <c r="BF122" s="1"/>
      <c r="BG122" s="1219">
        <f t="shared" si="30"/>
        <v>0</v>
      </c>
      <c r="BH122" s="1219"/>
      <c r="BI122" s="1219"/>
      <c r="BJ122" s="1219"/>
      <c r="BK122" s="1219"/>
      <c r="BL122" s="1219"/>
      <c r="BM122" s="1219"/>
      <c r="BN122" s="51"/>
      <c r="BO122" s="1219">
        <f t="shared" si="31"/>
        <v>0</v>
      </c>
      <c r="BP122" s="1219"/>
      <c r="BQ122" s="1219"/>
      <c r="BR122" s="1219"/>
      <c r="BS122" s="1219"/>
      <c r="BT122" s="1219"/>
      <c r="BU122" s="1219"/>
      <c r="BV122" s="3"/>
      <c r="BW122" s="44">
        <f>IF(ISTEXT(A122),IF(OR(SUM(V122:AB122)&lt;&gt;0,SUM(AD122:AJ122)&lt;&gt;0),1,0),1)</f>
        <v>0</v>
      </c>
      <c r="BX122" s="45">
        <f t="shared" si="19"/>
        <v>0</v>
      </c>
      <c r="BY122" s="45">
        <f t="shared" si="22"/>
        <v>0</v>
      </c>
    </row>
    <row r="123" spans="1:79" s="27" customFormat="1" ht="14.1" hidden="1" customHeight="1" x14ac:dyDescent="0.25">
      <c r="A123" s="62" t="s">
        <v>144</v>
      </c>
      <c r="B123" s="60" t="str">
        <f>SUBTOTAL(109,$BW$114:BW123)&amp;". Cổ phiếu ưu đãi"</f>
        <v>0. Cổ phiếu ưu đãi</v>
      </c>
      <c r="C123" s="69"/>
      <c r="D123" s="47"/>
      <c r="E123" s="47"/>
      <c r="F123" s="63"/>
      <c r="G123" s="47"/>
      <c r="H123" s="47"/>
      <c r="I123" s="47"/>
      <c r="J123" s="47"/>
      <c r="K123" s="47"/>
      <c r="L123" s="47"/>
      <c r="M123" s="47"/>
      <c r="N123" s="47"/>
      <c r="O123" s="47"/>
      <c r="P123" s="47"/>
      <c r="Q123" s="47"/>
      <c r="R123" s="1221" t="str">
        <f>IF(STT_CPUuDaiNPT1&lt;&gt;0,STT_CPUuDaiNPT,"")</f>
        <v/>
      </c>
      <c r="S123" s="1221"/>
      <c r="T123" s="1221"/>
      <c r="U123" s="47"/>
      <c r="V123" s="1219">
        <f t="shared" si="32"/>
        <v>0</v>
      </c>
      <c r="W123" s="1219"/>
      <c r="X123" s="1219"/>
      <c r="Y123" s="1219"/>
      <c r="Z123" s="1219"/>
      <c r="AA123" s="1219"/>
      <c r="AB123" s="1219"/>
      <c r="AC123" s="64"/>
      <c r="AD123" s="1219">
        <f t="shared" si="33"/>
        <v>0</v>
      </c>
      <c r="AE123" s="1219"/>
      <c r="AF123" s="1219"/>
      <c r="AG123" s="1219"/>
      <c r="AH123" s="1219"/>
      <c r="AI123" s="1219"/>
      <c r="AJ123" s="1219"/>
      <c r="AK123" s="4"/>
      <c r="AL123" s="62" t="str">
        <f t="shared" si="23"/>
        <v>340</v>
      </c>
      <c r="AM123" s="60" t="str">
        <f>SUBTOTAL(109,$BW$114:BW123)&amp;". Preference shares"</f>
        <v>0. Preference shares</v>
      </c>
      <c r="AN123" s="47"/>
      <c r="AO123" s="47"/>
      <c r="AP123" s="47"/>
      <c r="AQ123" s="63"/>
      <c r="AR123" s="47"/>
      <c r="AS123" s="47"/>
      <c r="AT123" s="47"/>
      <c r="AU123" s="47"/>
      <c r="AV123" s="47"/>
      <c r="AW123" s="47"/>
      <c r="AX123" s="47"/>
      <c r="AY123" s="47"/>
      <c r="AZ123" s="47"/>
      <c r="BA123" s="47"/>
      <c r="BB123" s="47"/>
      <c r="BC123" s="1227"/>
      <c r="BD123" s="1227"/>
      <c r="BE123" s="1227"/>
      <c r="BF123" s="47"/>
      <c r="BG123" s="1219">
        <f t="shared" si="30"/>
        <v>0</v>
      </c>
      <c r="BH123" s="1219"/>
      <c r="BI123" s="1219"/>
      <c r="BJ123" s="1219"/>
      <c r="BK123" s="1219"/>
      <c r="BL123" s="1219"/>
      <c r="BM123" s="1219"/>
      <c r="BN123" s="64"/>
      <c r="BO123" s="1219">
        <f t="shared" si="31"/>
        <v>0</v>
      </c>
      <c r="BP123" s="1219"/>
      <c r="BQ123" s="1219"/>
      <c r="BR123" s="1219"/>
      <c r="BS123" s="1219"/>
      <c r="BT123" s="1219"/>
      <c r="BU123" s="1219"/>
      <c r="BV123" s="3"/>
      <c r="BW123" s="44">
        <f>IF(ISTEXT(A123),IF(OR(SUM(V123:AB123)&lt;&gt;0,SUM(AD123:AJ123)&lt;&gt;0),1,0),1)</f>
        <v>0</v>
      </c>
      <c r="BX123" s="45">
        <f t="shared" si="19"/>
        <v>0</v>
      </c>
      <c r="BY123" s="45">
        <f t="shared" si="22"/>
        <v>0</v>
      </c>
    </row>
    <row r="124" spans="1:79" s="27" customFormat="1" ht="14.1" hidden="1" customHeight="1" x14ac:dyDescent="0.25">
      <c r="A124" s="62" t="s">
        <v>145</v>
      </c>
      <c r="B124" s="60" t="str">
        <f>SUBTOTAL(109,$BW$114:BW124)&amp;". Thuế thu nhập hoãn lại phải trả"</f>
        <v>0. Thuế thu nhập hoãn lại phải trả</v>
      </c>
      <c r="C124" s="69"/>
      <c r="D124" s="47"/>
      <c r="E124" s="47"/>
      <c r="F124" s="63"/>
      <c r="G124" s="47"/>
      <c r="H124" s="47"/>
      <c r="I124" s="47"/>
      <c r="J124" s="47"/>
      <c r="K124" s="47"/>
      <c r="L124" s="47"/>
      <c r="M124" s="47"/>
      <c r="N124" s="47"/>
      <c r="O124" s="47"/>
      <c r="P124" s="47"/>
      <c r="Q124" s="47"/>
      <c r="R124" s="1221" t="str">
        <f>IF(STT_ThueTNHoanLai1&lt;&gt;0,STT_ThueTNHoanLai,"")</f>
        <v/>
      </c>
      <c r="S124" s="1221"/>
      <c r="T124" s="1221"/>
      <c r="U124" s="47"/>
      <c r="V124" s="1219">
        <f t="shared" si="32"/>
        <v>0</v>
      </c>
      <c r="W124" s="1219"/>
      <c r="X124" s="1219"/>
      <c r="Y124" s="1219"/>
      <c r="Z124" s="1219"/>
      <c r="AA124" s="1219"/>
      <c r="AB124" s="1219"/>
      <c r="AC124" s="64"/>
      <c r="AD124" s="1219">
        <f t="shared" si="33"/>
        <v>0</v>
      </c>
      <c r="AE124" s="1219"/>
      <c r="AF124" s="1219"/>
      <c r="AG124" s="1219"/>
      <c r="AH124" s="1219"/>
      <c r="AI124" s="1219"/>
      <c r="AJ124" s="1219"/>
      <c r="AK124" s="4"/>
      <c r="AL124" s="62" t="str">
        <f t="shared" si="23"/>
        <v>341</v>
      </c>
      <c r="AM124" s="60" t="str">
        <f>SUBTOTAL(109,$BW$114:BW124)&amp;". Deferred income tax payables"</f>
        <v>0. Deferred income tax payables</v>
      </c>
      <c r="AN124" s="47"/>
      <c r="AO124" s="47"/>
      <c r="AP124" s="47"/>
      <c r="AQ124" s="63"/>
      <c r="AR124" s="47"/>
      <c r="AS124" s="47"/>
      <c r="AT124" s="47"/>
      <c r="AU124" s="47"/>
      <c r="AV124" s="47"/>
      <c r="AW124" s="47"/>
      <c r="AX124" s="47"/>
      <c r="AY124" s="47"/>
      <c r="AZ124" s="47"/>
      <c r="BA124" s="47"/>
      <c r="BB124" s="47"/>
      <c r="BC124" s="1227"/>
      <c r="BD124" s="1227"/>
      <c r="BE124" s="1227"/>
      <c r="BF124" s="47"/>
      <c r="BG124" s="1219">
        <f t="shared" si="30"/>
        <v>0</v>
      </c>
      <c r="BH124" s="1219"/>
      <c r="BI124" s="1219"/>
      <c r="BJ124" s="1219"/>
      <c r="BK124" s="1219"/>
      <c r="BL124" s="1219"/>
      <c r="BM124" s="1219"/>
      <c r="BN124" s="64"/>
      <c r="BO124" s="1219">
        <f t="shared" si="31"/>
        <v>0</v>
      </c>
      <c r="BP124" s="1219"/>
      <c r="BQ124" s="1219"/>
      <c r="BR124" s="1219"/>
      <c r="BS124" s="1219"/>
      <c r="BT124" s="1219"/>
      <c r="BU124" s="1219"/>
      <c r="BV124" s="3"/>
      <c r="BW124" s="44">
        <f>IF(ISTEXT(A124),IF(OR(SUM(V124:AB124)&lt;&gt;0,SUM(AD124:AJ124)&lt;&gt;0),1,0),1)</f>
        <v>0</v>
      </c>
      <c r="BX124" s="45">
        <f t="shared" si="19"/>
        <v>0</v>
      </c>
      <c r="BY124" s="45">
        <f t="shared" si="22"/>
        <v>0</v>
      </c>
    </row>
    <row r="125" spans="1:79" s="27" customFormat="1" ht="14.1" hidden="1" customHeight="1" x14ac:dyDescent="0.25">
      <c r="A125" s="62" t="s">
        <v>146</v>
      </c>
      <c r="B125" s="60" t="str">
        <f>SUBTOTAL(109,$BW$114:BW125)&amp;". Dự phòng phải trả dài hạn"</f>
        <v>0. Dự phòng phải trả dài hạn</v>
      </c>
      <c r="C125" s="69"/>
      <c r="D125" s="47"/>
      <c r="E125" s="47"/>
      <c r="F125" s="63"/>
      <c r="G125" s="47"/>
      <c r="H125" s="47"/>
      <c r="I125" s="47"/>
      <c r="J125" s="47"/>
      <c r="K125" s="47"/>
      <c r="L125" s="47"/>
      <c r="M125" s="47"/>
      <c r="N125" s="47"/>
      <c r="O125" s="47"/>
      <c r="P125" s="47"/>
      <c r="Q125" s="47"/>
      <c r="R125" s="1221" t="str">
        <f>IF(STT_DPPhaiTra1&lt;&gt;0,STT_DPPhaiTra,"")</f>
        <v/>
      </c>
      <c r="S125" s="1221"/>
      <c r="T125" s="1221"/>
      <c r="U125" s="47"/>
      <c r="V125" s="1219">
        <f t="shared" si="32"/>
        <v>0</v>
      </c>
      <c r="W125" s="1219"/>
      <c r="X125" s="1219"/>
      <c r="Y125" s="1219"/>
      <c r="Z125" s="1219"/>
      <c r="AA125" s="1219"/>
      <c r="AB125" s="1219"/>
      <c r="AC125" s="64"/>
      <c r="AD125" s="1219">
        <f t="shared" si="33"/>
        <v>0</v>
      </c>
      <c r="AE125" s="1219"/>
      <c r="AF125" s="1219"/>
      <c r="AG125" s="1219"/>
      <c r="AH125" s="1219"/>
      <c r="AI125" s="1219"/>
      <c r="AJ125" s="1219"/>
      <c r="AK125" s="4"/>
      <c r="AL125" s="62" t="str">
        <f t="shared" si="23"/>
        <v>342</v>
      </c>
      <c r="AM125" s="60" t="str">
        <f>SUBTOTAL(109,$BW$114:BW125)&amp;". Long-term provisions for payables"</f>
        <v>0. Long-term provisions for payables</v>
      </c>
      <c r="AN125" s="47"/>
      <c r="AO125" s="47"/>
      <c r="AP125" s="47"/>
      <c r="AQ125" s="63"/>
      <c r="AR125" s="47"/>
      <c r="AS125" s="47"/>
      <c r="AT125" s="47"/>
      <c r="AU125" s="47"/>
      <c r="AV125" s="47"/>
      <c r="AW125" s="47"/>
      <c r="AX125" s="47"/>
      <c r="AY125" s="47"/>
      <c r="AZ125" s="47"/>
      <c r="BA125" s="47"/>
      <c r="BB125" s="47"/>
      <c r="BC125" s="1227"/>
      <c r="BD125" s="1227"/>
      <c r="BE125" s="1227"/>
      <c r="BF125" s="47"/>
      <c r="BG125" s="1219">
        <f t="shared" si="30"/>
        <v>0</v>
      </c>
      <c r="BH125" s="1219"/>
      <c r="BI125" s="1219"/>
      <c r="BJ125" s="1219"/>
      <c r="BK125" s="1219"/>
      <c r="BL125" s="1219"/>
      <c r="BM125" s="1219"/>
      <c r="BN125" s="64"/>
      <c r="BO125" s="1219">
        <f t="shared" si="31"/>
        <v>0</v>
      </c>
      <c r="BP125" s="1219"/>
      <c r="BQ125" s="1219"/>
      <c r="BR125" s="1219"/>
      <c r="BS125" s="1219"/>
      <c r="BT125" s="1219"/>
      <c r="BU125" s="1219"/>
      <c r="BV125" s="3"/>
      <c r="BW125" s="44">
        <f>IF(ISTEXT(A125),IF(OR(SUM(V125:AB125)&lt;&gt;0,SUM(AD125:AJ125)&lt;&gt;0),1,0),1)</f>
        <v>0</v>
      </c>
      <c r="BX125" s="45">
        <f t="shared" si="19"/>
        <v>0</v>
      </c>
      <c r="BY125" s="45">
        <f t="shared" si="22"/>
        <v>0</v>
      </c>
    </row>
    <row r="126" spans="1:79" s="27" customFormat="1" ht="14.1" hidden="1" customHeight="1" x14ac:dyDescent="0.25">
      <c r="A126" s="62" t="s">
        <v>147</v>
      </c>
      <c r="B126" s="60" t="str">
        <f>SUBTOTAL(109,$BW$114:BW126)&amp;". Quỹ phát triển khoa học và công nghệ"</f>
        <v>0. Quỹ phát triển khoa học và công nghệ</v>
      </c>
      <c r="C126" s="69"/>
      <c r="D126" s="47"/>
      <c r="E126" s="47"/>
      <c r="F126" s="63"/>
      <c r="G126" s="47"/>
      <c r="H126" s="47"/>
      <c r="I126" s="47"/>
      <c r="J126" s="47"/>
      <c r="K126" s="47"/>
      <c r="L126" s="47"/>
      <c r="M126" s="47"/>
      <c r="N126" s="47"/>
      <c r="O126" s="47"/>
      <c r="P126" s="47"/>
      <c r="Q126" s="47"/>
      <c r="R126" s="1221"/>
      <c r="S126" s="1221"/>
      <c r="T126" s="1221"/>
      <c r="U126" s="47"/>
      <c r="V126" s="1219">
        <f t="shared" si="32"/>
        <v>0</v>
      </c>
      <c r="W126" s="1219"/>
      <c r="X126" s="1219"/>
      <c r="Y126" s="1219"/>
      <c r="Z126" s="1219"/>
      <c r="AA126" s="1219"/>
      <c r="AB126" s="1219"/>
      <c r="AC126" s="64"/>
      <c r="AD126" s="1219">
        <f t="shared" si="33"/>
        <v>0</v>
      </c>
      <c r="AE126" s="1219"/>
      <c r="AF126" s="1219"/>
      <c r="AG126" s="1219"/>
      <c r="AH126" s="1219"/>
      <c r="AI126" s="1219"/>
      <c r="AJ126" s="1219"/>
      <c r="AK126" s="4"/>
      <c r="AL126" s="62" t="str">
        <f t="shared" si="23"/>
        <v>343</v>
      </c>
      <c r="AM126" s="60" t="str">
        <f>SUBTOTAL(109,$BW$114:BW126)&amp;". Science and technology development fund"</f>
        <v>0. Science and technology development fund</v>
      </c>
      <c r="AN126" s="47"/>
      <c r="AO126" s="47"/>
      <c r="AP126" s="47"/>
      <c r="AQ126" s="63"/>
      <c r="AR126" s="47"/>
      <c r="AS126" s="47"/>
      <c r="AT126" s="47"/>
      <c r="AU126" s="47"/>
      <c r="AV126" s="47"/>
      <c r="AW126" s="47"/>
      <c r="AX126" s="47"/>
      <c r="AY126" s="47"/>
      <c r="AZ126" s="47"/>
      <c r="BA126" s="47"/>
      <c r="BB126" s="47"/>
      <c r="BC126" s="1227"/>
      <c r="BD126" s="1227"/>
      <c r="BE126" s="1227"/>
      <c r="BF126" s="47"/>
      <c r="BG126" s="1219">
        <f t="shared" si="30"/>
        <v>0</v>
      </c>
      <c r="BH126" s="1219"/>
      <c r="BI126" s="1219"/>
      <c r="BJ126" s="1219"/>
      <c r="BK126" s="1219"/>
      <c r="BL126" s="1219"/>
      <c r="BM126" s="1219"/>
      <c r="BN126" s="64"/>
      <c r="BO126" s="1219">
        <f t="shared" si="31"/>
        <v>0</v>
      </c>
      <c r="BP126" s="1219"/>
      <c r="BQ126" s="1219"/>
      <c r="BR126" s="1219"/>
      <c r="BS126" s="1219"/>
      <c r="BT126" s="1219"/>
      <c r="BU126" s="1219"/>
      <c r="BV126" s="3"/>
      <c r="BW126" s="44">
        <f>IF(ISTEXT(A126),IF(OR(SUM(V126:AB126)&lt;&gt;0,SUM(AD126:AJ126)&lt;&gt;0),1,0),1)</f>
        <v>0</v>
      </c>
      <c r="BX126" s="45">
        <f t="shared" si="19"/>
        <v>0</v>
      </c>
      <c r="BY126" s="45">
        <f t="shared" si="22"/>
        <v>0</v>
      </c>
    </row>
    <row r="127" spans="1:79" s="27" customFormat="1" ht="14.1" customHeight="1" x14ac:dyDescent="0.25">
      <c r="A127" s="52"/>
      <c r="B127" s="1"/>
      <c r="C127" s="47"/>
      <c r="D127" s="47"/>
      <c r="E127" s="1"/>
      <c r="F127" s="3"/>
      <c r="G127" s="1"/>
      <c r="H127" s="1"/>
      <c r="I127" s="1"/>
      <c r="J127" s="1"/>
      <c r="K127" s="1"/>
      <c r="L127" s="1"/>
      <c r="M127" s="1"/>
      <c r="N127" s="1"/>
      <c r="O127" s="1"/>
      <c r="P127" s="1"/>
      <c r="Q127" s="1"/>
      <c r="R127" s="1221"/>
      <c r="S127" s="1221"/>
      <c r="T127" s="1221"/>
      <c r="U127" s="1"/>
      <c r="V127" s="1219"/>
      <c r="W127" s="1219"/>
      <c r="X127" s="1219"/>
      <c r="Y127" s="1219"/>
      <c r="Z127" s="1219"/>
      <c r="AA127" s="1219"/>
      <c r="AB127" s="1219"/>
      <c r="AC127" s="51"/>
      <c r="AD127" s="1219"/>
      <c r="AE127" s="1219"/>
      <c r="AF127" s="1219"/>
      <c r="AG127" s="1219"/>
      <c r="AH127" s="1219"/>
      <c r="AI127" s="1219"/>
      <c r="AJ127" s="1219"/>
      <c r="AK127" s="4"/>
      <c r="AL127" s="52">
        <f t="shared" si="23"/>
        <v>0</v>
      </c>
      <c r="AM127" s="1"/>
      <c r="AN127" s="47"/>
      <c r="AO127" s="47"/>
      <c r="AP127" s="1"/>
      <c r="AQ127" s="3"/>
      <c r="AR127" s="1"/>
      <c r="AS127" s="1"/>
      <c r="AT127" s="1"/>
      <c r="AU127" s="1"/>
      <c r="AV127" s="1"/>
      <c r="AW127" s="1"/>
      <c r="AX127" s="1"/>
      <c r="AY127" s="1"/>
      <c r="AZ127" s="1"/>
      <c r="BA127" s="1"/>
      <c r="BB127" s="1"/>
      <c r="BC127" s="1221">
        <f t="shared" si="24"/>
        <v>0</v>
      </c>
      <c r="BD127" s="1221"/>
      <c r="BE127" s="1221"/>
      <c r="BF127" s="1"/>
      <c r="BG127" s="1219"/>
      <c r="BH127" s="1219"/>
      <c r="BI127" s="1219"/>
      <c r="BJ127" s="1219"/>
      <c r="BK127" s="1219"/>
      <c r="BL127" s="1219"/>
      <c r="BM127" s="1219"/>
      <c r="BN127" s="51"/>
      <c r="BO127" s="1219"/>
      <c r="BP127" s="1219"/>
      <c r="BQ127" s="1219"/>
      <c r="BR127" s="1219"/>
      <c r="BS127" s="1219"/>
      <c r="BT127" s="1219"/>
      <c r="BU127" s="1219"/>
      <c r="BV127" s="3"/>
      <c r="BW127" s="44">
        <f>$BW$128</f>
        <v>1</v>
      </c>
      <c r="BX127" s="45">
        <f t="shared" si="19"/>
        <v>0</v>
      </c>
      <c r="BY127" s="45">
        <f t="shared" si="22"/>
        <v>0</v>
      </c>
      <c r="CA127" s="28"/>
    </row>
    <row r="128" spans="1:79" s="1" customFormat="1" ht="15" customHeight="1" x14ac:dyDescent="0.25">
      <c r="A128" s="50" t="s">
        <v>148</v>
      </c>
      <c r="B128" s="61" t="s">
        <v>149</v>
      </c>
      <c r="C128" s="47"/>
      <c r="D128" s="47"/>
      <c r="F128" s="3"/>
      <c r="R128" s="1223"/>
      <c r="S128" s="1223"/>
      <c r="T128" s="1223"/>
      <c r="V128" s="1220">
        <f>SUBTOTAL(109,V129:AB151)-V132-V133</f>
        <v>48443669143</v>
      </c>
      <c r="W128" s="1220"/>
      <c r="X128" s="1220"/>
      <c r="Y128" s="1220"/>
      <c r="Z128" s="1220"/>
      <c r="AA128" s="1220"/>
      <c r="AB128" s="1220"/>
      <c r="AC128" s="51"/>
      <c r="AD128" s="1220">
        <f>SUBTOTAL(109,AD129:AJ151)-AD132-AD133</f>
        <v>46238078285</v>
      </c>
      <c r="AE128" s="1220"/>
      <c r="AF128" s="1220"/>
      <c r="AG128" s="1220"/>
      <c r="AH128" s="1220"/>
      <c r="AI128" s="1220"/>
      <c r="AJ128" s="1220"/>
      <c r="AK128" s="11"/>
      <c r="AL128" s="50" t="str">
        <f t="shared" si="23"/>
        <v>400</v>
      </c>
      <c r="AM128" s="61" t="s">
        <v>150</v>
      </c>
      <c r="AN128" s="47"/>
      <c r="AO128" s="47"/>
      <c r="AQ128" s="3"/>
      <c r="BC128" s="1223">
        <f t="shared" si="24"/>
        <v>0</v>
      </c>
      <c r="BD128" s="1223"/>
      <c r="BE128" s="1223"/>
      <c r="BG128" s="1220">
        <f>V128</f>
        <v>48443669143</v>
      </c>
      <c r="BH128" s="1220"/>
      <c r="BI128" s="1220"/>
      <c r="BJ128" s="1220"/>
      <c r="BK128" s="1220"/>
      <c r="BL128" s="1220"/>
      <c r="BM128" s="1220"/>
      <c r="BN128" s="51"/>
      <c r="BO128" s="1220">
        <f>AD128</f>
        <v>46238078285</v>
      </c>
      <c r="BP128" s="1220"/>
      <c r="BQ128" s="1220"/>
      <c r="BR128" s="1220"/>
      <c r="BS128" s="1220"/>
      <c r="BT128" s="1220"/>
      <c r="BU128" s="1220"/>
      <c r="BV128" s="3"/>
      <c r="BW128" s="44">
        <f>IF(ISTEXT(A128),IF(SUM(BW129:BW150)&gt;0,1,0),1)</f>
        <v>1</v>
      </c>
      <c r="BX128" s="45">
        <f t="shared" si="19"/>
        <v>0</v>
      </c>
      <c r="BY128" s="45">
        <f t="shared" si="22"/>
        <v>0</v>
      </c>
      <c r="CA128" s="5"/>
    </row>
    <row r="129" spans="1:79" s="27" customFormat="1" ht="14.1" customHeight="1" x14ac:dyDescent="0.25">
      <c r="A129" s="52"/>
      <c r="B129" s="1"/>
      <c r="C129" s="47"/>
      <c r="D129" s="47"/>
      <c r="E129" s="1"/>
      <c r="F129" s="3"/>
      <c r="G129" s="1"/>
      <c r="H129" s="1"/>
      <c r="I129" s="1"/>
      <c r="J129" s="1"/>
      <c r="K129" s="1"/>
      <c r="L129" s="1"/>
      <c r="M129" s="1"/>
      <c r="N129" s="1"/>
      <c r="O129" s="1"/>
      <c r="P129" s="1"/>
      <c r="Q129" s="1"/>
      <c r="R129" s="1221"/>
      <c r="S129" s="1221"/>
      <c r="T129" s="1221"/>
      <c r="U129" s="1"/>
      <c r="V129" s="1219"/>
      <c r="W129" s="1219"/>
      <c r="X129" s="1219"/>
      <c r="Y129" s="1219"/>
      <c r="Z129" s="1219"/>
      <c r="AA129" s="1219"/>
      <c r="AB129" s="1219"/>
      <c r="AC129" s="51"/>
      <c r="AD129" s="1219"/>
      <c r="AE129" s="1219"/>
      <c r="AF129" s="1219"/>
      <c r="AG129" s="1219"/>
      <c r="AH129" s="1219"/>
      <c r="AI129" s="1219"/>
      <c r="AJ129" s="1219"/>
      <c r="AK129" s="4"/>
      <c r="AL129" s="52">
        <f t="shared" si="23"/>
        <v>0</v>
      </c>
      <c r="AM129" s="1"/>
      <c r="AN129" s="47"/>
      <c r="AO129" s="47"/>
      <c r="AP129" s="1"/>
      <c r="AQ129" s="3"/>
      <c r="AR129" s="1"/>
      <c r="AS129" s="1"/>
      <c r="AT129" s="1"/>
      <c r="AU129" s="1"/>
      <c r="AV129" s="1"/>
      <c r="AW129" s="1"/>
      <c r="AX129" s="1"/>
      <c r="AY129" s="1"/>
      <c r="AZ129" s="1"/>
      <c r="BA129" s="1"/>
      <c r="BB129" s="1"/>
      <c r="BC129" s="1221">
        <f t="shared" si="24"/>
        <v>0</v>
      </c>
      <c r="BD129" s="1221"/>
      <c r="BE129" s="1221"/>
      <c r="BF129" s="1"/>
      <c r="BG129" s="1219"/>
      <c r="BH129" s="1219"/>
      <c r="BI129" s="1219"/>
      <c r="BJ129" s="1219"/>
      <c r="BK129" s="1219"/>
      <c r="BL129" s="1219"/>
      <c r="BM129" s="1219"/>
      <c r="BN129" s="51"/>
      <c r="BO129" s="1219"/>
      <c r="BP129" s="1219"/>
      <c r="BQ129" s="1219"/>
      <c r="BR129" s="1219"/>
      <c r="BS129" s="1219"/>
      <c r="BT129" s="1219"/>
      <c r="BU129" s="1219"/>
      <c r="BV129" s="3"/>
      <c r="BW129" s="44">
        <f>$BW$130</f>
        <v>1</v>
      </c>
      <c r="BX129" s="45">
        <f t="shared" si="19"/>
        <v>0</v>
      </c>
      <c r="BY129" s="45">
        <f t="shared" si="22"/>
        <v>0</v>
      </c>
      <c r="CA129" s="28"/>
    </row>
    <row r="130" spans="1:79" s="27" customFormat="1" ht="15" customHeight="1" x14ac:dyDescent="0.25">
      <c r="A130" s="50" t="s">
        <v>151</v>
      </c>
      <c r="B130" s="61" t="s">
        <v>152</v>
      </c>
      <c r="C130" s="47"/>
      <c r="D130" s="47"/>
      <c r="E130" s="1"/>
      <c r="F130" s="3"/>
      <c r="G130" s="1"/>
      <c r="H130" s="1"/>
      <c r="I130" s="1"/>
      <c r="J130" s="1"/>
      <c r="K130" s="1"/>
      <c r="L130" s="1"/>
      <c r="M130" s="1"/>
      <c r="N130" s="1"/>
      <c r="O130" s="1"/>
      <c r="P130" s="1"/>
      <c r="Q130" s="1"/>
      <c r="R130" s="1223">
        <f>IF(STT_VCSH1&lt;&gt;0,STT_VCSH,"")</f>
        <v>20</v>
      </c>
      <c r="S130" s="1223"/>
      <c r="T130" s="1223"/>
      <c r="U130" s="1"/>
      <c r="V130" s="1220">
        <f>SUBTOTAL(109,V131:AB147)-V132-V133</f>
        <v>48443669143</v>
      </c>
      <c r="W130" s="1220"/>
      <c r="X130" s="1220"/>
      <c r="Y130" s="1220"/>
      <c r="Z130" s="1220"/>
      <c r="AA130" s="1220"/>
      <c r="AB130" s="1220"/>
      <c r="AC130" s="51"/>
      <c r="AD130" s="1220">
        <f>SUBTOTAL(109,AD131:AJ147)-AD132-AD133</f>
        <v>46238078285</v>
      </c>
      <c r="AE130" s="1220"/>
      <c r="AF130" s="1220"/>
      <c r="AG130" s="1220"/>
      <c r="AH130" s="1220"/>
      <c r="AI130" s="1220"/>
      <c r="AJ130" s="1220"/>
      <c r="AK130" s="11"/>
      <c r="AL130" s="50" t="str">
        <f t="shared" si="23"/>
        <v>410</v>
      </c>
      <c r="AM130" s="61" t="s">
        <v>153</v>
      </c>
      <c r="AN130" s="47"/>
      <c r="AO130" s="47"/>
      <c r="AP130" s="1"/>
      <c r="AQ130" s="3"/>
      <c r="AR130" s="1"/>
      <c r="AS130" s="1"/>
      <c r="AT130" s="1"/>
      <c r="AU130" s="1"/>
      <c r="AV130" s="1"/>
      <c r="AW130" s="1"/>
      <c r="AX130" s="1"/>
      <c r="AY130" s="1"/>
      <c r="AZ130" s="1"/>
      <c r="BA130" s="1"/>
      <c r="BB130" s="1"/>
      <c r="BC130" s="1223">
        <f t="shared" si="24"/>
        <v>20</v>
      </c>
      <c r="BD130" s="1223"/>
      <c r="BE130" s="1223"/>
      <c r="BF130" s="1"/>
      <c r="BG130" s="1220">
        <f t="shared" ref="BG130:BG146" si="34">V130</f>
        <v>48443669143</v>
      </c>
      <c r="BH130" s="1220"/>
      <c r="BI130" s="1220"/>
      <c r="BJ130" s="1220"/>
      <c r="BK130" s="1220"/>
      <c r="BL130" s="1220"/>
      <c r="BM130" s="1220"/>
      <c r="BN130" s="51"/>
      <c r="BO130" s="1220">
        <f t="shared" ref="BO130:BO146" si="35">AD130</f>
        <v>46238078285</v>
      </c>
      <c r="BP130" s="1220"/>
      <c r="BQ130" s="1220"/>
      <c r="BR130" s="1220"/>
      <c r="BS130" s="1220"/>
      <c r="BT130" s="1220"/>
      <c r="BU130" s="1220"/>
      <c r="BV130" s="3"/>
      <c r="BW130" s="44">
        <f>IF(ISTEXT(A130),IF(SUM(BW131:BW146)&gt;0,1,0),1)</f>
        <v>1</v>
      </c>
      <c r="BX130" s="45">
        <f t="shared" si="19"/>
        <v>0</v>
      </c>
      <c r="BY130" s="45">
        <f t="shared" si="22"/>
        <v>0</v>
      </c>
      <c r="CA130" s="28"/>
    </row>
    <row r="131" spans="1:79" s="27" customFormat="1" ht="14.1" customHeight="1" x14ac:dyDescent="0.25">
      <c r="A131" s="52" t="s">
        <v>154</v>
      </c>
      <c r="B131" s="60" t="str">
        <f>BW131&amp;". Vốn góp của chủ sở hữu"</f>
        <v>1. Vốn góp của chủ sở hữu</v>
      </c>
      <c r="C131" s="60"/>
      <c r="D131" s="47"/>
      <c r="E131" s="1"/>
      <c r="F131" s="3"/>
      <c r="G131" s="1"/>
      <c r="H131" s="1"/>
      <c r="I131" s="1"/>
      <c r="J131" s="1"/>
      <c r="K131" s="1"/>
      <c r="L131" s="1"/>
      <c r="M131" s="1"/>
      <c r="N131" s="1"/>
      <c r="O131" s="1"/>
      <c r="P131" s="1"/>
      <c r="Q131" s="1"/>
      <c r="R131" s="1221"/>
      <c r="S131" s="1221"/>
      <c r="T131" s="1221"/>
      <c r="U131" s="1"/>
      <c r="V131" s="1219">
        <f t="shared" ref="V131:V146" si="36">IF(ISBLANK($A131),0,VLOOKUP($A131,CDKT,MATCH($V$8,subTitle,0),0))</f>
        <v>20002050000</v>
      </c>
      <c r="W131" s="1219"/>
      <c r="X131" s="1219"/>
      <c r="Y131" s="1219"/>
      <c r="Z131" s="1219"/>
      <c r="AA131" s="1219"/>
      <c r="AB131" s="1219"/>
      <c r="AC131" s="51"/>
      <c r="AD131" s="1219">
        <f t="shared" ref="AD131:AD146" si="37">IF(ISBLANK($A131),0,VLOOKUP($A131,CDKT,MATCH($AD$8,subTitle,0),0))</f>
        <v>20002050000</v>
      </c>
      <c r="AE131" s="1219"/>
      <c r="AF131" s="1219"/>
      <c r="AG131" s="1219"/>
      <c r="AH131" s="1219"/>
      <c r="AI131" s="1219"/>
      <c r="AJ131" s="1219"/>
      <c r="AK131" s="4"/>
      <c r="AL131" s="52" t="str">
        <f t="shared" si="23"/>
        <v>411</v>
      </c>
      <c r="AM131" s="60" t="str">
        <f>BW131&amp;". Contributed capital"</f>
        <v>1. Contributed capital</v>
      </c>
      <c r="AN131" s="47"/>
      <c r="AO131" s="47"/>
      <c r="AP131" s="1"/>
      <c r="AQ131" s="3"/>
      <c r="AR131" s="1"/>
      <c r="AS131" s="1"/>
      <c r="AT131" s="1"/>
      <c r="AU131" s="1"/>
      <c r="AV131" s="1"/>
      <c r="AW131" s="1"/>
      <c r="AX131" s="1"/>
      <c r="AY131" s="1"/>
      <c r="AZ131" s="1"/>
      <c r="BA131" s="1"/>
      <c r="BB131" s="1"/>
      <c r="BC131" s="1221">
        <f t="shared" si="24"/>
        <v>0</v>
      </c>
      <c r="BD131" s="1221"/>
      <c r="BE131" s="1221"/>
      <c r="BF131" s="1"/>
      <c r="BG131" s="1219">
        <f t="shared" si="34"/>
        <v>20002050000</v>
      </c>
      <c r="BH131" s="1219"/>
      <c r="BI131" s="1219"/>
      <c r="BJ131" s="1219"/>
      <c r="BK131" s="1219"/>
      <c r="BL131" s="1219"/>
      <c r="BM131" s="1219"/>
      <c r="BN131" s="51"/>
      <c r="BO131" s="1219">
        <f t="shared" si="35"/>
        <v>20002050000</v>
      </c>
      <c r="BP131" s="1219"/>
      <c r="BQ131" s="1219"/>
      <c r="BR131" s="1219"/>
      <c r="BS131" s="1219"/>
      <c r="BT131" s="1219"/>
      <c r="BU131" s="1219"/>
      <c r="BV131" s="3"/>
      <c r="BW131" s="44">
        <f t="shared" si="29"/>
        <v>1</v>
      </c>
      <c r="BX131" s="45">
        <f t="shared" si="19"/>
        <v>0</v>
      </c>
      <c r="BY131" s="45">
        <f t="shared" si="22"/>
        <v>0</v>
      </c>
      <c r="CA131" s="28"/>
    </row>
    <row r="132" spans="1:79" s="101" customFormat="1" ht="14.1" customHeight="1" x14ac:dyDescent="0.25">
      <c r="A132" s="93" t="s">
        <v>155</v>
      </c>
      <c r="B132" s="94" t="s">
        <v>156</v>
      </c>
      <c r="C132" s="95"/>
      <c r="D132" s="95"/>
      <c r="E132" s="95"/>
      <c r="F132" s="96"/>
      <c r="G132" s="95"/>
      <c r="H132" s="95"/>
      <c r="I132" s="95"/>
      <c r="J132" s="95"/>
      <c r="K132" s="95"/>
      <c r="L132" s="95"/>
      <c r="M132" s="95"/>
      <c r="N132" s="95"/>
      <c r="O132" s="95"/>
      <c r="P132" s="95"/>
      <c r="Q132" s="95"/>
      <c r="R132" s="1240"/>
      <c r="S132" s="1240"/>
      <c r="T132" s="1240"/>
      <c r="U132" s="95"/>
      <c r="V132" s="1229">
        <f t="shared" si="36"/>
        <v>20002050000</v>
      </c>
      <c r="W132" s="1229"/>
      <c r="X132" s="1229"/>
      <c r="Y132" s="1229"/>
      <c r="Z132" s="1229"/>
      <c r="AA132" s="1229"/>
      <c r="AB132" s="1229"/>
      <c r="AC132" s="97"/>
      <c r="AD132" s="1229">
        <f t="shared" si="37"/>
        <v>20002050000</v>
      </c>
      <c r="AE132" s="1229"/>
      <c r="AF132" s="1229"/>
      <c r="AG132" s="1229"/>
      <c r="AH132" s="1229"/>
      <c r="AI132" s="1229"/>
      <c r="AJ132" s="1229"/>
      <c r="AK132" s="68"/>
      <c r="AL132" s="93" t="str">
        <f t="shared" si="23"/>
        <v>411a</v>
      </c>
      <c r="AM132" s="98" t="s">
        <v>157</v>
      </c>
      <c r="AN132" s="95"/>
      <c r="AO132" s="95"/>
      <c r="AP132" s="95"/>
      <c r="AQ132" s="96"/>
      <c r="AR132" s="95"/>
      <c r="AS132" s="95"/>
      <c r="AT132" s="95"/>
      <c r="AU132" s="95"/>
      <c r="AV132" s="95"/>
      <c r="AW132" s="95"/>
      <c r="AX132" s="95"/>
      <c r="AY132" s="95"/>
      <c r="AZ132" s="95"/>
      <c r="BA132" s="95"/>
      <c r="BB132" s="95"/>
      <c r="BC132" s="1240"/>
      <c r="BD132" s="1240"/>
      <c r="BE132" s="1240"/>
      <c r="BF132" s="95"/>
      <c r="BG132" s="1229">
        <f t="shared" si="34"/>
        <v>20002050000</v>
      </c>
      <c r="BH132" s="1229"/>
      <c r="BI132" s="1229"/>
      <c r="BJ132" s="1229"/>
      <c r="BK132" s="1229"/>
      <c r="BL132" s="1229"/>
      <c r="BM132" s="1229"/>
      <c r="BN132" s="97"/>
      <c r="BO132" s="1229">
        <f t="shared" si="35"/>
        <v>20002050000</v>
      </c>
      <c r="BP132" s="1229"/>
      <c r="BQ132" s="1229"/>
      <c r="BR132" s="1229"/>
      <c r="BS132" s="1229"/>
      <c r="BT132" s="1229"/>
      <c r="BU132" s="1229"/>
      <c r="BV132" s="99"/>
      <c r="BW132" s="100">
        <f>IF(ISTEXT(A132),IF(OR(SUM(V132:AB132)&lt;&gt;0,SUM(AD132:AJ132)&lt;&gt;0),1,0),1)</f>
        <v>1</v>
      </c>
      <c r="BX132" s="45">
        <f t="shared" si="19"/>
        <v>0</v>
      </c>
      <c r="BY132" s="45">
        <f t="shared" si="22"/>
        <v>0</v>
      </c>
      <c r="CA132" s="102"/>
    </row>
    <row r="133" spans="1:79" s="101" customFormat="1" ht="14.1" hidden="1" customHeight="1" x14ac:dyDescent="0.25">
      <c r="A133" s="93" t="s">
        <v>158</v>
      </c>
      <c r="B133" s="94" t="s">
        <v>159</v>
      </c>
      <c r="C133" s="95"/>
      <c r="D133" s="95"/>
      <c r="E133" s="95"/>
      <c r="F133" s="96"/>
      <c r="G133" s="95"/>
      <c r="H133" s="95"/>
      <c r="I133" s="95"/>
      <c r="J133" s="95"/>
      <c r="K133" s="95"/>
      <c r="L133" s="95"/>
      <c r="M133" s="95"/>
      <c r="N133" s="95"/>
      <c r="O133" s="95"/>
      <c r="P133" s="95"/>
      <c r="Q133" s="95"/>
      <c r="R133" s="1240"/>
      <c r="S133" s="1240"/>
      <c r="T133" s="1240"/>
      <c r="U133" s="95"/>
      <c r="V133" s="1229">
        <f t="shared" si="36"/>
        <v>0</v>
      </c>
      <c r="W133" s="1229"/>
      <c r="X133" s="1229"/>
      <c r="Y133" s="1229"/>
      <c r="Z133" s="1229"/>
      <c r="AA133" s="1229"/>
      <c r="AB133" s="1229"/>
      <c r="AC133" s="97"/>
      <c r="AD133" s="1229">
        <f t="shared" si="37"/>
        <v>0</v>
      </c>
      <c r="AE133" s="1229"/>
      <c r="AF133" s="1229"/>
      <c r="AG133" s="1229"/>
      <c r="AH133" s="1229"/>
      <c r="AI133" s="1229"/>
      <c r="AJ133" s="1229"/>
      <c r="AK133" s="68"/>
      <c r="AL133" s="93" t="str">
        <f t="shared" si="23"/>
        <v>411b</v>
      </c>
      <c r="AM133" s="98" t="s">
        <v>160</v>
      </c>
      <c r="AN133" s="95"/>
      <c r="AO133" s="95"/>
      <c r="AP133" s="95"/>
      <c r="AQ133" s="96"/>
      <c r="AR133" s="95"/>
      <c r="AS133" s="95"/>
      <c r="AT133" s="95"/>
      <c r="AU133" s="95"/>
      <c r="AV133" s="95"/>
      <c r="AW133" s="95"/>
      <c r="AX133" s="95"/>
      <c r="AY133" s="95"/>
      <c r="AZ133" s="95"/>
      <c r="BA133" s="95"/>
      <c r="BB133" s="95"/>
      <c r="BC133" s="1240"/>
      <c r="BD133" s="1240"/>
      <c r="BE133" s="1240"/>
      <c r="BF133" s="95"/>
      <c r="BG133" s="1229">
        <f t="shared" si="34"/>
        <v>0</v>
      </c>
      <c r="BH133" s="1229"/>
      <c r="BI133" s="1229"/>
      <c r="BJ133" s="1229"/>
      <c r="BK133" s="1229"/>
      <c r="BL133" s="1229"/>
      <c r="BM133" s="1229"/>
      <c r="BN133" s="97"/>
      <c r="BO133" s="1229">
        <f t="shared" si="35"/>
        <v>0</v>
      </c>
      <c r="BP133" s="1229"/>
      <c r="BQ133" s="1229"/>
      <c r="BR133" s="1229"/>
      <c r="BS133" s="1229"/>
      <c r="BT133" s="1229"/>
      <c r="BU133" s="1229"/>
      <c r="BV133" s="99"/>
      <c r="BW133" s="100">
        <f>IF(ISTEXT(A133),IF(OR(SUM(V133:AB133)&lt;&gt;0,SUM(AD133:AJ133)&lt;&gt;0),1,0),1)</f>
        <v>0</v>
      </c>
      <c r="BX133" s="45">
        <f t="shared" si="19"/>
        <v>0</v>
      </c>
      <c r="BY133" s="45">
        <f t="shared" si="22"/>
        <v>0</v>
      </c>
    </row>
    <row r="134" spans="1:79" s="27" customFormat="1" ht="14.1" customHeight="1" x14ac:dyDescent="0.25">
      <c r="A134" s="52" t="s">
        <v>161</v>
      </c>
      <c r="B134" s="60" t="str">
        <f>$BW$131+SUBTOTAL(109,$BW$134:BW134)&amp;". Thặng dư vốn cổ phần"</f>
        <v>2. Thặng dư vốn cổ phần</v>
      </c>
      <c r="C134" s="60"/>
      <c r="D134" s="47"/>
      <c r="E134" s="1"/>
      <c r="F134" s="3"/>
      <c r="G134" s="1"/>
      <c r="H134" s="1"/>
      <c r="I134" s="1"/>
      <c r="J134" s="1"/>
      <c r="K134" s="1"/>
      <c r="L134" s="1"/>
      <c r="M134" s="1"/>
      <c r="N134" s="1"/>
      <c r="O134" s="1"/>
      <c r="P134" s="1"/>
      <c r="Q134" s="1"/>
      <c r="R134" s="1221"/>
      <c r="S134" s="1221"/>
      <c r="T134" s="1221"/>
      <c r="U134" s="1"/>
      <c r="V134" s="1219">
        <f t="shared" si="36"/>
        <v>1593954840</v>
      </c>
      <c r="W134" s="1219"/>
      <c r="X134" s="1219"/>
      <c r="Y134" s="1219"/>
      <c r="Z134" s="1219"/>
      <c r="AA134" s="1219"/>
      <c r="AB134" s="1219"/>
      <c r="AC134" s="51"/>
      <c r="AD134" s="1219">
        <f t="shared" si="37"/>
        <v>1593954840</v>
      </c>
      <c r="AE134" s="1219"/>
      <c r="AF134" s="1219"/>
      <c r="AG134" s="1219"/>
      <c r="AH134" s="1219"/>
      <c r="AI134" s="1219"/>
      <c r="AJ134" s="1219"/>
      <c r="AK134" s="4"/>
      <c r="AL134" s="52" t="str">
        <f t="shared" si="23"/>
        <v>412</v>
      </c>
      <c r="AM134" s="60" t="str">
        <f>$BW$131+SUBTOTAL(109,$BW$134:BW134)&amp;". Share premium"</f>
        <v>2. Share premium</v>
      </c>
      <c r="AN134" s="47"/>
      <c r="AO134" s="47"/>
      <c r="AP134" s="1"/>
      <c r="AQ134" s="3"/>
      <c r="AR134" s="1"/>
      <c r="AS134" s="1"/>
      <c r="AT134" s="1"/>
      <c r="AU134" s="1"/>
      <c r="AV134" s="1"/>
      <c r="AW134" s="1"/>
      <c r="AX134" s="1"/>
      <c r="AY134" s="1"/>
      <c r="AZ134" s="1"/>
      <c r="BA134" s="1"/>
      <c r="BB134" s="1"/>
      <c r="BC134" s="1221">
        <f t="shared" si="24"/>
        <v>0</v>
      </c>
      <c r="BD134" s="1221"/>
      <c r="BE134" s="1221"/>
      <c r="BF134" s="1"/>
      <c r="BG134" s="1219">
        <f t="shared" si="34"/>
        <v>1593954840</v>
      </c>
      <c r="BH134" s="1219"/>
      <c r="BI134" s="1219"/>
      <c r="BJ134" s="1219"/>
      <c r="BK134" s="1219"/>
      <c r="BL134" s="1219"/>
      <c r="BM134" s="1219"/>
      <c r="BN134" s="51"/>
      <c r="BO134" s="1219">
        <f t="shared" si="35"/>
        <v>1593954840</v>
      </c>
      <c r="BP134" s="1219"/>
      <c r="BQ134" s="1219"/>
      <c r="BR134" s="1219"/>
      <c r="BS134" s="1219"/>
      <c r="BT134" s="1219"/>
      <c r="BU134" s="1219"/>
      <c r="BV134" s="3"/>
      <c r="BW134" s="44">
        <f t="shared" si="29"/>
        <v>1</v>
      </c>
      <c r="BX134" s="45">
        <f t="shared" si="19"/>
        <v>0</v>
      </c>
      <c r="BY134" s="45">
        <f t="shared" si="22"/>
        <v>0</v>
      </c>
      <c r="CA134" s="28"/>
    </row>
    <row r="135" spans="1:79" s="27" customFormat="1" ht="14.1" hidden="1" customHeight="1" x14ac:dyDescent="0.25">
      <c r="A135" s="52" t="s">
        <v>162</v>
      </c>
      <c r="B135" s="60" t="str">
        <f>$BW$131+SUBTOTAL(109,$BW$134:BW135)&amp;". Quyền chọn chuyển đổi trái phiếu"</f>
        <v>2. Quyền chọn chuyển đổi trái phiếu</v>
      </c>
      <c r="C135" s="60"/>
      <c r="D135" s="47"/>
      <c r="E135" s="1"/>
      <c r="F135" s="3"/>
      <c r="G135" s="1"/>
      <c r="H135" s="1"/>
      <c r="I135" s="1"/>
      <c r="J135" s="1"/>
      <c r="K135" s="1"/>
      <c r="L135" s="1"/>
      <c r="M135" s="1"/>
      <c r="N135" s="1"/>
      <c r="O135" s="1"/>
      <c r="P135" s="1"/>
      <c r="Q135" s="1"/>
      <c r="R135" s="1221"/>
      <c r="S135" s="1221"/>
      <c r="T135" s="1221"/>
      <c r="U135" s="1"/>
      <c r="V135" s="1219">
        <f t="shared" si="36"/>
        <v>0</v>
      </c>
      <c r="W135" s="1219"/>
      <c r="X135" s="1219"/>
      <c r="Y135" s="1219"/>
      <c r="Z135" s="1219"/>
      <c r="AA135" s="1219"/>
      <c r="AB135" s="1219"/>
      <c r="AC135" s="51"/>
      <c r="AD135" s="1219">
        <f t="shared" si="37"/>
        <v>0</v>
      </c>
      <c r="AE135" s="1219"/>
      <c r="AF135" s="1219"/>
      <c r="AG135" s="1219"/>
      <c r="AH135" s="1219"/>
      <c r="AI135" s="1219"/>
      <c r="AJ135" s="1219"/>
      <c r="AK135" s="4"/>
      <c r="AL135" s="52" t="str">
        <f t="shared" si="23"/>
        <v>413</v>
      </c>
      <c r="AM135" s="60" t="str">
        <f>$BW$131+SUBTOTAL(109,$BW$134:BW135)&amp;". Conversion options on convertible bonds"</f>
        <v>2. Conversion options on convertible bonds</v>
      </c>
      <c r="AN135" s="47"/>
      <c r="AO135" s="47"/>
      <c r="AP135" s="1"/>
      <c r="AQ135" s="3"/>
      <c r="AR135" s="1"/>
      <c r="AS135" s="1"/>
      <c r="AT135" s="1"/>
      <c r="AU135" s="1"/>
      <c r="AV135" s="1"/>
      <c r="AW135" s="1"/>
      <c r="AX135" s="1"/>
      <c r="AY135" s="1"/>
      <c r="AZ135" s="1"/>
      <c r="BA135" s="1"/>
      <c r="BB135" s="1"/>
      <c r="BC135" s="1221">
        <f t="shared" si="24"/>
        <v>0</v>
      </c>
      <c r="BD135" s="1221"/>
      <c r="BE135" s="1221"/>
      <c r="BF135" s="1"/>
      <c r="BG135" s="1219">
        <f t="shared" si="34"/>
        <v>0</v>
      </c>
      <c r="BH135" s="1219"/>
      <c r="BI135" s="1219"/>
      <c r="BJ135" s="1219"/>
      <c r="BK135" s="1219"/>
      <c r="BL135" s="1219"/>
      <c r="BM135" s="1219"/>
      <c r="BN135" s="51"/>
      <c r="BO135" s="1219">
        <f t="shared" si="35"/>
        <v>0</v>
      </c>
      <c r="BP135" s="1219"/>
      <c r="BQ135" s="1219"/>
      <c r="BR135" s="1219"/>
      <c r="BS135" s="1219"/>
      <c r="BT135" s="1219"/>
      <c r="BU135" s="1219"/>
      <c r="BV135" s="3"/>
      <c r="BW135" s="44">
        <f t="shared" si="29"/>
        <v>0</v>
      </c>
      <c r="BX135" s="45">
        <f t="shared" si="19"/>
        <v>0</v>
      </c>
      <c r="BY135" s="45">
        <f t="shared" si="22"/>
        <v>0</v>
      </c>
    </row>
    <row r="136" spans="1:79" s="27" customFormat="1" ht="14.1" customHeight="1" x14ac:dyDescent="0.25">
      <c r="A136" s="52" t="s">
        <v>163</v>
      </c>
      <c r="B136" s="60" t="str">
        <f>$BW$131+SUBTOTAL(109,$BW$134:BW136)&amp;". Vốn khác của chủ sở hữu"</f>
        <v>3. Vốn khác của chủ sở hữu</v>
      </c>
      <c r="C136" s="60"/>
      <c r="D136" s="47"/>
      <c r="E136" s="1"/>
      <c r="F136" s="3"/>
      <c r="G136" s="1"/>
      <c r="H136" s="1"/>
      <c r="I136" s="1"/>
      <c r="J136" s="1"/>
      <c r="K136" s="1"/>
      <c r="L136" s="1"/>
      <c r="M136" s="1"/>
      <c r="N136" s="1"/>
      <c r="O136" s="1"/>
      <c r="P136" s="1"/>
      <c r="Q136" s="1"/>
      <c r="R136" s="1221"/>
      <c r="S136" s="1221"/>
      <c r="T136" s="1221"/>
      <c r="U136" s="1"/>
      <c r="V136" s="1219">
        <f t="shared" si="36"/>
        <v>17380958861</v>
      </c>
      <c r="W136" s="1219"/>
      <c r="X136" s="1219"/>
      <c r="Y136" s="1219"/>
      <c r="Z136" s="1219"/>
      <c r="AA136" s="1219"/>
      <c r="AB136" s="1219"/>
      <c r="AC136" s="51"/>
      <c r="AD136" s="1219">
        <f t="shared" si="37"/>
        <v>17380958861</v>
      </c>
      <c r="AE136" s="1219"/>
      <c r="AF136" s="1219"/>
      <c r="AG136" s="1219"/>
      <c r="AH136" s="1219"/>
      <c r="AI136" s="1219"/>
      <c r="AJ136" s="1219"/>
      <c r="AK136" s="4"/>
      <c r="AL136" s="52" t="str">
        <f t="shared" si="23"/>
        <v>414</v>
      </c>
      <c r="AM136" s="60" t="str">
        <f>$BW$131+SUBTOTAL(109,$BW$134:BW136)&amp;". Other capital"</f>
        <v>3. Other capital</v>
      </c>
      <c r="AN136" s="47"/>
      <c r="AO136" s="47"/>
      <c r="AP136" s="1"/>
      <c r="AQ136" s="3"/>
      <c r="AR136" s="1"/>
      <c r="AS136" s="1"/>
      <c r="AT136" s="1"/>
      <c r="AU136" s="1"/>
      <c r="AV136" s="1"/>
      <c r="AW136" s="1"/>
      <c r="AX136" s="1"/>
      <c r="AY136" s="1"/>
      <c r="AZ136" s="1"/>
      <c r="BA136" s="1"/>
      <c r="BB136" s="1"/>
      <c r="BC136" s="1221">
        <f t="shared" si="24"/>
        <v>0</v>
      </c>
      <c r="BD136" s="1221"/>
      <c r="BE136" s="1221"/>
      <c r="BF136" s="1"/>
      <c r="BG136" s="1219">
        <f t="shared" si="34"/>
        <v>17380958861</v>
      </c>
      <c r="BH136" s="1219"/>
      <c r="BI136" s="1219"/>
      <c r="BJ136" s="1219"/>
      <c r="BK136" s="1219"/>
      <c r="BL136" s="1219"/>
      <c r="BM136" s="1219"/>
      <c r="BN136" s="51"/>
      <c r="BO136" s="1219">
        <f t="shared" si="35"/>
        <v>17380958861</v>
      </c>
      <c r="BP136" s="1219"/>
      <c r="BQ136" s="1219"/>
      <c r="BR136" s="1219"/>
      <c r="BS136" s="1219"/>
      <c r="BT136" s="1219"/>
      <c r="BU136" s="1219"/>
      <c r="BV136" s="3"/>
      <c r="BW136" s="44">
        <f t="shared" si="29"/>
        <v>1</v>
      </c>
      <c r="BX136" s="45">
        <f t="shared" si="19"/>
        <v>0</v>
      </c>
      <c r="BY136" s="45">
        <f t="shared" si="22"/>
        <v>0</v>
      </c>
      <c r="CA136" s="28"/>
    </row>
    <row r="137" spans="1:79" s="27" customFormat="1" ht="14.1" customHeight="1" x14ac:dyDescent="0.25">
      <c r="A137" s="52" t="s">
        <v>164</v>
      </c>
      <c r="B137" s="60" t="str">
        <f>$BW$131+SUBTOTAL(109,$BW$134:BW137)&amp;". Cổ phiếu quỹ"</f>
        <v>4. Cổ phiếu quỹ</v>
      </c>
      <c r="C137" s="60"/>
      <c r="D137" s="47"/>
      <c r="E137" s="1"/>
      <c r="F137" s="3"/>
      <c r="G137" s="1"/>
      <c r="H137" s="1"/>
      <c r="I137" s="1"/>
      <c r="J137" s="1"/>
      <c r="K137" s="1"/>
      <c r="L137" s="1"/>
      <c r="M137" s="1"/>
      <c r="N137" s="1"/>
      <c r="O137" s="1"/>
      <c r="P137" s="1"/>
      <c r="Q137" s="1"/>
      <c r="R137" s="1221"/>
      <c r="S137" s="1221"/>
      <c r="T137" s="1221"/>
      <c r="U137" s="1"/>
      <c r="V137" s="1219">
        <f t="shared" si="36"/>
        <v>-2050000</v>
      </c>
      <c r="W137" s="1219"/>
      <c r="X137" s="1219"/>
      <c r="Y137" s="1219"/>
      <c r="Z137" s="1219"/>
      <c r="AA137" s="1219"/>
      <c r="AB137" s="1219"/>
      <c r="AC137" s="51"/>
      <c r="AD137" s="1219">
        <f t="shared" si="37"/>
        <v>-2050000</v>
      </c>
      <c r="AE137" s="1219"/>
      <c r="AF137" s="1219"/>
      <c r="AG137" s="1219"/>
      <c r="AH137" s="1219"/>
      <c r="AI137" s="1219"/>
      <c r="AJ137" s="1219"/>
      <c r="AK137" s="4"/>
      <c r="AL137" s="52" t="str">
        <f t="shared" si="23"/>
        <v>415</v>
      </c>
      <c r="AM137" s="60" t="str">
        <f>$BW$131+SUBTOTAL(109,$BW$134:BW137)&amp;". Treasury shares"</f>
        <v>4. Treasury shares</v>
      </c>
      <c r="AN137" s="47"/>
      <c r="AO137" s="47"/>
      <c r="AP137" s="1"/>
      <c r="AQ137" s="3"/>
      <c r="AR137" s="1"/>
      <c r="AS137" s="1"/>
      <c r="AT137" s="1"/>
      <c r="AU137" s="1"/>
      <c r="AV137" s="1"/>
      <c r="AW137" s="1"/>
      <c r="AX137" s="1"/>
      <c r="AY137" s="1"/>
      <c r="AZ137" s="1"/>
      <c r="BA137" s="1"/>
      <c r="BB137" s="1"/>
      <c r="BC137" s="1221">
        <f t="shared" si="24"/>
        <v>0</v>
      </c>
      <c r="BD137" s="1221"/>
      <c r="BE137" s="1221"/>
      <c r="BF137" s="1"/>
      <c r="BG137" s="1219">
        <f t="shared" si="34"/>
        <v>-2050000</v>
      </c>
      <c r="BH137" s="1219"/>
      <c r="BI137" s="1219"/>
      <c r="BJ137" s="1219"/>
      <c r="BK137" s="1219"/>
      <c r="BL137" s="1219"/>
      <c r="BM137" s="1219"/>
      <c r="BN137" s="51"/>
      <c r="BO137" s="1219">
        <f t="shared" si="35"/>
        <v>-2050000</v>
      </c>
      <c r="BP137" s="1219"/>
      <c r="BQ137" s="1219"/>
      <c r="BR137" s="1219"/>
      <c r="BS137" s="1219"/>
      <c r="BT137" s="1219"/>
      <c r="BU137" s="1219"/>
      <c r="BV137" s="3"/>
      <c r="BW137" s="44">
        <f t="shared" si="29"/>
        <v>1</v>
      </c>
      <c r="BX137" s="45">
        <f t="shared" ref="BX137:BX148" si="38">IF(ISNONTEXT(V137),V137-BG137,0)</f>
        <v>0</v>
      </c>
      <c r="BY137" s="45">
        <f t="shared" si="22"/>
        <v>0</v>
      </c>
      <c r="CA137" s="28"/>
    </row>
    <row r="138" spans="1:79" s="27" customFormat="1" ht="14.1" hidden="1" customHeight="1" x14ac:dyDescent="0.25">
      <c r="A138" s="52" t="s">
        <v>165</v>
      </c>
      <c r="B138" s="60" t="str">
        <f>$BW$131+SUBTOTAL(109,$BW$134:BW138)&amp;". Chênh lệch đánh giá lại tài sản"</f>
        <v>4. Chênh lệch đánh giá lại tài sản</v>
      </c>
      <c r="C138" s="60"/>
      <c r="D138" s="47"/>
      <c r="E138" s="1"/>
      <c r="F138" s="3"/>
      <c r="G138" s="1"/>
      <c r="H138" s="1"/>
      <c r="I138" s="1"/>
      <c r="J138" s="1"/>
      <c r="K138" s="1"/>
      <c r="L138" s="1"/>
      <c r="M138" s="1"/>
      <c r="N138" s="1"/>
      <c r="O138" s="1"/>
      <c r="P138" s="1"/>
      <c r="Q138" s="1"/>
      <c r="R138" s="1221" t="str">
        <f>IF(STT_CLDanhGiaLaiTS1&lt;&gt;0,STT_CLDanhGiaLaiTS,"")</f>
        <v/>
      </c>
      <c r="S138" s="1221"/>
      <c r="T138" s="1221"/>
      <c r="U138" s="1"/>
      <c r="V138" s="1219">
        <f t="shared" si="36"/>
        <v>0</v>
      </c>
      <c r="W138" s="1219"/>
      <c r="X138" s="1219"/>
      <c r="Y138" s="1219"/>
      <c r="Z138" s="1219"/>
      <c r="AA138" s="1219"/>
      <c r="AB138" s="1219"/>
      <c r="AC138" s="51"/>
      <c r="AD138" s="1219">
        <f t="shared" si="37"/>
        <v>0</v>
      </c>
      <c r="AE138" s="1219"/>
      <c r="AF138" s="1219"/>
      <c r="AG138" s="1219"/>
      <c r="AH138" s="1219"/>
      <c r="AI138" s="1219"/>
      <c r="AJ138" s="1219"/>
      <c r="AK138" s="4"/>
      <c r="AL138" s="52" t="str">
        <f t="shared" si="23"/>
        <v>416</v>
      </c>
      <c r="AM138" s="60" t="str">
        <f>$BW$131+SUBTOTAL(109,$BW$134:BW138)&amp;". Differences upon asset revaluation"</f>
        <v>4. Differences upon asset revaluation</v>
      </c>
      <c r="AN138" s="47"/>
      <c r="AO138" s="47"/>
      <c r="AP138" s="1"/>
      <c r="AQ138" s="3"/>
      <c r="AR138" s="1"/>
      <c r="AS138" s="1"/>
      <c r="AT138" s="1"/>
      <c r="AU138" s="1"/>
      <c r="AV138" s="1"/>
      <c r="AW138" s="1"/>
      <c r="AX138" s="1"/>
      <c r="AY138" s="1"/>
      <c r="AZ138" s="1"/>
      <c r="BA138" s="1"/>
      <c r="BB138" s="1"/>
      <c r="BC138" s="1221" t="str">
        <f t="shared" si="24"/>
        <v/>
      </c>
      <c r="BD138" s="1221"/>
      <c r="BE138" s="1221"/>
      <c r="BF138" s="1"/>
      <c r="BG138" s="1219">
        <f t="shared" si="34"/>
        <v>0</v>
      </c>
      <c r="BH138" s="1219"/>
      <c r="BI138" s="1219"/>
      <c r="BJ138" s="1219"/>
      <c r="BK138" s="1219"/>
      <c r="BL138" s="1219"/>
      <c r="BM138" s="1219"/>
      <c r="BN138" s="51"/>
      <c r="BO138" s="1219">
        <f t="shared" si="35"/>
        <v>0</v>
      </c>
      <c r="BP138" s="1219"/>
      <c r="BQ138" s="1219"/>
      <c r="BR138" s="1219"/>
      <c r="BS138" s="1219"/>
      <c r="BT138" s="1219"/>
      <c r="BU138" s="1219"/>
      <c r="BV138" s="3"/>
      <c r="BW138" s="44">
        <f t="shared" si="29"/>
        <v>0</v>
      </c>
      <c r="BX138" s="45">
        <f t="shared" si="38"/>
        <v>0</v>
      </c>
      <c r="BY138" s="45">
        <f t="shared" si="22"/>
        <v>0</v>
      </c>
    </row>
    <row r="139" spans="1:79" s="27" customFormat="1" ht="14.1" hidden="1" customHeight="1" x14ac:dyDescent="0.25">
      <c r="A139" s="52" t="s">
        <v>166</v>
      </c>
      <c r="B139" s="60" t="str">
        <f>$BW$131+SUBTOTAL(109,$BW$134:BW139)&amp;". Chênh lệch tỷ giá hối đoái"</f>
        <v>4. Chênh lệch tỷ giá hối đoái</v>
      </c>
      <c r="C139" s="60"/>
      <c r="D139" s="47"/>
      <c r="E139" s="1"/>
      <c r="F139" s="3"/>
      <c r="G139" s="1"/>
      <c r="H139" s="1"/>
      <c r="I139" s="1"/>
      <c r="J139" s="1"/>
      <c r="K139" s="1"/>
      <c r="L139" s="1"/>
      <c r="M139" s="1"/>
      <c r="N139" s="1"/>
      <c r="O139" s="1"/>
      <c r="P139" s="1"/>
      <c r="Q139" s="1"/>
      <c r="R139" s="1221" t="str">
        <f>IF(STT_ChenhLechTG1&lt;&gt;0,STT_ChenhLechTG,"")</f>
        <v/>
      </c>
      <c r="S139" s="1221"/>
      <c r="T139" s="1221"/>
      <c r="U139" s="1"/>
      <c r="V139" s="1219">
        <f t="shared" si="36"/>
        <v>0</v>
      </c>
      <c r="W139" s="1219"/>
      <c r="X139" s="1219"/>
      <c r="Y139" s="1219"/>
      <c r="Z139" s="1219"/>
      <c r="AA139" s="1219"/>
      <c r="AB139" s="1219"/>
      <c r="AC139" s="51"/>
      <c r="AD139" s="1219">
        <f t="shared" si="37"/>
        <v>0</v>
      </c>
      <c r="AE139" s="1219"/>
      <c r="AF139" s="1219"/>
      <c r="AG139" s="1219"/>
      <c r="AH139" s="1219"/>
      <c r="AI139" s="1219"/>
      <c r="AJ139" s="1219"/>
      <c r="AK139" s="4"/>
      <c r="AL139" s="52" t="str">
        <f t="shared" si="23"/>
        <v>417</v>
      </c>
      <c r="AM139" s="60" t="str">
        <f>$BW$131+SUBTOTAL(109,$BW$134:BW139)&amp;". Exchange rate differences"</f>
        <v>4. Exchange rate differences</v>
      </c>
      <c r="AN139" s="47"/>
      <c r="AO139" s="47"/>
      <c r="AP139" s="1"/>
      <c r="AQ139" s="3"/>
      <c r="AR139" s="1"/>
      <c r="AS139" s="1"/>
      <c r="AT139" s="1"/>
      <c r="AU139" s="1"/>
      <c r="AV139" s="1"/>
      <c r="AW139" s="1"/>
      <c r="AX139" s="1"/>
      <c r="AY139" s="1"/>
      <c r="AZ139" s="1"/>
      <c r="BA139" s="1"/>
      <c r="BB139" s="1"/>
      <c r="BC139" s="1221" t="str">
        <f t="shared" si="24"/>
        <v/>
      </c>
      <c r="BD139" s="1221"/>
      <c r="BE139" s="1221"/>
      <c r="BF139" s="1"/>
      <c r="BG139" s="1219">
        <f t="shared" si="34"/>
        <v>0</v>
      </c>
      <c r="BH139" s="1219"/>
      <c r="BI139" s="1219"/>
      <c r="BJ139" s="1219"/>
      <c r="BK139" s="1219"/>
      <c r="BL139" s="1219"/>
      <c r="BM139" s="1219"/>
      <c r="BN139" s="51"/>
      <c r="BO139" s="1219">
        <f t="shared" si="35"/>
        <v>0</v>
      </c>
      <c r="BP139" s="1219"/>
      <c r="BQ139" s="1219"/>
      <c r="BR139" s="1219"/>
      <c r="BS139" s="1219"/>
      <c r="BT139" s="1219"/>
      <c r="BU139" s="1219"/>
      <c r="BV139" s="3"/>
      <c r="BW139" s="44">
        <f t="shared" si="29"/>
        <v>0</v>
      </c>
      <c r="BX139" s="45">
        <f t="shared" si="38"/>
        <v>0</v>
      </c>
      <c r="BY139" s="45">
        <f t="shared" si="22"/>
        <v>0</v>
      </c>
    </row>
    <row r="140" spans="1:79" s="27" customFormat="1" ht="14.1" customHeight="1" x14ac:dyDescent="0.25">
      <c r="A140" s="52" t="s">
        <v>167</v>
      </c>
      <c r="B140" s="60" t="str">
        <f>$BW$131+SUBTOTAL(109,$BW$134:BW140)&amp;". Quỹ đầu tư phát triển"</f>
        <v>5. Quỹ đầu tư phát triển</v>
      </c>
      <c r="C140" s="60"/>
      <c r="D140" s="47"/>
      <c r="E140" s="1"/>
      <c r="F140" s="3"/>
      <c r="G140" s="1"/>
      <c r="H140" s="1"/>
      <c r="I140" s="1"/>
      <c r="J140" s="1"/>
      <c r="K140" s="1"/>
      <c r="L140" s="1"/>
      <c r="M140" s="1"/>
      <c r="N140" s="1"/>
      <c r="O140" s="1"/>
      <c r="P140" s="1"/>
      <c r="Q140" s="1"/>
      <c r="R140" s="1221"/>
      <c r="S140" s="1221"/>
      <c r="T140" s="1221"/>
      <c r="U140" s="1"/>
      <c r="V140" s="1219">
        <f t="shared" si="36"/>
        <v>9212585483</v>
      </c>
      <c r="W140" s="1219"/>
      <c r="X140" s="1219"/>
      <c r="Y140" s="1219"/>
      <c r="Z140" s="1219"/>
      <c r="AA140" s="1219"/>
      <c r="AB140" s="1219"/>
      <c r="AC140" s="51"/>
      <c r="AD140" s="1219">
        <f t="shared" si="37"/>
        <v>9212585483</v>
      </c>
      <c r="AE140" s="1219"/>
      <c r="AF140" s="1219"/>
      <c r="AG140" s="1219"/>
      <c r="AH140" s="1219"/>
      <c r="AI140" s="1219"/>
      <c r="AJ140" s="1219"/>
      <c r="AK140" s="4"/>
      <c r="AL140" s="52" t="str">
        <f t="shared" si="23"/>
        <v>418</v>
      </c>
      <c r="AM140" s="60" t="str">
        <f>$BW$131+SUBTOTAL(109,$BW$134:BW140)&amp;". Development investment funds"</f>
        <v>5. Development investment funds</v>
      </c>
      <c r="AN140" s="47"/>
      <c r="AO140" s="47"/>
      <c r="AP140" s="1"/>
      <c r="AQ140" s="3"/>
      <c r="AR140" s="1"/>
      <c r="AS140" s="1"/>
      <c r="AT140" s="1"/>
      <c r="AU140" s="1"/>
      <c r="AV140" s="1"/>
      <c r="AW140" s="1"/>
      <c r="AX140" s="1"/>
      <c r="AY140" s="1"/>
      <c r="AZ140" s="1"/>
      <c r="BA140" s="1"/>
      <c r="BB140" s="1"/>
      <c r="BC140" s="1221">
        <f t="shared" si="24"/>
        <v>0</v>
      </c>
      <c r="BD140" s="1221"/>
      <c r="BE140" s="1221"/>
      <c r="BF140" s="1"/>
      <c r="BG140" s="1219">
        <f t="shared" si="34"/>
        <v>9212585483</v>
      </c>
      <c r="BH140" s="1219"/>
      <c r="BI140" s="1219"/>
      <c r="BJ140" s="1219"/>
      <c r="BK140" s="1219"/>
      <c r="BL140" s="1219"/>
      <c r="BM140" s="1219"/>
      <c r="BN140" s="51"/>
      <c r="BO140" s="1219">
        <f t="shared" si="35"/>
        <v>9212585483</v>
      </c>
      <c r="BP140" s="1219"/>
      <c r="BQ140" s="1219"/>
      <c r="BR140" s="1219"/>
      <c r="BS140" s="1219"/>
      <c r="BT140" s="1219"/>
      <c r="BU140" s="1219"/>
      <c r="BV140" s="3"/>
      <c r="BW140" s="44">
        <f t="shared" si="29"/>
        <v>1</v>
      </c>
      <c r="BX140" s="45">
        <f t="shared" si="38"/>
        <v>0</v>
      </c>
      <c r="BY140" s="45">
        <f t="shared" si="22"/>
        <v>0</v>
      </c>
      <c r="CA140" s="28"/>
    </row>
    <row r="141" spans="1:79" s="1" customFormat="1" ht="14.1" hidden="1" customHeight="1" x14ac:dyDescent="0.25">
      <c r="A141" s="52" t="s">
        <v>168</v>
      </c>
      <c r="B141" s="60" t="str">
        <f>$BW$131+SUBTOTAL(109,$BW$134:BW141)&amp;". Quỹ hỗ trợ sắp xếp doanh nghiệp"</f>
        <v>5. Quỹ hỗ trợ sắp xếp doanh nghiệp</v>
      </c>
      <c r="C141" s="60"/>
      <c r="D141" s="47"/>
      <c r="F141" s="3"/>
      <c r="R141" s="1221"/>
      <c r="S141" s="1221"/>
      <c r="T141" s="1221"/>
      <c r="V141" s="1219">
        <f t="shared" si="36"/>
        <v>0</v>
      </c>
      <c r="W141" s="1219"/>
      <c r="X141" s="1219"/>
      <c r="Y141" s="1219"/>
      <c r="Z141" s="1219"/>
      <c r="AA141" s="1219"/>
      <c r="AB141" s="1219"/>
      <c r="AC141" s="51"/>
      <c r="AD141" s="1219">
        <f t="shared" si="37"/>
        <v>0</v>
      </c>
      <c r="AE141" s="1219"/>
      <c r="AF141" s="1219"/>
      <c r="AG141" s="1219"/>
      <c r="AH141" s="1219"/>
      <c r="AI141" s="1219"/>
      <c r="AJ141" s="1219"/>
      <c r="AK141" s="4"/>
      <c r="AL141" s="52" t="str">
        <f t="shared" si="23"/>
        <v>419</v>
      </c>
      <c r="AM141" s="60" t="str">
        <f>$BW$131+SUBTOTAL(109,$BW$134:BW141)&amp;". Enterprise reorganization assistance fund"</f>
        <v>5. Enterprise reorganization assistance fund</v>
      </c>
      <c r="AN141" s="47"/>
      <c r="AO141" s="47"/>
      <c r="AQ141" s="3"/>
      <c r="BC141" s="1221">
        <f t="shared" si="24"/>
        <v>0</v>
      </c>
      <c r="BD141" s="1221"/>
      <c r="BE141" s="1221"/>
      <c r="BG141" s="1219">
        <f t="shared" si="34"/>
        <v>0</v>
      </c>
      <c r="BH141" s="1219"/>
      <c r="BI141" s="1219"/>
      <c r="BJ141" s="1219"/>
      <c r="BK141" s="1219"/>
      <c r="BL141" s="1219"/>
      <c r="BM141" s="1219"/>
      <c r="BN141" s="51"/>
      <c r="BO141" s="1219">
        <f t="shared" si="35"/>
        <v>0</v>
      </c>
      <c r="BP141" s="1219"/>
      <c r="BQ141" s="1219"/>
      <c r="BR141" s="1219"/>
      <c r="BS141" s="1219"/>
      <c r="BT141" s="1219"/>
      <c r="BU141" s="1219"/>
      <c r="BV141" s="3"/>
      <c r="BW141" s="44">
        <f t="shared" si="29"/>
        <v>0</v>
      </c>
      <c r="BX141" s="45">
        <f t="shared" si="38"/>
        <v>0</v>
      </c>
      <c r="BY141" s="45">
        <f t="shared" si="22"/>
        <v>0</v>
      </c>
    </row>
    <row r="142" spans="1:79" s="27" customFormat="1" ht="14.1" hidden="1" customHeight="1" x14ac:dyDescent="0.25">
      <c r="A142" s="52" t="s">
        <v>169</v>
      </c>
      <c r="B142" s="60" t="str">
        <f>$BW$131+SUBTOTAL(109,$BW$134:BW142)&amp;". Quỹ khác thuộc vốn chủ sở hữu"</f>
        <v>5. Quỹ khác thuộc vốn chủ sở hữu</v>
      </c>
      <c r="C142" s="60"/>
      <c r="D142" s="47"/>
      <c r="E142" s="1"/>
      <c r="F142" s="3"/>
      <c r="G142" s="1"/>
      <c r="H142" s="1"/>
      <c r="I142" s="1"/>
      <c r="J142" s="1"/>
      <c r="K142" s="1"/>
      <c r="L142" s="1"/>
      <c r="M142" s="1"/>
      <c r="N142" s="1"/>
      <c r="O142" s="1"/>
      <c r="P142" s="1"/>
      <c r="Q142" s="1"/>
      <c r="R142" s="1221"/>
      <c r="S142" s="1221"/>
      <c r="T142" s="1221"/>
      <c r="U142" s="1"/>
      <c r="V142" s="1219">
        <f t="shared" si="36"/>
        <v>0</v>
      </c>
      <c r="W142" s="1219"/>
      <c r="X142" s="1219"/>
      <c r="Y142" s="1219"/>
      <c r="Z142" s="1219"/>
      <c r="AA142" s="1219"/>
      <c r="AB142" s="1219"/>
      <c r="AC142" s="51"/>
      <c r="AD142" s="1219">
        <f t="shared" si="37"/>
        <v>0</v>
      </c>
      <c r="AE142" s="1219"/>
      <c r="AF142" s="1219"/>
      <c r="AG142" s="1219"/>
      <c r="AH142" s="1219"/>
      <c r="AI142" s="1219"/>
      <c r="AJ142" s="1219"/>
      <c r="AK142" s="4"/>
      <c r="AL142" s="52" t="str">
        <f t="shared" si="23"/>
        <v>420</v>
      </c>
      <c r="AM142" s="60" t="str">
        <f>$BW$131+SUBTOTAL(109,$BW$134:BW142)&amp;". Other equity fund"</f>
        <v>5. Other equity fund</v>
      </c>
      <c r="AN142" s="47"/>
      <c r="AO142" s="47"/>
      <c r="AP142" s="1"/>
      <c r="AQ142" s="3"/>
      <c r="AR142" s="1"/>
      <c r="AS142" s="1"/>
      <c r="AT142" s="1"/>
      <c r="AU142" s="1"/>
      <c r="AV142" s="1"/>
      <c r="AW142" s="1"/>
      <c r="AX142" s="1"/>
      <c r="AY142" s="1"/>
      <c r="AZ142" s="1"/>
      <c r="BA142" s="1"/>
      <c r="BB142" s="1"/>
      <c r="BC142" s="1221">
        <f t="shared" si="24"/>
        <v>0</v>
      </c>
      <c r="BD142" s="1221"/>
      <c r="BE142" s="1221"/>
      <c r="BF142" s="1"/>
      <c r="BG142" s="1219">
        <f t="shared" si="34"/>
        <v>0</v>
      </c>
      <c r="BH142" s="1219"/>
      <c r="BI142" s="1219"/>
      <c r="BJ142" s="1219"/>
      <c r="BK142" s="1219"/>
      <c r="BL142" s="1219"/>
      <c r="BM142" s="1219"/>
      <c r="BN142" s="51"/>
      <c r="BO142" s="1219">
        <f t="shared" si="35"/>
        <v>0</v>
      </c>
      <c r="BP142" s="1219"/>
      <c r="BQ142" s="1219"/>
      <c r="BR142" s="1219"/>
      <c r="BS142" s="1219"/>
      <c r="BT142" s="1219"/>
      <c r="BU142" s="1219"/>
      <c r="BV142" s="3"/>
      <c r="BW142" s="44">
        <f t="shared" si="29"/>
        <v>0</v>
      </c>
      <c r="BX142" s="45">
        <f t="shared" si="38"/>
        <v>0</v>
      </c>
      <c r="BY142" s="45">
        <f t="shared" si="22"/>
        <v>0</v>
      </c>
    </row>
    <row r="143" spans="1:79" s="27" customFormat="1" ht="14.1" customHeight="1" x14ac:dyDescent="0.25">
      <c r="A143" s="52" t="s">
        <v>170</v>
      </c>
      <c r="B143" s="60" t="str">
        <f>$BW$131+SUBTOTAL(109,$BW$134:BW143)&amp;". Lợi nhuận sau thuế chưa phân phối"</f>
        <v>6. Lợi nhuận sau thuế chưa phân phối</v>
      </c>
      <c r="C143" s="60"/>
      <c r="D143" s="47"/>
      <c r="E143" s="1"/>
      <c r="F143" s="3"/>
      <c r="G143" s="1"/>
      <c r="H143" s="1"/>
      <c r="I143" s="1"/>
      <c r="J143" s="1"/>
      <c r="K143" s="1"/>
      <c r="L143" s="1"/>
      <c r="M143" s="1"/>
      <c r="N143" s="1"/>
      <c r="O143" s="1"/>
      <c r="P143" s="1"/>
      <c r="Q143" s="1"/>
      <c r="R143" s="1221"/>
      <c r="S143" s="1221"/>
      <c r="T143" s="1221"/>
      <c r="U143" s="1"/>
      <c r="V143" s="1219">
        <f>SUBTOTAL(109,V144:AB145)</f>
        <v>256169959</v>
      </c>
      <c r="W143" s="1219"/>
      <c r="X143" s="1219"/>
      <c r="Y143" s="1219"/>
      <c r="Z143" s="1219"/>
      <c r="AA143" s="1219"/>
      <c r="AB143" s="1219"/>
      <c r="AC143" s="51"/>
      <c r="AD143" s="1219">
        <f>SUBTOTAL(109,AD144:AJ145)</f>
        <v>-1949420899</v>
      </c>
      <c r="AE143" s="1219"/>
      <c r="AF143" s="1219"/>
      <c r="AG143" s="1219"/>
      <c r="AH143" s="1219"/>
      <c r="AI143" s="1219"/>
      <c r="AJ143" s="1219"/>
      <c r="AK143" s="4"/>
      <c r="AL143" s="52" t="str">
        <f t="shared" si="23"/>
        <v>421</v>
      </c>
      <c r="AM143" s="60" t="str">
        <f>$BW$131+SUBTOTAL(109,$BW$134:BW143)&amp;". Undistributed profit after tax"</f>
        <v>6. Undistributed profit after tax</v>
      </c>
      <c r="AN143" s="47"/>
      <c r="AO143" s="47"/>
      <c r="AP143" s="1"/>
      <c r="AQ143" s="3"/>
      <c r="AR143" s="1"/>
      <c r="AS143" s="1"/>
      <c r="AT143" s="1"/>
      <c r="AU143" s="1"/>
      <c r="AV143" s="1"/>
      <c r="AW143" s="1"/>
      <c r="AX143" s="1"/>
      <c r="AY143" s="1"/>
      <c r="AZ143" s="1"/>
      <c r="BA143" s="1"/>
      <c r="BB143" s="1"/>
      <c r="BC143" s="1221">
        <f t="shared" si="24"/>
        <v>0</v>
      </c>
      <c r="BD143" s="1221"/>
      <c r="BE143" s="1221"/>
      <c r="BF143" s="1"/>
      <c r="BG143" s="1219">
        <f t="shared" si="34"/>
        <v>256169959</v>
      </c>
      <c r="BH143" s="1219"/>
      <c r="BI143" s="1219"/>
      <c r="BJ143" s="1219"/>
      <c r="BK143" s="1219"/>
      <c r="BL143" s="1219"/>
      <c r="BM143" s="1219"/>
      <c r="BN143" s="51"/>
      <c r="BO143" s="1219">
        <f t="shared" si="35"/>
        <v>-1949420899</v>
      </c>
      <c r="BP143" s="1219"/>
      <c r="BQ143" s="1219"/>
      <c r="BR143" s="1219"/>
      <c r="BS143" s="1219"/>
      <c r="BT143" s="1219"/>
      <c r="BU143" s="1219"/>
      <c r="BV143" s="3"/>
      <c r="BW143" s="44">
        <f t="shared" si="29"/>
        <v>1</v>
      </c>
      <c r="BX143" s="45">
        <f t="shared" si="38"/>
        <v>0</v>
      </c>
      <c r="BY143" s="45">
        <f t="shared" si="22"/>
        <v>0</v>
      </c>
      <c r="CA143" s="28"/>
    </row>
    <row r="144" spans="1:79" s="101" customFormat="1" ht="15" customHeight="1" x14ac:dyDescent="0.25">
      <c r="A144" s="93" t="s">
        <v>171</v>
      </c>
      <c r="B144" s="1241" t="s">
        <v>172</v>
      </c>
      <c r="C144" s="1241"/>
      <c r="D144" s="1241"/>
      <c r="E144" s="1241"/>
      <c r="F144" s="1241"/>
      <c r="G144" s="1241"/>
      <c r="H144" s="1241"/>
      <c r="I144" s="1241"/>
      <c r="J144" s="1241"/>
      <c r="K144" s="1241"/>
      <c r="L144" s="1241"/>
      <c r="M144" s="1241"/>
      <c r="N144" s="1241"/>
      <c r="O144" s="1241"/>
      <c r="P144" s="1241"/>
      <c r="Q144" s="1241"/>
      <c r="R144" s="1241"/>
      <c r="S144" s="1241"/>
      <c r="T144" s="1241"/>
      <c r="U144" s="95"/>
      <c r="V144" s="1229">
        <f t="shared" si="36"/>
        <v>-1949420899</v>
      </c>
      <c r="W144" s="1229"/>
      <c r="X144" s="1229"/>
      <c r="Y144" s="1229"/>
      <c r="Z144" s="1229"/>
      <c r="AA144" s="1229"/>
      <c r="AB144" s="1229"/>
      <c r="AC144" s="97"/>
      <c r="AD144" s="1229">
        <f t="shared" si="37"/>
        <v>-2672843766</v>
      </c>
      <c r="AE144" s="1229"/>
      <c r="AF144" s="1229"/>
      <c r="AG144" s="1229"/>
      <c r="AH144" s="1229"/>
      <c r="AI144" s="1229"/>
      <c r="AJ144" s="1229"/>
      <c r="AK144" s="68"/>
      <c r="AL144" s="93" t="str">
        <f t="shared" si="23"/>
        <v>421a</v>
      </c>
      <c r="AM144" s="1241" t="s">
        <v>173</v>
      </c>
      <c r="AN144" s="1241"/>
      <c r="AO144" s="1241"/>
      <c r="AP144" s="1241"/>
      <c r="AQ144" s="1241"/>
      <c r="AR144" s="1241"/>
      <c r="AS144" s="1241"/>
      <c r="AT144" s="1241"/>
      <c r="AU144" s="1241"/>
      <c r="AV144" s="1241"/>
      <c r="AW144" s="1241"/>
      <c r="AX144" s="1241"/>
      <c r="AY144" s="1241"/>
      <c r="AZ144" s="1241"/>
      <c r="BA144" s="1241"/>
      <c r="BB144" s="1241"/>
      <c r="BC144" s="1240"/>
      <c r="BD144" s="1240"/>
      <c r="BE144" s="1240"/>
      <c r="BF144" s="95"/>
      <c r="BG144" s="1229">
        <f t="shared" si="34"/>
        <v>-1949420899</v>
      </c>
      <c r="BH144" s="1229"/>
      <c r="BI144" s="1229"/>
      <c r="BJ144" s="1229"/>
      <c r="BK144" s="1229"/>
      <c r="BL144" s="1229"/>
      <c r="BM144" s="1229"/>
      <c r="BN144" s="97"/>
      <c r="BO144" s="1229">
        <f t="shared" si="35"/>
        <v>-2672843766</v>
      </c>
      <c r="BP144" s="1229"/>
      <c r="BQ144" s="1229"/>
      <c r="BR144" s="1229"/>
      <c r="BS144" s="1229"/>
      <c r="BT144" s="1229"/>
      <c r="BU144" s="1229"/>
      <c r="BV144" s="99"/>
      <c r="BW144" s="100">
        <f>IF(ISTEXT(A144),IF(OR(SUM(V144:AB144)&lt;&gt;0,SUM(AD144:AJ144)&lt;&gt;0),1,0),1)</f>
        <v>1</v>
      </c>
      <c r="BX144" s="45">
        <f t="shared" si="38"/>
        <v>0</v>
      </c>
      <c r="BY144" s="45">
        <f t="shared" si="22"/>
        <v>0</v>
      </c>
      <c r="CA144" s="102"/>
    </row>
    <row r="145" spans="1:79" s="33" customFormat="1" ht="15" customHeight="1" x14ac:dyDescent="0.25">
      <c r="A145" s="93" t="s">
        <v>174</v>
      </c>
      <c r="B145" s="94" t="s">
        <v>175</v>
      </c>
      <c r="C145" s="95"/>
      <c r="D145" s="95"/>
      <c r="E145" s="95"/>
      <c r="F145" s="96"/>
      <c r="G145" s="95"/>
      <c r="H145" s="95"/>
      <c r="I145" s="95"/>
      <c r="J145" s="95"/>
      <c r="K145" s="95"/>
      <c r="L145" s="95"/>
      <c r="M145" s="95"/>
      <c r="N145" s="95"/>
      <c r="O145" s="95"/>
      <c r="P145" s="95"/>
      <c r="Q145" s="95"/>
      <c r="R145" s="103"/>
      <c r="S145" s="103"/>
      <c r="T145" s="103"/>
      <c r="U145" s="95"/>
      <c r="V145" s="1229">
        <f t="shared" si="36"/>
        <v>2205590858</v>
      </c>
      <c r="W145" s="1229"/>
      <c r="X145" s="1229"/>
      <c r="Y145" s="1229"/>
      <c r="Z145" s="1229"/>
      <c r="AA145" s="1229"/>
      <c r="AB145" s="1229"/>
      <c r="AC145" s="97"/>
      <c r="AD145" s="1229">
        <f t="shared" si="37"/>
        <v>723422867</v>
      </c>
      <c r="AE145" s="1229"/>
      <c r="AF145" s="1229"/>
      <c r="AG145" s="1229"/>
      <c r="AH145" s="1229"/>
      <c r="AI145" s="1229"/>
      <c r="AJ145" s="1229"/>
      <c r="AK145" s="68"/>
      <c r="AL145" s="93" t="str">
        <f t="shared" si="23"/>
        <v>421b</v>
      </c>
      <c r="AM145" s="1241" t="s">
        <v>176</v>
      </c>
      <c r="AN145" s="1241"/>
      <c r="AO145" s="1241"/>
      <c r="AP145" s="1241"/>
      <c r="AQ145" s="1241"/>
      <c r="AR145" s="1241"/>
      <c r="AS145" s="1241"/>
      <c r="AT145" s="1241"/>
      <c r="AU145" s="1241"/>
      <c r="AV145" s="1241"/>
      <c r="AW145" s="1241"/>
      <c r="AX145" s="1241"/>
      <c r="AY145" s="1241"/>
      <c r="AZ145" s="1241"/>
      <c r="BA145" s="1241"/>
      <c r="BB145" s="1241"/>
      <c r="BC145" s="103"/>
      <c r="BD145" s="103"/>
      <c r="BE145" s="103"/>
      <c r="BF145" s="95"/>
      <c r="BG145" s="1229">
        <f t="shared" si="34"/>
        <v>2205590858</v>
      </c>
      <c r="BH145" s="1229"/>
      <c r="BI145" s="1229"/>
      <c r="BJ145" s="1229"/>
      <c r="BK145" s="1229"/>
      <c r="BL145" s="1229"/>
      <c r="BM145" s="1229"/>
      <c r="BN145" s="97"/>
      <c r="BO145" s="1229">
        <f t="shared" si="35"/>
        <v>723422867</v>
      </c>
      <c r="BP145" s="1229"/>
      <c r="BQ145" s="1229"/>
      <c r="BR145" s="1229"/>
      <c r="BS145" s="1229"/>
      <c r="BT145" s="1229"/>
      <c r="BU145" s="1229"/>
      <c r="BV145" s="99"/>
      <c r="BW145" s="100">
        <f>IF(ISTEXT(A145),IF(OR(SUM(V145:AB145)&lt;&gt;0,SUM(AD145:AJ145)&lt;&gt;0),1,0),1)</f>
        <v>1</v>
      </c>
      <c r="BX145" s="79">
        <f t="shared" si="38"/>
        <v>0</v>
      </c>
      <c r="BY145" s="79">
        <f t="shared" si="22"/>
        <v>0</v>
      </c>
      <c r="CA145" s="104"/>
    </row>
    <row r="146" spans="1:79" s="27" customFormat="1" ht="14.1" hidden="1" customHeight="1" x14ac:dyDescent="0.25">
      <c r="A146" s="52" t="s">
        <v>177</v>
      </c>
      <c r="B146" s="60" t="str">
        <f>($BW$131+SUBTOTAL(109,$BW$134:BW143)+BW146)&amp;". Nguồn vốn đầu tư xây dựng cơ bản"</f>
        <v>6. Nguồn vốn đầu tư xây dựng cơ bản</v>
      </c>
      <c r="C146" s="60"/>
      <c r="D146" s="47"/>
      <c r="E146" s="1"/>
      <c r="F146" s="3"/>
      <c r="G146" s="1"/>
      <c r="H146" s="1"/>
      <c r="I146" s="1"/>
      <c r="J146" s="1"/>
      <c r="K146" s="1"/>
      <c r="L146" s="1"/>
      <c r="M146" s="1"/>
      <c r="N146" s="1"/>
      <c r="O146" s="1"/>
      <c r="P146" s="1"/>
      <c r="Q146" s="1"/>
      <c r="R146" s="1221"/>
      <c r="S146" s="1221"/>
      <c r="T146" s="1221"/>
      <c r="U146" s="1"/>
      <c r="V146" s="1219">
        <f t="shared" si="36"/>
        <v>0</v>
      </c>
      <c r="W146" s="1219"/>
      <c r="X146" s="1219"/>
      <c r="Y146" s="1219"/>
      <c r="Z146" s="1219"/>
      <c r="AA146" s="1219"/>
      <c r="AB146" s="1219"/>
      <c r="AC146" s="51"/>
      <c r="AD146" s="1219">
        <f t="shared" si="37"/>
        <v>0</v>
      </c>
      <c r="AE146" s="1219"/>
      <c r="AF146" s="1219"/>
      <c r="AG146" s="1219"/>
      <c r="AH146" s="1219"/>
      <c r="AI146" s="1219"/>
      <c r="AJ146" s="1219"/>
      <c r="AK146" s="4"/>
      <c r="AL146" s="52" t="str">
        <f t="shared" si="23"/>
        <v>422</v>
      </c>
      <c r="AM146" s="60" t="str">
        <f>($BW$131+SUBTOTAL(109,$BW$134:BW143)+BW146)&amp;". Capital expenditure fund"</f>
        <v>6. Capital expenditure fund</v>
      </c>
      <c r="AN146" s="47"/>
      <c r="AO146" s="47"/>
      <c r="AP146" s="1"/>
      <c r="AQ146" s="3"/>
      <c r="AR146" s="1"/>
      <c r="AS146" s="1"/>
      <c r="AT146" s="1"/>
      <c r="AU146" s="1"/>
      <c r="AV146" s="1"/>
      <c r="AW146" s="1"/>
      <c r="AX146" s="1"/>
      <c r="AY146" s="1"/>
      <c r="AZ146" s="1"/>
      <c r="BA146" s="1"/>
      <c r="BB146" s="1"/>
      <c r="BC146" s="1221">
        <f>R146</f>
        <v>0</v>
      </c>
      <c r="BD146" s="1221"/>
      <c r="BE146" s="1221"/>
      <c r="BF146" s="1"/>
      <c r="BG146" s="1219">
        <f t="shared" si="34"/>
        <v>0</v>
      </c>
      <c r="BH146" s="1219"/>
      <c r="BI146" s="1219"/>
      <c r="BJ146" s="1219"/>
      <c r="BK146" s="1219"/>
      <c r="BL146" s="1219"/>
      <c r="BM146" s="1219"/>
      <c r="BN146" s="51"/>
      <c r="BO146" s="1219">
        <f t="shared" si="35"/>
        <v>0</v>
      </c>
      <c r="BP146" s="1219"/>
      <c r="BQ146" s="1219"/>
      <c r="BR146" s="1219"/>
      <c r="BS146" s="1219"/>
      <c r="BT146" s="1219"/>
      <c r="BU146" s="1219"/>
      <c r="BV146" s="3"/>
      <c r="BW146" s="44">
        <f>IF(ISTEXT(A146),IF(OR(SUM(V146:AB146)&lt;&gt;0,SUM(AD146:AJ146)&lt;&gt;0),1,0),1)</f>
        <v>0</v>
      </c>
      <c r="BX146" s="45">
        <f t="shared" si="38"/>
        <v>0</v>
      </c>
      <c r="BY146" s="45">
        <f t="shared" si="22"/>
        <v>0</v>
      </c>
    </row>
    <row r="147" spans="1:79" s="27" customFormat="1" ht="14.1" hidden="1" customHeight="1" x14ac:dyDescent="0.25">
      <c r="A147" s="52"/>
      <c r="B147" s="1"/>
      <c r="C147" s="47"/>
      <c r="D147" s="47"/>
      <c r="E147" s="1"/>
      <c r="F147" s="3"/>
      <c r="G147" s="1"/>
      <c r="H147" s="1"/>
      <c r="I147" s="1"/>
      <c r="J147" s="1"/>
      <c r="K147" s="1"/>
      <c r="L147" s="1"/>
      <c r="M147" s="1"/>
      <c r="N147" s="1"/>
      <c r="O147" s="1"/>
      <c r="P147" s="1"/>
      <c r="Q147" s="1"/>
      <c r="R147" s="1221"/>
      <c r="S147" s="1221"/>
      <c r="T147" s="1221"/>
      <c r="U147" s="1"/>
      <c r="V147" s="1219"/>
      <c r="W147" s="1219"/>
      <c r="X147" s="1219"/>
      <c r="Y147" s="1219"/>
      <c r="Z147" s="1219"/>
      <c r="AA147" s="1219"/>
      <c r="AB147" s="1219"/>
      <c r="AC147" s="51"/>
      <c r="AD147" s="1219"/>
      <c r="AE147" s="1219"/>
      <c r="AF147" s="1219"/>
      <c r="AG147" s="1219"/>
      <c r="AH147" s="1219"/>
      <c r="AI147" s="1219"/>
      <c r="AJ147" s="1219"/>
      <c r="AK147" s="4"/>
      <c r="AL147" s="52">
        <f t="shared" si="23"/>
        <v>0</v>
      </c>
      <c r="AM147" s="1"/>
      <c r="AN147" s="47"/>
      <c r="AO147" s="47"/>
      <c r="AP147" s="1"/>
      <c r="AQ147" s="3"/>
      <c r="AR147" s="1"/>
      <c r="AS147" s="1"/>
      <c r="AT147" s="1"/>
      <c r="AU147" s="1"/>
      <c r="AV147" s="1"/>
      <c r="AW147" s="1"/>
      <c r="AX147" s="1"/>
      <c r="AY147" s="1"/>
      <c r="AZ147" s="1"/>
      <c r="BA147" s="1"/>
      <c r="BB147" s="1"/>
      <c r="BC147" s="1221">
        <f t="shared" si="24"/>
        <v>0</v>
      </c>
      <c r="BD147" s="1221"/>
      <c r="BE147" s="1221"/>
      <c r="BF147" s="1"/>
      <c r="BG147" s="1219"/>
      <c r="BH147" s="1219"/>
      <c r="BI147" s="1219"/>
      <c r="BJ147" s="1219"/>
      <c r="BK147" s="1219"/>
      <c r="BL147" s="1219"/>
      <c r="BM147" s="1219"/>
      <c r="BN147" s="51"/>
      <c r="BO147" s="1219"/>
      <c r="BP147" s="1219"/>
      <c r="BQ147" s="1219"/>
      <c r="BR147" s="1219"/>
      <c r="BS147" s="1219"/>
      <c r="BT147" s="1219"/>
      <c r="BU147" s="1219"/>
      <c r="BV147" s="3"/>
      <c r="BW147" s="44">
        <f>$BW$148</f>
        <v>0</v>
      </c>
      <c r="BX147" s="45">
        <f t="shared" si="38"/>
        <v>0</v>
      </c>
      <c r="BY147" s="45">
        <f t="shared" ref="BY147:BY152" si="39">IF(ISNONTEXT(AD147),AD147-BO147,0)</f>
        <v>0</v>
      </c>
    </row>
    <row r="148" spans="1:79" s="27" customFormat="1" ht="15" hidden="1" customHeight="1" x14ac:dyDescent="0.25">
      <c r="A148" s="50" t="s">
        <v>178</v>
      </c>
      <c r="B148" s="61" t="s">
        <v>179</v>
      </c>
      <c r="C148" s="47"/>
      <c r="D148" s="47"/>
      <c r="E148" s="1"/>
      <c r="F148" s="3"/>
      <c r="G148" s="1"/>
      <c r="H148" s="1"/>
      <c r="I148" s="1"/>
      <c r="J148" s="1"/>
      <c r="K148" s="1"/>
      <c r="L148" s="1"/>
      <c r="M148" s="1"/>
      <c r="N148" s="1"/>
      <c r="O148" s="1"/>
      <c r="P148" s="1"/>
      <c r="Q148" s="1"/>
      <c r="R148" s="1223"/>
      <c r="S148" s="1223"/>
      <c r="T148" s="1223"/>
      <c r="U148" s="1"/>
      <c r="V148" s="1220">
        <f>SUBTOTAL(109,V149:AB151)</f>
        <v>0</v>
      </c>
      <c r="W148" s="1220"/>
      <c r="X148" s="1220"/>
      <c r="Y148" s="1220"/>
      <c r="Z148" s="1220"/>
      <c r="AA148" s="1220"/>
      <c r="AB148" s="1220"/>
      <c r="AC148" s="51"/>
      <c r="AD148" s="1220">
        <f>SUBTOTAL(109,AD149:AJ151)</f>
        <v>0</v>
      </c>
      <c r="AE148" s="1220"/>
      <c r="AF148" s="1220"/>
      <c r="AG148" s="1220"/>
      <c r="AH148" s="1220"/>
      <c r="AI148" s="1220"/>
      <c r="AJ148" s="1220"/>
      <c r="AK148" s="11"/>
      <c r="AL148" s="50" t="str">
        <f t="shared" si="23"/>
        <v>430</v>
      </c>
      <c r="AM148" s="61" t="s">
        <v>180</v>
      </c>
      <c r="AN148" s="47"/>
      <c r="AO148" s="47"/>
      <c r="AP148" s="1"/>
      <c r="AQ148" s="3"/>
      <c r="AR148" s="1"/>
      <c r="AS148" s="1"/>
      <c r="AT148" s="1"/>
      <c r="AU148" s="1"/>
      <c r="AV148" s="1"/>
      <c r="AW148" s="1"/>
      <c r="AX148" s="1"/>
      <c r="AY148" s="1"/>
      <c r="AZ148" s="1"/>
      <c r="BA148" s="1"/>
      <c r="BB148" s="1"/>
      <c r="BC148" s="1223">
        <f t="shared" si="24"/>
        <v>0</v>
      </c>
      <c r="BD148" s="1223"/>
      <c r="BE148" s="1223"/>
      <c r="BF148" s="1"/>
      <c r="BG148" s="1220">
        <f>V148</f>
        <v>0</v>
      </c>
      <c r="BH148" s="1220"/>
      <c r="BI148" s="1220"/>
      <c r="BJ148" s="1220"/>
      <c r="BK148" s="1220"/>
      <c r="BL148" s="1220"/>
      <c r="BM148" s="1220"/>
      <c r="BN148" s="51"/>
      <c r="BO148" s="1220">
        <f>AD148</f>
        <v>0</v>
      </c>
      <c r="BP148" s="1220"/>
      <c r="BQ148" s="1220"/>
      <c r="BR148" s="1220"/>
      <c r="BS148" s="1220"/>
      <c r="BT148" s="1220"/>
      <c r="BU148" s="1220"/>
      <c r="BV148" s="3"/>
      <c r="BW148" s="44">
        <f>IF(ISTEXT(A148),IF(SUM(BW149:BW150)&gt;0,1,0),1)</f>
        <v>0</v>
      </c>
      <c r="BX148" s="45">
        <f t="shared" si="38"/>
        <v>0</v>
      </c>
      <c r="BY148" s="45">
        <f t="shared" si="39"/>
        <v>0</v>
      </c>
    </row>
    <row r="149" spans="1:79" s="27" customFormat="1" ht="14.1" hidden="1" customHeight="1" x14ac:dyDescent="0.25">
      <c r="A149" s="52" t="s">
        <v>181</v>
      </c>
      <c r="B149" s="60" t="str">
        <f>SUBTOTAL(109,$BW$149:BW149)&amp;". Nguồn kinh phí"</f>
        <v>0. Nguồn kinh phí</v>
      </c>
      <c r="C149" s="60"/>
      <c r="D149" s="47"/>
      <c r="E149" s="1"/>
      <c r="F149" s="3"/>
      <c r="G149" s="1"/>
      <c r="H149" s="1"/>
      <c r="I149" s="1"/>
      <c r="J149" s="1"/>
      <c r="K149" s="1"/>
      <c r="L149" s="1"/>
      <c r="M149" s="1"/>
      <c r="N149" s="1"/>
      <c r="O149" s="1"/>
      <c r="P149" s="1"/>
      <c r="Q149" s="1"/>
      <c r="R149" s="1221" t="str">
        <f>IF(STT_NguonKP1&lt;&gt;0,STT_NguonKP,"")</f>
        <v/>
      </c>
      <c r="S149" s="1221"/>
      <c r="T149" s="1221"/>
      <c r="U149" s="1"/>
      <c r="V149" s="1219">
        <f>IF(ISBLANK($A149),0,VLOOKUP($A149,CDKT,MATCH($V$8,subTitle,0),0))</f>
        <v>0</v>
      </c>
      <c r="W149" s="1219"/>
      <c r="X149" s="1219"/>
      <c r="Y149" s="1219"/>
      <c r="Z149" s="1219"/>
      <c r="AA149" s="1219"/>
      <c r="AB149" s="1219"/>
      <c r="AC149" s="51"/>
      <c r="AD149" s="1219">
        <f>IF(ISBLANK($A149),0,VLOOKUP($A149,CDKT,MATCH("10",subTitle,0),0))</f>
        <v>0</v>
      </c>
      <c r="AE149" s="1219"/>
      <c r="AF149" s="1219"/>
      <c r="AG149" s="1219"/>
      <c r="AH149" s="1219"/>
      <c r="AI149" s="1219"/>
      <c r="AJ149" s="1219"/>
      <c r="AK149" s="4"/>
      <c r="AL149" s="52" t="str">
        <f t="shared" si="23"/>
        <v>431</v>
      </c>
      <c r="AM149" s="60" t="str">
        <f>SUBTOTAL(109,$BW$149:BW149)&amp;". Non-business funds"</f>
        <v>0. Non-business funds</v>
      </c>
      <c r="AN149" s="47"/>
      <c r="AO149" s="47"/>
      <c r="AP149" s="1"/>
      <c r="AQ149" s="3"/>
      <c r="AR149" s="1"/>
      <c r="AS149" s="1"/>
      <c r="AT149" s="1"/>
      <c r="AU149" s="1"/>
      <c r="AV149" s="1"/>
      <c r="AW149" s="1"/>
      <c r="AX149" s="1"/>
      <c r="AY149" s="1"/>
      <c r="AZ149" s="1"/>
      <c r="BA149" s="1"/>
      <c r="BB149" s="1"/>
      <c r="BC149" s="1221" t="str">
        <f t="shared" si="24"/>
        <v/>
      </c>
      <c r="BD149" s="1221"/>
      <c r="BE149" s="1221"/>
      <c r="BF149" s="1"/>
      <c r="BG149" s="1219">
        <f>V149</f>
        <v>0</v>
      </c>
      <c r="BH149" s="1219"/>
      <c r="BI149" s="1219"/>
      <c r="BJ149" s="1219"/>
      <c r="BK149" s="1219"/>
      <c r="BL149" s="1219"/>
      <c r="BM149" s="1219"/>
      <c r="BN149" s="51"/>
      <c r="BO149" s="1219">
        <f>AD149</f>
        <v>0</v>
      </c>
      <c r="BP149" s="1219"/>
      <c r="BQ149" s="1219"/>
      <c r="BR149" s="1219"/>
      <c r="BS149" s="1219"/>
      <c r="BT149" s="1219"/>
      <c r="BU149" s="1219"/>
      <c r="BV149" s="3"/>
      <c r="BW149" s="44">
        <f t="shared" si="29"/>
        <v>0</v>
      </c>
      <c r="BX149" s="45">
        <f>IF(ISNONTEXT(V149),V149-BG149,0)</f>
        <v>0</v>
      </c>
      <c r="BY149" s="45">
        <f t="shared" si="39"/>
        <v>0</v>
      </c>
    </row>
    <row r="150" spans="1:79" s="27" customFormat="1" ht="14.1" hidden="1" customHeight="1" x14ac:dyDescent="0.25">
      <c r="A150" s="52" t="s">
        <v>182</v>
      </c>
      <c r="B150" s="60" t="str">
        <f>SUBTOTAL(109,$BW$149:BW150)&amp;". Nguồn kinh phí đã hình thành TSCĐ"</f>
        <v>0. Nguồn kinh phí đã hình thành TSCĐ</v>
      </c>
      <c r="C150" s="60"/>
      <c r="D150" s="47"/>
      <c r="E150" s="1"/>
      <c r="F150" s="3"/>
      <c r="G150" s="1"/>
      <c r="H150" s="1"/>
      <c r="I150" s="1"/>
      <c r="J150" s="1"/>
      <c r="K150" s="1"/>
      <c r="L150" s="1"/>
      <c r="M150" s="1"/>
      <c r="N150" s="1"/>
      <c r="O150" s="1"/>
      <c r="P150" s="1"/>
      <c r="Q150" s="1"/>
      <c r="R150" s="1221"/>
      <c r="S150" s="1221"/>
      <c r="T150" s="1221"/>
      <c r="U150" s="1"/>
      <c r="V150" s="1219">
        <f>IF(ISBLANK($A150),0,VLOOKUP($A150,CDKT,MATCH($V$8,subTitle,0),0))</f>
        <v>0</v>
      </c>
      <c r="W150" s="1219"/>
      <c r="X150" s="1219"/>
      <c r="Y150" s="1219"/>
      <c r="Z150" s="1219"/>
      <c r="AA150" s="1219"/>
      <c r="AB150" s="1219"/>
      <c r="AC150" s="51"/>
      <c r="AD150" s="1219">
        <f>IF(ISBLANK($A150),0,VLOOKUP($A150,CDKT,MATCH("10",subTitle,0),0))</f>
        <v>0</v>
      </c>
      <c r="AE150" s="1219"/>
      <c r="AF150" s="1219"/>
      <c r="AG150" s="1219"/>
      <c r="AH150" s="1219"/>
      <c r="AI150" s="1219"/>
      <c r="AJ150" s="1219"/>
      <c r="AK150" s="4"/>
      <c r="AL150" s="52" t="str">
        <f t="shared" si="23"/>
        <v>432</v>
      </c>
      <c r="AM150" s="60" t="str">
        <f>SUBTOTAL(109,$BW$149:BW150)&amp;". Funds that forming fixed assets"</f>
        <v>0. Funds that forming fixed assets</v>
      </c>
      <c r="AN150" s="47"/>
      <c r="AO150" s="47"/>
      <c r="AP150" s="1"/>
      <c r="AQ150" s="3"/>
      <c r="AR150" s="1"/>
      <c r="AS150" s="1"/>
      <c r="AT150" s="1"/>
      <c r="AU150" s="1"/>
      <c r="AV150" s="1"/>
      <c r="AW150" s="1"/>
      <c r="AX150" s="1"/>
      <c r="AY150" s="1"/>
      <c r="AZ150" s="1"/>
      <c r="BA150" s="1"/>
      <c r="BB150" s="1"/>
      <c r="BC150" s="1221">
        <f t="shared" si="24"/>
        <v>0</v>
      </c>
      <c r="BD150" s="1221"/>
      <c r="BE150" s="1221"/>
      <c r="BF150" s="1"/>
      <c r="BG150" s="1219">
        <f>V150</f>
        <v>0</v>
      </c>
      <c r="BH150" s="1219"/>
      <c r="BI150" s="1219"/>
      <c r="BJ150" s="1219"/>
      <c r="BK150" s="1219"/>
      <c r="BL150" s="1219"/>
      <c r="BM150" s="1219"/>
      <c r="BN150" s="51"/>
      <c r="BO150" s="1219">
        <f>AD150</f>
        <v>0</v>
      </c>
      <c r="BP150" s="1219"/>
      <c r="BQ150" s="1219"/>
      <c r="BR150" s="1219"/>
      <c r="BS150" s="1219"/>
      <c r="BT150" s="1219"/>
      <c r="BU150" s="1219"/>
      <c r="BV150" s="3"/>
      <c r="BW150" s="44">
        <f t="shared" si="29"/>
        <v>0</v>
      </c>
      <c r="BX150" s="45">
        <f>IF(ISNONTEXT(V150),V150-BG150,0)</f>
        <v>0</v>
      </c>
      <c r="BY150" s="45">
        <f t="shared" si="39"/>
        <v>0</v>
      </c>
    </row>
    <row r="151" spans="1:79" s="27" customFormat="1" ht="14.1" customHeight="1" x14ac:dyDescent="0.25">
      <c r="A151" s="52"/>
      <c r="B151" s="1"/>
      <c r="C151" s="47"/>
      <c r="D151" s="47"/>
      <c r="E151" s="1"/>
      <c r="F151" s="3"/>
      <c r="G151" s="1"/>
      <c r="H151" s="1"/>
      <c r="I151" s="1"/>
      <c r="J151" s="1"/>
      <c r="K151" s="1"/>
      <c r="L151" s="1"/>
      <c r="M151" s="1"/>
      <c r="N151" s="1"/>
      <c r="O151" s="1"/>
      <c r="P151" s="1"/>
      <c r="Q151" s="1"/>
      <c r="R151" s="1221"/>
      <c r="S151" s="1221"/>
      <c r="T151" s="1221"/>
      <c r="U151" s="1"/>
      <c r="V151" s="1219"/>
      <c r="W151" s="1219"/>
      <c r="X151" s="1219"/>
      <c r="Y151" s="1219"/>
      <c r="Z151" s="1219"/>
      <c r="AA151" s="1219"/>
      <c r="AB151" s="1219"/>
      <c r="AC151" s="51"/>
      <c r="AD151" s="1219"/>
      <c r="AE151" s="1219"/>
      <c r="AF151" s="1219"/>
      <c r="AG151" s="1219"/>
      <c r="AH151" s="1219"/>
      <c r="AI151" s="1219"/>
      <c r="AJ151" s="1219"/>
      <c r="AK151" s="4"/>
      <c r="AL151" s="52">
        <f t="shared" si="23"/>
        <v>0</v>
      </c>
      <c r="AM151" s="1"/>
      <c r="AN151" s="47"/>
      <c r="AO151" s="47"/>
      <c r="AP151" s="1"/>
      <c r="AQ151" s="3"/>
      <c r="AR151" s="1"/>
      <c r="AS151" s="1"/>
      <c r="AT151" s="1"/>
      <c r="AU151" s="1"/>
      <c r="AV151" s="1"/>
      <c r="AW151" s="1"/>
      <c r="AX151" s="1"/>
      <c r="AY151" s="1"/>
      <c r="AZ151" s="1"/>
      <c r="BA151" s="1"/>
      <c r="BB151" s="1"/>
      <c r="BC151" s="1221">
        <f t="shared" si="24"/>
        <v>0</v>
      </c>
      <c r="BD151" s="1221"/>
      <c r="BE151" s="1221"/>
      <c r="BF151" s="1"/>
      <c r="BG151" s="1219"/>
      <c r="BH151" s="1219"/>
      <c r="BI151" s="1219"/>
      <c r="BJ151" s="1219"/>
      <c r="BK151" s="1219"/>
      <c r="BL151" s="1219"/>
      <c r="BM151" s="1219"/>
      <c r="BN151" s="51"/>
      <c r="BO151" s="1219"/>
      <c r="BP151" s="1219"/>
      <c r="BQ151" s="1219"/>
      <c r="BR151" s="1219"/>
      <c r="BS151" s="1219"/>
      <c r="BT151" s="1219"/>
      <c r="BU151" s="1219"/>
      <c r="BV151" s="3"/>
      <c r="BW151" s="44">
        <f>$BW$152</f>
        <v>1</v>
      </c>
      <c r="BX151" s="45">
        <f>IF(ISNONTEXT(V151),V151-BG151,0)</f>
        <v>0</v>
      </c>
      <c r="BY151" s="45">
        <f t="shared" si="39"/>
        <v>0</v>
      </c>
      <c r="CA151" s="28"/>
    </row>
    <row r="152" spans="1:79" s="27" customFormat="1" ht="15" customHeight="1" thickBot="1" x14ac:dyDescent="0.3">
      <c r="A152" s="50" t="s">
        <v>183</v>
      </c>
      <c r="B152" s="1235" t="s">
        <v>184</v>
      </c>
      <c r="C152" s="1235"/>
      <c r="D152" s="1235"/>
      <c r="E152" s="1235"/>
      <c r="F152" s="1235"/>
      <c r="G152" s="1235"/>
      <c r="H152" s="1235"/>
      <c r="I152" s="1235"/>
      <c r="J152" s="1235"/>
      <c r="K152" s="1235"/>
      <c r="L152" s="1235"/>
      <c r="M152" s="1235"/>
      <c r="N152" s="1235"/>
      <c r="O152" s="1235"/>
      <c r="P152" s="1235"/>
      <c r="Q152" s="1"/>
      <c r="R152" s="1223"/>
      <c r="S152" s="1223"/>
      <c r="T152" s="1223"/>
      <c r="U152" s="1"/>
      <c r="V152" s="1232">
        <f>SUBTOTAL(109,V94:AB151)-V132-V133</f>
        <v>59565933025</v>
      </c>
      <c r="W152" s="1232"/>
      <c r="X152" s="1232"/>
      <c r="Y152" s="1232"/>
      <c r="Z152" s="1232"/>
      <c r="AA152" s="1232"/>
      <c r="AB152" s="1232"/>
      <c r="AC152" s="51"/>
      <c r="AD152" s="1232">
        <f>SUBTOTAL(109,AD94:AJ151)-AD132-AD133</f>
        <v>56296382432</v>
      </c>
      <c r="AE152" s="1232"/>
      <c r="AF152" s="1232"/>
      <c r="AG152" s="1232"/>
      <c r="AH152" s="1232"/>
      <c r="AI152" s="1232"/>
      <c r="AJ152" s="1232"/>
      <c r="AK152" s="11"/>
      <c r="AL152" s="50" t="str">
        <f t="shared" si="23"/>
        <v>440</v>
      </c>
      <c r="AM152" s="1235" t="s">
        <v>185</v>
      </c>
      <c r="AN152" s="1235"/>
      <c r="AO152" s="1235"/>
      <c r="AP152" s="1235"/>
      <c r="AQ152" s="1235"/>
      <c r="AR152" s="1235"/>
      <c r="AS152" s="1235"/>
      <c r="AT152" s="1235"/>
      <c r="AU152" s="1235"/>
      <c r="AV152" s="1235"/>
      <c r="AW152" s="1235"/>
      <c r="AX152" s="1235"/>
      <c r="AY152" s="1235"/>
      <c r="AZ152" s="1235"/>
      <c r="BA152" s="1235"/>
      <c r="BB152" s="1"/>
      <c r="BC152" s="1242">
        <f t="shared" si="24"/>
        <v>0</v>
      </c>
      <c r="BD152" s="1242"/>
      <c r="BE152" s="1242"/>
      <c r="BF152" s="1"/>
      <c r="BG152" s="1232">
        <f>V152</f>
        <v>59565933025</v>
      </c>
      <c r="BH152" s="1232"/>
      <c r="BI152" s="1232"/>
      <c r="BJ152" s="1232"/>
      <c r="BK152" s="1232"/>
      <c r="BL152" s="1232"/>
      <c r="BM152" s="1232"/>
      <c r="BN152" s="51"/>
      <c r="BO152" s="1232">
        <f>AD152</f>
        <v>56296382432</v>
      </c>
      <c r="BP152" s="1232"/>
      <c r="BQ152" s="1232"/>
      <c r="BR152" s="1232"/>
      <c r="BS152" s="1232"/>
      <c r="BT152" s="1232"/>
      <c r="BU152" s="1232"/>
      <c r="BV152" s="76"/>
      <c r="BW152" s="105">
        <f t="shared" si="29"/>
        <v>1</v>
      </c>
      <c r="BX152" s="45">
        <f>IF(ISNONTEXT(V152),V152-BG152,0)</f>
        <v>0</v>
      </c>
      <c r="BY152" s="45">
        <f t="shared" si="39"/>
        <v>0</v>
      </c>
      <c r="CA152" s="28"/>
    </row>
    <row r="153" spans="1:79" s="8" customFormat="1" ht="14.1" customHeight="1" thickTop="1" x14ac:dyDescent="0.25">
      <c r="A153" s="106"/>
      <c r="B153" s="21"/>
      <c r="C153" s="107"/>
      <c r="D153" s="108"/>
      <c r="E153" s="21"/>
      <c r="F153" s="109"/>
      <c r="G153" s="21"/>
      <c r="H153" s="21"/>
      <c r="I153" s="21"/>
      <c r="J153" s="21"/>
      <c r="K153" s="21"/>
      <c r="L153" s="21"/>
      <c r="M153" s="21"/>
      <c r="N153" s="21"/>
      <c r="O153" s="21"/>
      <c r="P153" s="21"/>
      <c r="Q153" s="21"/>
      <c r="R153" s="21"/>
      <c r="S153" s="21"/>
      <c r="T153" s="21"/>
      <c r="U153" s="21"/>
      <c r="V153" s="21"/>
      <c r="W153" s="21"/>
      <c r="X153" s="109"/>
      <c r="Y153" s="109"/>
      <c r="Z153" s="109"/>
      <c r="AA153" s="109"/>
      <c r="AB153" s="109"/>
      <c r="AC153" s="109"/>
      <c r="AD153" s="21"/>
      <c r="AE153" s="109"/>
      <c r="AF153" s="109"/>
      <c r="AG153" s="109"/>
      <c r="AH153" s="109"/>
      <c r="AI153" s="109"/>
      <c r="AJ153" s="109"/>
      <c r="AK153" s="109"/>
      <c r="AL153" s="84"/>
      <c r="AM153" s="21"/>
      <c r="AN153" s="107"/>
      <c r="AO153" s="108"/>
      <c r="AP153" s="21"/>
      <c r="AQ153" s="109"/>
      <c r="AR153" s="21"/>
      <c r="AS153" s="21"/>
      <c r="AT153" s="21"/>
      <c r="AU153" s="21"/>
      <c r="AV153" s="21"/>
      <c r="AW153" s="21"/>
      <c r="AX153" s="21"/>
      <c r="AY153" s="21"/>
      <c r="AZ153" s="21"/>
      <c r="BA153" s="21"/>
      <c r="BB153" s="21"/>
      <c r="BC153" s="21"/>
      <c r="BD153" s="21"/>
      <c r="BE153" s="21"/>
      <c r="BF153" s="21"/>
      <c r="BG153" s="21"/>
      <c r="BH153" s="21"/>
      <c r="BI153" s="109"/>
      <c r="BJ153" s="109"/>
      <c r="BK153" s="109"/>
      <c r="BL153" s="109"/>
      <c r="BM153" s="109"/>
      <c r="BN153" s="109"/>
      <c r="BO153" s="21"/>
      <c r="BP153" s="109"/>
      <c r="BQ153" s="109"/>
      <c r="BR153" s="109"/>
      <c r="BS153" s="109"/>
      <c r="BT153" s="109"/>
      <c r="BU153" s="109"/>
      <c r="BV153" s="109"/>
      <c r="BW153" s="105">
        <v>1</v>
      </c>
      <c r="BX153" s="110">
        <f>SUM(BX11:BX152)</f>
        <v>0</v>
      </c>
      <c r="BY153" s="110">
        <f>SUM(BY11:BY152)</f>
        <v>0</v>
      </c>
      <c r="CA153" s="14"/>
    </row>
    <row r="154" spans="1:79" s="8" customFormat="1" ht="14.1" customHeight="1" x14ac:dyDescent="0.25">
      <c r="A154" s="106"/>
      <c r="B154" s="21"/>
      <c r="C154" s="107"/>
      <c r="D154" s="108"/>
      <c r="E154" s="21"/>
      <c r="F154" s="109"/>
      <c r="G154" s="21"/>
      <c r="H154" s="21"/>
      <c r="I154" s="21"/>
      <c r="J154" s="21"/>
      <c r="K154" s="21"/>
      <c r="L154" s="21"/>
      <c r="M154" s="21"/>
      <c r="N154" s="21"/>
      <c r="O154" s="21"/>
      <c r="P154" s="21"/>
      <c r="Q154" s="21"/>
      <c r="R154" s="21"/>
      <c r="S154" s="21"/>
      <c r="T154" s="21"/>
      <c r="U154" s="21"/>
      <c r="V154" s="1207" t="s">
        <v>2139</v>
      </c>
      <c r="W154" s="1207"/>
      <c r="X154" s="1207"/>
      <c r="Y154" s="1207"/>
      <c r="Z154" s="1207"/>
      <c r="AA154" s="1207"/>
      <c r="AB154" s="1207"/>
      <c r="AC154" s="1207"/>
      <c r="AD154" s="1207"/>
      <c r="AE154" s="1207"/>
      <c r="AF154" s="1207"/>
      <c r="AG154" s="1207"/>
      <c r="AH154" s="1207"/>
      <c r="AI154" s="1207"/>
      <c r="AJ154" s="1207"/>
      <c r="AK154" s="109"/>
      <c r="AL154" s="84"/>
      <c r="AM154" s="21"/>
      <c r="AN154" s="107"/>
      <c r="AO154" s="108"/>
      <c r="AP154" s="21"/>
      <c r="AQ154" s="109"/>
      <c r="AR154" s="21"/>
      <c r="AS154" s="21"/>
      <c r="AT154" s="21"/>
      <c r="AU154" s="21"/>
      <c r="AV154" s="21"/>
      <c r="AW154" s="21"/>
      <c r="AX154" s="21"/>
      <c r="AY154" s="21"/>
      <c r="AZ154" s="21"/>
      <c r="BA154" s="21"/>
      <c r="BB154" s="21"/>
      <c r="BC154" s="21"/>
      <c r="BD154" s="21"/>
      <c r="BE154" s="21"/>
      <c r="BF154" s="21"/>
      <c r="BG154" s="21"/>
      <c r="BH154" s="21"/>
      <c r="BI154" s="109"/>
      <c r="BJ154" s="109"/>
      <c r="BK154" s="109"/>
      <c r="BL154" s="109"/>
      <c r="BM154" s="109"/>
      <c r="BN154" s="109"/>
      <c r="BO154" s="21"/>
      <c r="BP154" s="109"/>
      <c r="BQ154" s="109"/>
      <c r="BR154" s="109"/>
      <c r="BS154" s="109"/>
      <c r="BT154" s="109"/>
      <c r="BU154" s="109"/>
      <c r="BV154" s="109"/>
      <c r="BW154" s="105"/>
      <c r="BX154" s="110"/>
      <c r="BY154" s="110"/>
      <c r="CA154" s="14"/>
    </row>
    <row r="155" spans="1:79" s="27" customFormat="1" ht="15" customHeight="1" outlineLevel="1" x14ac:dyDescent="0.25">
      <c r="A155" s="46"/>
      <c r="B155" s="111"/>
      <c r="C155" s="112"/>
      <c r="D155" s="116" t="str">
        <f>IF(Kieu_chan_ky="Kiểu 1",ChucDanh_NguoiLap_V,"")</f>
        <v>Người lập biểu</v>
      </c>
      <c r="E155" s="113"/>
      <c r="F155" s="113"/>
      <c r="G155" s="113"/>
      <c r="H155" s="116"/>
      <c r="I155" s="113"/>
      <c r="J155" s="113"/>
      <c r="L155" s="116"/>
      <c r="M155" s="113"/>
      <c r="N155" s="113"/>
      <c r="O155" s="113"/>
      <c r="P155" s="116"/>
      <c r="Q155" s="113"/>
      <c r="R155" s="116" t="str">
        <f>IF(Kieu_chan_ky="Kiểu 1",ChucDanh_KTT_V,"")</f>
        <v>TP.TCKT</v>
      </c>
      <c r="T155" s="113"/>
      <c r="U155" s="113"/>
      <c r="V155" s="114"/>
      <c r="W155" s="114"/>
      <c r="X155" s="114"/>
      <c r="Y155" s="114"/>
      <c r="Z155" s="114"/>
      <c r="AA155" s="117"/>
      <c r="AB155" s="113"/>
      <c r="AD155" s="117" t="str">
        <f>IF(Kieu_chan_ky="Kiểu 1",ChucDanh_ThuTruong_V,"")</f>
        <v>Giám đốc</v>
      </c>
      <c r="AE155" s="113"/>
      <c r="AF155" s="113"/>
      <c r="AG155" s="113"/>
      <c r="AH155" s="113"/>
      <c r="AI155" s="113"/>
      <c r="AJ155" s="113"/>
      <c r="AK155" s="113"/>
      <c r="AL155" s="46"/>
      <c r="AM155" s="111"/>
      <c r="AN155" s="112"/>
      <c r="AO155" s="116" t="str">
        <f>IF(Kieu_chan_ky="Kiểu 1",ChucDanh_NguoiLap_E,"")</f>
        <v>Preparer</v>
      </c>
      <c r="AP155" s="113"/>
      <c r="AQ155" s="113"/>
      <c r="AR155" s="113"/>
      <c r="AS155" s="116"/>
      <c r="AT155" s="113"/>
      <c r="AU155" s="113"/>
      <c r="AW155" s="116"/>
      <c r="AX155" s="113"/>
      <c r="AY155" s="113"/>
      <c r="AZ155" s="113"/>
      <c r="BA155" s="116"/>
      <c r="BB155" s="113"/>
      <c r="BC155" s="116" t="str">
        <f>IF(Kieu_chan_ky="Kiểu 1",ChucDanh_KTT_E,"")</f>
        <v>Chief Accountant</v>
      </c>
      <c r="BE155" s="113"/>
      <c r="BF155" s="113"/>
      <c r="BG155" s="114"/>
      <c r="BH155" s="114"/>
      <c r="BI155" s="114"/>
      <c r="BJ155" s="114"/>
      <c r="BK155" s="114"/>
      <c r="BL155" s="117"/>
      <c r="BM155" s="113"/>
      <c r="BO155" s="117" t="str">
        <f>IF(Kieu_chan_ky="Kiểu 1",ChucDanh_ThuTruong_E,"")</f>
        <v>General Director</v>
      </c>
      <c r="BP155" s="113"/>
      <c r="BQ155" s="113"/>
      <c r="BR155" s="113"/>
      <c r="BS155" s="113"/>
      <c r="BT155" s="113"/>
      <c r="BU155" s="113"/>
      <c r="BV155" s="113"/>
      <c r="BW155" s="44">
        <f t="shared" ref="BW155:BW163" si="40">IF(Kieu_chan_ky="Kiểu 1",1,0)</f>
        <v>1</v>
      </c>
      <c r="BX155" s="45">
        <f>V152-V87</f>
        <v>0</v>
      </c>
      <c r="BY155" s="45"/>
      <c r="CA155" s="28"/>
    </row>
    <row r="156" spans="1:79" s="27" customFormat="1" ht="15" customHeight="1" outlineLevel="1" x14ac:dyDescent="0.25">
      <c r="A156" s="46"/>
      <c r="B156" s="111"/>
      <c r="C156" s="112"/>
      <c r="D156" s="113"/>
      <c r="E156" s="113"/>
      <c r="F156" s="113"/>
      <c r="G156" s="113"/>
      <c r="H156" s="113"/>
      <c r="I156" s="113"/>
      <c r="J156" s="113"/>
      <c r="L156" s="113"/>
      <c r="M156" s="113"/>
      <c r="N156" s="113"/>
      <c r="O156" s="113"/>
      <c r="P156" s="113"/>
      <c r="Q156" s="113"/>
      <c r="R156" s="113"/>
      <c r="T156" s="113"/>
      <c r="U156" s="113"/>
      <c r="V156" s="114"/>
      <c r="W156" s="114"/>
      <c r="X156" s="114"/>
      <c r="Y156" s="114"/>
      <c r="Z156" s="114"/>
      <c r="AA156" s="114"/>
      <c r="AB156" s="113"/>
      <c r="AD156" s="113"/>
      <c r="AE156" s="113"/>
      <c r="AF156" s="113"/>
      <c r="AG156" s="113"/>
      <c r="AH156" s="113"/>
      <c r="AI156" s="113"/>
      <c r="AJ156" s="113"/>
      <c r="AK156" s="113"/>
      <c r="AL156" s="46"/>
      <c r="AM156" s="111"/>
      <c r="AN156" s="112"/>
      <c r="AO156" s="113"/>
      <c r="AP156" s="113"/>
      <c r="AQ156" s="113"/>
      <c r="AR156" s="113"/>
      <c r="AS156" s="113"/>
      <c r="AT156" s="113"/>
      <c r="AU156" s="113"/>
      <c r="AW156" s="113"/>
      <c r="AX156" s="113"/>
      <c r="AY156" s="113"/>
      <c r="AZ156" s="113"/>
      <c r="BA156" s="113"/>
      <c r="BB156" s="113"/>
      <c r="BC156" s="113"/>
      <c r="BE156" s="113"/>
      <c r="BF156" s="113"/>
      <c r="BG156" s="114"/>
      <c r="BH156" s="114"/>
      <c r="BI156" s="114"/>
      <c r="BJ156" s="114"/>
      <c r="BK156" s="114"/>
      <c r="BL156" s="114"/>
      <c r="BM156" s="113"/>
      <c r="BO156" s="113"/>
      <c r="BP156" s="113"/>
      <c r="BQ156" s="113"/>
      <c r="BR156" s="113"/>
      <c r="BS156" s="113"/>
      <c r="BT156" s="113"/>
      <c r="BU156" s="113"/>
      <c r="BV156" s="113"/>
      <c r="BW156" s="44">
        <f t="shared" si="40"/>
        <v>1</v>
      </c>
      <c r="BX156" s="45"/>
      <c r="BY156" s="45"/>
      <c r="CA156" s="28"/>
    </row>
    <row r="157" spans="1:79" s="27" customFormat="1" ht="15" customHeight="1" outlineLevel="1" x14ac:dyDescent="0.25">
      <c r="A157" s="46"/>
      <c r="B157" s="111"/>
      <c r="C157" s="112"/>
      <c r="D157" s="113"/>
      <c r="E157" s="113"/>
      <c r="F157" s="113"/>
      <c r="G157" s="113"/>
      <c r="H157" s="113"/>
      <c r="I157" s="113"/>
      <c r="J157" s="113"/>
      <c r="L157" s="113"/>
      <c r="M157" s="113"/>
      <c r="N157" s="113"/>
      <c r="O157" s="113"/>
      <c r="P157" s="113"/>
      <c r="Q157" s="113"/>
      <c r="R157" s="113"/>
      <c r="T157" s="113"/>
      <c r="U157" s="113"/>
      <c r="V157" s="114"/>
      <c r="W157" s="114"/>
      <c r="X157" s="114"/>
      <c r="Y157" s="114"/>
      <c r="Z157" s="114"/>
      <c r="AA157" s="114"/>
      <c r="AB157" s="113"/>
      <c r="AD157" s="113"/>
      <c r="AE157" s="113"/>
      <c r="AF157" s="113"/>
      <c r="AG157" s="113"/>
      <c r="AH157" s="113"/>
      <c r="AI157" s="113"/>
      <c r="AJ157" s="113"/>
      <c r="AK157" s="113"/>
      <c r="AL157" s="46"/>
      <c r="AM157" s="111"/>
      <c r="AN157" s="112"/>
      <c r="AO157" s="113"/>
      <c r="AP157" s="113"/>
      <c r="AQ157" s="113"/>
      <c r="AR157" s="113"/>
      <c r="AS157" s="113"/>
      <c r="AT157" s="113"/>
      <c r="AU157" s="113"/>
      <c r="AW157" s="113"/>
      <c r="AX157" s="113"/>
      <c r="AY157" s="113"/>
      <c r="AZ157" s="113"/>
      <c r="BA157" s="113"/>
      <c r="BB157" s="113"/>
      <c r="BC157" s="113"/>
      <c r="BE157" s="113"/>
      <c r="BF157" s="113"/>
      <c r="BG157" s="114"/>
      <c r="BH157" s="114"/>
      <c r="BI157" s="114"/>
      <c r="BJ157" s="114"/>
      <c r="BK157" s="114"/>
      <c r="BL157" s="114"/>
      <c r="BM157" s="113"/>
      <c r="BO157" s="113"/>
      <c r="BP157" s="113"/>
      <c r="BQ157" s="113"/>
      <c r="BR157" s="113"/>
      <c r="BS157" s="113"/>
      <c r="BT157" s="113"/>
      <c r="BU157" s="113"/>
      <c r="BV157" s="113"/>
      <c r="BW157" s="44"/>
      <c r="BX157" s="45"/>
      <c r="BY157" s="45"/>
      <c r="CA157" s="28"/>
    </row>
    <row r="158" spans="1:79" s="27" customFormat="1" ht="15" customHeight="1" outlineLevel="1" x14ac:dyDescent="0.25">
      <c r="A158" s="46"/>
      <c r="B158" s="111"/>
      <c r="C158" s="112"/>
      <c r="D158" s="113"/>
      <c r="E158" s="113"/>
      <c r="F158" s="113"/>
      <c r="G158" s="113"/>
      <c r="H158" s="113"/>
      <c r="I158" s="113"/>
      <c r="J158" s="113"/>
      <c r="L158" s="113"/>
      <c r="M158" s="113"/>
      <c r="N158" s="113"/>
      <c r="O158" s="113"/>
      <c r="P158" s="113"/>
      <c r="Q158" s="113"/>
      <c r="R158" s="113"/>
      <c r="T158" s="113"/>
      <c r="U158" s="113"/>
      <c r="V158" s="114"/>
      <c r="W158" s="114"/>
      <c r="X158" s="114"/>
      <c r="Y158" s="114"/>
      <c r="Z158" s="114"/>
      <c r="AA158" s="114"/>
      <c r="AB158" s="113"/>
      <c r="AD158" s="113"/>
      <c r="AE158" s="113"/>
      <c r="AF158" s="113"/>
      <c r="AG158" s="113"/>
      <c r="AH158" s="113"/>
      <c r="AI158" s="113"/>
      <c r="AJ158" s="113"/>
      <c r="AK158" s="113"/>
      <c r="AL158" s="46"/>
      <c r="AM158" s="111"/>
      <c r="AN158" s="112"/>
      <c r="AO158" s="113"/>
      <c r="AP158" s="113"/>
      <c r="AQ158" s="113"/>
      <c r="AR158" s="113"/>
      <c r="AS158" s="113"/>
      <c r="AT158" s="113"/>
      <c r="AU158" s="113"/>
      <c r="AW158" s="113"/>
      <c r="AX158" s="113"/>
      <c r="AY158" s="113"/>
      <c r="AZ158" s="113"/>
      <c r="BA158" s="113"/>
      <c r="BB158" s="113"/>
      <c r="BC158" s="113"/>
      <c r="BE158" s="113"/>
      <c r="BF158" s="113"/>
      <c r="BG158" s="114"/>
      <c r="BH158" s="114"/>
      <c r="BI158" s="114"/>
      <c r="BJ158" s="114"/>
      <c r="BK158" s="114"/>
      <c r="BL158" s="114"/>
      <c r="BM158" s="113"/>
      <c r="BO158" s="113"/>
      <c r="BP158" s="113"/>
      <c r="BQ158" s="113"/>
      <c r="BR158" s="113"/>
      <c r="BS158" s="113"/>
      <c r="BT158" s="113"/>
      <c r="BU158" s="113"/>
      <c r="BV158" s="113"/>
      <c r="BW158" s="44">
        <f t="shared" si="40"/>
        <v>1</v>
      </c>
      <c r="BX158" s="45"/>
      <c r="BY158" s="45"/>
      <c r="CA158" s="28"/>
    </row>
    <row r="159" spans="1:79" s="27" customFormat="1" ht="15" customHeight="1" outlineLevel="1" x14ac:dyDescent="0.25">
      <c r="A159" s="46"/>
      <c r="B159" s="111"/>
      <c r="C159" s="112"/>
      <c r="D159" s="113"/>
      <c r="E159" s="113"/>
      <c r="F159" s="113"/>
      <c r="G159" s="113"/>
      <c r="H159" s="113"/>
      <c r="I159" s="113"/>
      <c r="J159" s="113"/>
      <c r="L159" s="113"/>
      <c r="M159" s="113"/>
      <c r="N159" s="113"/>
      <c r="O159" s="113"/>
      <c r="P159" s="113"/>
      <c r="Q159" s="113"/>
      <c r="R159" s="113"/>
      <c r="T159" s="113"/>
      <c r="U159" s="113"/>
      <c r="V159" s="114"/>
      <c r="W159" s="114"/>
      <c r="X159" s="114"/>
      <c r="Y159" s="114"/>
      <c r="Z159" s="114"/>
      <c r="AA159" s="114"/>
      <c r="AB159" s="113"/>
      <c r="AD159" s="113"/>
      <c r="AE159" s="113"/>
      <c r="AF159" s="113"/>
      <c r="AG159" s="113"/>
      <c r="AH159" s="113"/>
      <c r="AI159" s="113"/>
      <c r="AJ159" s="113"/>
      <c r="AK159" s="113"/>
      <c r="AL159" s="46"/>
      <c r="AM159" s="111"/>
      <c r="AN159" s="112"/>
      <c r="AO159" s="113"/>
      <c r="AP159" s="113"/>
      <c r="AQ159" s="113"/>
      <c r="AR159" s="113"/>
      <c r="AS159" s="113"/>
      <c r="AT159" s="113"/>
      <c r="AU159" s="113"/>
      <c r="AW159" s="113"/>
      <c r="AX159" s="113"/>
      <c r="AY159" s="113"/>
      <c r="AZ159" s="113"/>
      <c r="BA159" s="113"/>
      <c r="BB159" s="113"/>
      <c r="BC159" s="113"/>
      <c r="BE159" s="113"/>
      <c r="BF159" s="113"/>
      <c r="BG159" s="114"/>
      <c r="BH159" s="114"/>
      <c r="BI159" s="114"/>
      <c r="BJ159" s="114"/>
      <c r="BK159" s="114"/>
      <c r="BL159" s="114"/>
      <c r="BM159" s="113"/>
      <c r="BO159" s="113"/>
      <c r="BP159" s="113"/>
      <c r="BQ159" s="113"/>
      <c r="BR159" s="113"/>
      <c r="BS159" s="113"/>
      <c r="BT159" s="113"/>
      <c r="BU159" s="113"/>
      <c r="BV159" s="113"/>
      <c r="BW159" s="44">
        <f t="shared" si="40"/>
        <v>1</v>
      </c>
      <c r="BX159" s="45"/>
      <c r="BY159" s="45"/>
      <c r="CA159" s="28"/>
    </row>
    <row r="160" spans="1:79" s="27" customFormat="1" ht="15" customHeight="1" outlineLevel="1" x14ac:dyDescent="0.25">
      <c r="A160" s="46"/>
      <c r="B160" s="111"/>
      <c r="C160" s="112"/>
      <c r="D160" s="113"/>
      <c r="E160" s="113"/>
      <c r="F160" s="113"/>
      <c r="G160" s="113"/>
      <c r="H160" s="113"/>
      <c r="I160" s="113"/>
      <c r="J160" s="113"/>
      <c r="L160" s="113"/>
      <c r="M160" s="113"/>
      <c r="N160" s="113"/>
      <c r="O160" s="113"/>
      <c r="P160" s="113"/>
      <c r="Q160" s="113"/>
      <c r="R160" s="113"/>
      <c r="T160" s="113"/>
      <c r="U160" s="113"/>
      <c r="V160" s="114"/>
      <c r="W160" s="114"/>
      <c r="X160" s="114"/>
      <c r="Y160" s="114"/>
      <c r="Z160" s="114"/>
      <c r="AA160" s="114"/>
      <c r="AB160" s="113"/>
      <c r="AD160" s="113"/>
      <c r="AE160" s="113"/>
      <c r="AF160" s="113"/>
      <c r="AG160" s="113"/>
      <c r="AH160" s="113"/>
      <c r="AI160" s="113"/>
      <c r="AJ160" s="113"/>
      <c r="AK160" s="113"/>
      <c r="AL160" s="46"/>
      <c r="AM160" s="111"/>
      <c r="AN160" s="112"/>
      <c r="AO160" s="113"/>
      <c r="AP160" s="113"/>
      <c r="AQ160" s="113"/>
      <c r="AR160" s="113"/>
      <c r="AS160" s="113"/>
      <c r="AT160" s="113"/>
      <c r="AU160" s="113"/>
      <c r="AW160" s="113"/>
      <c r="AX160" s="113"/>
      <c r="AY160" s="113"/>
      <c r="AZ160" s="113"/>
      <c r="BA160" s="113"/>
      <c r="BB160" s="113"/>
      <c r="BC160" s="113"/>
      <c r="BE160" s="113"/>
      <c r="BF160" s="113"/>
      <c r="BG160" s="114"/>
      <c r="BH160" s="114"/>
      <c r="BI160" s="114"/>
      <c r="BJ160" s="114"/>
      <c r="BK160" s="114"/>
      <c r="BL160" s="114"/>
      <c r="BM160" s="113"/>
      <c r="BO160" s="113"/>
      <c r="BP160" s="113"/>
      <c r="BQ160" s="113"/>
      <c r="BR160" s="113"/>
      <c r="BS160" s="113"/>
      <c r="BT160" s="113"/>
      <c r="BU160" s="113"/>
      <c r="BV160" s="113"/>
      <c r="BW160" s="44">
        <f t="shared" si="40"/>
        <v>1</v>
      </c>
      <c r="BX160" s="45"/>
      <c r="BY160" s="45"/>
      <c r="CA160" s="28"/>
    </row>
    <row r="161" spans="1:79" s="27" customFormat="1" ht="15" customHeight="1" outlineLevel="1" x14ac:dyDescent="0.25">
      <c r="A161" s="46"/>
      <c r="B161" s="111"/>
      <c r="C161" s="112"/>
      <c r="D161" s="113"/>
      <c r="E161" s="113"/>
      <c r="F161" s="113"/>
      <c r="G161" s="113"/>
      <c r="H161" s="113"/>
      <c r="I161" s="113"/>
      <c r="J161" s="113"/>
      <c r="L161" s="113"/>
      <c r="M161" s="113"/>
      <c r="N161" s="113"/>
      <c r="O161" s="113"/>
      <c r="P161" s="113"/>
      <c r="Q161" s="113"/>
      <c r="R161" s="113"/>
      <c r="T161" s="113"/>
      <c r="U161" s="113"/>
      <c r="V161" s="114"/>
      <c r="W161" s="114"/>
      <c r="X161" s="114"/>
      <c r="Y161" s="114"/>
      <c r="Z161" s="114"/>
      <c r="AA161" s="114"/>
      <c r="AB161" s="113"/>
      <c r="AD161" s="113"/>
      <c r="AE161" s="113"/>
      <c r="AF161" s="113"/>
      <c r="AG161" s="113"/>
      <c r="AH161" s="113"/>
      <c r="AI161" s="113"/>
      <c r="AJ161" s="113"/>
      <c r="AK161" s="113"/>
      <c r="AL161" s="46"/>
      <c r="AM161" s="111"/>
      <c r="AN161" s="112"/>
      <c r="AO161" s="113"/>
      <c r="AP161" s="113"/>
      <c r="AQ161" s="113"/>
      <c r="AR161" s="113"/>
      <c r="AS161" s="113"/>
      <c r="AT161" s="113"/>
      <c r="AU161" s="113"/>
      <c r="AW161" s="113"/>
      <c r="AX161" s="113"/>
      <c r="AY161" s="113"/>
      <c r="AZ161" s="113"/>
      <c r="BA161" s="113"/>
      <c r="BB161" s="113"/>
      <c r="BC161" s="113"/>
      <c r="BE161" s="113"/>
      <c r="BF161" s="113"/>
      <c r="BG161" s="114"/>
      <c r="BH161" s="114"/>
      <c r="BI161" s="114"/>
      <c r="BJ161" s="114"/>
      <c r="BK161" s="114"/>
      <c r="BL161" s="114"/>
      <c r="BM161" s="113"/>
      <c r="BO161" s="113"/>
      <c r="BP161" s="113"/>
      <c r="BQ161" s="113"/>
      <c r="BR161" s="113"/>
      <c r="BS161" s="113"/>
      <c r="BT161" s="113"/>
      <c r="BU161" s="113"/>
      <c r="BV161" s="113"/>
      <c r="BW161" s="44">
        <f t="shared" si="40"/>
        <v>1</v>
      </c>
      <c r="BX161" s="45"/>
      <c r="BY161" s="45"/>
      <c r="CA161" s="28"/>
    </row>
    <row r="162" spans="1:79" s="224" customFormat="1" ht="15" customHeight="1" x14ac:dyDescent="0.25">
      <c r="A162" s="228" t="s">
        <v>293</v>
      </c>
      <c r="B162" s="230"/>
      <c r="C162" s="229"/>
      <c r="D162" s="229"/>
      <c r="E162" s="229"/>
      <c r="F162" s="229"/>
      <c r="G162" s="229"/>
      <c r="H162" s="228"/>
      <c r="I162" s="228"/>
      <c r="O162" s="229" t="s">
        <v>292</v>
      </c>
    </row>
    <row r="163" spans="1:79" s="27" customFormat="1" ht="2.1" customHeight="1" x14ac:dyDescent="0.25">
      <c r="A163" s="46"/>
      <c r="B163" s="111"/>
      <c r="C163" s="112"/>
      <c r="D163" s="118"/>
      <c r="E163" s="113"/>
      <c r="F163" s="113"/>
      <c r="G163" s="113"/>
      <c r="H163" s="118"/>
      <c r="I163" s="113"/>
      <c r="J163" s="113"/>
      <c r="L163" s="116"/>
      <c r="M163" s="113"/>
      <c r="N163" s="113"/>
      <c r="O163" s="113"/>
      <c r="P163" s="118"/>
      <c r="Q163" s="113"/>
      <c r="R163" s="118"/>
      <c r="T163" s="113"/>
      <c r="U163" s="113"/>
      <c r="V163" s="114"/>
      <c r="W163" s="114"/>
      <c r="X163" s="114"/>
      <c r="Y163" s="114"/>
      <c r="Z163" s="114"/>
      <c r="AA163" s="115"/>
      <c r="AB163" s="113"/>
      <c r="AD163" s="115"/>
      <c r="AE163" s="113"/>
      <c r="AF163" s="113"/>
      <c r="AG163" s="113"/>
      <c r="AH163" s="113"/>
      <c r="AI163" s="113"/>
      <c r="AJ163" s="113"/>
      <c r="AK163" s="113"/>
      <c r="AL163" s="46"/>
      <c r="AM163" s="111"/>
      <c r="AN163" s="112"/>
      <c r="AO163" s="118"/>
      <c r="AP163" s="113"/>
      <c r="AQ163" s="113"/>
      <c r="AR163" s="113"/>
      <c r="AS163" s="118"/>
      <c r="AT163" s="113"/>
      <c r="AU163" s="113"/>
      <c r="AW163" s="116"/>
      <c r="AX163" s="113"/>
      <c r="AY163" s="113"/>
      <c r="AZ163" s="113"/>
      <c r="BA163" s="118"/>
      <c r="BB163" s="113"/>
      <c r="BC163" s="118"/>
      <c r="BE163" s="113"/>
      <c r="BF163" s="113"/>
      <c r="BG163" s="114"/>
      <c r="BH163" s="114"/>
      <c r="BI163" s="114"/>
      <c r="BJ163" s="114"/>
      <c r="BK163" s="114"/>
      <c r="BL163" s="115"/>
      <c r="BM163" s="113"/>
      <c r="BO163" s="115"/>
      <c r="BP163" s="113"/>
      <c r="BQ163" s="113"/>
      <c r="BR163" s="113"/>
      <c r="BS163" s="113"/>
      <c r="BT163" s="113"/>
      <c r="BU163" s="113"/>
      <c r="BV163" s="113"/>
      <c r="BW163" s="44">
        <f t="shared" si="40"/>
        <v>1</v>
      </c>
      <c r="BX163" s="45"/>
      <c r="BY163" s="45"/>
      <c r="CA163" s="28"/>
    </row>
    <row r="164" spans="1:79" s="27" customFormat="1" ht="15" hidden="1" customHeight="1" outlineLevel="1" x14ac:dyDescent="0.25">
      <c r="A164" s="46"/>
      <c r="B164" s="111"/>
      <c r="C164" s="112"/>
      <c r="D164" s="116"/>
      <c r="E164" s="113"/>
      <c r="F164" s="113"/>
      <c r="G164" s="113"/>
      <c r="H164" s="116"/>
      <c r="I164" s="113"/>
      <c r="J164" s="113"/>
      <c r="L164" s="116"/>
      <c r="M164" s="113"/>
      <c r="N164" s="113"/>
      <c r="O164" s="113"/>
      <c r="P164" s="116"/>
      <c r="Q164" s="113"/>
      <c r="R164" s="116"/>
      <c r="T164" s="113"/>
      <c r="U164" s="113"/>
      <c r="V164" s="114"/>
      <c r="W164" s="114"/>
      <c r="X164" s="114"/>
      <c r="Y164" s="114"/>
      <c r="Z164" s="114"/>
      <c r="AA164" s="117"/>
      <c r="AB164" s="113"/>
      <c r="AD164" s="117"/>
      <c r="AE164" s="113"/>
      <c r="AF164" s="113"/>
      <c r="AG164" s="113"/>
      <c r="AH164" s="113"/>
      <c r="AI164" s="113"/>
      <c r="AJ164" s="113"/>
      <c r="AK164" s="113"/>
      <c r="AL164" s="46"/>
      <c r="AM164" s="111"/>
      <c r="AN164" s="112"/>
      <c r="AO164" s="116"/>
      <c r="AP164" s="113"/>
      <c r="AQ164" s="113"/>
      <c r="AR164" s="113"/>
      <c r="AS164" s="116"/>
      <c r="AT164" s="113"/>
      <c r="AU164" s="113"/>
      <c r="AW164" s="116"/>
      <c r="AX164" s="113"/>
      <c r="AY164" s="113"/>
      <c r="AZ164" s="113"/>
      <c r="BA164" s="116"/>
      <c r="BB164" s="113"/>
      <c r="BC164" s="116"/>
      <c r="BE164" s="113"/>
      <c r="BF164" s="113"/>
      <c r="BG164" s="114"/>
      <c r="BH164" s="114"/>
      <c r="BI164" s="114"/>
      <c r="BJ164" s="114"/>
      <c r="BK164" s="114"/>
      <c r="BL164" s="117"/>
      <c r="BM164" s="113"/>
      <c r="BO164" s="117"/>
      <c r="BP164" s="113"/>
      <c r="BQ164" s="113"/>
      <c r="BR164" s="113"/>
      <c r="BS164" s="113"/>
      <c r="BT164" s="113"/>
      <c r="BU164" s="113"/>
      <c r="BV164" s="113"/>
      <c r="BW164" s="44">
        <f t="shared" ref="BW164:BW172" si="41">IF(Kieu_chan_ky="Kiểu 2",1,0)</f>
        <v>0</v>
      </c>
      <c r="BX164" s="45"/>
      <c r="BY164" s="45"/>
    </row>
    <row r="165" spans="1:79" s="27" customFormat="1" ht="15" hidden="1" customHeight="1" outlineLevel="1" x14ac:dyDescent="0.25">
      <c r="A165" s="46"/>
      <c r="B165" s="111"/>
      <c r="C165" s="112"/>
      <c r="D165" s="113"/>
      <c r="E165" s="113"/>
      <c r="F165" s="113"/>
      <c r="G165" s="113"/>
      <c r="H165" s="113"/>
      <c r="I165" s="113"/>
      <c r="J165" s="113"/>
      <c r="L165" s="113"/>
      <c r="M165" s="113"/>
      <c r="N165" s="113"/>
      <c r="O165" s="113"/>
      <c r="P165" s="113"/>
      <c r="Q165" s="113"/>
      <c r="R165" s="113"/>
      <c r="T165" s="113"/>
      <c r="U165" s="113"/>
      <c r="V165" s="114"/>
      <c r="W165" s="114"/>
      <c r="X165" s="114"/>
      <c r="Y165" s="114"/>
      <c r="Z165" s="114"/>
      <c r="AA165" s="114"/>
      <c r="AB165" s="113"/>
      <c r="AD165" s="113"/>
      <c r="AE165" s="113"/>
      <c r="AF165" s="113"/>
      <c r="AG165" s="113"/>
      <c r="AH165" s="113"/>
      <c r="AI165" s="113"/>
      <c r="AJ165" s="113"/>
      <c r="AK165" s="113"/>
      <c r="AL165" s="46"/>
      <c r="AM165" s="111"/>
      <c r="AN165" s="112"/>
      <c r="AO165" s="113"/>
      <c r="AP165" s="113"/>
      <c r="AQ165" s="113"/>
      <c r="AR165" s="113"/>
      <c r="AS165" s="113"/>
      <c r="AT165" s="113"/>
      <c r="AU165" s="113"/>
      <c r="AW165" s="113"/>
      <c r="AX165" s="113"/>
      <c r="AY165" s="113"/>
      <c r="AZ165" s="113"/>
      <c r="BA165" s="113"/>
      <c r="BB165" s="113"/>
      <c r="BC165" s="113"/>
      <c r="BE165" s="113"/>
      <c r="BF165" s="113"/>
      <c r="BG165" s="114"/>
      <c r="BH165" s="114"/>
      <c r="BI165" s="114"/>
      <c r="BJ165" s="114"/>
      <c r="BK165" s="114"/>
      <c r="BL165" s="114"/>
      <c r="BM165" s="113"/>
      <c r="BO165" s="113"/>
      <c r="BP165" s="113"/>
      <c r="BQ165" s="113"/>
      <c r="BR165" s="113"/>
      <c r="BS165" s="113"/>
      <c r="BT165" s="113"/>
      <c r="BU165" s="113"/>
      <c r="BV165" s="113"/>
      <c r="BW165" s="44">
        <f t="shared" si="41"/>
        <v>0</v>
      </c>
      <c r="BX165" s="45"/>
      <c r="BY165" s="45"/>
    </row>
    <row r="166" spans="1:79" s="27" customFormat="1" ht="15" hidden="1" customHeight="1" outlineLevel="1" x14ac:dyDescent="0.25">
      <c r="A166" s="46"/>
      <c r="B166" s="111"/>
      <c r="C166" s="112"/>
      <c r="D166" s="113"/>
      <c r="E166" s="113"/>
      <c r="F166" s="113"/>
      <c r="G166" s="113"/>
      <c r="H166" s="113"/>
      <c r="I166" s="113"/>
      <c r="J166" s="113"/>
      <c r="L166" s="113"/>
      <c r="M166" s="113"/>
      <c r="N166" s="113"/>
      <c r="O166" s="113"/>
      <c r="P166" s="113"/>
      <c r="Q166" s="113"/>
      <c r="R166" s="113"/>
      <c r="T166" s="113"/>
      <c r="U166" s="113"/>
      <c r="V166" s="114"/>
      <c r="W166" s="114"/>
      <c r="X166" s="114"/>
      <c r="Y166" s="114"/>
      <c r="Z166" s="114"/>
      <c r="AA166" s="114"/>
      <c r="AB166" s="113"/>
      <c r="AD166" s="113"/>
      <c r="AE166" s="113"/>
      <c r="AF166" s="113"/>
      <c r="AG166" s="113"/>
      <c r="AH166" s="113"/>
      <c r="AI166" s="113"/>
      <c r="AJ166" s="113"/>
      <c r="AK166" s="113"/>
      <c r="AL166" s="46"/>
      <c r="AM166" s="111"/>
      <c r="AN166" s="112"/>
      <c r="AO166" s="113"/>
      <c r="AP166" s="113"/>
      <c r="AQ166" s="113"/>
      <c r="AR166" s="113"/>
      <c r="AS166" s="113"/>
      <c r="AT166" s="113"/>
      <c r="AU166" s="113"/>
      <c r="AW166" s="113"/>
      <c r="AX166" s="113"/>
      <c r="AY166" s="113"/>
      <c r="AZ166" s="113"/>
      <c r="BA166" s="113"/>
      <c r="BB166" s="113"/>
      <c r="BC166" s="113"/>
      <c r="BE166" s="113"/>
      <c r="BF166" s="113"/>
      <c r="BG166" s="114"/>
      <c r="BH166" s="114"/>
      <c r="BI166" s="114"/>
      <c r="BJ166" s="114"/>
      <c r="BK166" s="114"/>
      <c r="BL166" s="114"/>
      <c r="BM166" s="113"/>
      <c r="BO166" s="113"/>
      <c r="BP166" s="113"/>
      <c r="BQ166" s="113"/>
      <c r="BR166" s="113"/>
      <c r="BS166" s="113"/>
      <c r="BT166" s="113"/>
      <c r="BU166" s="113"/>
      <c r="BV166" s="113"/>
      <c r="BW166" s="44">
        <f t="shared" si="41"/>
        <v>0</v>
      </c>
      <c r="BX166" s="45"/>
      <c r="BY166" s="45"/>
    </row>
    <row r="167" spans="1:79" s="27" customFormat="1" ht="15" hidden="1" customHeight="1" outlineLevel="1" x14ac:dyDescent="0.25">
      <c r="A167" s="46"/>
      <c r="B167" s="111"/>
      <c r="C167" s="112"/>
      <c r="D167" s="113"/>
      <c r="E167" s="113"/>
      <c r="F167" s="113"/>
      <c r="G167" s="113"/>
      <c r="H167" s="113"/>
      <c r="I167" s="113"/>
      <c r="J167" s="113"/>
      <c r="L167" s="113"/>
      <c r="M167" s="113"/>
      <c r="N167" s="113"/>
      <c r="O167" s="113"/>
      <c r="P167" s="113"/>
      <c r="Q167" s="113"/>
      <c r="R167" s="113"/>
      <c r="T167" s="113"/>
      <c r="U167" s="113"/>
      <c r="V167" s="114"/>
      <c r="W167" s="114"/>
      <c r="X167" s="114"/>
      <c r="Y167" s="114"/>
      <c r="Z167" s="114"/>
      <c r="AA167" s="114"/>
      <c r="AB167" s="113"/>
      <c r="AD167" s="113"/>
      <c r="AE167" s="113"/>
      <c r="AF167" s="113"/>
      <c r="AG167" s="113"/>
      <c r="AH167" s="113"/>
      <c r="AI167" s="113"/>
      <c r="AJ167" s="113"/>
      <c r="AK167" s="113"/>
      <c r="AL167" s="46"/>
      <c r="AM167" s="111"/>
      <c r="AN167" s="112"/>
      <c r="AO167" s="113"/>
      <c r="AP167" s="113"/>
      <c r="AQ167" s="113"/>
      <c r="AR167" s="113"/>
      <c r="AS167" s="113"/>
      <c r="AT167" s="113"/>
      <c r="AU167" s="113"/>
      <c r="AW167" s="113"/>
      <c r="AX167" s="113"/>
      <c r="AY167" s="113"/>
      <c r="AZ167" s="113"/>
      <c r="BA167" s="113"/>
      <c r="BB167" s="113"/>
      <c r="BC167" s="113"/>
      <c r="BE167" s="113"/>
      <c r="BF167" s="113"/>
      <c r="BG167" s="114"/>
      <c r="BH167" s="114"/>
      <c r="BI167" s="114"/>
      <c r="BJ167" s="114"/>
      <c r="BK167" s="114"/>
      <c r="BL167" s="114"/>
      <c r="BM167" s="113"/>
      <c r="BO167" s="113"/>
      <c r="BP167" s="113"/>
      <c r="BQ167" s="113"/>
      <c r="BR167" s="113"/>
      <c r="BS167" s="113"/>
      <c r="BT167" s="113"/>
      <c r="BU167" s="113"/>
      <c r="BV167" s="113"/>
      <c r="BW167" s="44">
        <f t="shared" si="41"/>
        <v>0</v>
      </c>
      <c r="BX167" s="45"/>
      <c r="BY167" s="45"/>
    </row>
    <row r="168" spans="1:79" s="27" customFormat="1" ht="15" hidden="1" customHeight="1" outlineLevel="1" x14ac:dyDescent="0.25">
      <c r="A168" s="46"/>
      <c r="B168" s="111"/>
      <c r="C168" s="112"/>
      <c r="D168" s="113"/>
      <c r="E168" s="113"/>
      <c r="F168" s="113"/>
      <c r="G168" s="113"/>
      <c r="H168" s="113"/>
      <c r="I168" s="113"/>
      <c r="J168" s="113"/>
      <c r="L168" s="113"/>
      <c r="M168" s="113"/>
      <c r="N168" s="113"/>
      <c r="O168" s="113"/>
      <c r="P168" s="113"/>
      <c r="Q168" s="113"/>
      <c r="R168" s="113"/>
      <c r="T168" s="113"/>
      <c r="U168" s="113"/>
      <c r="V168" s="114"/>
      <c r="W168" s="114"/>
      <c r="X168" s="114"/>
      <c r="Y168" s="114"/>
      <c r="Z168" s="114"/>
      <c r="AA168" s="114"/>
      <c r="AB168" s="113"/>
      <c r="AD168" s="113"/>
      <c r="AE168" s="113"/>
      <c r="AF168" s="113"/>
      <c r="AG168" s="113"/>
      <c r="AH168" s="113"/>
      <c r="AI168" s="113"/>
      <c r="AJ168" s="113"/>
      <c r="AK168" s="113"/>
      <c r="AL168" s="46"/>
      <c r="AM168" s="111"/>
      <c r="AN168" s="112"/>
      <c r="AO168" s="113"/>
      <c r="AP168" s="113"/>
      <c r="AQ168" s="113"/>
      <c r="AR168" s="113"/>
      <c r="AS168" s="113"/>
      <c r="AT168" s="113"/>
      <c r="AU168" s="113"/>
      <c r="AW168" s="113"/>
      <c r="AX168" s="113"/>
      <c r="AY168" s="113"/>
      <c r="AZ168" s="113"/>
      <c r="BA168" s="113"/>
      <c r="BB168" s="113"/>
      <c r="BC168" s="113"/>
      <c r="BE168" s="113"/>
      <c r="BF168" s="113"/>
      <c r="BG168" s="114"/>
      <c r="BH168" s="114"/>
      <c r="BI168" s="114"/>
      <c r="BJ168" s="114"/>
      <c r="BK168" s="114"/>
      <c r="BL168" s="114"/>
      <c r="BM168" s="113"/>
      <c r="BO168" s="113"/>
      <c r="BP168" s="113"/>
      <c r="BQ168" s="113"/>
      <c r="BR168" s="113"/>
      <c r="BS168" s="113"/>
      <c r="BT168" s="113"/>
      <c r="BU168" s="113"/>
      <c r="BV168" s="113"/>
      <c r="BW168" s="44">
        <f t="shared" si="41"/>
        <v>0</v>
      </c>
      <c r="BX168" s="45"/>
      <c r="BY168" s="45"/>
    </row>
    <row r="169" spans="1:79" s="27" customFormat="1" ht="15" hidden="1" customHeight="1" outlineLevel="1" x14ac:dyDescent="0.25">
      <c r="A169" s="46"/>
      <c r="B169" s="111"/>
      <c r="C169" s="112"/>
      <c r="D169" s="113"/>
      <c r="E169" s="113"/>
      <c r="F169" s="113"/>
      <c r="G169" s="113"/>
      <c r="H169" s="113"/>
      <c r="I169" s="113"/>
      <c r="J169" s="113"/>
      <c r="L169" s="119"/>
      <c r="M169" s="120"/>
      <c r="N169" s="120"/>
      <c r="O169" s="120"/>
      <c r="P169" s="120"/>
      <c r="Q169" s="120"/>
      <c r="R169" s="120"/>
      <c r="S169" s="20"/>
      <c r="T169" s="120"/>
      <c r="U169" s="120"/>
      <c r="V169" s="121"/>
      <c r="W169" s="121"/>
      <c r="X169" s="121"/>
      <c r="Y169" s="122"/>
      <c r="Z169" s="121"/>
      <c r="AA169" s="114"/>
      <c r="AB169" s="113"/>
      <c r="AD169" s="113"/>
      <c r="AE169" s="113"/>
      <c r="AF169" s="113"/>
      <c r="AG169" s="113"/>
      <c r="AH169" s="113"/>
      <c r="AI169" s="113"/>
      <c r="AJ169" s="113"/>
      <c r="AK169" s="113"/>
      <c r="AL169" s="46"/>
      <c r="AM169" s="111"/>
      <c r="AN169" s="112"/>
      <c r="AO169" s="113"/>
      <c r="AP169" s="113"/>
      <c r="AQ169" s="113"/>
      <c r="AR169" s="113"/>
      <c r="AS169" s="113"/>
      <c r="AT169" s="113"/>
      <c r="AU169" s="113"/>
      <c r="AW169" s="119"/>
      <c r="AX169" s="120"/>
      <c r="AY169" s="120"/>
      <c r="AZ169" s="120"/>
      <c r="BA169" s="120"/>
      <c r="BB169" s="120"/>
      <c r="BC169" s="120"/>
      <c r="BD169" s="20"/>
      <c r="BE169" s="120"/>
      <c r="BF169" s="120"/>
      <c r="BG169" s="121"/>
      <c r="BH169" s="121"/>
      <c r="BI169" s="121"/>
      <c r="BJ169" s="122"/>
      <c r="BK169" s="121"/>
      <c r="BL169" s="114"/>
      <c r="BM169" s="113"/>
      <c r="BO169" s="113"/>
      <c r="BP169" s="113"/>
      <c r="BQ169" s="113"/>
      <c r="BR169" s="113"/>
      <c r="BS169" s="113"/>
      <c r="BT169" s="113"/>
      <c r="BU169" s="113"/>
      <c r="BV169" s="113"/>
      <c r="BW169" s="44">
        <f t="shared" si="41"/>
        <v>0</v>
      </c>
      <c r="BX169" s="45"/>
      <c r="BY169" s="45"/>
    </row>
    <row r="170" spans="1:79" s="27" customFormat="1" ht="15" hidden="1" customHeight="1" outlineLevel="1" x14ac:dyDescent="0.25">
      <c r="A170" s="123" t="str">
        <f>IF(Kieu_chan_ky="Kiểu 1","",Ten_NguoiLap_V)</f>
        <v/>
      </c>
      <c r="B170" s="124"/>
      <c r="C170" s="125"/>
      <c r="D170" s="126"/>
      <c r="E170" s="127"/>
      <c r="F170" s="127"/>
      <c r="G170" s="127"/>
      <c r="H170" s="126"/>
      <c r="I170" s="127"/>
      <c r="J170" s="127"/>
      <c r="K170" s="128"/>
      <c r="L170" s="129"/>
      <c r="M170" s="123" t="str">
        <f>IF(Kieu_chan_ky="Kiểu 1","",Ten_KTT_V)</f>
        <v/>
      </c>
      <c r="N170" s="113"/>
      <c r="O170" s="113"/>
      <c r="P170" s="118"/>
      <c r="Q170" s="113"/>
      <c r="R170" s="118"/>
      <c r="T170" s="113"/>
      <c r="U170" s="113"/>
      <c r="V170" s="114"/>
      <c r="W170" s="114"/>
      <c r="X170" s="114"/>
      <c r="Y170" s="130"/>
      <c r="Z170" s="130" t="str">
        <f>IF(Kieu_chan_ky="Kiểu 1","",Ten_ThuTruong_V)</f>
        <v/>
      </c>
      <c r="AA170" s="131"/>
      <c r="AB170" s="127"/>
      <c r="AC170" s="128"/>
      <c r="AD170" s="131"/>
      <c r="AE170" s="127"/>
      <c r="AF170" s="127"/>
      <c r="AG170" s="127"/>
      <c r="AH170" s="127"/>
      <c r="AI170" s="127"/>
      <c r="AJ170" s="127"/>
      <c r="AK170" s="113"/>
      <c r="AL170" s="123" t="str">
        <f>IF(Kieu_chan_ky="Kiểu 1","",Ten_NguoiLap_E)</f>
        <v/>
      </c>
      <c r="AM170" s="124"/>
      <c r="AN170" s="125"/>
      <c r="AO170" s="126"/>
      <c r="AP170" s="127"/>
      <c r="AQ170" s="127"/>
      <c r="AR170" s="127"/>
      <c r="AS170" s="126"/>
      <c r="AT170" s="127"/>
      <c r="AU170" s="127"/>
      <c r="AV170" s="128"/>
      <c r="AW170" s="129"/>
      <c r="AX170" s="123" t="str">
        <f>IF(Kieu_chan_ky="Kiểu 1","",Ten_KTT_E)</f>
        <v/>
      </c>
      <c r="AY170" s="113"/>
      <c r="AZ170" s="113"/>
      <c r="BA170" s="118"/>
      <c r="BB170" s="113"/>
      <c r="BC170" s="118"/>
      <c r="BE170" s="113"/>
      <c r="BF170" s="113"/>
      <c r="BG170" s="114"/>
      <c r="BH170" s="114"/>
      <c r="BI170" s="114"/>
      <c r="BJ170" s="132"/>
      <c r="BK170" s="132" t="str">
        <f>IF(Kieu_chan_ky="Kiểu 1","",Ten_ThuTruong_E)</f>
        <v/>
      </c>
      <c r="BL170" s="131"/>
      <c r="BM170" s="127"/>
      <c r="BN170" s="128"/>
      <c r="BO170" s="131"/>
      <c r="BP170" s="127"/>
      <c r="BQ170" s="127"/>
      <c r="BR170" s="127"/>
      <c r="BS170" s="127"/>
      <c r="BT170" s="127"/>
      <c r="BU170" s="127"/>
      <c r="BV170" s="113"/>
      <c r="BW170" s="44">
        <f t="shared" si="41"/>
        <v>0</v>
      </c>
      <c r="BX170" s="45"/>
      <c r="BY170" s="45"/>
    </row>
    <row r="171" spans="1:79" s="27" customFormat="1" ht="15" hidden="1" customHeight="1" outlineLevel="1" x14ac:dyDescent="0.25">
      <c r="A171" s="81" t="str">
        <f>IF(Kieu_chan_ky="Kiểu 1","",ChucDanh_NguoiLap_V)</f>
        <v/>
      </c>
      <c r="B171" s="112"/>
      <c r="C171" s="112"/>
      <c r="D171" s="113"/>
      <c r="E171" s="113"/>
      <c r="F171" s="113"/>
      <c r="G171" s="113"/>
      <c r="H171" s="118"/>
      <c r="I171" s="113"/>
      <c r="J171" s="113"/>
      <c r="K171" s="113"/>
      <c r="L171" s="113"/>
      <c r="M171" s="81" t="str">
        <f>IF(Kieu_chan_ky="Kiểu 1","",ChucDanh_KTT_V)</f>
        <v/>
      </c>
      <c r="N171" s="113"/>
      <c r="O171" s="113"/>
      <c r="P171" s="113"/>
      <c r="Q171" s="113"/>
      <c r="R171" s="113"/>
      <c r="S171" s="118"/>
      <c r="T171" s="113"/>
      <c r="U171" s="113"/>
      <c r="V171" s="114"/>
      <c r="W171" s="114"/>
      <c r="X171" s="114"/>
      <c r="Y171" s="133"/>
      <c r="Z171" s="133" t="str">
        <f>IF(Kieu_chan_ky="Kiểu 1","",ChucDanh_ThuTruong_V)</f>
        <v/>
      </c>
      <c r="AA171" s="114"/>
      <c r="AB171" s="113"/>
      <c r="AC171" s="115"/>
      <c r="AD171" s="113"/>
      <c r="AE171" s="113"/>
      <c r="AF171" s="113"/>
      <c r="AG171" s="113"/>
      <c r="AH171" s="113"/>
      <c r="AI171" s="113"/>
      <c r="AJ171" s="113"/>
      <c r="AK171" s="113"/>
      <c r="AL171" s="81" t="str">
        <f>IF(Kieu_chan_ky="Kiểu 1","",ChucDanh_NguoiLap_E)</f>
        <v/>
      </c>
      <c r="AM171" s="112"/>
      <c r="AN171" s="112"/>
      <c r="AO171" s="113"/>
      <c r="AP171" s="113"/>
      <c r="AQ171" s="113"/>
      <c r="AR171" s="113"/>
      <c r="AS171" s="118"/>
      <c r="AT171" s="113"/>
      <c r="AU171" s="113"/>
      <c r="AV171" s="113"/>
      <c r="AW171" s="113"/>
      <c r="AX171" s="81" t="str">
        <f>IF(Kieu_chan_ky="Kiểu 1","",ChucDanh_KTT_E)</f>
        <v/>
      </c>
      <c r="AY171" s="113"/>
      <c r="AZ171" s="113"/>
      <c r="BA171" s="113"/>
      <c r="BB171" s="113"/>
      <c r="BC171" s="113"/>
      <c r="BD171" s="118"/>
      <c r="BE171" s="113"/>
      <c r="BF171" s="113"/>
      <c r="BG171" s="114"/>
      <c r="BH171" s="114"/>
      <c r="BI171" s="114"/>
      <c r="BJ171" s="114"/>
      <c r="BK171" s="114" t="str">
        <f>IF(Kieu_chan_ky="Kiểu 1","",ChucDanh_ThuTruong_E)</f>
        <v/>
      </c>
      <c r="BL171" s="114"/>
      <c r="BM171" s="113"/>
      <c r="BN171" s="115"/>
      <c r="BO171" s="113"/>
      <c r="BP171" s="113"/>
      <c r="BQ171" s="113"/>
      <c r="BR171" s="113"/>
      <c r="BS171" s="113"/>
      <c r="BT171" s="113"/>
      <c r="BU171" s="113"/>
      <c r="BV171" s="113"/>
      <c r="BW171" s="44">
        <f t="shared" si="41"/>
        <v>0</v>
      </c>
      <c r="BX171" s="45"/>
      <c r="BY171" s="45"/>
    </row>
    <row r="172" spans="1:79" s="27" customFormat="1" ht="15" hidden="1" customHeight="1" outlineLevel="1" x14ac:dyDescent="0.25">
      <c r="A172" s="134" t="str">
        <f>IF(Kieu_chan_ky="Kiểu 1","",Ngay_Ky_BCTC_V)</f>
        <v/>
      </c>
      <c r="B172" s="112"/>
      <c r="C172" s="112"/>
      <c r="D172" s="113"/>
      <c r="E172" s="113"/>
      <c r="F172" s="113"/>
      <c r="G172" s="113"/>
      <c r="H172" s="118"/>
      <c r="I172" s="113"/>
      <c r="J172" s="113"/>
      <c r="K172" s="113"/>
      <c r="L172" s="113"/>
      <c r="M172" s="113"/>
      <c r="N172" s="113"/>
      <c r="O172" s="113"/>
      <c r="P172" s="113"/>
      <c r="Q172" s="113"/>
      <c r="R172" s="113"/>
      <c r="S172" s="118"/>
      <c r="T172" s="113"/>
      <c r="U172" s="113"/>
      <c r="V172" s="114"/>
      <c r="W172" s="114"/>
      <c r="X172" s="114"/>
      <c r="Y172" s="135"/>
      <c r="Z172" s="114"/>
      <c r="AA172" s="114"/>
      <c r="AB172" s="113"/>
      <c r="AC172" s="115"/>
      <c r="AD172" s="113"/>
      <c r="AE172" s="113"/>
      <c r="AF172" s="113"/>
      <c r="AG172" s="113"/>
      <c r="AH172" s="113"/>
      <c r="AI172" s="113"/>
      <c r="AJ172" s="113"/>
      <c r="AK172" s="113"/>
      <c r="AL172" s="134" t="str">
        <f>IF(Kieu_chan_ky="Kiểu 1","",Ngay_Ky_BCTC_E)</f>
        <v/>
      </c>
      <c r="AM172" s="112"/>
      <c r="AN172" s="112"/>
      <c r="AO172" s="113"/>
      <c r="AP172" s="113"/>
      <c r="AQ172" s="113"/>
      <c r="AR172" s="113"/>
      <c r="AS172" s="118"/>
      <c r="AT172" s="113"/>
      <c r="AU172" s="113"/>
      <c r="AV172" s="113"/>
      <c r="AW172" s="113"/>
      <c r="AX172" s="113"/>
      <c r="AY172" s="113"/>
      <c r="AZ172" s="113"/>
      <c r="BA172" s="113"/>
      <c r="BB172" s="113"/>
      <c r="BC172" s="113"/>
      <c r="BD172" s="118"/>
      <c r="BE172" s="113"/>
      <c r="BF172" s="113"/>
      <c r="BG172" s="114"/>
      <c r="BH172" s="114"/>
      <c r="BI172" s="114"/>
      <c r="BJ172" s="135"/>
      <c r="BK172" s="114"/>
      <c r="BL172" s="114"/>
      <c r="BM172" s="113"/>
      <c r="BN172" s="115"/>
      <c r="BO172" s="113"/>
      <c r="BP172" s="113"/>
      <c r="BQ172" s="113"/>
      <c r="BR172" s="113"/>
      <c r="BS172" s="113"/>
      <c r="BT172" s="113"/>
      <c r="BU172" s="113"/>
      <c r="BV172" s="113"/>
      <c r="BW172" s="44">
        <f t="shared" si="41"/>
        <v>0</v>
      </c>
      <c r="BX172" s="45"/>
      <c r="BY172" s="45"/>
    </row>
    <row r="173" spans="1:79" ht="15" customHeight="1" collapsed="1" x14ac:dyDescent="0.25">
      <c r="B173" s="137"/>
      <c r="C173" s="137"/>
      <c r="U173" s="113"/>
      <c r="V173" s="114"/>
      <c r="W173" s="114"/>
      <c r="AM173" s="137"/>
      <c r="AN173" s="137"/>
    </row>
    <row r="174" spans="1:79" ht="15" customHeight="1" x14ac:dyDescent="0.25">
      <c r="B174" s="137"/>
      <c r="C174" s="137"/>
      <c r="U174" s="113"/>
      <c r="V174" s="114"/>
      <c r="W174" s="114"/>
      <c r="AM174" s="137"/>
      <c r="AN174" s="137"/>
    </row>
    <row r="175" spans="1:79" x14ac:dyDescent="0.25">
      <c r="B175" s="137"/>
      <c r="C175" s="137"/>
      <c r="AM175" s="137"/>
      <c r="AN175" s="137"/>
    </row>
    <row r="176" spans="1:79" x14ac:dyDescent="0.25">
      <c r="B176" s="137"/>
      <c r="C176" s="137"/>
      <c r="AM176" s="137"/>
      <c r="AN176" s="137"/>
    </row>
    <row r="177" spans="2:40" x14ac:dyDescent="0.25">
      <c r="B177" s="137"/>
      <c r="C177" s="137"/>
      <c r="AM177" s="137"/>
      <c r="AN177" s="137"/>
    </row>
    <row r="178" spans="2:40" x14ac:dyDescent="0.25">
      <c r="B178" s="137"/>
      <c r="C178" s="137"/>
      <c r="AM178" s="137"/>
      <c r="AN178" s="137"/>
    </row>
    <row r="179" spans="2:40" x14ac:dyDescent="0.25">
      <c r="B179" s="137"/>
      <c r="C179" s="137"/>
      <c r="AM179" s="137"/>
      <c r="AN179" s="137"/>
    </row>
    <row r="180" spans="2:40" x14ac:dyDescent="0.25">
      <c r="B180" s="137"/>
      <c r="C180" s="137"/>
      <c r="AM180" s="137"/>
      <c r="AN180" s="137"/>
    </row>
    <row r="181" spans="2:40" x14ac:dyDescent="0.25">
      <c r="B181" s="137"/>
      <c r="C181" s="137"/>
      <c r="AM181" s="137"/>
      <c r="AN181" s="137"/>
    </row>
    <row r="182" spans="2:40" x14ac:dyDescent="0.25">
      <c r="B182" s="137"/>
      <c r="C182" s="137"/>
      <c r="AM182" s="137"/>
      <c r="AN182" s="137"/>
    </row>
    <row r="183" spans="2:40" x14ac:dyDescent="0.25">
      <c r="B183" s="137"/>
      <c r="C183" s="137"/>
      <c r="AM183" s="137"/>
      <c r="AN183" s="137"/>
    </row>
    <row r="184" spans="2:40" x14ac:dyDescent="0.25">
      <c r="B184" s="137"/>
      <c r="C184" s="137"/>
      <c r="AM184" s="137"/>
      <c r="AN184" s="137"/>
    </row>
    <row r="185" spans="2:40" x14ac:dyDescent="0.25">
      <c r="B185" s="137"/>
      <c r="C185" s="137"/>
      <c r="AM185" s="137"/>
      <c r="AN185" s="137"/>
    </row>
    <row r="186" spans="2:40" x14ac:dyDescent="0.25">
      <c r="B186" s="137"/>
      <c r="C186" s="137"/>
      <c r="AM186" s="137"/>
      <c r="AN186" s="137"/>
    </row>
    <row r="187" spans="2:40" x14ac:dyDescent="0.25">
      <c r="B187" s="137"/>
      <c r="C187" s="137"/>
      <c r="AM187" s="137"/>
      <c r="AN187" s="137"/>
    </row>
    <row r="188" spans="2:40" x14ac:dyDescent="0.25">
      <c r="B188" s="137"/>
      <c r="C188" s="137"/>
      <c r="AM188" s="137"/>
      <c r="AN188" s="137"/>
    </row>
    <row r="189" spans="2:40" x14ac:dyDescent="0.25">
      <c r="B189" s="137"/>
      <c r="C189" s="137"/>
      <c r="AM189" s="137"/>
      <c r="AN189" s="137"/>
    </row>
    <row r="190" spans="2:40" x14ac:dyDescent="0.25">
      <c r="B190" s="137"/>
      <c r="C190" s="137"/>
      <c r="AM190" s="137"/>
      <c r="AN190" s="137"/>
    </row>
    <row r="191" spans="2:40" x14ac:dyDescent="0.25">
      <c r="B191" s="137"/>
      <c r="C191" s="137"/>
      <c r="AM191" s="137"/>
      <c r="AN191" s="137"/>
    </row>
    <row r="192" spans="2:40" x14ac:dyDescent="0.25">
      <c r="B192" s="137"/>
      <c r="C192" s="137"/>
      <c r="AM192" s="137"/>
      <c r="AN192" s="137"/>
    </row>
    <row r="193" spans="2:40" x14ac:dyDescent="0.25">
      <c r="B193" s="137"/>
      <c r="C193" s="137"/>
      <c r="AM193" s="137"/>
      <c r="AN193" s="137"/>
    </row>
    <row r="194" spans="2:40" x14ac:dyDescent="0.25">
      <c r="B194" s="137"/>
      <c r="C194" s="137"/>
      <c r="AM194" s="137"/>
      <c r="AN194" s="137"/>
    </row>
    <row r="195" spans="2:40" x14ac:dyDescent="0.25">
      <c r="B195" s="137"/>
      <c r="C195" s="137"/>
      <c r="AM195" s="137"/>
      <c r="AN195" s="137"/>
    </row>
    <row r="196" spans="2:40" x14ac:dyDescent="0.25">
      <c r="B196" s="137"/>
      <c r="C196" s="137"/>
      <c r="AM196" s="137"/>
      <c r="AN196" s="137"/>
    </row>
    <row r="197" spans="2:40" x14ac:dyDescent="0.25">
      <c r="B197" s="137"/>
      <c r="C197" s="137"/>
      <c r="AM197" s="137"/>
      <c r="AN197" s="137"/>
    </row>
    <row r="198" spans="2:40" x14ac:dyDescent="0.25">
      <c r="B198" s="137"/>
      <c r="C198" s="137"/>
      <c r="AM198" s="137"/>
      <c r="AN198" s="137"/>
    </row>
    <row r="199" spans="2:40" x14ac:dyDescent="0.25">
      <c r="B199" s="137"/>
      <c r="C199" s="137"/>
      <c r="AM199" s="137"/>
      <c r="AN199" s="137"/>
    </row>
    <row r="200" spans="2:40" x14ac:dyDescent="0.25">
      <c r="B200" s="137"/>
      <c r="C200" s="137"/>
      <c r="AM200" s="137"/>
      <c r="AN200" s="137"/>
    </row>
    <row r="201" spans="2:40" x14ac:dyDescent="0.25">
      <c r="B201" s="137"/>
      <c r="C201" s="137"/>
      <c r="AM201" s="137"/>
      <c r="AN201" s="137"/>
    </row>
    <row r="202" spans="2:40" x14ac:dyDescent="0.25">
      <c r="B202" s="137"/>
      <c r="C202" s="137"/>
      <c r="AM202" s="137"/>
      <c r="AN202" s="137"/>
    </row>
    <row r="203" spans="2:40" x14ac:dyDescent="0.25">
      <c r="B203" s="137"/>
      <c r="C203" s="137"/>
      <c r="AM203" s="137"/>
      <c r="AN203" s="137"/>
    </row>
    <row r="204" spans="2:40" x14ac:dyDescent="0.25">
      <c r="B204" s="137"/>
      <c r="C204" s="137"/>
      <c r="AM204" s="137"/>
      <c r="AN204" s="137"/>
    </row>
    <row r="205" spans="2:40" x14ac:dyDescent="0.25">
      <c r="B205" s="137"/>
      <c r="C205" s="137"/>
      <c r="AM205" s="137"/>
      <c r="AN205" s="137"/>
    </row>
    <row r="206" spans="2:40" x14ac:dyDescent="0.25">
      <c r="B206" s="137"/>
      <c r="C206" s="137"/>
      <c r="AM206" s="137"/>
      <c r="AN206" s="137"/>
    </row>
    <row r="207" spans="2:40" x14ac:dyDescent="0.25">
      <c r="B207" s="137"/>
      <c r="C207" s="137"/>
      <c r="AM207" s="137"/>
      <c r="AN207" s="137"/>
    </row>
    <row r="208" spans="2:40" x14ac:dyDescent="0.25">
      <c r="B208" s="137"/>
      <c r="C208" s="137"/>
      <c r="AM208" s="137"/>
      <c r="AN208" s="137"/>
    </row>
    <row r="209" spans="2:3" x14ac:dyDescent="0.25">
      <c r="B209" s="137"/>
      <c r="C209" s="137"/>
    </row>
  </sheetData>
  <sheetProtection formatCells="0" formatColumns="0" formatRows="0" autoFilter="0" pivotTables="0"/>
  <autoFilter ref="BW4:BW172">
    <filterColumn colId="0">
      <filters>
        <filter val="1"/>
      </filters>
    </filterColumn>
  </autoFilter>
  <mergeCells count="855">
    <mergeCell ref="BG152:BM152"/>
    <mergeCell ref="BO152:BU152"/>
    <mergeCell ref="B152:P152"/>
    <mergeCell ref="R152:T152"/>
    <mergeCell ref="V152:AB152"/>
    <mergeCell ref="AD152:AJ152"/>
    <mergeCell ref="AM152:BA152"/>
    <mergeCell ref="BC152:BE152"/>
    <mergeCell ref="R151:T151"/>
    <mergeCell ref="V151:AB151"/>
    <mergeCell ref="AD151:AJ151"/>
    <mergeCell ref="BC151:BE151"/>
    <mergeCell ref="BG151:BM151"/>
    <mergeCell ref="BO151:BU151"/>
    <mergeCell ref="R150:T150"/>
    <mergeCell ref="V150:AB150"/>
    <mergeCell ref="AD150:AJ150"/>
    <mergeCell ref="BC150:BE150"/>
    <mergeCell ref="BG150:BM150"/>
    <mergeCell ref="BO150:BU150"/>
    <mergeCell ref="R149:T149"/>
    <mergeCell ref="V149:AB149"/>
    <mergeCell ref="AD149:AJ149"/>
    <mergeCell ref="BC149:BE149"/>
    <mergeCell ref="BG149:BM149"/>
    <mergeCell ref="BO149:BU149"/>
    <mergeCell ref="R148:T148"/>
    <mergeCell ref="V148:AB148"/>
    <mergeCell ref="AD148:AJ148"/>
    <mergeCell ref="BC148:BE148"/>
    <mergeCell ref="BG148:BM148"/>
    <mergeCell ref="BO148:BU148"/>
    <mergeCell ref="R147:T147"/>
    <mergeCell ref="V147:AB147"/>
    <mergeCell ref="AD147:AJ147"/>
    <mergeCell ref="BC147:BE147"/>
    <mergeCell ref="BG147:BM147"/>
    <mergeCell ref="BO147:BU147"/>
    <mergeCell ref="R146:T146"/>
    <mergeCell ref="V146:AB146"/>
    <mergeCell ref="AD146:AJ146"/>
    <mergeCell ref="BC146:BE146"/>
    <mergeCell ref="BG146:BM146"/>
    <mergeCell ref="BO146:BU146"/>
    <mergeCell ref="BO144:BU144"/>
    <mergeCell ref="V145:AB145"/>
    <mergeCell ref="AD145:AJ145"/>
    <mergeCell ref="AM145:BB145"/>
    <mergeCell ref="BG145:BM145"/>
    <mergeCell ref="BO145:BU145"/>
    <mergeCell ref="B144:T144"/>
    <mergeCell ref="V144:AB144"/>
    <mergeCell ref="AD144:AJ144"/>
    <mergeCell ref="AM144:BB144"/>
    <mergeCell ref="BC144:BE144"/>
    <mergeCell ref="BG144:BM144"/>
    <mergeCell ref="R143:T143"/>
    <mergeCell ref="V143:AB143"/>
    <mergeCell ref="AD143:AJ143"/>
    <mergeCell ref="BC143:BE143"/>
    <mergeCell ref="BG143:BM143"/>
    <mergeCell ref="BO143:BU143"/>
    <mergeCell ref="R142:T142"/>
    <mergeCell ref="V142:AB142"/>
    <mergeCell ref="AD142:AJ142"/>
    <mergeCell ref="BC142:BE142"/>
    <mergeCell ref="BG142:BM142"/>
    <mergeCell ref="BO142:BU142"/>
    <mergeCell ref="R141:T141"/>
    <mergeCell ref="V141:AB141"/>
    <mergeCell ref="AD141:AJ141"/>
    <mergeCell ref="BC141:BE141"/>
    <mergeCell ref="BG141:BM141"/>
    <mergeCell ref="BO141:BU141"/>
    <mergeCell ref="R140:T140"/>
    <mergeCell ref="V140:AB140"/>
    <mergeCell ref="AD140:AJ140"/>
    <mergeCell ref="BC140:BE140"/>
    <mergeCell ref="BG140:BM140"/>
    <mergeCell ref="BO140:BU140"/>
    <mergeCell ref="R139:T139"/>
    <mergeCell ref="V139:AB139"/>
    <mergeCell ref="AD139:AJ139"/>
    <mergeCell ref="BC139:BE139"/>
    <mergeCell ref="BG139:BM139"/>
    <mergeCell ref="BO139:BU139"/>
    <mergeCell ref="R138:T138"/>
    <mergeCell ref="V138:AB138"/>
    <mergeCell ref="AD138:AJ138"/>
    <mergeCell ref="BC138:BE138"/>
    <mergeCell ref="BG138:BM138"/>
    <mergeCell ref="BO138:BU138"/>
    <mergeCell ref="R137:T137"/>
    <mergeCell ref="V137:AB137"/>
    <mergeCell ref="AD137:AJ137"/>
    <mergeCell ref="BC137:BE137"/>
    <mergeCell ref="BG137:BM137"/>
    <mergeCell ref="BO137:BU137"/>
    <mergeCell ref="R136:T136"/>
    <mergeCell ref="V136:AB136"/>
    <mergeCell ref="AD136:AJ136"/>
    <mergeCell ref="BC136:BE136"/>
    <mergeCell ref="BG136:BM136"/>
    <mergeCell ref="BO136:BU136"/>
    <mergeCell ref="R135:T135"/>
    <mergeCell ref="V135:AB135"/>
    <mergeCell ref="AD135:AJ135"/>
    <mergeCell ref="BC135:BE135"/>
    <mergeCell ref="BG135:BM135"/>
    <mergeCell ref="BO135:BU135"/>
    <mergeCell ref="R134:T134"/>
    <mergeCell ref="V134:AB134"/>
    <mergeCell ref="AD134:AJ134"/>
    <mergeCell ref="BC134:BE134"/>
    <mergeCell ref="BG134:BM134"/>
    <mergeCell ref="BO134:BU134"/>
    <mergeCell ref="R133:T133"/>
    <mergeCell ref="V133:AB133"/>
    <mergeCell ref="AD133:AJ133"/>
    <mergeCell ref="BC133:BE133"/>
    <mergeCell ref="BG133:BM133"/>
    <mergeCell ref="BO133:BU133"/>
    <mergeCell ref="R132:T132"/>
    <mergeCell ref="V132:AB132"/>
    <mergeCell ref="AD132:AJ132"/>
    <mergeCell ref="BC132:BE132"/>
    <mergeCell ref="BG132:BM132"/>
    <mergeCell ref="BO132:BU132"/>
    <mergeCell ref="R131:T131"/>
    <mergeCell ref="V131:AB131"/>
    <mergeCell ref="AD131:AJ131"/>
    <mergeCell ref="BC131:BE131"/>
    <mergeCell ref="BG131:BM131"/>
    <mergeCell ref="BO131:BU131"/>
    <mergeCell ref="R130:T130"/>
    <mergeCell ref="V130:AB130"/>
    <mergeCell ref="AD130:AJ130"/>
    <mergeCell ref="BC130:BE130"/>
    <mergeCell ref="BG130:BM130"/>
    <mergeCell ref="BO130:BU130"/>
    <mergeCell ref="R129:T129"/>
    <mergeCell ref="V129:AB129"/>
    <mergeCell ref="AD129:AJ129"/>
    <mergeCell ref="BC129:BE129"/>
    <mergeCell ref="BG129:BM129"/>
    <mergeCell ref="BO129:BU129"/>
    <mergeCell ref="R128:T128"/>
    <mergeCell ref="V128:AB128"/>
    <mergeCell ref="AD128:AJ128"/>
    <mergeCell ref="BC128:BE128"/>
    <mergeCell ref="BG128:BM128"/>
    <mergeCell ref="BO128:BU128"/>
    <mergeCell ref="R127:T127"/>
    <mergeCell ref="V127:AB127"/>
    <mergeCell ref="AD127:AJ127"/>
    <mergeCell ref="BC127:BE127"/>
    <mergeCell ref="BG127:BM127"/>
    <mergeCell ref="BO127:BU127"/>
    <mergeCell ref="R126:T126"/>
    <mergeCell ref="V126:AB126"/>
    <mergeCell ref="AD126:AJ126"/>
    <mergeCell ref="BC126:BE126"/>
    <mergeCell ref="BG126:BM126"/>
    <mergeCell ref="BO126:BU126"/>
    <mergeCell ref="R125:T125"/>
    <mergeCell ref="V125:AB125"/>
    <mergeCell ref="AD125:AJ125"/>
    <mergeCell ref="BC125:BE125"/>
    <mergeCell ref="BG125:BM125"/>
    <mergeCell ref="BO125:BU125"/>
    <mergeCell ref="R124:T124"/>
    <mergeCell ref="V124:AB124"/>
    <mergeCell ref="AD124:AJ124"/>
    <mergeCell ref="BC124:BE124"/>
    <mergeCell ref="BG124:BM124"/>
    <mergeCell ref="BO124:BU124"/>
    <mergeCell ref="R123:T123"/>
    <mergeCell ref="V123:AB123"/>
    <mergeCell ref="AD123:AJ123"/>
    <mergeCell ref="BC123:BE123"/>
    <mergeCell ref="BG123:BM123"/>
    <mergeCell ref="BO123:BU123"/>
    <mergeCell ref="R122:T122"/>
    <mergeCell ref="V122:AB122"/>
    <mergeCell ref="AD122:AJ122"/>
    <mergeCell ref="BC122:BE122"/>
    <mergeCell ref="BG122:BM122"/>
    <mergeCell ref="BO122:BU122"/>
    <mergeCell ref="R121:T121"/>
    <mergeCell ref="V121:AB121"/>
    <mergeCell ref="AD121:AJ121"/>
    <mergeCell ref="BC121:BE121"/>
    <mergeCell ref="BG121:BM121"/>
    <mergeCell ref="BO121:BU121"/>
    <mergeCell ref="R120:T120"/>
    <mergeCell ref="V120:AB120"/>
    <mergeCell ref="AD120:AJ120"/>
    <mergeCell ref="BC120:BE120"/>
    <mergeCell ref="BG120:BM120"/>
    <mergeCell ref="BO120:BU120"/>
    <mergeCell ref="R119:T119"/>
    <mergeCell ref="V119:AB119"/>
    <mergeCell ref="AD119:AJ119"/>
    <mergeCell ref="BC119:BE119"/>
    <mergeCell ref="BG119:BM119"/>
    <mergeCell ref="BO119:BU119"/>
    <mergeCell ref="R118:T118"/>
    <mergeCell ref="V118:AB118"/>
    <mergeCell ref="AD118:AJ118"/>
    <mergeCell ref="BC118:BE118"/>
    <mergeCell ref="BG118:BM118"/>
    <mergeCell ref="BO118:BU118"/>
    <mergeCell ref="R117:T117"/>
    <mergeCell ref="V117:AB117"/>
    <mergeCell ref="AD117:AJ117"/>
    <mergeCell ref="BC117:BE117"/>
    <mergeCell ref="BG117:BM117"/>
    <mergeCell ref="BO117:BU117"/>
    <mergeCell ref="R116:T116"/>
    <mergeCell ref="V116:AB116"/>
    <mergeCell ref="AD116:AJ116"/>
    <mergeCell ref="BC116:BE116"/>
    <mergeCell ref="BG116:BM116"/>
    <mergeCell ref="BO116:BU116"/>
    <mergeCell ref="R115:T115"/>
    <mergeCell ref="V115:AB115"/>
    <mergeCell ref="AD115:AJ115"/>
    <mergeCell ref="BC115:BE115"/>
    <mergeCell ref="BG115:BM115"/>
    <mergeCell ref="BO115:BU115"/>
    <mergeCell ref="R114:T114"/>
    <mergeCell ref="V114:AB114"/>
    <mergeCell ref="AD114:AJ114"/>
    <mergeCell ref="BC114:BE114"/>
    <mergeCell ref="BG114:BM114"/>
    <mergeCell ref="BO114:BU114"/>
    <mergeCell ref="R113:T113"/>
    <mergeCell ref="V113:AB113"/>
    <mergeCell ref="AD113:AJ113"/>
    <mergeCell ref="BC113:BE113"/>
    <mergeCell ref="BG113:BM113"/>
    <mergeCell ref="BO113:BU113"/>
    <mergeCell ref="R112:T112"/>
    <mergeCell ref="V112:AB112"/>
    <mergeCell ref="AD112:AJ112"/>
    <mergeCell ref="BC112:BE112"/>
    <mergeCell ref="BG112:BM112"/>
    <mergeCell ref="BO112:BU112"/>
    <mergeCell ref="R111:T111"/>
    <mergeCell ref="V111:AB111"/>
    <mergeCell ref="AD111:AJ111"/>
    <mergeCell ref="BC111:BE111"/>
    <mergeCell ref="BG111:BM111"/>
    <mergeCell ref="BO111:BU111"/>
    <mergeCell ref="R110:T110"/>
    <mergeCell ref="V110:AB110"/>
    <mergeCell ref="AD110:AJ110"/>
    <mergeCell ref="BC110:BE110"/>
    <mergeCell ref="BG110:BM110"/>
    <mergeCell ref="BO110:BU110"/>
    <mergeCell ref="R109:T109"/>
    <mergeCell ref="V109:AB109"/>
    <mergeCell ref="AD109:AJ109"/>
    <mergeCell ref="BC109:BE109"/>
    <mergeCell ref="BG109:BM109"/>
    <mergeCell ref="BO109:BU109"/>
    <mergeCell ref="R108:T108"/>
    <mergeCell ref="V108:AB108"/>
    <mergeCell ref="AD108:AJ108"/>
    <mergeCell ref="BC108:BE108"/>
    <mergeCell ref="BG108:BM108"/>
    <mergeCell ref="BO108:BU108"/>
    <mergeCell ref="R107:T107"/>
    <mergeCell ref="V107:AB107"/>
    <mergeCell ref="AD107:AJ107"/>
    <mergeCell ref="BC107:BE107"/>
    <mergeCell ref="BG107:BM107"/>
    <mergeCell ref="BO107:BU107"/>
    <mergeCell ref="R106:T106"/>
    <mergeCell ref="V106:AB106"/>
    <mergeCell ref="AD106:AJ106"/>
    <mergeCell ref="BC106:BE106"/>
    <mergeCell ref="BG106:BM106"/>
    <mergeCell ref="BO106:BU106"/>
    <mergeCell ref="R105:T105"/>
    <mergeCell ref="V105:AB105"/>
    <mergeCell ref="AD105:AJ105"/>
    <mergeCell ref="BC105:BE105"/>
    <mergeCell ref="BG105:BM105"/>
    <mergeCell ref="BO105:BU105"/>
    <mergeCell ref="V104:AB104"/>
    <mergeCell ref="AD104:AJ104"/>
    <mergeCell ref="AM104:BB104"/>
    <mergeCell ref="BC104:BE104"/>
    <mergeCell ref="BG104:BM104"/>
    <mergeCell ref="BO104:BU104"/>
    <mergeCell ref="R103:T103"/>
    <mergeCell ref="V103:AB103"/>
    <mergeCell ref="AD103:AJ103"/>
    <mergeCell ref="BC103:BE103"/>
    <mergeCell ref="BG103:BM103"/>
    <mergeCell ref="BO103:BU103"/>
    <mergeCell ref="R102:T102"/>
    <mergeCell ref="V102:AB102"/>
    <mergeCell ref="AD102:AJ102"/>
    <mergeCell ref="BC102:BE102"/>
    <mergeCell ref="BG102:BM102"/>
    <mergeCell ref="BO102:BU102"/>
    <mergeCell ref="R101:T101"/>
    <mergeCell ref="V101:AB101"/>
    <mergeCell ref="AD101:AJ101"/>
    <mergeCell ref="BC101:BE101"/>
    <mergeCell ref="BG101:BM101"/>
    <mergeCell ref="BO101:BU101"/>
    <mergeCell ref="R100:T100"/>
    <mergeCell ref="V100:AB100"/>
    <mergeCell ref="AD100:AJ100"/>
    <mergeCell ref="BC100:BE100"/>
    <mergeCell ref="BG100:BM100"/>
    <mergeCell ref="BO100:BU100"/>
    <mergeCell ref="R99:T99"/>
    <mergeCell ref="V99:AB99"/>
    <mergeCell ref="AD99:AJ99"/>
    <mergeCell ref="BC99:BE99"/>
    <mergeCell ref="BG99:BM99"/>
    <mergeCell ref="BO99:BU99"/>
    <mergeCell ref="R98:T98"/>
    <mergeCell ref="V98:AB98"/>
    <mergeCell ref="AD98:AJ98"/>
    <mergeCell ref="BC98:BE98"/>
    <mergeCell ref="BG98:BM98"/>
    <mergeCell ref="BO98:BU98"/>
    <mergeCell ref="R97:T97"/>
    <mergeCell ref="V97:AB97"/>
    <mergeCell ref="AD97:AJ97"/>
    <mergeCell ref="BC97:BE97"/>
    <mergeCell ref="BG97:BM97"/>
    <mergeCell ref="BO97:BU97"/>
    <mergeCell ref="R96:T96"/>
    <mergeCell ref="V96:AB96"/>
    <mergeCell ref="AD96:AJ96"/>
    <mergeCell ref="BC96:BE96"/>
    <mergeCell ref="BG96:BM96"/>
    <mergeCell ref="BO96:BU96"/>
    <mergeCell ref="R95:T95"/>
    <mergeCell ref="V95:AB95"/>
    <mergeCell ref="AD95:AJ95"/>
    <mergeCell ref="BC95:BE95"/>
    <mergeCell ref="BG95:BM95"/>
    <mergeCell ref="BO95:BU95"/>
    <mergeCell ref="R94:T94"/>
    <mergeCell ref="V94:AB94"/>
    <mergeCell ref="AD94:AJ94"/>
    <mergeCell ref="BC94:BE94"/>
    <mergeCell ref="BG94:BM94"/>
    <mergeCell ref="BO94:BU94"/>
    <mergeCell ref="V93:AB93"/>
    <mergeCell ref="AD93:AJ93"/>
    <mergeCell ref="BG93:BM93"/>
    <mergeCell ref="BO93:BU93"/>
    <mergeCell ref="A90:AJ90"/>
    <mergeCell ref="AL90:BU90"/>
    <mergeCell ref="A92:A93"/>
    <mergeCell ref="B92:P93"/>
    <mergeCell ref="R92:T93"/>
    <mergeCell ref="V92:AB92"/>
    <mergeCell ref="AD92:AJ92"/>
    <mergeCell ref="AL92:AL93"/>
    <mergeCell ref="AM92:BA93"/>
    <mergeCell ref="BC92:BE93"/>
    <mergeCell ref="A88:AJ88"/>
    <mergeCell ref="AL88:BU88"/>
    <mergeCell ref="A89:AJ89"/>
    <mergeCell ref="AL89:BU89"/>
    <mergeCell ref="B87:P87"/>
    <mergeCell ref="AM87:BA87"/>
    <mergeCell ref="BC87:BE87"/>
    <mergeCell ref="BG92:BM92"/>
    <mergeCell ref="BO92:BU92"/>
    <mergeCell ref="R87:T87"/>
    <mergeCell ref="V87:AB87"/>
    <mergeCell ref="AD87:AJ87"/>
    <mergeCell ref="R86:T86"/>
    <mergeCell ref="V86:AB86"/>
    <mergeCell ref="AD86:AJ86"/>
    <mergeCell ref="BC86:BE86"/>
    <mergeCell ref="BG86:BM86"/>
    <mergeCell ref="BO86:BU86"/>
    <mergeCell ref="BG87:BM87"/>
    <mergeCell ref="BO87:BU87"/>
    <mergeCell ref="R85:T85"/>
    <mergeCell ref="V85:AB85"/>
    <mergeCell ref="AD85:AJ85"/>
    <mergeCell ref="AM85:BB85"/>
    <mergeCell ref="BG85:BM85"/>
    <mergeCell ref="BO85:BU85"/>
    <mergeCell ref="R84:T84"/>
    <mergeCell ref="V84:AB84"/>
    <mergeCell ref="AD84:AJ84"/>
    <mergeCell ref="BC84:BE84"/>
    <mergeCell ref="BG84:BM84"/>
    <mergeCell ref="BO84:BU84"/>
    <mergeCell ref="R83:T83"/>
    <mergeCell ref="V83:AB83"/>
    <mergeCell ref="AD83:AJ83"/>
    <mergeCell ref="BC83:BE83"/>
    <mergeCell ref="BG83:BM83"/>
    <mergeCell ref="BO83:BU83"/>
    <mergeCell ref="R82:T82"/>
    <mergeCell ref="V82:AB82"/>
    <mergeCell ref="AD82:AJ82"/>
    <mergeCell ref="BC82:BE82"/>
    <mergeCell ref="BG82:BM82"/>
    <mergeCell ref="BO82:BU82"/>
    <mergeCell ref="R81:T81"/>
    <mergeCell ref="V81:AB81"/>
    <mergeCell ref="AD81:AJ81"/>
    <mergeCell ref="BC81:BE81"/>
    <mergeCell ref="BG81:BM81"/>
    <mergeCell ref="BO81:BU81"/>
    <mergeCell ref="R80:T80"/>
    <mergeCell ref="V80:AB80"/>
    <mergeCell ref="AD80:AJ80"/>
    <mergeCell ref="BC80:BE80"/>
    <mergeCell ref="BG80:BM80"/>
    <mergeCell ref="BO80:BU80"/>
    <mergeCell ref="R79:T79"/>
    <mergeCell ref="V79:AB79"/>
    <mergeCell ref="AD79:AJ79"/>
    <mergeCell ref="AM79:BB79"/>
    <mergeCell ref="BG79:BM79"/>
    <mergeCell ref="BO79:BU79"/>
    <mergeCell ref="R78:T78"/>
    <mergeCell ref="V78:AB78"/>
    <mergeCell ref="AD78:AJ78"/>
    <mergeCell ref="BC78:BE78"/>
    <mergeCell ref="BG78:BM78"/>
    <mergeCell ref="BO78:BU78"/>
    <mergeCell ref="R77:T77"/>
    <mergeCell ref="V77:AB77"/>
    <mergeCell ref="AD77:AJ77"/>
    <mergeCell ref="BC77:BE77"/>
    <mergeCell ref="BG77:BM77"/>
    <mergeCell ref="BO77:BU77"/>
    <mergeCell ref="R76:T76"/>
    <mergeCell ref="V76:AB76"/>
    <mergeCell ref="AD76:AJ76"/>
    <mergeCell ref="BC76:BE76"/>
    <mergeCell ref="BG76:BM76"/>
    <mergeCell ref="BO76:BU76"/>
    <mergeCell ref="R75:T75"/>
    <mergeCell ref="V75:AB75"/>
    <mergeCell ref="AD75:AJ75"/>
    <mergeCell ref="BC75:BE75"/>
    <mergeCell ref="BG75:BM75"/>
    <mergeCell ref="BO75:BU75"/>
    <mergeCell ref="R74:T74"/>
    <mergeCell ref="V74:AB74"/>
    <mergeCell ref="AD74:AJ74"/>
    <mergeCell ref="BC74:BE74"/>
    <mergeCell ref="BG74:BM74"/>
    <mergeCell ref="BO74:BU74"/>
    <mergeCell ref="R73:T73"/>
    <mergeCell ref="V73:AB73"/>
    <mergeCell ref="AD73:AJ73"/>
    <mergeCell ref="BC73:BE73"/>
    <mergeCell ref="BG73:BM73"/>
    <mergeCell ref="BO73:BU73"/>
    <mergeCell ref="R72:T72"/>
    <mergeCell ref="V72:AB72"/>
    <mergeCell ref="AD72:AJ72"/>
    <mergeCell ref="BC72:BE72"/>
    <mergeCell ref="BG72:BM72"/>
    <mergeCell ref="BO72:BU72"/>
    <mergeCell ref="R71:T71"/>
    <mergeCell ref="V71:AB71"/>
    <mergeCell ref="AD71:AJ71"/>
    <mergeCell ref="BC71:BE71"/>
    <mergeCell ref="BG71:BM71"/>
    <mergeCell ref="BO71:BU71"/>
    <mergeCell ref="R70:T70"/>
    <mergeCell ref="V70:AB70"/>
    <mergeCell ref="AD70:AJ70"/>
    <mergeCell ref="BC70:BE70"/>
    <mergeCell ref="BG70:BM70"/>
    <mergeCell ref="BO70:BU70"/>
    <mergeCell ref="R69:T69"/>
    <mergeCell ref="V69:AB69"/>
    <mergeCell ref="AD69:AJ69"/>
    <mergeCell ref="BC69:BE69"/>
    <mergeCell ref="BG69:BM69"/>
    <mergeCell ref="BO69:BU69"/>
    <mergeCell ref="R68:T68"/>
    <mergeCell ref="V68:AB68"/>
    <mergeCell ref="AD68:AJ68"/>
    <mergeCell ref="BC68:BE68"/>
    <mergeCell ref="BG68:BM68"/>
    <mergeCell ref="BO68:BU68"/>
    <mergeCell ref="R67:T67"/>
    <mergeCell ref="V67:AB67"/>
    <mergeCell ref="AD67:AJ67"/>
    <mergeCell ref="BC67:BE67"/>
    <mergeCell ref="BG67:BM67"/>
    <mergeCell ref="BO67:BU67"/>
    <mergeCell ref="R66:T66"/>
    <mergeCell ref="V66:AB66"/>
    <mergeCell ref="AD66:AJ66"/>
    <mergeCell ref="BC66:BE66"/>
    <mergeCell ref="BG66:BM66"/>
    <mergeCell ref="BO66:BU66"/>
    <mergeCell ref="R65:T65"/>
    <mergeCell ref="V65:AB65"/>
    <mergeCell ref="AD65:AJ65"/>
    <mergeCell ref="BC65:BE65"/>
    <mergeCell ref="BG65:BM65"/>
    <mergeCell ref="BO65:BU65"/>
    <mergeCell ref="R64:T64"/>
    <mergeCell ref="V64:AB64"/>
    <mergeCell ref="AD64:AJ64"/>
    <mergeCell ref="BC64:BE64"/>
    <mergeCell ref="BG64:BM64"/>
    <mergeCell ref="BO64:BU64"/>
    <mergeCell ref="R63:T63"/>
    <mergeCell ref="V63:AB63"/>
    <mergeCell ref="AD63:AJ63"/>
    <mergeCell ref="BC63:BE63"/>
    <mergeCell ref="BG63:BM63"/>
    <mergeCell ref="BO63:BU63"/>
    <mergeCell ref="R62:T62"/>
    <mergeCell ref="V62:AB62"/>
    <mergeCell ref="AD62:AJ62"/>
    <mergeCell ref="BC62:BE62"/>
    <mergeCell ref="BG62:BM62"/>
    <mergeCell ref="BO62:BU62"/>
    <mergeCell ref="R61:T61"/>
    <mergeCell ref="V61:AB61"/>
    <mergeCell ref="AD61:AJ61"/>
    <mergeCell ref="BC61:BE61"/>
    <mergeCell ref="BG61:BM61"/>
    <mergeCell ref="BO61:BU61"/>
    <mergeCell ref="R60:T60"/>
    <mergeCell ref="V60:AB60"/>
    <mergeCell ref="AD60:AJ60"/>
    <mergeCell ref="BC60:BE60"/>
    <mergeCell ref="BG60:BM60"/>
    <mergeCell ref="BO60:BU60"/>
    <mergeCell ref="R59:T59"/>
    <mergeCell ref="V59:AB59"/>
    <mergeCell ref="AD59:AJ59"/>
    <mergeCell ref="BC59:BE59"/>
    <mergeCell ref="BG59:BM59"/>
    <mergeCell ref="BO59:BU59"/>
    <mergeCell ref="R58:T58"/>
    <mergeCell ref="V58:AB58"/>
    <mergeCell ref="AD58:AJ58"/>
    <mergeCell ref="BC58:BE58"/>
    <mergeCell ref="BG58:BM58"/>
    <mergeCell ref="BO58:BU58"/>
    <mergeCell ref="R57:T57"/>
    <mergeCell ref="V57:AB57"/>
    <mergeCell ref="AD57:AJ57"/>
    <mergeCell ref="BC57:BE57"/>
    <mergeCell ref="BG57:BM57"/>
    <mergeCell ref="BO57:BU57"/>
    <mergeCell ref="R56:T56"/>
    <mergeCell ref="V56:AB56"/>
    <mergeCell ref="AD56:AJ56"/>
    <mergeCell ref="BC56:BE56"/>
    <mergeCell ref="BG56:BM56"/>
    <mergeCell ref="BO56:BU56"/>
    <mergeCell ref="R55:T55"/>
    <mergeCell ref="V55:AB55"/>
    <mergeCell ref="AD55:AJ55"/>
    <mergeCell ref="BC55:BE55"/>
    <mergeCell ref="BG55:BM55"/>
    <mergeCell ref="BO55:BU55"/>
    <mergeCell ref="R54:T54"/>
    <mergeCell ref="V54:AB54"/>
    <mergeCell ref="AD54:AJ54"/>
    <mergeCell ref="BC54:BE54"/>
    <mergeCell ref="BG54:BM54"/>
    <mergeCell ref="BO54:BU54"/>
    <mergeCell ref="R53:T53"/>
    <mergeCell ref="V53:AB53"/>
    <mergeCell ref="AD53:AJ53"/>
    <mergeCell ref="BC53:BE53"/>
    <mergeCell ref="BG53:BM53"/>
    <mergeCell ref="BO53:BU53"/>
    <mergeCell ref="R52:T52"/>
    <mergeCell ref="V52:AB52"/>
    <mergeCell ref="AD52:AJ52"/>
    <mergeCell ref="BC52:BE52"/>
    <mergeCell ref="BG52:BM52"/>
    <mergeCell ref="BO52:BU52"/>
    <mergeCell ref="R51:T51"/>
    <mergeCell ref="V51:AB51"/>
    <mergeCell ref="AD51:AJ51"/>
    <mergeCell ref="BC51:BE51"/>
    <mergeCell ref="BG51:BM51"/>
    <mergeCell ref="BO51:BU51"/>
    <mergeCell ref="R50:T50"/>
    <mergeCell ref="V50:AB50"/>
    <mergeCell ref="AD50:AJ50"/>
    <mergeCell ref="BC50:BE50"/>
    <mergeCell ref="BG50:BM50"/>
    <mergeCell ref="BO50:BU50"/>
    <mergeCell ref="R49:T49"/>
    <mergeCell ref="V49:AB49"/>
    <mergeCell ref="AD49:AJ49"/>
    <mergeCell ref="BC49:BE49"/>
    <mergeCell ref="BG49:BM49"/>
    <mergeCell ref="BO49:BU49"/>
    <mergeCell ref="R48:T48"/>
    <mergeCell ref="V48:AB48"/>
    <mergeCell ref="AD48:AJ48"/>
    <mergeCell ref="BC48:BE48"/>
    <mergeCell ref="BG48:BM48"/>
    <mergeCell ref="BO48:BU48"/>
    <mergeCell ref="R47:T47"/>
    <mergeCell ref="V47:AB47"/>
    <mergeCell ref="AD47:AJ47"/>
    <mergeCell ref="BC47:BE47"/>
    <mergeCell ref="BG47:BM47"/>
    <mergeCell ref="BO47:BU47"/>
    <mergeCell ref="R46:T46"/>
    <mergeCell ref="V46:AB46"/>
    <mergeCell ref="AD46:AJ46"/>
    <mergeCell ref="BC46:BE46"/>
    <mergeCell ref="BG46:BM46"/>
    <mergeCell ref="BO46:BU46"/>
    <mergeCell ref="R45:T45"/>
    <mergeCell ref="V45:AB45"/>
    <mergeCell ref="AD45:AJ45"/>
    <mergeCell ref="BC45:BE45"/>
    <mergeCell ref="BG45:BM45"/>
    <mergeCell ref="BO45:BU45"/>
    <mergeCell ref="R44:T44"/>
    <mergeCell ref="V44:AB44"/>
    <mergeCell ref="AD44:AJ44"/>
    <mergeCell ref="BC44:BE44"/>
    <mergeCell ref="BG44:BM44"/>
    <mergeCell ref="BO44:BU44"/>
    <mergeCell ref="R43:T43"/>
    <mergeCell ref="V43:AB43"/>
    <mergeCell ref="AD43:AJ43"/>
    <mergeCell ref="BC43:BE43"/>
    <mergeCell ref="BG43:BM43"/>
    <mergeCell ref="BO43:BU43"/>
    <mergeCell ref="BO41:BU41"/>
    <mergeCell ref="R42:T42"/>
    <mergeCell ref="V42:AB42"/>
    <mergeCell ref="AD42:AJ42"/>
    <mergeCell ref="BC42:BE42"/>
    <mergeCell ref="BG42:BM42"/>
    <mergeCell ref="BO42:BU42"/>
    <mergeCell ref="R41:T41"/>
    <mergeCell ref="V41:AB41"/>
    <mergeCell ref="AD41:AJ41"/>
    <mergeCell ref="AM41:BB41"/>
    <mergeCell ref="BC41:BE41"/>
    <mergeCell ref="BG41:BM41"/>
    <mergeCell ref="R40:T40"/>
    <mergeCell ref="V40:AB40"/>
    <mergeCell ref="AD40:AJ40"/>
    <mergeCell ref="BC40:BE40"/>
    <mergeCell ref="BG40:BM40"/>
    <mergeCell ref="BO40:BU40"/>
    <mergeCell ref="R39:T39"/>
    <mergeCell ref="V39:AB39"/>
    <mergeCell ref="AD39:AJ39"/>
    <mergeCell ref="BC39:BE39"/>
    <mergeCell ref="BG39:BM39"/>
    <mergeCell ref="BO39:BU39"/>
    <mergeCell ref="R38:T38"/>
    <mergeCell ref="V38:AB38"/>
    <mergeCell ref="AD38:AJ38"/>
    <mergeCell ref="BC38:BE38"/>
    <mergeCell ref="BG38:BM38"/>
    <mergeCell ref="BO38:BU38"/>
    <mergeCell ref="R37:T37"/>
    <mergeCell ref="V37:AB37"/>
    <mergeCell ref="AD37:AJ37"/>
    <mergeCell ref="BC37:BE37"/>
    <mergeCell ref="BG37:BM37"/>
    <mergeCell ref="BO37:BU37"/>
    <mergeCell ref="R36:T36"/>
    <mergeCell ref="V36:AB36"/>
    <mergeCell ref="AD36:AJ36"/>
    <mergeCell ref="BC36:BE36"/>
    <mergeCell ref="BG36:BM36"/>
    <mergeCell ref="BO36:BU36"/>
    <mergeCell ref="R35:T35"/>
    <mergeCell ref="V35:AB35"/>
    <mergeCell ref="AD35:AJ35"/>
    <mergeCell ref="BC35:BE35"/>
    <mergeCell ref="BG35:BM35"/>
    <mergeCell ref="BO35:BU35"/>
    <mergeCell ref="R34:T34"/>
    <mergeCell ref="V34:AB34"/>
    <mergeCell ref="AD34:AJ34"/>
    <mergeCell ref="BC34:BE34"/>
    <mergeCell ref="BG34:BM34"/>
    <mergeCell ref="BO34:BU34"/>
    <mergeCell ref="R33:T33"/>
    <mergeCell ref="V33:AB33"/>
    <mergeCell ref="AD33:AJ33"/>
    <mergeCell ref="BC33:BE33"/>
    <mergeCell ref="BG33:BM33"/>
    <mergeCell ref="BO33:BU33"/>
    <mergeCell ref="R32:T32"/>
    <mergeCell ref="V32:AB32"/>
    <mergeCell ref="AD32:AJ32"/>
    <mergeCell ref="BC32:BE32"/>
    <mergeCell ref="BG32:BM32"/>
    <mergeCell ref="BO32:BU32"/>
    <mergeCell ref="BO30:BU30"/>
    <mergeCell ref="R31:T31"/>
    <mergeCell ref="V31:AB31"/>
    <mergeCell ref="AD31:AJ31"/>
    <mergeCell ref="BC31:BE31"/>
    <mergeCell ref="BG31:BM31"/>
    <mergeCell ref="BO31:BU31"/>
    <mergeCell ref="R29:T29"/>
    <mergeCell ref="V29:AB29"/>
    <mergeCell ref="AD29:AJ29"/>
    <mergeCell ref="BG29:BM29"/>
    <mergeCell ref="BO29:BU29"/>
    <mergeCell ref="R30:T30"/>
    <mergeCell ref="V30:AB30"/>
    <mergeCell ref="AD30:AJ30"/>
    <mergeCell ref="BC30:BE30"/>
    <mergeCell ref="BG30:BM30"/>
    <mergeCell ref="B28:Q28"/>
    <mergeCell ref="V28:AB28"/>
    <mergeCell ref="AD28:AJ28"/>
    <mergeCell ref="AM28:BB28"/>
    <mergeCell ref="BG28:BM28"/>
    <mergeCell ref="BO28:BU28"/>
    <mergeCell ref="R27:T27"/>
    <mergeCell ref="V27:AB27"/>
    <mergeCell ref="AD27:AJ27"/>
    <mergeCell ref="BC27:BE27"/>
    <mergeCell ref="BG27:BM27"/>
    <mergeCell ref="BO27:BU27"/>
    <mergeCell ref="R26:T26"/>
    <mergeCell ref="V26:AB26"/>
    <mergeCell ref="AD26:AJ26"/>
    <mergeCell ref="BC26:BE26"/>
    <mergeCell ref="BG26:BM26"/>
    <mergeCell ref="BO26:BU26"/>
    <mergeCell ref="R25:T25"/>
    <mergeCell ref="V25:AB25"/>
    <mergeCell ref="AD25:AJ25"/>
    <mergeCell ref="BC25:BE25"/>
    <mergeCell ref="BG25:BM25"/>
    <mergeCell ref="BO25:BU25"/>
    <mergeCell ref="R24:T24"/>
    <mergeCell ref="V24:AB24"/>
    <mergeCell ref="AD24:AJ24"/>
    <mergeCell ref="BC24:BE24"/>
    <mergeCell ref="BG24:BM24"/>
    <mergeCell ref="BO24:BU24"/>
    <mergeCell ref="R23:T23"/>
    <mergeCell ref="V23:AB23"/>
    <mergeCell ref="AD23:AJ23"/>
    <mergeCell ref="BC23:BE23"/>
    <mergeCell ref="BG23:BM23"/>
    <mergeCell ref="BO23:BU23"/>
    <mergeCell ref="V21:AB21"/>
    <mergeCell ref="AD21:AJ21"/>
    <mergeCell ref="AM21:BB21"/>
    <mergeCell ref="BG21:BM21"/>
    <mergeCell ref="BO21:BU21"/>
    <mergeCell ref="R22:T22"/>
    <mergeCell ref="V22:AB22"/>
    <mergeCell ref="AD22:AJ22"/>
    <mergeCell ref="BG22:BM22"/>
    <mergeCell ref="BO22:BU22"/>
    <mergeCell ref="R20:T20"/>
    <mergeCell ref="V20:AB20"/>
    <mergeCell ref="AD20:AJ20"/>
    <mergeCell ref="BC20:BE20"/>
    <mergeCell ref="BG20:BM20"/>
    <mergeCell ref="BO20:BU20"/>
    <mergeCell ref="R19:T19"/>
    <mergeCell ref="V19:AB19"/>
    <mergeCell ref="AD19:AJ19"/>
    <mergeCell ref="BC19:BE19"/>
    <mergeCell ref="BG19:BM19"/>
    <mergeCell ref="BO19:BU19"/>
    <mergeCell ref="R18:T18"/>
    <mergeCell ref="V18:AB18"/>
    <mergeCell ref="AD18:AJ18"/>
    <mergeCell ref="BC18:BE18"/>
    <mergeCell ref="BG18:BM18"/>
    <mergeCell ref="BO18:BU18"/>
    <mergeCell ref="R17:T17"/>
    <mergeCell ref="V17:AB17"/>
    <mergeCell ref="AD17:AJ17"/>
    <mergeCell ref="BC17:BE17"/>
    <mergeCell ref="BG17:BM17"/>
    <mergeCell ref="BO17:BU17"/>
    <mergeCell ref="R16:T16"/>
    <mergeCell ref="V16:AB16"/>
    <mergeCell ref="AD16:AJ16"/>
    <mergeCell ref="BC16:BE16"/>
    <mergeCell ref="BG16:BM16"/>
    <mergeCell ref="BO16:BU16"/>
    <mergeCell ref="R15:T15"/>
    <mergeCell ref="V15:AB15"/>
    <mergeCell ref="AD15:AJ15"/>
    <mergeCell ref="BC15:BE15"/>
    <mergeCell ref="BG15:BM15"/>
    <mergeCell ref="BO15:BU15"/>
    <mergeCell ref="BO10:BU10"/>
    <mergeCell ref="V11:AB11"/>
    <mergeCell ref="AD11:AJ11"/>
    <mergeCell ref="BG11:BM11"/>
    <mergeCell ref="BO11:BU11"/>
    <mergeCell ref="R14:T14"/>
    <mergeCell ref="V14:AB14"/>
    <mergeCell ref="AD14:AJ14"/>
    <mergeCell ref="BC14:BE14"/>
    <mergeCell ref="BG14:BM14"/>
    <mergeCell ref="BO14:BU14"/>
    <mergeCell ref="R13:T13"/>
    <mergeCell ref="V13:AB13"/>
    <mergeCell ref="AD13:AJ13"/>
    <mergeCell ref="BC13:BE13"/>
    <mergeCell ref="BG13:BM13"/>
    <mergeCell ref="BO13:BU13"/>
    <mergeCell ref="A6:AJ6"/>
    <mergeCell ref="AL6:BU6"/>
    <mergeCell ref="A7:AJ7"/>
    <mergeCell ref="AL7:BU7"/>
    <mergeCell ref="V8:AB8"/>
    <mergeCell ref="AD8:AJ8"/>
    <mergeCell ref="V154:AJ154"/>
    <mergeCell ref="BX8:BY8"/>
    <mergeCell ref="BX9:BY9"/>
    <mergeCell ref="A10:A11"/>
    <mergeCell ref="B10:P11"/>
    <mergeCell ref="R10:T11"/>
    <mergeCell ref="V10:AB10"/>
    <mergeCell ref="AD10:AJ10"/>
    <mergeCell ref="AL10:AL11"/>
    <mergeCell ref="AM10:BA11"/>
    <mergeCell ref="BC10:BE11"/>
    <mergeCell ref="R12:T12"/>
    <mergeCell ref="V12:AB12"/>
    <mergeCell ref="AD12:AJ12"/>
    <mergeCell ref="BC12:BE12"/>
    <mergeCell ref="BG12:BM12"/>
    <mergeCell ref="BO12:BU12"/>
    <mergeCell ref="BG10:BM10"/>
  </mergeCells>
  <conditionalFormatting sqref="V152:AB152">
    <cfRule type="expression" dxfId="1051" priority="21" stopIfTrue="1">
      <formula>IF($V$152&lt;&gt;$V$87,TRUE,FALSE)</formula>
    </cfRule>
  </conditionalFormatting>
  <conditionalFormatting sqref="AD152:AK152">
    <cfRule type="expression" dxfId="1050" priority="20" stopIfTrue="1">
      <formula>IF($AD$152&lt;&gt;$AD$87,TRUE,FALSE)</formula>
    </cfRule>
  </conditionalFormatting>
  <conditionalFormatting sqref="BX11:BY172">
    <cfRule type="cellIs" dxfId="1049" priority="19" stopIfTrue="1" operator="notEqual">
      <formula>0</formula>
    </cfRule>
  </conditionalFormatting>
  <conditionalFormatting sqref="BX32:BY32">
    <cfRule type="cellIs" dxfId="1048" priority="18" stopIfTrue="1" operator="notEqual">
      <formula>0</formula>
    </cfRule>
  </conditionalFormatting>
  <conditionalFormatting sqref="BX49:BY49">
    <cfRule type="cellIs" dxfId="1047" priority="17" stopIfTrue="1" operator="notEqual">
      <formula>0</formula>
    </cfRule>
  </conditionalFormatting>
  <conditionalFormatting sqref="BX53:BY53">
    <cfRule type="cellIs" dxfId="1046" priority="16" stopIfTrue="1" operator="notEqual">
      <formula>0</formula>
    </cfRule>
  </conditionalFormatting>
  <conditionalFormatting sqref="BX70:BY70">
    <cfRule type="cellIs" dxfId="1045" priority="15" stopIfTrue="1" operator="notEqual">
      <formula>0</formula>
    </cfRule>
  </conditionalFormatting>
  <conditionalFormatting sqref="BX71:BY71">
    <cfRule type="cellIs" dxfId="1044" priority="14" stopIfTrue="1" operator="notEqual">
      <formula>0</formula>
    </cfRule>
  </conditionalFormatting>
  <conditionalFormatting sqref="BX72:BY72">
    <cfRule type="cellIs" dxfId="1043" priority="13" stopIfTrue="1" operator="notEqual">
      <formula>0</formula>
    </cfRule>
  </conditionalFormatting>
  <conditionalFormatting sqref="BX73:BY73">
    <cfRule type="cellIs" dxfId="1042" priority="12" stopIfTrue="1" operator="notEqual">
      <formula>0</formula>
    </cfRule>
  </conditionalFormatting>
  <conditionalFormatting sqref="BX79:BY79">
    <cfRule type="cellIs" dxfId="1041" priority="11" stopIfTrue="1" operator="notEqual">
      <formula>0</formula>
    </cfRule>
  </conditionalFormatting>
  <conditionalFormatting sqref="BX85:BY85">
    <cfRule type="cellIs" dxfId="1040" priority="10" stopIfTrue="1" operator="notEqual">
      <formula>0</formula>
    </cfRule>
  </conditionalFormatting>
  <conditionalFormatting sqref="BX110:BY110">
    <cfRule type="cellIs" dxfId="1039" priority="9" stopIfTrue="1" operator="notEqual">
      <formula>0</formula>
    </cfRule>
  </conditionalFormatting>
  <conditionalFormatting sqref="BX123:BY123">
    <cfRule type="cellIs" dxfId="1038" priority="8" stopIfTrue="1" operator="notEqual">
      <formula>0</formula>
    </cfRule>
  </conditionalFormatting>
  <conditionalFormatting sqref="BX124:BY124">
    <cfRule type="cellIs" dxfId="1037" priority="7" stopIfTrue="1" operator="notEqual">
      <formula>0</formula>
    </cfRule>
  </conditionalFormatting>
  <conditionalFormatting sqref="BX125:BY125">
    <cfRule type="cellIs" dxfId="1036" priority="6" stopIfTrue="1" operator="notEqual">
      <formula>0</formula>
    </cfRule>
  </conditionalFormatting>
  <conditionalFormatting sqref="BX126:BY126">
    <cfRule type="cellIs" dxfId="1035" priority="5" stopIfTrue="1" operator="notEqual">
      <formula>0</formula>
    </cfRule>
  </conditionalFormatting>
  <conditionalFormatting sqref="BX132:BY132">
    <cfRule type="cellIs" dxfId="1034" priority="4" stopIfTrue="1" operator="notEqual">
      <formula>0</formula>
    </cfRule>
  </conditionalFormatting>
  <conditionalFormatting sqref="BX133:BY133">
    <cfRule type="cellIs" dxfId="1033" priority="3" stopIfTrue="1" operator="notEqual">
      <formula>0</formula>
    </cfRule>
  </conditionalFormatting>
  <conditionalFormatting sqref="BX144:BY144">
    <cfRule type="cellIs" dxfId="1032" priority="2" stopIfTrue="1" operator="notEqual">
      <formula>0</formula>
    </cfRule>
  </conditionalFormatting>
  <conditionalFormatting sqref="BX145:BY145">
    <cfRule type="cellIs" dxfId="1031" priority="1" stopIfTrue="1" operator="notEqual">
      <formula>0</formula>
    </cfRule>
  </conditionalFormatting>
  <conditionalFormatting sqref="V87:AB87">
    <cfRule type="expression" dxfId="1030" priority="932" stopIfTrue="1">
      <formula>IF($V$87&lt;&gt;$V$152,TRUE,FALSE)</formula>
    </cfRule>
  </conditionalFormatting>
  <conditionalFormatting sqref="AD87:AK87">
    <cfRule type="expression" dxfId="1029" priority="933" stopIfTrue="1">
      <formula>IF($AD$87&lt;&gt;$AD$152,TRUE,FALSE)</formula>
    </cfRule>
  </conditionalFormatting>
  <dataValidations disablePrompts="1" count="1">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V8:AB8 AD8:AJ8">
      <formula1>subTitle</formula1>
    </dataValidation>
  </dataValidations>
  <pageMargins left="0.90551181102362199" right="0.39370078740157499" top="0.39370078740157499" bottom="0.7" header="0.196850393700787" footer="0.39370078740157499"/>
  <pageSetup paperSize="9" fitToHeight="2" orientation="portrait" useFirstPageNumber="1" verticalDpi="4294967295" r:id="rId1"/>
  <headerFooter>
    <oddFooter>&amp;R&amp;P</oddFooter>
    <evenHeader>&amp;R&amp;P</evenHeader>
    <firstHeader>&amp;R&amp;D</firstHeader>
  </headerFooter>
  <rowBreaks count="1" manualBreakCount="1">
    <brk id="87" max="16383" man="1"/>
  </rowBreaks>
  <drawing r:id="rId2"/>
  <legacyDrawing r:id="rId3"/>
  <controls>
    <mc:AlternateContent xmlns:mc="http://schemas.openxmlformats.org/markup-compatibility/2006">
      <mc:Choice Requires="x14">
        <control shapeId="1027" r:id="rId4" name="togShowHide">
          <controlPr defaultSize="0" print="0" autoFill="0" autoLine="0" autoPict="0" r:id="rId5">
            <anchor moveWithCells="1">
              <from>
                <xdr:col>75</xdr:col>
                <xdr:colOff>0</xdr:colOff>
                <xdr:row>0</xdr:row>
                <xdr:rowOff>0</xdr:rowOff>
              </from>
              <to>
                <xdr:col>78</xdr:col>
                <xdr:colOff>885825</xdr:colOff>
                <xdr:row>2</xdr:row>
                <xdr:rowOff>104775</xdr:rowOff>
              </to>
            </anchor>
          </controlPr>
        </control>
      </mc:Choice>
      <mc:Fallback>
        <control shapeId="1027" r:id="rId4" name="togShowHide"/>
      </mc:Fallback>
    </mc:AlternateContent>
    <mc:AlternateContent xmlns:mc="http://schemas.openxmlformats.org/markup-compatibility/2006">
      <mc:Choice Requires="x14">
        <control shapeId="1026" r:id="rId6" name="togEV">
          <controlPr defaultSize="0" print="0" autoFill="0" autoLine="0" autoPict="0" r:id="rId7">
            <anchor>
              <from>
                <xdr:col>12</xdr:col>
                <xdr:colOff>38100</xdr:colOff>
                <xdr:row>1</xdr:row>
                <xdr:rowOff>0</xdr:rowOff>
              </from>
              <to>
                <xdr:col>19</xdr:col>
                <xdr:colOff>76200</xdr:colOff>
                <xdr:row>2</xdr:row>
                <xdr:rowOff>76200</xdr:rowOff>
              </to>
            </anchor>
          </controlPr>
        </control>
      </mc:Choice>
      <mc:Fallback>
        <control shapeId="1026" r:id="rId6" name="togEV"/>
      </mc:Fallback>
    </mc:AlternateContent>
    <mc:AlternateContent xmlns:mc="http://schemas.openxmlformats.org/markup-compatibility/2006">
      <mc:Choice Requires="x14">
        <control shapeId="1025" r:id="rId8" name="togLock">
          <controlPr defaultSize="0" print="0" autoFill="0" autoLine="0" autoPict="0" r:id="rId9">
            <anchor moveWithCells="1">
              <from>
                <xdr:col>75</xdr:col>
                <xdr:colOff>0</xdr:colOff>
                <xdr:row>0</xdr:row>
                <xdr:rowOff>0</xdr:rowOff>
              </from>
              <to>
                <xdr:col>78</xdr:col>
                <xdr:colOff>885825</xdr:colOff>
                <xdr:row>2</xdr:row>
                <xdr:rowOff>104775</xdr:rowOff>
              </to>
            </anchor>
          </controlPr>
        </control>
      </mc:Choice>
      <mc:Fallback>
        <control shapeId="1025" r:id="rId8" name="togLock"/>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J44"/>
  <sheetViews>
    <sheetView showOutlineSymbols="0" topLeftCell="A10" workbookViewId="0">
      <selection activeCell="B18" sqref="B18"/>
    </sheetView>
  </sheetViews>
  <sheetFormatPr defaultColWidth="6.85546875" defaultRowHeight="12.75" customHeight="1" x14ac:dyDescent="0.25"/>
  <cols>
    <col min="1" max="1" width="59" style="219" customWidth="1"/>
    <col min="2" max="2" width="4.85546875" style="221" customWidth="1"/>
    <col min="3" max="3" width="7.85546875" style="221" customWidth="1"/>
    <col min="4" max="4" width="16.7109375" style="221" customWidth="1"/>
    <col min="5" max="5" width="17.42578125" style="221" hidden="1" customWidth="1"/>
    <col min="6" max="6" width="17" style="221" customWidth="1"/>
    <col min="7" max="7" width="16.42578125" style="221" customWidth="1"/>
    <col min="8" max="8" width="0.5703125" style="219" hidden="1" customWidth="1"/>
    <col min="9" max="9" width="16.42578125" style="220" customWidth="1"/>
    <col min="10" max="11" width="13.28515625" style="219" customWidth="1"/>
    <col min="12" max="16384" width="6.85546875" style="219"/>
  </cols>
  <sheetData>
    <row r="1" spans="1:10" s="263" customFormat="1" ht="12.75" customHeight="1" x14ac:dyDescent="0.25">
      <c r="A1" s="268" t="s">
        <v>338</v>
      </c>
      <c r="B1" s="266"/>
      <c r="C1" s="266"/>
      <c r="D1" s="266"/>
      <c r="E1" s="267"/>
      <c r="F1" s="267"/>
      <c r="G1" s="267" t="s">
        <v>337</v>
      </c>
      <c r="H1" s="267"/>
      <c r="I1" s="267"/>
    </row>
    <row r="2" spans="1:10" s="263" customFormat="1" ht="12.75" customHeight="1" x14ac:dyDescent="0.25">
      <c r="A2" s="265" t="s">
        <v>336</v>
      </c>
      <c r="B2" s="266"/>
      <c r="C2" s="266"/>
      <c r="D2" s="266"/>
      <c r="E2" s="267"/>
      <c r="F2" s="267"/>
      <c r="G2" s="267" t="s">
        <v>335</v>
      </c>
      <c r="H2" s="267"/>
      <c r="I2" s="267"/>
    </row>
    <row r="3" spans="1:10" s="263" customFormat="1" ht="12.75" customHeight="1" x14ac:dyDescent="0.25">
      <c r="A3" s="265"/>
      <c r="B3" s="266"/>
      <c r="C3" s="266"/>
      <c r="D3" s="266"/>
      <c r="E3" s="267"/>
      <c r="F3" s="267"/>
      <c r="G3" s="267" t="s">
        <v>334</v>
      </c>
      <c r="H3" s="267"/>
      <c r="I3" s="267"/>
    </row>
    <row r="4" spans="1:10" s="263" customFormat="1" ht="12.75" customHeight="1" x14ac:dyDescent="0.25">
      <c r="A4" s="265"/>
      <c r="B4" s="266"/>
      <c r="C4" s="266"/>
      <c r="D4" s="266"/>
      <c r="E4" s="267"/>
      <c r="F4" s="267"/>
      <c r="G4" s="267" t="s">
        <v>333</v>
      </c>
      <c r="H4" s="267"/>
      <c r="I4" s="267"/>
    </row>
    <row r="5" spans="1:10" s="263" customFormat="1" ht="21" customHeight="1" x14ac:dyDescent="0.25">
      <c r="A5" s="1246" t="s">
        <v>332</v>
      </c>
      <c r="B5" s="1246"/>
      <c r="C5" s="1246"/>
      <c r="D5" s="1246"/>
      <c r="E5" s="1246"/>
      <c r="F5" s="1246"/>
      <c r="G5" s="1246"/>
      <c r="H5" s="1246"/>
      <c r="I5" s="1246"/>
    </row>
    <row r="6" spans="1:10" s="263" customFormat="1" ht="21" customHeight="1" x14ac:dyDescent="0.25">
      <c r="A6" s="1247" t="s">
        <v>331</v>
      </c>
      <c r="B6" s="1247"/>
      <c r="C6" s="1247"/>
      <c r="D6" s="1247"/>
      <c r="E6" s="1247"/>
      <c r="F6" s="1247"/>
      <c r="G6" s="1247"/>
      <c r="H6" s="1247"/>
      <c r="I6" s="1247"/>
    </row>
    <row r="7" spans="1:10" s="263" customFormat="1" ht="13.5" customHeight="1" x14ac:dyDescent="0.25">
      <c r="A7" s="265"/>
      <c r="B7" s="266"/>
      <c r="C7" s="266"/>
      <c r="D7" s="266"/>
      <c r="E7" s="266"/>
      <c r="F7" s="266"/>
      <c r="G7" s="266"/>
      <c r="H7" s="265"/>
      <c r="I7" s="264" t="s">
        <v>330</v>
      </c>
    </row>
    <row r="8" spans="1:10" s="260" customFormat="1" ht="18" customHeight="1" x14ac:dyDescent="0.25">
      <c r="A8" s="1248" t="s">
        <v>329</v>
      </c>
      <c r="B8" s="1248" t="s">
        <v>4</v>
      </c>
      <c r="C8" s="1249" t="s">
        <v>6</v>
      </c>
      <c r="D8" s="1251" t="s">
        <v>328</v>
      </c>
      <c r="E8" s="1252"/>
      <c r="F8" s="1253"/>
      <c r="G8" s="1254" t="s">
        <v>327</v>
      </c>
      <c r="H8" s="1255"/>
      <c r="I8" s="1256"/>
    </row>
    <row r="9" spans="1:10" s="260" customFormat="1" ht="20.25" customHeight="1" x14ac:dyDescent="0.25">
      <c r="A9" s="1248"/>
      <c r="B9" s="1248"/>
      <c r="C9" s="1250"/>
      <c r="D9" s="262" t="s">
        <v>326</v>
      </c>
      <c r="E9" s="261" t="s">
        <v>325</v>
      </c>
      <c r="F9" s="261" t="s">
        <v>324</v>
      </c>
      <c r="G9" s="262" t="s">
        <v>323</v>
      </c>
      <c r="H9" s="261" t="s">
        <v>322</v>
      </c>
      <c r="I9" s="261" t="s">
        <v>321</v>
      </c>
    </row>
    <row r="10" spans="1:10" ht="18" customHeight="1" x14ac:dyDescent="0.25">
      <c r="A10" s="259" t="s">
        <v>320</v>
      </c>
      <c r="B10" s="259" t="s">
        <v>319</v>
      </c>
      <c r="C10" s="259" t="s">
        <v>318</v>
      </c>
      <c r="D10" s="259"/>
      <c r="E10" s="259"/>
      <c r="F10" s="259"/>
      <c r="G10" s="259"/>
      <c r="H10" s="259" t="s">
        <v>317</v>
      </c>
      <c r="I10" s="259"/>
    </row>
    <row r="11" spans="1:10" ht="15.75" customHeight="1" x14ac:dyDescent="0.25">
      <c r="A11" s="258" t="s">
        <v>316</v>
      </c>
      <c r="B11" s="257" t="s">
        <v>204</v>
      </c>
      <c r="C11" s="257"/>
      <c r="D11" s="256">
        <f t="shared" ref="D11:D28" si="0">F11-E11</f>
        <v>16436756211</v>
      </c>
      <c r="E11" s="256">
        <v>30869187027</v>
      </c>
      <c r="F11" s="255">
        <v>47305943238</v>
      </c>
      <c r="G11" s="255">
        <f t="shared" ref="G11:G29" si="1">I11-H11</f>
        <v>14196193493</v>
      </c>
      <c r="H11" s="255">
        <f>[3]TS!D12+[3]HD!D12-1521476140</f>
        <v>43901652540</v>
      </c>
      <c r="I11" s="255">
        <v>58097846033</v>
      </c>
      <c r="J11" s="223"/>
    </row>
    <row r="12" spans="1:10" ht="15.75" customHeight="1" x14ac:dyDescent="0.25">
      <c r="A12" s="250" t="s">
        <v>315</v>
      </c>
      <c r="B12" s="249" t="s">
        <v>203</v>
      </c>
      <c r="C12" s="249"/>
      <c r="D12" s="248">
        <f t="shared" si="0"/>
        <v>0</v>
      </c>
      <c r="E12" s="248"/>
      <c r="F12" s="247"/>
      <c r="G12" s="247">
        <f t="shared" si="1"/>
        <v>0</v>
      </c>
      <c r="H12" s="247">
        <f>[3]TS!D13+[3]HD!D13</f>
        <v>0</v>
      </c>
      <c r="I12" s="247"/>
      <c r="J12" s="223"/>
    </row>
    <row r="13" spans="1:10" s="238" customFormat="1" ht="15.75" customHeight="1" x14ac:dyDescent="0.25">
      <c r="A13" s="246" t="s">
        <v>314</v>
      </c>
      <c r="B13" s="245" t="s">
        <v>2</v>
      </c>
      <c r="C13" s="245">
        <v>22</v>
      </c>
      <c r="D13" s="254">
        <f t="shared" si="0"/>
        <v>16436756211</v>
      </c>
      <c r="E13" s="254">
        <f>E11</f>
        <v>30869187027</v>
      </c>
      <c r="F13" s="244">
        <f>F11</f>
        <v>47305943238</v>
      </c>
      <c r="G13" s="244">
        <f t="shared" si="1"/>
        <v>14196193493</v>
      </c>
      <c r="H13" s="244">
        <f>H11-H12</f>
        <v>43901652540</v>
      </c>
      <c r="I13" s="244">
        <v>58097846033</v>
      </c>
      <c r="J13" s="223"/>
    </row>
    <row r="14" spans="1:10" s="238" customFormat="1" ht="15.75" customHeight="1" x14ac:dyDescent="0.25">
      <c r="A14" s="253" t="s">
        <v>313</v>
      </c>
      <c r="B14" s="245" t="s">
        <v>202</v>
      </c>
      <c r="C14" s="245">
        <v>23</v>
      </c>
      <c r="D14" s="254">
        <f t="shared" si="0"/>
        <v>13600796999</v>
      </c>
      <c r="E14" s="254">
        <v>26844113249</v>
      </c>
      <c r="F14" s="244">
        <v>40444910248</v>
      </c>
      <c r="G14" s="244">
        <f t="shared" si="1"/>
        <v>11759777210</v>
      </c>
      <c r="H14" s="244">
        <f>[3]TS!D15+[3]HD!D15-1521476140</f>
        <v>36660372588</v>
      </c>
      <c r="I14" s="244">
        <v>48420149798</v>
      </c>
      <c r="J14" s="223"/>
    </row>
    <row r="15" spans="1:10" s="238" customFormat="1" ht="15.75" customHeight="1" x14ac:dyDescent="0.25">
      <c r="A15" s="246" t="s">
        <v>312</v>
      </c>
      <c r="B15" s="245" t="s">
        <v>201</v>
      </c>
      <c r="C15" s="245"/>
      <c r="D15" s="254">
        <f t="shared" si="0"/>
        <v>2835959212</v>
      </c>
      <c r="E15" s="254">
        <f>E13-E14</f>
        <v>4025073778</v>
      </c>
      <c r="F15" s="244">
        <f>F13-F14</f>
        <v>6861032990</v>
      </c>
      <c r="G15" s="244">
        <f t="shared" si="1"/>
        <v>2436416283</v>
      </c>
      <c r="H15" s="244">
        <f>H13-H14</f>
        <v>7241279952</v>
      </c>
      <c r="I15" s="244">
        <f>I13-I14</f>
        <v>9677696235</v>
      </c>
      <c r="J15" s="223"/>
    </row>
    <row r="16" spans="1:10" ht="15.75" customHeight="1" x14ac:dyDescent="0.25">
      <c r="A16" s="250" t="s">
        <v>311</v>
      </c>
      <c r="B16" s="249" t="s">
        <v>200</v>
      </c>
      <c r="C16" s="249">
        <v>24</v>
      </c>
      <c r="D16" s="248">
        <f t="shared" si="0"/>
        <v>407860649</v>
      </c>
      <c r="E16" s="248">
        <v>989283941</v>
      </c>
      <c r="F16" s="247">
        <v>1397144590</v>
      </c>
      <c r="G16" s="247">
        <f t="shared" si="1"/>
        <v>745898776</v>
      </c>
      <c r="H16" s="247">
        <f>[3]TS!D17+[3]HD!D17</f>
        <v>505814785</v>
      </c>
      <c r="I16" s="247">
        <v>1251713561</v>
      </c>
      <c r="J16" s="223"/>
    </row>
    <row r="17" spans="1:10" ht="15.75" customHeight="1" x14ac:dyDescent="0.25">
      <c r="A17" s="250" t="s">
        <v>310</v>
      </c>
      <c r="B17" s="249" t="s">
        <v>199</v>
      </c>
      <c r="C17" s="249">
        <v>25</v>
      </c>
      <c r="D17" s="248">
        <f t="shared" si="0"/>
        <v>23370904</v>
      </c>
      <c r="E17" s="248">
        <v>134902076</v>
      </c>
      <c r="F17" s="247">
        <v>158272980</v>
      </c>
      <c r="G17" s="247">
        <f t="shared" si="1"/>
        <v>85959832</v>
      </c>
      <c r="H17" s="247">
        <f>[3]TS!D18+[3]HD!D18</f>
        <v>543033455</v>
      </c>
      <c r="I17" s="247">
        <v>628993287</v>
      </c>
      <c r="J17" s="223"/>
    </row>
    <row r="18" spans="1:10" ht="15.75" customHeight="1" x14ac:dyDescent="0.25">
      <c r="A18" s="250" t="s">
        <v>309</v>
      </c>
      <c r="B18" s="249" t="s">
        <v>198</v>
      </c>
      <c r="C18" s="249"/>
      <c r="D18" s="248">
        <f t="shared" si="0"/>
        <v>24011256</v>
      </c>
      <c r="E18" s="248">
        <f>E17</f>
        <v>134902076</v>
      </c>
      <c r="F18" s="247">
        <v>158913332</v>
      </c>
      <c r="G18" s="247">
        <f t="shared" si="1"/>
        <v>55061983</v>
      </c>
      <c r="H18" s="247">
        <f>[3]TS!D19+[3]HD!D19</f>
        <v>315005311</v>
      </c>
      <c r="I18" s="247">
        <v>370067294</v>
      </c>
      <c r="J18" s="223"/>
    </row>
    <row r="19" spans="1:10" ht="15.75" customHeight="1" x14ac:dyDescent="0.25">
      <c r="A19" s="250" t="s">
        <v>308</v>
      </c>
      <c r="B19" s="249" t="s">
        <v>197</v>
      </c>
      <c r="C19" s="249">
        <v>26</v>
      </c>
      <c r="D19" s="248">
        <f t="shared" si="0"/>
        <v>741494246</v>
      </c>
      <c r="E19" s="248">
        <v>1507944150</v>
      </c>
      <c r="F19" s="247">
        <v>2249438396</v>
      </c>
      <c r="G19" s="247">
        <f t="shared" si="1"/>
        <v>407816245</v>
      </c>
      <c r="H19" s="247">
        <f>[3]TS!D20+[3]HD!D20</f>
        <v>1905391183</v>
      </c>
      <c r="I19" s="247">
        <v>2313207428</v>
      </c>
      <c r="J19" s="223"/>
    </row>
    <row r="20" spans="1:10" ht="15.75" customHeight="1" x14ac:dyDescent="0.25">
      <c r="A20" s="250" t="s">
        <v>307</v>
      </c>
      <c r="B20" s="249" t="s">
        <v>196</v>
      </c>
      <c r="C20" s="249">
        <v>27</v>
      </c>
      <c r="D20" s="248">
        <f t="shared" si="0"/>
        <v>1335333225</v>
      </c>
      <c r="E20" s="248">
        <v>2032548820</v>
      </c>
      <c r="F20" s="247">
        <v>3367882045</v>
      </c>
      <c r="G20" s="247">
        <f t="shared" si="1"/>
        <v>2361380037</v>
      </c>
      <c r="H20" s="247">
        <f>[3]TS!D21+[3]HD!D21</f>
        <v>4237739824</v>
      </c>
      <c r="I20" s="247">
        <v>6599119861</v>
      </c>
      <c r="J20" s="223"/>
    </row>
    <row r="21" spans="1:10" s="238" customFormat="1" ht="18" customHeight="1" x14ac:dyDescent="0.25">
      <c r="A21" s="246" t="s">
        <v>306</v>
      </c>
      <c r="B21" s="245" t="s">
        <v>195</v>
      </c>
      <c r="C21" s="245"/>
      <c r="D21" s="244">
        <f t="shared" si="0"/>
        <v>1143621486</v>
      </c>
      <c r="E21" s="244">
        <f>E15+E16-E17-E19-E20</f>
        <v>1338962673</v>
      </c>
      <c r="F21" s="244">
        <f>F15+F16-F17-F19-F20</f>
        <v>2482584159</v>
      </c>
      <c r="G21" s="244">
        <f t="shared" si="1"/>
        <v>327158945</v>
      </c>
      <c r="H21" s="244">
        <f>H15+(H16-H17)-(H19+H20)</f>
        <v>1060930275</v>
      </c>
      <c r="I21" s="244">
        <f>I15+I16-I17-I19-I20</f>
        <v>1388089220</v>
      </c>
      <c r="J21" s="223"/>
    </row>
    <row r="22" spans="1:10" ht="15.75" customHeight="1" x14ac:dyDescent="0.25">
      <c r="A22" s="250" t="s">
        <v>305</v>
      </c>
      <c r="B22" s="249" t="s">
        <v>194</v>
      </c>
      <c r="C22" s="249">
        <v>28</v>
      </c>
      <c r="D22" s="248">
        <f>F22-E22</f>
        <v>418059918</v>
      </c>
      <c r="E22" s="248">
        <f>1497852260-1371256612</f>
        <v>126595648</v>
      </c>
      <c r="F22" s="247">
        <v>544655566</v>
      </c>
      <c r="G22" s="247">
        <f t="shared" si="1"/>
        <v>29727578</v>
      </c>
      <c r="H22" s="247">
        <f>[3]TS!D23+[3]HD!D23</f>
        <v>90047890</v>
      </c>
      <c r="I22" s="247">
        <v>119775468</v>
      </c>
      <c r="J22" s="223"/>
    </row>
    <row r="23" spans="1:10" ht="15.75" customHeight="1" x14ac:dyDescent="0.25">
      <c r="A23" s="250" t="s">
        <v>304</v>
      </c>
      <c r="B23" s="249" t="s">
        <v>193</v>
      </c>
      <c r="C23" s="249">
        <v>29</v>
      </c>
      <c r="D23" s="1201">
        <f>F23-E23</f>
        <v>72946226</v>
      </c>
      <c r="E23" s="248">
        <f>1496102625-1371256612</f>
        <v>124846013</v>
      </c>
      <c r="F23" s="247">
        <v>197792239</v>
      </c>
      <c r="G23" s="247">
        <f t="shared" si="1"/>
        <v>127831976</v>
      </c>
      <c r="H23" s="247">
        <f>[3]TS!D24+[3]HD!D24</f>
        <v>400393450</v>
      </c>
      <c r="I23" s="247">
        <v>528225426</v>
      </c>
      <c r="J23" s="223"/>
    </row>
    <row r="24" spans="1:10" s="238" customFormat="1" ht="15.75" customHeight="1" x14ac:dyDescent="0.25">
      <c r="A24" s="253" t="s">
        <v>303</v>
      </c>
      <c r="B24" s="245" t="s">
        <v>192</v>
      </c>
      <c r="C24" s="245"/>
      <c r="D24" s="251">
        <f>D22-D23</f>
        <v>345113692</v>
      </c>
      <c r="E24" s="251">
        <f>E22-E23</f>
        <v>1749635</v>
      </c>
      <c r="F24" s="251">
        <f>F22-F23</f>
        <v>346863327</v>
      </c>
      <c r="G24" s="252">
        <f t="shared" si="1"/>
        <v>-98104398</v>
      </c>
      <c r="H24" s="252">
        <f>H22-H23</f>
        <v>-310345560</v>
      </c>
      <c r="I24" s="251">
        <v>-408449958</v>
      </c>
      <c r="J24" s="223"/>
    </row>
    <row r="25" spans="1:10" s="238" customFormat="1" ht="15.75" customHeight="1" x14ac:dyDescent="0.25">
      <c r="A25" s="246" t="s">
        <v>302</v>
      </c>
      <c r="B25" s="245" t="s">
        <v>191</v>
      </c>
      <c r="C25" s="245"/>
      <c r="D25" s="244">
        <f>F25-E25</f>
        <v>1488735178</v>
      </c>
      <c r="E25" s="244">
        <f>E21+E24</f>
        <v>1340712308</v>
      </c>
      <c r="F25" s="244">
        <f>F21+F24</f>
        <v>2829447486</v>
      </c>
      <c r="G25" s="244">
        <f t="shared" si="1"/>
        <v>229054547</v>
      </c>
      <c r="H25" s="244">
        <f>H21+H24</f>
        <v>750584715</v>
      </c>
      <c r="I25" s="244">
        <f>I21+I24</f>
        <v>979639262</v>
      </c>
      <c r="J25" s="223"/>
    </row>
    <row r="26" spans="1:10" ht="15.75" customHeight="1" x14ac:dyDescent="0.25">
      <c r="A26" s="250" t="s">
        <v>301</v>
      </c>
      <c r="B26" s="249" t="s">
        <v>190</v>
      </c>
      <c r="C26" s="249">
        <v>30</v>
      </c>
      <c r="D26" s="248">
        <f>F26-E26</f>
        <v>320544964</v>
      </c>
      <c r="E26" s="248">
        <v>303311664</v>
      </c>
      <c r="F26" s="247">
        <v>623856628</v>
      </c>
      <c r="G26" s="247">
        <f t="shared" si="1"/>
        <v>74192816</v>
      </c>
      <c r="H26" s="247">
        <f>[3]TS!D27+[3]HD!D27</f>
        <v>182023579</v>
      </c>
      <c r="I26" s="247">
        <v>256216395</v>
      </c>
      <c r="J26" s="223"/>
    </row>
    <row r="27" spans="1:10" ht="15.75" customHeight="1" x14ac:dyDescent="0.25">
      <c r="A27" s="250" t="s">
        <v>300</v>
      </c>
      <c r="B27" s="249" t="s">
        <v>189</v>
      </c>
      <c r="C27" s="249"/>
      <c r="D27" s="248">
        <f t="shared" si="0"/>
        <v>0</v>
      </c>
      <c r="E27" s="248"/>
      <c r="F27" s="247"/>
      <c r="G27" s="247">
        <f t="shared" si="1"/>
        <v>0</v>
      </c>
      <c r="H27" s="247">
        <f>[3]TS!D28+[3]HD!D28</f>
        <v>0</v>
      </c>
      <c r="I27" s="247"/>
      <c r="J27" s="223"/>
    </row>
    <row r="28" spans="1:10" s="238" customFormat="1" ht="15.75" customHeight="1" x14ac:dyDescent="0.25">
      <c r="A28" s="246" t="s">
        <v>299</v>
      </c>
      <c r="B28" s="245" t="s">
        <v>188</v>
      </c>
      <c r="C28" s="245"/>
      <c r="D28" s="244">
        <f t="shared" si="0"/>
        <v>1168190214</v>
      </c>
      <c r="E28" s="244">
        <f>E25-E26</f>
        <v>1037400644</v>
      </c>
      <c r="F28" s="244">
        <f>F25-F26</f>
        <v>2205590858</v>
      </c>
      <c r="G28" s="244">
        <f t="shared" si="1"/>
        <v>154861731</v>
      </c>
      <c r="H28" s="244">
        <f>H25-H26-H27</f>
        <v>568561136</v>
      </c>
      <c r="I28" s="244">
        <f>I25-I26</f>
        <v>723422867</v>
      </c>
      <c r="J28" s="223"/>
    </row>
    <row r="29" spans="1:10" s="238" customFormat="1" ht="15.75" customHeight="1" x14ac:dyDescent="0.25">
      <c r="A29" s="243" t="s">
        <v>298</v>
      </c>
      <c r="B29" s="242" t="s">
        <v>187</v>
      </c>
      <c r="C29" s="242">
        <v>31</v>
      </c>
      <c r="D29" s="241">
        <v>649</v>
      </c>
      <c r="E29" s="240">
        <v>519</v>
      </c>
      <c r="F29" s="239">
        <f>F28/2000000</f>
        <v>1102.795429</v>
      </c>
      <c r="G29" s="239">
        <f t="shared" si="1"/>
        <v>77.430865499999982</v>
      </c>
      <c r="H29" s="239">
        <f>H28/2000000</f>
        <v>284.28056800000002</v>
      </c>
      <c r="I29" s="239">
        <f>I28/2000000</f>
        <v>361.7114335</v>
      </c>
      <c r="J29" s="223"/>
    </row>
    <row r="30" spans="1:10" ht="1.5" hidden="1" customHeight="1" x14ac:dyDescent="0.25">
      <c r="A30" s="237" t="s">
        <v>297</v>
      </c>
      <c r="B30" s="236" t="s">
        <v>186</v>
      </c>
      <c r="C30" s="236">
        <v>32</v>
      </c>
      <c r="D30" s="236"/>
      <c r="E30" s="236"/>
      <c r="F30" s="236"/>
      <c r="G30" s="236"/>
      <c r="H30" s="235">
        <v>77</v>
      </c>
      <c r="I30" s="235"/>
      <c r="J30" s="223"/>
    </row>
    <row r="31" spans="1:10" s="224" customFormat="1" ht="15.75" x14ac:dyDescent="0.25">
      <c r="A31" s="225"/>
      <c r="B31" s="227"/>
      <c r="C31" s="234"/>
      <c r="D31" s="234"/>
      <c r="E31" s="234"/>
      <c r="F31" s="234"/>
      <c r="G31" s="1243" t="s">
        <v>2140</v>
      </c>
      <c r="H31" s="1243"/>
      <c r="I31" s="1243"/>
      <c r="J31" s="223"/>
    </row>
    <row r="32" spans="1:10" s="224" customFormat="1" ht="18.75" customHeight="1" x14ac:dyDescent="0.25">
      <c r="A32" s="233" t="s">
        <v>296</v>
      </c>
      <c r="B32" s="233"/>
      <c r="C32" s="1244" t="s">
        <v>295</v>
      </c>
      <c r="D32" s="1244"/>
      <c r="E32" s="233"/>
      <c r="F32" s="1199"/>
      <c r="G32" s="1245" t="s">
        <v>294</v>
      </c>
      <c r="H32" s="1245"/>
      <c r="I32" s="1245"/>
    </row>
    <row r="33" spans="1:9" s="224" customFormat="1" ht="12.75" customHeight="1" x14ac:dyDescent="0.25">
      <c r="A33" s="225"/>
      <c r="B33" s="227"/>
      <c r="C33" s="227"/>
      <c r="D33" s="1200"/>
      <c r="E33" s="227"/>
      <c r="F33" s="1200"/>
      <c r="G33" s="227"/>
      <c r="H33" s="232"/>
      <c r="I33" s="232"/>
    </row>
    <row r="34" spans="1:9" s="224" customFormat="1" ht="12.75" customHeight="1" x14ac:dyDescent="0.25">
      <c r="A34" s="225"/>
      <c r="B34" s="227"/>
      <c r="C34" s="227"/>
      <c r="D34" s="1182"/>
      <c r="E34" s="227"/>
      <c r="F34" s="227"/>
      <c r="G34" s="227"/>
      <c r="H34" s="231"/>
      <c r="I34" s="231"/>
    </row>
    <row r="35" spans="1:9" s="224" customFormat="1" ht="12.75" customHeight="1" x14ac:dyDescent="0.25">
      <c r="A35" s="225"/>
      <c r="B35" s="227"/>
      <c r="C35" s="227"/>
      <c r="D35" s="1182"/>
      <c r="E35" s="227"/>
      <c r="F35" s="227"/>
      <c r="G35" s="227"/>
      <c r="H35" s="225"/>
      <c r="I35" s="225"/>
    </row>
    <row r="36" spans="1:9" s="224" customFormat="1" ht="12.75" customHeight="1" x14ac:dyDescent="0.25">
      <c r="A36" s="225"/>
      <c r="B36" s="227"/>
      <c r="C36" s="227"/>
      <c r="D36" s="227"/>
      <c r="E36" s="227"/>
      <c r="F36" s="227"/>
      <c r="G36" s="227"/>
      <c r="H36" s="231"/>
      <c r="I36" s="231"/>
    </row>
    <row r="37" spans="1:9" s="224" customFormat="1" ht="21.75" customHeight="1" x14ac:dyDescent="0.25">
      <c r="A37" s="228" t="s">
        <v>293</v>
      </c>
      <c r="B37" s="230"/>
      <c r="C37" s="229" t="s">
        <v>292</v>
      </c>
      <c r="D37" s="229"/>
      <c r="E37" s="229"/>
      <c r="F37" s="229"/>
      <c r="G37" s="229"/>
      <c r="H37" s="228"/>
      <c r="I37" s="228"/>
    </row>
    <row r="38" spans="1:9" s="224" customFormat="1" ht="12.75" customHeight="1" x14ac:dyDescent="0.25">
      <c r="A38" s="225"/>
      <c r="B38" s="227"/>
      <c r="C38" s="227"/>
      <c r="D38" s="227"/>
      <c r="E38" s="227"/>
      <c r="F38" s="227"/>
      <c r="G38" s="227"/>
      <c r="H38" s="225"/>
      <c r="I38" s="225"/>
    </row>
    <row r="39" spans="1:9" s="224" customFormat="1" ht="12.75" customHeight="1" x14ac:dyDescent="0.25">
      <c r="B39" s="226"/>
      <c r="C39" s="226"/>
      <c r="D39" s="226"/>
      <c r="E39" s="226"/>
      <c r="F39" s="226"/>
      <c r="G39" s="226"/>
      <c r="I39" s="225"/>
    </row>
    <row r="41" spans="1:9" ht="12.75" customHeight="1" x14ac:dyDescent="0.25">
      <c r="H41" s="223"/>
      <c r="I41" s="222"/>
    </row>
    <row r="44" spans="1:9" ht="12.75" customHeight="1" x14ac:dyDescent="0.25">
      <c r="H44" s="223"/>
      <c r="I44" s="222"/>
    </row>
  </sheetData>
  <mergeCells count="10">
    <mergeCell ref="G31:I31"/>
    <mergeCell ref="C32:D32"/>
    <mergeCell ref="G32:I32"/>
    <mergeCell ref="A5:I5"/>
    <mergeCell ref="A6:I6"/>
    <mergeCell ref="A8:A9"/>
    <mergeCell ref="B8:B9"/>
    <mergeCell ref="C8:C9"/>
    <mergeCell ref="D8:F8"/>
    <mergeCell ref="G8:I8"/>
  </mergeCells>
  <pageMargins left="0.45" right="0.3" top="0.2" bottom="0" header="0.35" footer="0"/>
  <pageSetup paperSize="9" fitToWidth="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filterMode="1">
    <tabColor indexed="11"/>
  </sheetPr>
  <dimension ref="A1:CN100"/>
  <sheetViews>
    <sheetView showZeros="0" tabSelected="1" view="pageBreakPreview" zoomScaleNormal="90" zoomScaleSheetLayoutView="100" workbookViewId="0">
      <pane ySplit="4" topLeftCell="A50" activePane="bottomLeft" state="frozen"/>
      <selection pane="bottomLeft" activeCell="AL60" sqref="AL60"/>
    </sheetView>
  </sheetViews>
  <sheetFormatPr defaultColWidth="2.5703125" defaultRowHeight="15" outlineLevelRow="1" outlineLevelCol="2" x14ac:dyDescent="0.25"/>
  <cols>
    <col min="1" max="1" width="4.28515625" style="136" customWidth="1" outlineLevel="1"/>
    <col min="2" max="3" width="2.28515625" style="141" customWidth="1" outlineLevel="1"/>
    <col min="4" max="20" width="2.28515625" style="136" customWidth="1" outlineLevel="1"/>
    <col min="21" max="21" width="2.42578125" style="136" hidden="1" customWidth="1" outlineLevel="2"/>
    <col min="22" max="27" width="2.5703125" style="136" hidden="1" customWidth="1" outlineLevel="2"/>
    <col min="28" max="28" width="2.28515625" style="136" customWidth="1" outlineLevel="1" collapsed="1"/>
    <col min="29" max="34" width="2.5703125" style="138" customWidth="1" outlineLevel="1"/>
    <col min="35" max="35" width="2.5703125" style="136" customWidth="1" outlineLevel="1"/>
    <col min="36" max="36" width="2.5703125" style="138" customWidth="1" outlineLevel="1"/>
    <col min="37" max="37" width="2.42578125" style="136" customWidth="1" outlineLevel="2"/>
    <col min="38" max="43" width="2.5703125" style="136" customWidth="1" outlineLevel="2"/>
    <col min="44" max="44" width="0.140625" style="136" customWidth="1"/>
    <col min="45" max="45" width="5.42578125" style="139" hidden="1" customWidth="1" outlineLevel="1"/>
    <col min="46" max="47" width="2.28515625" style="141" hidden="1" customWidth="1" outlineLevel="1"/>
    <col min="48" max="64" width="2.28515625" style="136" hidden="1" customWidth="1" outlineLevel="1"/>
    <col min="65" max="71" width="2.28515625" style="136" hidden="1" customWidth="1" outlineLevel="2"/>
    <col min="72" max="72" width="2.28515625" style="136" hidden="1" customWidth="1" outlineLevel="1" collapsed="1"/>
    <col min="73" max="73" width="2.42578125" style="138" hidden="1" customWidth="1" outlineLevel="1"/>
    <col min="74" max="78" width="2.5703125" style="138" hidden="1" customWidth="1" outlineLevel="1"/>
    <col min="79" max="79" width="2.5703125" style="136" hidden="1" customWidth="1" outlineLevel="1"/>
    <col min="80" max="80" width="2.5703125" style="138" hidden="1" customWidth="1" outlineLevel="1"/>
    <col min="81" max="81" width="2.42578125" style="136" hidden="1" customWidth="1" outlineLevel="2"/>
    <col min="82" max="87" width="2.5703125" style="136" hidden="1" customWidth="1" outlineLevel="2"/>
    <col min="88" max="88" width="0.5703125" style="136" customWidth="1" collapsed="1"/>
    <col min="89" max="89" width="1" style="142" customWidth="1"/>
    <col min="90" max="91" width="14.7109375" style="139" customWidth="1" outlineLevel="1"/>
    <col min="92" max="92" width="3.28515625" style="139" customWidth="1"/>
    <col min="93" max="93" width="14.140625" style="139" customWidth="1"/>
    <col min="94" max="16384" width="2.5703125" style="139"/>
  </cols>
  <sheetData>
    <row r="1" spans="1:91" s="8" customFormat="1" ht="15" hidden="1" customHeight="1" outlineLevel="1" x14ac:dyDescent="0.25">
      <c r="A1" s="1" t="str">
        <f>Ten_DVCQ_V</f>
        <v>TỔNG CÔNG TY XYZ</v>
      </c>
      <c r="B1" s="1"/>
      <c r="C1" s="1"/>
      <c r="D1" s="1"/>
      <c r="E1" s="1"/>
      <c r="F1" s="1"/>
      <c r="G1" s="1"/>
      <c r="H1" s="2"/>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3"/>
      <c r="AM1" s="1"/>
      <c r="AN1" s="1"/>
      <c r="AO1" s="1"/>
      <c r="AP1" s="1"/>
      <c r="AQ1" s="4"/>
      <c r="AR1" s="4"/>
      <c r="AS1" s="5" t="str">
        <f>Ten_DVCQ_E</f>
        <v>XYZ CORPORATION</v>
      </c>
      <c r="AT1" s="5"/>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3"/>
      <c r="CE1" s="1"/>
      <c r="CF1" s="1"/>
      <c r="CG1" s="1"/>
      <c r="CH1" s="1"/>
      <c r="CI1" s="4"/>
      <c r="CJ1" s="4"/>
      <c r="CK1" s="152"/>
    </row>
    <row r="2" spans="1:91" s="8" customFormat="1" ht="15" customHeight="1" collapsed="1" x14ac:dyDescent="0.25">
      <c r="A2" s="9" t="str">
        <f>Ten_CongTy_TieuDe_V</f>
        <v>Công ty Cổ phần Viglacera Từ Sơn</v>
      </c>
      <c r="B2" s="9"/>
      <c r="C2" s="9"/>
      <c r="D2" s="9"/>
      <c r="E2" s="9"/>
      <c r="F2" s="9"/>
      <c r="G2" s="9"/>
      <c r="H2" s="10"/>
      <c r="I2" s="9"/>
      <c r="J2" s="9"/>
      <c r="K2" s="9"/>
      <c r="L2" s="9"/>
      <c r="M2" s="9"/>
      <c r="N2" s="9"/>
      <c r="O2" s="9"/>
      <c r="P2" s="9"/>
      <c r="Q2" s="9"/>
      <c r="R2" s="9"/>
      <c r="S2" s="9"/>
      <c r="T2" s="9"/>
      <c r="U2" s="9"/>
      <c r="V2" s="9"/>
      <c r="W2" s="9"/>
      <c r="X2" s="9"/>
      <c r="Y2" s="9"/>
      <c r="Z2" s="9"/>
      <c r="AA2" s="9"/>
      <c r="AB2" s="9"/>
      <c r="AC2" s="1"/>
      <c r="AD2" s="1"/>
      <c r="AE2" s="1"/>
      <c r="AF2" s="1"/>
      <c r="AG2" s="1"/>
      <c r="AH2" s="1"/>
      <c r="AI2" s="1"/>
      <c r="AJ2" s="1"/>
      <c r="AK2" s="1"/>
      <c r="AL2" s="3"/>
      <c r="AM2" s="1"/>
      <c r="AN2" s="1"/>
      <c r="AO2" s="1"/>
      <c r="AP2" s="1"/>
      <c r="AQ2" s="11"/>
      <c r="AR2" s="11" t="str">
        <f>CONCATENATE(Loai_BC_V)</f>
        <v>Báo cáo tài chính</v>
      </c>
      <c r="AS2" s="12" t="str">
        <f>Ten_CongTy_TieuDe_E</f>
        <v>ABC Joint Stock Company</v>
      </c>
      <c r="AT2" s="12"/>
      <c r="AU2" s="9"/>
      <c r="AV2" s="9"/>
      <c r="AW2" s="9"/>
      <c r="AX2" s="9"/>
      <c r="AY2" s="9"/>
      <c r="AZ2" s="9"/>
      <c r="BA2" s="9"/>
      <c r="BB2" s="9"/>
      <c r="BC2" s="9"/>
      <c r="BD2" s="9"/>
      <c r="BE2" s="9"/>
      <c r="BF2" s="9"/>
      <c r="BG2" s="9"/>
      <c r="BH2" s="9"/>
      <c r="BI2" s="9"/>
      <c r="BJ2" s="9"/>
      <c r="BK2" s="9"/>
      <c r="BL2" s="9"/>
      <c r="BM2" s="9"/>
      <c r="BN2" s="9"/>
      <c r="BO2" s="9"/>
      <c r="BP2" s="9"/>
      <c r="BQ2" s="9"/>
      <c r="BR2" s="9"/>
      <c r="BS2" s="9"/>
      <c r="BT2" s="9"/>
      <c r="BU2" s="1"/>
      <c r="BV2" s="1"/>
      <c r="BW2" s="1"/>
      <c r="BX2" s="1"/>
      <c r="BY2" s="1"/>
      <c r="BZ2" s="1"/>
      <c r="CA2" s="1"/>
      <c r="CB2" s="1"/>
      <c r="CC2" s="1"/>
      <c r="CD2" s="3"/>
      <c r="CE2" s="1"/>
      <c r="CF2" s="1"/>
      <c r="CG2" s="1"/>
      <c r="CH2" s="1"/>
      <c r="CI2" s="11"/>
      <c r="CJ2" s="11" t="str">
        <f>CONCATENATE(Loai_BC_E)</f>
        <v>Separate Financial Statements</v>
      </c>
      <c r="CK2" s="152"/>
    </row>
    <row r="3" spans="1:91" s="8" customFormat="1" ht="15" customHeight="1" x14ac:dyDescent="0.25">
      <c r="A3" s="1" t="str">
        <f>Dia_Chi_Congty_V</f>
        <v>Phường Đình Bảng - Thị xã Từ Sơn - Tỉnh Bắc Ninh</v>
      </c>
      <c r="B3" s="1"/>
      <c r="C3" s="9"/>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3"/>
      <c r="AM3" s="1"/>
      <c r="AN3" s="1"/>
      <c r="AO3" s="1"/>
      <c r="AP3" s="1"/>
      <c r="AQ3" s="15"/>
      <c r="AR3" s="15" t="str">
        <f>Ky_ke_toan_V</f>
        <v>năm tài chính kết thúc ngày 31/12/2017</v>
      </c>
      <c r="AS3" s="5" t="str">
        <f>Dia_Chi_Congty_E</f>
        <v>Sai Dong - Long Bien - Hanoi</v>
      </c>
      <c r="AT3" s="5"/>
      <c r="AU3" s="9"/>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3"/>
      <c r="CE3" s="1"/>
      <c r="CF3" s="1"/>
      <c r="CG3" s="1"/>
      <c r="CH3" s="1"/>
      <c r="CI3" s="15"/>
      <c r="CJ3" s="15" t="str">
        <f>Ky_ke_toan_E</f>
        <v>for the fiscal year ended as at 31 December 2015</v>
      </c>
      <c r="CK3" s="151"/>
    </row>
    <row r="4" spans="1:91" s="8" customFormat="1" ht="0.95" customHeight="1" x14ac:dyDescent="0.25">
      <c r="A4" s="17"/>
      <c r="B4" s="18"/>
      <c r="C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9"/>
      <c r="AM4" s="17"/>
      <c r="AN4" s="17"/>
      <c r="AO4" s="17"/>
      <c r="AP4" s="17"/>
      <c r="AQ4" s="17"/>
      <c r="AR4" s="1"/>
      <c r="AS4" s="20"/>
      <c r="AT4" s="18"/>
      <c r="AU4" s="18"/>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9"/>
      <c r="CE4" s="17"/>
      <c r="CF4" s="17"/>
      <c r="CG4" s="17"/>
      <c r="CH4" s="17"/>
      <c r="CI4" s="17"/>
      <c r="CJ4" s="21"/>
      <c r="CK4" s="28"/>
    </row>
    <row r="5" spans="1:91" s="8" customFormat="1" ht="9.75" customHeight="1" x14ac:dyDescent="0.25">
      <c r="A5" s="21"/>
      <c r="B5" s="22"/>
      <c r="C5" s="22"/>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T5" s="22"/>
      <c r="AU5" s="22"/>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8">
        <v>1</v>
      </c>
    </row>
    <row r="6" spans="1:91" ht="17.25" customHeight="1" x14ac:dyDescent="0.25">
      <c r="A6" s="1294" t="str">
        <f>CONCATENATE("BÁO CÁO LƯU CHUYỂN TIỀN TỆ",UPPER(Loai_Baocao))</f>
        <v>BÁO CÁO LƯU CHUYỂN TIỀN TỆ</v>
      </c>
      <c r="B6" s="1294"/>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1294"/>
      <c r="AF6" s="1294"/>
      <c r="AG6" s="1294"/>
      <c r="AH6" s="1294"/>
      <c r="AI6" s="1294"/>
      <c r="AJ6" s="1294"/>
      <c r="AK6" s="1294"/>
      <c r="AL6" s="1294"/>
      <c r="AM6" s="1294"/>
      <c r="AN6" s="1294"/>
      <c r="AO6" s="1294"/>
      <c r="AP6" s="1294"/>
      <c r="AQ6" s="1294"/>
      <c r="AR6" s="1179"/>
      <c r="AS6" s="1294" t="s">
        <v>291</v>
      </c>
      <c r="AT6" s="1294"/>
      <c r="AU6" s="1294"/>
      <c r="AV6" s="1294"/>
      <c r="AW6" s="1294"/>
      <c r="AX6" s="1294"/>
      <c r="AY6" s="1294"/>
      <c r="AZ6" s="1294"/>
      <c r="BA6" s="1294"/>
      <c r="BB6" s="1294"/>
      <c r="BC6" s="1294"/>
      <c r="BD6" s="1294"/>
      <c r="BE6" s="1294"/>
      <c r="BF6" s="1294"/>
      <c r="BG6" s="1294"/>
      <c r="BH6" s="1294"/>
      <c r="BI6" s="1294"/>
      <c r="BJ6" s="1294"/>
      <c r="BK6" s="1294"/>
      <c r="BL6" s="1294"/>
      <c r="BM6" s="1294"/>
      <c r="BN6" s="1294"/>
      <c r="BO6" s="1294"/>
      <c r="BP6" s="1294"/>
      <c r="BQ6" s="1294"/>
      <c r="BR6" s="1294"/>
      <c r="BS6" s="1294"/>
      <c r="BT6" s="1294"/>
      <c r="BU6" s="1294"/>
      <c r="BV6" s="1294"/>
      <c r="BW6" s="1294"/>
      <c r="BX6" s="1294"/>
      <c r="BY6" s="1294"/>
      <c r="BZ6" s="1294"/>
      <c r="CA6" s="1294"/>
      <c r="CB6" s="1294"/>
      <c r="CC6" s="1294"/>
      <c r="CD6" s="1294"/>
      <c r="CE6" s="1294"/>
      <c r="CF6" s="1294"/>
      <c r="CG6" s="1294"/>
      <c r="CH6" s="1294"/>
      <c r="CI6" s="1294"/>
      <c r="CJ6" s="218"/>
      <c r="CK6" s="142">
        <v>1</v>
      </c>
      <c r="CL6" s="1208" t="s">
        <v>3</v>
      </c>
      <c r="CM6" s="1208"/>
    </row>
    <row r="7" spans="1:91" s="154" customFormat="1" ht="15" customHeight="1" x14ac:dyDescent="0.25">
      <c r="A7" s="1203" t="str">
        <f>TDe_Time_LCTT_V</f>
        <v>Năm 2017</v>
      </c>
      <c r="B7" s="1203"/>
      <c r="C7" s="1203"/>
      <c r="D7" s="1203"/>
      <c r="E7" s="1203"/>
      <c r="F7" s="1203"/>
      <c r="G7" s="1203"/>
      <c r="H7" s="1203"/>
      <c r="I7" s="1203"/>
      <c r="J7" s="1203"/>
      <c r="K7" s="1203"/>
      <c r="L7" s="1203"/>
      <c r="M7" s="1203"/>
      <c r="N7" s="1203"/>
      <c r="O7" s="1203"/>
      <c r="P7" s="1203"/>
      <c r="Q7" s="1203"/>
      <c r="R7" s="1203"/>
      <c r="S7" s="1203"/>
      <c r="T7" s="1203"/>
      <c r="U7" s="1203"/>
      <c r="V7" s="1203"/>
      <c r="W7" s="1203"/>
      <c r="X7" s="1203"/>
      <c r="Y7" s="1203"/>
      <c r="Z7" s="1203"/>
      <c r="AA7" s="1203"/>
      <c r="AB7" s="1203"/>
      <c r="AC7" s="1203"/>
      <c r="AD7" s="1203"/>
      <c r="AE7" s="1203"/>
      <c r="AF7" s="1203"/>
      <c r="AG7" s="1203"/>
      <c r="AH7" s="1203"/>
      <c r="AI7" s="1203"/>
      <c r="AJ7" s="1203"/>
      <c r="AK7" s="1203"/>
      <c r="AL7" s="1203"/>
      <c r="AM7" s="1203"/>
      <c r="AN7" s="1203"/>
      <c r="AO7" s="1203"/>
      <c r="AP7" s="1203"/>
      <c r="AQ7" s="1203"/>
      <c r="AR7" s="25"/>
      <c r="AS7" s="1203" t="str">
        <f>TDe_Time_LCTT_E</f>
        <v>Year 2015</v>
      </c>
      <c r="AT7" s="1203"/>
      <c r="AU7" s="1203"/>
      <c r="AV7" s="1203"/>
      <c r="AW7" s="1203"/>
      <c r="AX7" s="1203"/>
      <c r="AY7" s="1203"/>
      <c r="AZ7" s="1203"/>
      <c r="BA7" s="1203"/>
      <c r="BB7" s="1203"/>
      <c r="BC7" s="1203"/>
      <c r="BD7" s="1203"/>
      <c r="BE7" s="1203"/>
      <c r="BF7" s="1203"/>
      <c r="BG7" s="1203"/>
      <c r="BH7" s="1203"/>
      <c r="BI7" s="1203"/>
      <c r="BJ7" s="1203"/>
      <c r="BK7" s="1203"/>
      <c r="BL7" s="1203"/>
      <c r="BM7" s="1203"/>
      <c r="BN7" s="1203"/>
      <c r="BO7" s="1203"/>
      <c r="BP7" s="1203"/>
      <c r="BQ7" s="1203"/>
      <c r="BR7" s="1203"/>
      <c r="BS7" s="1203"/>
      <c r="BT7" s="1203"/>
      <c r="BU7" s="1203"/>
      <c r="BV7" s="1203"/>
      <c r="BW7" s="1203"/>
      <c r="BX7" s="1203"/>
      <c r="BY7" s="1203"/>
      <c r="BZ7" s="1203"/>
      <c r="CA7" s="1203"/>
      <c r="CB7" s="1203"/>
      <c r="CC7" s="1203"/>
      <c r="CD7" s="1203"/>
      <c r="CE7" s="1203"/>
      <c r="CF7" s="1203"/>
      <c r="CG7" s="1203"/>
      <c r="CH7" s="1203"/>
      <c r="CI7" s="1203"/>
      <c r="CJ7" s="118"/>
      <c r="CK7" s="142">
        <v>1</v>
      </c>
      <c r="CL7" s="41" t="str">
        <f>Ky_Nay2_V</f>
        <v>Năm 2017</v>
      </c>
      <c r="CM7" s="41" t="str">
        <f>Ky_Truoc2_V</f>
        <v>Năm 2016</v>
      </c>
    </row>
    <row r="8" spans="1:91" s="113" customFormat="1" ht="15" customHeight="1" x14ac:dyDescent="0.25">
      <c r="A8" s="1295" t="s">
        <v>290</v>
      </c>
      <c r="B8" s="1296"/>
      <c r="C8" s="1296"/>
      <c r="D8" s="1296"/>
      <c r="E8" s="1296"/>
      <c r="F8" s="1296"/>
      <c r="G8" s="1296"/>
      <c r="H8" s="1296"/>
      <c r="I8" s="1296"/>
      <c r="J8" s="1296"/>
      <c r="K8" s="1296"/>
      <c r="L8" s="1296"/>
      <c r="M8" s="1296"/>
      <c r="N8" s="1296"/>
      <c r="O8" s="1296"/>
      <c r="P8" s="1296"/>
      <c r="Q8" s="1296"/>
      <c r="R8" s="1296"/>
      <c r="S8" s="1296"/>
      <c r="T8" s="1296"/>
      <c r="U8" s="1296"/>
      <c r="V8" s="1296"/>
      <c r="W8" s="1296"/>
      <c r="X8" s="1296"/>
      <c r="Y8" s="1296"/>
      <c r="Z8" s="1296"/>
      <c r="AA8" s="1296"/>
      <c r="AB8" s="1296"/>
      <c r="AC8" s="1296"/>
      <c r="AD8" s="1296"/>
      <c r="AE8" s="1296"/>
      <c r="AF8" s="1296"/>
      <c r="AG8" s="1296"/>
      <c r="AH8" s="1296"/>
      <c r="AI8" s="1296"/>
      <c r="AJ8" s="1296"/>
      <c r="AK8" s="1296"/>
      <c r="AL8" s="1296"/>
      <c r="AM8" s="1296"/>
      <c r="AN8" s="1296"/>
      <c r="AO8" s="1296"/>
      <c r="AP8" s="1296"/>
      <c r="AQ8" s="1296"/>
      <c r="AR8" s="215"/>
      <c r="AS8" s="1296" t="s">
        <v>289</v>
      </c>
      <c r="AT8" s="1296"/>
      <c r="AU8" s="1296"/>
      <c r="AV8" s="1296"/>
      <c r="AW8" s="1296"/>
      <c r="AX8" s="1296"/>
      <c r="AY8" s="1296"/>
      <c r="AZ8" s="1296"/>
      <c r="BA8" s="1296"/>
      <c r="BB8" s="1296"/>
      <c r="BC8" s="1296"/>
      <c r="BD8" s="1296"/>
      <c r="BE8" s="1296"/>
      <c r="BF8" s="1296"/>
      <c r="BG8" s="1296"/>
      <c r="BH8" s="1296"/>
      <c r="BI8" s="1296"/>
      <c r="BJ8" s="1296"/>
      <c r="BK8" s="1296"/>
      <c r="BL8" s="1296"/>
      <c r="BM8" s="1296"/>
      <c r="BN8" s="1296"/>
      <c r="BO8" s="1296"/>
      <c r="BP8" s="1296"/>
      <c r="BQ8" s="1296"/>
      <c r="BR8" s="1296"/>
      <c r="BS8" s="1296"/>
      <c r="BT8" s="1296"/>
      <c r="BU8" s="1296"/>
      <c r="BV8" s="1296"/>
      <c r="BW8" s="1296"/>
      <c r="BX8" s="1296"/>
      <c r="BY8" s="1296"/>
      <c r="BZ8" s="1296"/>
      <c r="CA8" s="1296"/>
      <c r="CB8" s="1296"/>
      <c r="CC8" s="1296"/>
      <c r="CD8" s="1296"/>
      <c r="CE8" s="1296"/>
      <c r="CF8" s="1296"/>
      <c r="CG8" s="1296"/>
      <c r="CH8" s="1296"/>
      <c r="CI8" s="1296"/>
      <c r="CJ8" s="217"/>
      <c r="CK8" s="114">
        <v>1</v>
      </c>
      <c r="CL8" s="216"/>
      <c r="CM8" s="216"/>
    </row>
    <row r="9" spans="1:91" s="154" customFormat="1" ht="8.25" customHeight="1" x14ac:dyDescent="0.2">
      <c r="A9" s="158"/>
      <c r="B9" s="112"/>
      <c r="C9" s="112"/>
      <c r="D9" s="113"/>
      <c r="E9" s="113"/>
      <c r="F9" s="113"/>
      <c r="G9" s="113"/>
      <c r="H9" s="113"/>
      <c r="I9" s="113"/>
      <c r="J9" s="113"/>
      <c r="K9" s="113"/>
      <c r="L9" s="113"/>
      <c r="M9" s="113"/>
      <c r="N9" s="113"/>
      <c r="O9" s="113"/>
      <c r="P9" s="113"/>
      <c r="Q9" s="113"/>
      <c r="R9" s="113"/>
      <c r="S9" s="113"/>
      <c r="T9" s="113"/>
      <c r="U9" s="113"/>
      <c r="V9" s="113"/>
      <c r="W9" s="113"/>
      <c r="X9" s="113"/>
      <c r="Y9" s="113"/>
      <c r="Z9" s="113"/>
      <c r="AA9" s="113"/>
      <c r="AB9" s="215"/>
      <c r="AC9" s="215"/>
      <c r="AD9" s="215"/>
      <c r="AE9" s="114"/>
      <c r="AF9" s="114"/>
      <c r="AG9" s="114"/>
      <c r="AH9" s="114"/>
      <c r="AI9" s="113"/>
      <c r="AJ9" s="114"/>
      <c r="AK9" s="214"/>
      <c r="AL9" s="214"/>
      <c r="AM9" s="214"/>
      <c r="AN9" s="214"/>
      <c r="AO9" s="214"/>
      <c r="AP9" s="214"/>
      <c r="AQ9" s="214"/>
      <c r="AR9" s="113"/>
      <c r="AS9" s="156"/>
      <c r="AT9" s="112"/>
      <c r="AU9" s="112"/>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4"/>
      <c r="BV9" s="114"/>
      <c r="BW9" s="114"/>
      <c r="BX9" s="114"/>
      <c r="BY9" s="114"/>
      <c r="BZ9" s="114"/>
      <c r="CA9" s="113"/>
      <c r="CB9" s="114"/>
      <c r="CC9" s="113"/>
      <c r="CD9" s="213"/>
      <c r="CE9" s="213"/>
      <c r="CF9" s="213"/>
      <c r="CG9" s="213"/>
      <c r="CH9" s="213"/>
      <c r="CI9" s="213"/>
      <c r="CJ9" s="113"/>
      <c r="CK9" s="142">
        <v>1</v>
      </c>
      <c r="CL9" s="212"/>
      <c r="CM9" s="212"/>
    </row>
    <row r="10" spans="1:91" s="157" customFormat="1" ht="15" customHeight="1" x14ac:dyDescent="0.25">
      <c r="A10" s="1292" t="s">
        <v>4</v>
      </c>
      <c r="B10" s="1288" t="s">
        <v>206</v>
      </c>
      <c r="C10" s="1288"/>
      <c r="D10" s="1288"/>
      <c r="E10" s="1288"/>
      <c r="F10" s="1288"/>
      <c r="G10" s="1288"/>
      <c r="H10" s="1288"/>
      <c r="I10" s="1288"/>
      <c r="J10" s="1288"/>
      <c r="K10" s="1288"/>
      <c r="L10" s="1288"/>
      <c r="M10" s="1288"/>
      <c r="N10" s="1288"/>
      <c r="O10" s="1288"/>
      <c r="P10" s="1288"/>
      <c r="Q10" s="1288"/>
      <c r="R10" s="1288"/>
      <c r="S10" s="1288"/>
      <c r="T10" s="1181"/>
      <c r="U10" s="1181"/>
      <c r="V10" s="1181"/>
      <c r="W10" s="1181"/>
      <c r="X10" s="1181"/>
      <c r="Y10" s="1181"/>
      <c r="Z10" s="1181"/>
      <c r="AA10" s="1181"/>
      <c r="AB10" s="1293" t="s">
        <v>288</v>
      </c>
      <c r="AC10" s="1293"/>
      <c r="AD10" s="1293"/>
      <c r="AE10" s="1290" t="str">
        <f>Ky_Nay2_V</f>
        <v>Năm 2017</v>
      </c>
      <c r="AF10" s="1290"/>
      <c r="AG10" s="1290"/>
      <c r="AH10" s="1290"/>
      <c r="AI10" s="1290"/>
      <c r="AJ10" s="1290"/>
      <c r="AK10" s="210"/>
      <c r="AL10" s="1290" t="str">
        <f>Ky_Truoc2_V</f>
        <v>Năm 2016</v>
      </c>
      <c r="AM10" s="1290"/>
      <c r="AN10" s="1290"/>
      <c r="AO10" s="1290"/>
      <c r="AP10" s="1290"/>
      <c r="AQ10" s="1290"/>
      <c r="AR10" s="211"/>
      <c r="AS10" s="1292" t="s">
        <v>7</v>
      </c>
      <c r="AT10" s="1288" t="s">
        <v>205</v>
      </c>
      <c r="AU10" s="1288"/>
      <c r="AV10" s="1288"/>
      <c r="AW10" s="1288"/>
      <c r="AX10" s="1288"/>
      <c r="AY10" s="1288"/>
      <c r="AZ10" s="1288"/>
      <c r="BA10" s="1288"/>
      <c r="BB10" s="1288"/>
      <c r="BC10" s="1288"/>
      <c r="BD10" s="1288"/>
      <c r="BE10" s="1288"/>
      <c r="BF10" s="1288"/>
      <c r="BG10" s="1288"/>
      <c r="BH10" s="1288"/>
      <c r="BI10" s="1288"/>
      <c r="BJ10" s="1288"/>
      <c r="BK10" s="1288"/>
      <c r="BL10" s="1288"/>
      <c r="BM10" s="1181"/>
      <c r="BN10" s="1181"/>
      <c r="BO10" s="1181"/>
      <c r="BP10" s="1181"/>
      <c r="BQ10" s="1181"/>
      <c r="BR10" s="1181"/>
      <c r="BS10" s="1181"/>
      <c r="BT10" s="1289" t="s">
        <v>9</v>
      </c>
      <c r="BU10" s="1289"/>
      <c r="BV10" s="1289"/>
      <c r="BW10" s="1290" t="str">
        <f>Ky_Nay2_E</f>
        <v>Year 2016</v>
      </c>
      <c r="BX10" s="1290"/>
      <c r="BY10" s="1290"/>
      <c r="BZ10" s="1290"/>
      <c r="CA10" s="1290"/>
      <c r="CB10" s="1290"/>
      <c r="CC10" s="210"/>
      <c r="CD10" s="1290" t="str">
        <f>Ky_Truoc2_E</f>
        <v>Year 2015</v>
      </c>
      <c r="CE10" s="1290"/>
      <c r="CF10" s="1290"/>
      <c r="CG10" s="1290"/>
      <c r="CH10" s="1290"/>
      <c r="CI10" s="1290"/>
      <c r="CJ10" s="150"/>
      <c r="CK10" s="1178">
        <v>1</v>
      </c>
      <c r="CL10" s="192">
        <f t="shared" ref="CL10:CL54" si="0">IF(ISNONTEXT(AE10),AE10-BW10,0)</f>
        <v>0</v>
      </c>
      <c r="CM10" s="192">
        <f>IF(ISNONTEXT(AL10),AL10-CD10,0)</f>
        <v>0</v>
      </c>
    </row>
    <row r="11" spans="1:91" s="157" customFormat="1" ht="12.75" customHeight="1" x14ac:dyDescent="0.25">
      <c r="A11" s="1292"/>
      <c r="B11" s="1288"/>
      <c r="C11" s="1288"/>
      <c r="D11" s="1288"/>
      <c r="E11" s="1288"/>
      <c r="F11" s="1288"/>
      <c r="G11" s="1288"/>
      <c r="H11" s="1288"/>
      <c r="I11" s="1288"/>
      <c r="J11" s="1288"/>
      <c r="K11" s="1288"/>
      <c r="L11" s="1288"/>
      <c r="M11" s="1288"/>
      <c r="N11" s="1288"/>
      <c r="O11" s="1288"/>
      <c r="P11" s="1288"/>
      <c r="Q11" s="1288"/>
      <c r="R11" s="1288"/>
      <c r="S11" s="1288"/>
      <c r="T11" s="189"/>
      <c r="U11" s="189"/>
      <c r="V11" s="189"/>
      <c r="W11" s="189"/>
      <c r="X11" s="189"/>
      <c r="Y11" s="189"/>
      <c r="Z11" s="189"/>
      <c r="AA11" s="189"/>
      <c r="AB11" s="1293"/>
      <c r="AC11" s="1293"/>
      <c r="AD11" s="1293"/>
      <c r="AE11" s="1291" t="str">
        <f>Don_Vi_Tinh_V</f>
        <v>VND</v>
      </c>
      <c r="AF11" s="1291"/>
      <c r="AG11" s="1291"/>
      <c r="AH11" s="1291"/>
      <c r="AI11" s="1291"/>
      <c r="AJ11" s="1291"/>
      <c r="AK11" s="209"/>
      <c r="AL11" s="1291" t="str">
        <f>Don_Vi_Tinh_V</f>
        <v>VND</v>
      </c>
      <c r="AM11" s="1291"/>
      <c r="AN11" s="1291"/>
      <c r="AO11" s="1291"/>
      <c r="AP11" s="1291"/>
      <c r="AQ11" s="1291"/>
      <c r="AR11" s="1177"/>
      <c r="AS11" s="1292"/>
      <c r="AT11" s="1288"/>
      <c r="AU11" s="1288"/>
      <c r="AV11" s="1288"/>
      <c r="AW11" s="1288"/>
      <c r="AX11" s="1288"/>
      <c r="AY11" s="1288"/>
      <c r="AZ11" s="1288"/>
      <c r="BA11" s="1288"/>
      <c r="BB11" s="1288"/>
      <c r="BC11" s="1288"/>
      <c r="BD11" s="1288"/>
      <c r="BE11" s="1288"/>
      <c r="BF11" s="1288"/>
      <c r="BG11" s="1288"/>
      <c r="BH11" s="1288"/>
      <c r="BI11" s="1288"/>
      <c r="BJ11" s="1288"/>
      <c r="BK11" s="1288"/>
      <c r="BL11" s="1288"/>
      <c r="BM11" s="1181"/>
      <c r="BN11" s="1181"/>
      <c r="BO11" s="1181"/>
      <c r="BP11" s="1181"/>
      <c r="BQ11" s="1181"/>
      <c r="BR11" s="1181"/>
      <c r="BS11" s="1181"/>
      <c r="BT11" s="1289"/>
      <c r="BU11" s="1289"/>
      <c r="BV11" s="1289"/>
      <c r="BW11" s="1291" t="str">
        <f>Don_Vi_Tinh_E</f>
        <v>VND</v>
      </c>
      <c r="BX11" s="1291"/>
      <c r="BY11" s="1291"/>
      <c r="BZ11" s="1291"/>
      <c r="CA11" s="1291"/>
      <c r="CB11" s="1291"/>
      <c r="CC11" s="209"/>
      <c r="CD11" s="1291" t="str">
        <f>Don_Vi_Tinh_E</f>
        <v>VND</v>
      </c>
      <c r="CE11" s="1291"/>
      <c r="CF11" s="1291"/>
      <c r="CG11" s="1291"/>
      <c r="CH11" s="1291"/>
      <c r="CI11" s="1291"/>
      <c r="CJ11" s="1178"/>
      <c r="CK11" s="161">
        <v>1</v>
      </c>
      <c r="CL11" s="192">
        <f t="shared" si="0"/>
        <v>0</v>
      </c>
      <c r="CM11" s="192">
        <f>IF(ISNONTEXT(AL11),AL11-CD11,0)</f>
        <v>0</v>
      </c>
    </row>
    <row r="12" spans="1:91" s="159" customFormat="1" ht="15" customHeight="1" x14ac:dyDescent="0.25">
      <c r="A12" s="173"/>
      <c r="B12" s="208" t="s">
        <v>287</v>
      </c>
      <c r="C12" s="157"/>
      <c r="D12" s="168"/>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266"/>
      <c r="AF12" s="1266"/>
      <c r="AG12" s="1266"/>
      <c r="AH12" s="1266"/>
      <c r="AI12" s="1266"/>
      <c r="AJ12" s="1266"/>
      <c r="AK12" s="171"/>
      <c r="AL12" s="1267"/>
      <c r="AM12" s="1267"/>
      <c r="AN12" s="1267"/>
      <c r="AO12" s="1267"/>
      <c r="AP12" s="1267"/>
      <c r="AQ12" s="1267"/>
      <c r="AR12" s="174"/>
      <c r="AS12" s="170">
        <f>A12</f>
        <v>0</v>
      </c>
      <c r="AT12" s="207" t="s">
        <v>286</v>
      </c>
      <c r="AU12" s="163"/>
      <c r="AV12" s="168"/>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72"/>
      <c r="BV12" s="172"/>
      <c r="BW12" s="1266"/>
      <c r="BX12" s="1266"/>
      <c r="BY12" s="1266"/>
      <c r="BZ12" s="1266"/>
      <c r="CA12" s="1266"/>
      <c r="CB12" s="1266"/>
      <c r="CC12" s="1175"/>
      <c r="CD12" s="1266"/>
      <c r="CE12" s="1266"/>
      <c r="CF12" s="1266"/>
      <c r="CG12" s="1266"/>
      <c r="CH12" s="1266"/>
      <c r="CI12" s="1266"/>
      <c r="CJ12" s="1178"/>
      <c r="CK12" s="175">
        <f>$CK$33</f>
        <v>1</v>
      </c>
      <c r="CL12" s="160">
        <f t="shared" si="0"/>
        <v>0</v>
      </c>
      <c r="CM12" s="160">
        <f>IF(ISNONTEXT(AL12),AL12-CD12,0)</f>
        <v>0</v>
      </c>
    </row>
    <row r="13" spans="1:91" s="159" customFormat="1" ht="15" customHeight="1" x14ac:dyDescent="0.25">
      <c r="A13" s="1171" t="s">
        <v>204</v>
      </c>
      <c r="B13" s="205" t="s">
        <v>285</v>
      </c>
      <c r="C13" s="157"/>
      <c r="D13" s="182"/>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72"/>
      <c r="AD13" s="172"/>
      <c r="AE13" s="1280">
        <f>fml_LCGT_KN</f>
        <v>2829447486</v>
      </c>
      <c r="AF13" s="1280"/>
      <c r="AG13" s="1280"/>
      <c r="AH13" s="1280"/>
      <c r="AI13" s="1280"/>
      <c r="AJ13" s="1280"/>
      <c r="AK13" s="171"/>
      <c r="AL13" s="1269">
        <f>KT_CT50</f>
        <v>979639262</v>
      </c>
      <c r="AM13" s="1269"/>
      <c r="AN13" s="1269"/>
      <c r="AO13" s="1269"/>
      <c r="AP13" s="1269"/>
      <c r="AQ13" s="1269"/>
      <c r="AR13" s="206"/>
      <c r="AS13" s="1180" t="str">
        <f t="shared" ref="AS13:AS54" si="1">A13</f>
        <v>01</v>
      </c>
      <c r="AT13" s="204" t="s">
        <v>284</v>
      </c>
      <c r="AU13" s="163"/>
      <c r="AV13" s="177"/>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9"/>
      <c r="BV13" s="169"/>
      <c r="BW13" s="1270">
        <f>AE13</f>
        <v>2829447486</v>
      </c>
      <c r="BX13" s="1270"/>
      <c r="BY13" s="1270"/>
      <c r="BZ13" s="1270"/>
      <c r="CA13" s="1270"/>
      <c r="CB13" s="1270"/>
      <c r="CC13" s="1172"/>
      <c r="CD13" s="1270">
        <f>AL13</f>
        <v>979639262</v>
      </c>
      <c r="CE13" s="1270"/>
      <c r="CF13" s="1270"/>
      <c r="CG13" s="1270"/>
      <c r="CH13" s="1270"/>
      <c r="CI13" s="1270"/>
      <c r="CJ13" s="183"/>
      <c r="CK13" s="175">
        <f t="shared" ref="CK13:CK54" si="2">IF(ISTEXT(A13),IF(OR(SUM(AE13:AJ13)&lt;&gt;0,SUM(AL13:AQ13)&lt;&gt;0),1,0),1)</f>
        <v>1</v>
      </c>
      <c r="CL13" s="160">
        <f t="shared" si="0"/>
        <v>0</v>
      </c>
      <c r="CM13" s="160">
        <f>IF(ISNONTEXT(AL13),AL13-CD13,0)</f>
        <v>0</v>
      </c>
    </row>
    <row r="14" spans="1:91" s="159" customFormat="1" ht="15" customHeight="1" x14ac:dyDescent="0.25">
      <c r="A14" s="173"/>
      <c r="B14" s="205" t="s">
        <v>283</v>
      </c>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72"/>
      <c r="AD14" s="172"/>
      <c r="AE14" s="1280"/>
      <c r="AF14" s="1280"/>
      <c r="AG14" s="1280"/>
      <c r="AH14" s="1280"/>
      <c r="AI14" s="1280"/>
      <c r="AJ14" s="1280"/>
      <c r="AK14" s="171"/>
      <c r="AL14" s="1281"/>
      <c r="AM14" s="1281"/>
      <c r="AN14" s="1281"/>
      <c r="AO14" s="1281"/>
      <c r="AP14" s="1281"/>
      <c r="AQ14" s="1281"/>
      <c r="AR14" s="179"/>
      <c r="AS14" s="170">
        <f t="shared" si="1"/>
        <v>0</v>
      </c>
      <c r="AT14" s="204" t="s">
        <v>282</v>
      </c>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c r="BU14" s="169"/>
      <c r="BV14" s="169"/>
      <c r="BW14" s="1272"/>
      <c r="BX14" s="1272"/>
      <c r="BY14" s="1272"/>
      <c r="BZ14" s="1272"/>
      <c r="CA14" s="1272"/>
      <c r="CB14" s="1272"/>
      <c r="CC14" s="1172"/>
      <c r="CD14" s="1272"/>
      <c r="CE14" s="1272"/>
      <c r="CF14" s="1272"/>
      <c r="CG14" s="1272"/>
      <c r="CH14" s="1272"/>
      <c r="CI14" s="1272"/>
      <c r="CJ14" s="161"/>
      <c r="CK14" s="175">
        <f>IF(ISTEXT(A14),IF(OR(SUM(AE14:AJ14)&lt;&gt;0,SUM(AL14:AQ14)&lt;&gt;0),1,0),1)</f>
        <v>1</v>
      </c>
      <c r="CL14" s="160">
        <f t="shared" si="0"/>
        <v>0</v>
      </c>
      <c r="CM14" s="160">
        <f t="shared" ref="CM14:CM53" si="3">IF(ISNONTEXT(AL14),AL14-CD14,0)</f>
        <v>0</v>
      </c>
    </row>
    <row r="15" spans="1:91" s="157" customFormat="1" ht="14.1" customHeight="1" x14ac:dyDescent="0.25">
      <c r="A15" s="173" t="s">
        <v>203</v>
      </c>
      <c r="B15" s="157" t="s">
        <v>234</v>
      </c>
      <c r="C15" s="161" t="s">
        <v>281</v>
      </c>
      <c r="AB15" s="1284"/>
      <c r="AC15" s="1284"/>
      <c r="AD15" s="1284"/>
      <c r="AE15" s="1278">
        <f t="shared" ref="AE15:AE20" si="4">fml_LCGT_KN</f>
        <v>2716936970</v>
      </c>
      <c r="AF15" s="1278"/>
      <c r="AG15" s="1278"/>
      <c r="AH15" s="1278"/>
      <c r="AI15" s="1278"/>
      <c r="AJ15" s="1278"/>
      <c r="AK15" s="171"/>
      <c r="AL15" s="1279">
        <v>2726040857</v>
      </c>
      <c r="AM15" s="1279"/>
      <c r="AN15" s="1279"/>
      <c r="AO15" s="1279"/>
      <c r="AP15" s="1279"/>
      <c r="AQ15" s="1279"/>
      <c r="AR15" s="194"/>
      <c r="AS15" s="170" t="str">
        <f t="shared" si="1"/>
        <v>02</v>
      </c>
      <c r="AT15" s="163"/>
      <c r="AU15" s="203" t="s">
        <v>280</v>
      </c>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174"/>
      <c r="BU15" s="1174"/>
      <c r="BV15" s="1174"/>
      <c r="BW15" s="1272">
        <f t="shared" ref="BW15:BW20" si="5">AE15</f>
        <v>2716936970</v>
      </c>
      <c r="BX15" s="1272"/>
      <c r="BY15" s="1272"/>
      <c r="BZ15" s="1272"/>
      <c r="CA15" s="1272"/>
      <c r="CB15" s="1272"/>
      <c r="CC15" s="1172"/>
      <c r="CD15" s="1272">
        <f t="shared" ref="CD15:CD20" si="6">AL15</f>
        <v>2726040857</v>
      </c>
      <c r="CE15" s="1272"/>
      <c r="CF15" s="1272"/>
      <c r="CG15" s="1272"/>
      <c r="CH15" s="1272"/>
      <c r="CI15" s="1272"/>
      <c r="CJ15" s="161"/>
      <c r="CK15" s="161">
        <f t="shared" si="2"/>
        <v>1</v>
      </c>
      <c r="CL15" s="160">
        <f t="shared" si="0"/>
        <v>0</v>
      </c>
      <c r="CM15" s="160">
        <f t="shared" si="3"/>
        <v>0</v>
      </c>
    </row>
    <row r="16" spans="1:91" s="157" customFormat="1" ht="14.1" customHeight="1" x14ac:dyDescent="0.25">
      <c r="A16" s="173" t="s">
        <v>279</v>
      </c>
      <c r="B16" s="157" t="s">
        <v>234</v>
      </c>
      <c r="C16" s="161" t="s">
        <v>278</v>
      </c>
      <c r="AC16" s="172"/>
      <c r="AD16" s="172"/>
      <c r="AE16" s="1278">
        <f t="shared" si="4"/>
        <v>1474521572</v>
      </c>
      <c r="AF16" s="1278"/>
      <c r="AG16" s="1278"/>
      <c r="AH16" s="1278"/>
      <c r="AI16" s="1278"/>
      <c r="AJ16" s="1278"/>
      <c r="AK16" s="171"/>
      <c r="AL16" s="1279">
        <v>3821931091</v>
      </c>
      <c r="AM16" s="1279"/>
      <c r="AN16" s="1279"/>
      <c r="AO16" s="1279"/>
      <c r="AP16" s="1279"/>
      <c r="AQ16" s="1279"/>
      <c r="AR16" s="194"/>
      <c r="AS16" s="170" t="str">
        <f t="shared" si="1"/>
        <v>03</v>
      </c>
      <c r="AT16" s="163"/>
      <c r="AU16" s="203" t="s">
        <v>277</v>
      </c>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9"/>
      <c r="BV16" s="169"/>
      <c r="BW16" s="1272">
        <f t="shared" si="5"/>
        <v>1474521572</v>
      </c>
      <c r="BX16" s="1272"/>
      <c r="BY16" s="1272"/>
      <c r="BZ16" s="1272"/>
      <c r="CA16" s="1272"/>
      <c r="CB16" s="1272"/>
      <c r="CC16" s="1172"/>
      <c r="CD16" s="1272">
        <f t="shared" si="6"/>
        <v>3821931091</v>
      </c>
      <c r="CE16" s="1272"/>
      <c r="CF16" s="1272"/>
      <c r="CG16" s="1272"/>
      <c r="CH16" s="1272"/>
      <c r="CI16" s="1272"/>
      <c r="CJ16" s="161"/>
      <c r="CK16" s="161">
        <f t="shared" si="2"/>
        <v>1</v>
      </c>
      <c r="CL16" s="160">
        <f t="shared" si="0"/>
        <v>0</v>
      </c>
      <c r="CM16" s="160">
        <f t="shared" si="3"/>
        <v>0</v>
      </c>
    </row>
    <row r="17" spans="1:91" s="163" customFormat="1" ht="26.25" customHeight="1" x14ac:dyDescent="0.25">
      <c r="A17" s="170" t="s">
        <v>276</v>
      </c>
      <c r="B17" s="163" t="s">
        <v>234</v>
      </c>
      <c r="C17" s="1286" t="s">
        <v>275</v>
      </c>
      <c r="D17" s="1286"/>
      <c r="E17" s="1286"/>
      <c r="F17" s="1286"/>
      <c r="G17" s="1286"/>
      <c r="H17" s="1286"/>
      <c r="I17" s="1286"/>
      <c r="J17" s="1286"/>
      <c r="K17" s="1286"/>
      <c r="L17" s="1286"/>
      <c r="M17" s="1286"/>
      <c r="N17" s="1286"/>
      <c r="O17" s="1286"/>
      <c r="P17" s="1286"/>
      <c r="Q17" s="1286"/>
      <c r="R17" s="1286"/>
      <c r="S17" s="1286"/>
      <c r="AB17" s="1282"/>
      <c r="AC17" s="1282"/>
      <c r="AD17" s="1282"/>
      <c r="AE17" s="1272">
        <f t="shared" si="4"/>
        <v>155219</v>
      </c>
      <c r="AF17" s="1272"/>
      <c r="AG17" s="1272"/>
      <c r="AH17" s="1272"/>
      <c r="AI17" s="1272"/>
      <c r="AJ17" s="1272"/>
      <c r="AK17" s="191"/>
      <c r="AL17" s="1273">
        <v>-861755</v>
      </c>
      <c r="AM17" s="1273"/>
      <c r="AN17" s="1273"/>
      <c r="AO17" s="1273"/>
      <c r="AP17" s="1273"/>
      <c r="AQ17" s="1273"/>
      <c r="AR17" s="190"/>
      <c r="AS17" s="170" t="str">
        <f t="shared" si="1"/>
        <v>04</v>
      </c>
      <c r="AU17" s="1287" t="s">
        <v>274</v>
      </c>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7"/>
      <c r="BS17" s="1287"/>
      <c r="BT17" s="1287"/>
      <c r="BU17" s="1176"/>
      <c r="BV17" s="1176"/>
      <c r="BW17" s="1272">
        <f t="shared" si="5"/>
        <v>155219</v>
      </c>
      <c r="BX17" s="1272"/>
      <c r="BY17" s="1272"/>
      <c r="BZ17" s="1272"/>
      <c r="CA17" s="1272"/>
      <c r="CB17" s="1272"/>
      <c r="CC17" s="1172"/>
      <c r="CD17" s="1272">
        <f t="shared" si="6"/>
        <v>-861755</v>
      </c>
      <c r="CE17" s="1272"/>
      <c r="CF17" s="1272"/>
      <c r="CG17" s="1272"/>
      <c r="CH17" s="1272"/>
      <c r="CI17" s="1272"/>
      <c r="CJ17" s="187"/>
      <c r="CK17" s="187">
        <f t="shared" si="2"/>
        <v>1</v>
      </c>
      <c r="CL17" s="192">
        <f t="shared" si="0"/>
        <v>0</v>
      </c>
      <c r="CM17" s="192">
        <f t="shared" si="3"/>
        <v>0</v>
      </c>
    </row>
    <row r="18" spans="1:91" s="157" customFormat="1" ht="14.1" customHeight="1" x14ac:dyDescent="0.25">
      <c r="A18" s="173" t="s">
        <v>273</v>
      </c>
      <c r="B18" s="157" t="s">
        <v>234</v>
      </c>
      <c r="C18" s="161" t="s">
        <v>272</v>
      </c>
      <c r="AB18" s="1284"/>
      <c r="AC18" s="1284"/>
      <c r="AD18" s="1284"/>
      <c r="AE18" s="1278">
        <f t="shared" si="4"/>
        <v>-1837844707</v>
      </c>
      <c r="AF18" s="1278"/>
      <c r="AG18" s="1278"/>
      <c r="AH18" s="1278"/>
      <c r="AI18" s="1278"/>
      <c r="AJ18" s="1278"/>
      <c r="AK18" s="171"/>
      <c r="AL18" s="1279">
        <v>-1250851806</v>
      </c>
      <c r="AM18" s="1279"/>
      <c r="AN18" s="1279"/>
      <c r="AO18" s="1279"/>
      <c r="AP18" s="1279"/>
      <c r="AQ18" s="1279"/>
      <c r="AR18" s="194"/>
      <c r="AS18" s="170" t="str">
        <f t="shared" si="1"/>
        <v>05</v>
      </c>
      <c r="AT18" s="163"/>
      <c r="AU18" s="203" t="s">
        <v>271</v>
      </c>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285">
        <f>AB18</f>
        <v>0</v>
      </c>
      <c r="BU18" s="1285"/>
      <c r="BV18" s="1285"/>
      <c r="BW18" s="1272">
        <f t="shared" si="5"/>
        <v>-1837844707</v>
      </c>
      <c r="BX18" s="1272"/>
      <c r="BY18" s="1272"/>
      <c r="BZ18" s="1272"/>
      <c r="CA18" s="1272"/>
      <c r="CB18" s="1272"/>
      <c r="CC18" s="1172"/>
      <c r="CD18" s="1272">
        <f t="shared" si="6"/>
        <v>-1250851806</v>
      </c>
      <c r="CE18" s="1272"/>
      <c r="CF18" s="1272"/>
      <c r="CG18" s="1272"/>
      <c r="CH18" s="1272"/>
      <c r="CI18" s="1272"/>
      <c r="CJ18" s="161"/>
      <c r="CK18" s="161">
        <f t="shared" si="2"/>
        <v>1</v>
      </c>
      <c r="CL18" s="160">
        <f t="shared" si="0"/>
        <v>0</v>
      </c>
      <c r="CM18" s="160">
        <f t="shared" si="3"/>
        <v>0</v>
      </c>
    </row>
    <row r="19" spans="1:91" s="157" customFormat="1" ht="14.1" customHeight="1" x14ac:dyDescent="0.25">
      <c r="A19" s="173" t="s">
        <v>270</v>
      </c>
      <c r="B19" s="157" t="s">
        <v>234</v>
      </c>
      <c r="C19" s="161" t="s">
        <v>269</v>
      </c>
      <c r="AB19" s="1282"/>
      <c r="AC19" s="1282"/>
      <c r="AD19" s="1282"/>
      <c r="AE19" s="1278">
        <f t="shared" si="4"/>
        <v>158913332</v>
      </c>
      <c r="AF19" s="1278"/>
      <c r="AG19" s="1278"/>
      <c r="AH19" s="1278"/>
      <c r="AI19" s="1278"/>
      <c r="AJ19" s="1278"/>
      <c r="AK19" s="171"/>
      <c r="AL19" s="1279">
        <v>370067294</v>
      </c>
      <c r="AM19" s="1279"/>
      <c r="AN19" s="1279"/>
      <c r="AO19" s="1279"/>
      <c r="AP19" s="1279"/>
      <c r="AQ19" s="1279"/>
      <c r="AR19" s="194"/>
      <c r="AS19" s="170" t="str">
        <f t="shared" si="1"/>
        <v>06</v>
      </c>
      <c r="AT19" s="163"/>
      <c r="AU19" s="203" t="s">
        <v>268</v>
      </c>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283">
        <f>AB19</f>
        <v>0</v>
      </c>
      <c r="BU19" s="1283"/>
      <c r="BV19" s="1283"/>
      <c r="BW19" s="1272">
        <f t="shared" si="5"/>
        <v>158913332</v>
      </c>
      <c r="BX19" s="1272"/>
      <c r="BY19" s="1272"/>
      <c r="BZ19" s="1272"/>
      <c r="CA19" s="1272"/>
      <c r="CB19" s="1272"/>
      <c r="CC19" s="1172"/>
      <c r="CD19" s="1272">
        <f t="shared" si="6"/>
        <v>370067294</v>
      </c>
      <c r="CE19" s="1272"/>
      <c r="CF19" s="1272"/>
      <c r="CG19" s="1272"/>
      <c r="CH19" s="1272"/>
      <c r="CI19" s="1272"/>
      <c r="CJ19" s="161"/>
      <c r="CK19" s="1178">
        <f t="shared" si="2"/>
        <v>1</v>
      </c>
      <c r="CL19" s="160">
        <f t="shared" si="0"/>
        <v>0</v>
      </c>
      <c r="CM19" s="160">
        <f t="shared" si="3"/>
        <v>0</v>
      </c>
    </row>
    <row r="20" spans="1:91" s="157" customFormat="1" ht="14.1" hidden="1" customHeight="1" x14ac:dyDescent="0.25">
      <c r="A20" s="173" t="s">
        <v>267</v>
      </c>
      <c r="B20" s="157" t="s">
        <v>234</v>
      </c>
      <c r="C20" s="198" t="s">
        <v>266</v>
      </c>
      <c r="AB20" s="1282">
        <f>IF(STT_ChiPhiTC&lt;&gt;0,[1]Thuyet_minh!A1539,"")</f>
        <v>0</v>
      </c>
      <c r="AC20" s="1282"/>
      <c r="AD20" s="1282"/>
      <c r="AE20" s="1278">
        <f t="shared" si="4"/>
        <v>0</v>
      </c>
      <c r="AF20" s="1278"/>
      <c r="AG20" s="1278"/>
      <c r="AH20" s="1278"/>
      <c r="AI20" s="1278"/>
      <c r="AJ20" s="1278"/>
      <c r="AK20" s="171"/>
      <c r="AL20" s="1279">
        <v>0</v>
      </c>
      <c r="AM20" s="1279"/>
      <c r="AN20" s="1279"/>
      <c r="AO20" s="1279"/>
      <c r="AP20" s="1279"/>
      <c r="AQ20" s="1279"/>
      <c r="AR20" s="194"/>
      <c r="AS20" s="170" t="str">
        <f>A20</f>
        <v>07</v>
      </c>
      <c r="AT20" s="163"/>
      <c r="AU20" s="203" t="s">
        <v>265</v>
      </c>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283">
        <f>AB20</f>
        <v>0</v>
      </c>
      <c r="BU20" s="1283"/>
      <c r="BV20" s="1283"/>
      <c r="BW20" s="1272">
        <f t="shared" si="5"/>
        <v>0</v>
      </c>
      <c r="BX20" s="1272"/>
      <c r="BY20" s="1272"/>
      <c r="BZ20" s="1272"/>
      <c r="CA20" s="1272"/>
      <c r="CB20" s="1272"/>
      <c r="CC20" s="1172"/>
      <c r="CD20" s="1272">
        <f t="shared" si="6"/>
        <v>0</v>
      </c>
      <c r="CE20" s="1272"/>
      <c r="CF20" s="1272"/>
      <c r="CG20" s="1272"/>
      <c r="CH20" s="1272"/>
      <c r="CI20" s="1272"/>
      <c r="CJ20" s="161"/>
      <c r="CK20" s="1178">
        <f>IF(ISTEXT(A20),IF(OR(SUM(AE20:AJ20)&lt;&gt;0,SUM(AL20:AQ20)&lt;&gt;0),1,0),1)</f>
        <v>0</v>
      </c>
      <c r="CL20" s="160">
        <f t="shared" si="0"/>
        <v>0</v>
      </c>
      <c r="CM20" s="160">
        <f t="shared" si="3"/>
        <v>0</v>
      </c>
    </row>
    <row r="21" spans="1:91" s="159" customFormat="1" ht="15" customHeight="1" x14ac:dyDescent="0.25">
      <c r="A21" s="1171" t="s">
        <v>264</v>
      </c>
      <c r="B21" s="183" t="s">
        <v>263</v>
      </c>
      <c r="C21" s="157"/>
      <c r="D21" s="202"/>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72"/>
      <c r="AD21" s="172"/>
      <c r="AE21" s="1269">
        <f>AE13+SUBTOTAL(109,AE15:AJ19)</f>
        <v>5342129872</v>
      </c>
      <c r="AF21" s="1269"/>
      <c r="AG21" s="1269"/>
      <c r="AH21" s="1269"/>
      <c r="AI21" s="1269"/>
      <c r="AJ21" s="1269"/>
      <c r="AK21" s="167"/>
      <c r="AL21" s="1269">
        <f>AL13+SUBTOTAL(109,AL15:AQ19)</f>
        <v>6645964943</v>
      </c>
      <c r="AM21" s="1269"/>
      <c r="AN21" s="1269"/>
      <c r="AO21" s="1269"/>
      <c r="AP21" s="1269"/>
      <c r="AQ21" s="1269"/>
      <c r="AR21" s="179"/>
      <c r="AS21" s="1180" t="str">
        <f t="shared" si="1"/>
        <v>08</v>
      </c>
      <c r="AT21" s="195" t="s">
        <v>262</v>
      </c>
      <c r="AU21" s="163"/>
      <c r="AV21" s="201"/>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9"/>
      <c r="BV21" s="169"/>
      <c r="BW21" s="1270">
        <f>BW13+SUBTOTAL(109,BW15:CB19)</f>
        <v>5342129872</v>
      </c>
      <c r="BX21" s="1270"/>
      <c r="BY21" s="1270"/>
      <c r="BZ21" s="1270"/>
      <c r="CA21" s="1270"/>
      <c r="CB21" s="1270"/>
      <c r="CC21" s="1172"/>
      <c r="CD21" s="1270">
        <f>CD13+SUBTOTAL(109,CD15:CI19)</f>
        <v>6645964943</v>
      </c>
      <c r="CE21" s="1270"/>
      <c r="CF21" s="1270"/>
      <c r="CG21" s="1270"/>
      <c r="CH21" s="1270"/>
      <c r="CI21" s="1270"/>
      <c r="CJ21" s="183"/>
      <c r="CK21" s="175">
        <f t="shared" si="2"/>
        <v>1</v>
      </c>
      <c r="CL21" s="160">
        <f t="shared" si="0"/>
        <v>0</v>
      </c>
      <c r="CM21" s="160">
        <f t="shared" si="3"/>
        <v>0</v>
      </c>
    </row>
    <row r="22" spans="1:91" s="159" customFormat="1" ht="15" customHeight="1" x14ac:dyDescent="0.25">
      <c r="A22" s="173"/>
      <c r="B22" s="183" t="s">
        <v>261</v>
      </c>
      <c r="C22" s="157"/>
      <c r="D22" s="202"/>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72"/>
      <c r="AD22" s="172"/>
      <c r="AE22" s="1280"/>
      <c r="AF22" s="1280"/>
      <c r="AG22" s="1280"/>
      <c r="AH22" s="1280"/>
      <c r="AI22" s="1280"/>
      <c r="AJ22" s="1280"/>
      <c r="AK22" s="171"/>
      <c r="AL22" s="1281"/>
      <c r="AM22" s="1281"/>
      <c r="AN22" s="1281"/>
      <c r="AO22" s="1281"/>
      <c r="AP22" s="1281"/>
      <c r="AQ22" s="1281"/>
      <c r="AR22" s="179"/>
      <c r="AS22" s="170">
        <f t="shared" si="1"/>
        <v>0</v>
      </c>
      <c r="AT22" s="195"/>
      <c r="AU22" s="177" t="s">
        <v>260</v>
      </c>
      <c r="AV22" s="201"/>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9"/>
      <c r="BV22" s="169"/>
      <c r="BW22" s="1270"/>
      <c r="BX22" s="1270"/>
      <c r="BY22" s="1270"/>
      <c r="BZ22" s="1270"/>
      <c r="CA22" s="1270"/>
      <c r="CB22" s="1270"/>
      <c r="CC22" s="1172"/>
      <c r="CD22" s="1270"/>
      <c r="CE22" s="1270"/>
      <c r="CF22" s="1270"/>
      <c r="CG22" s="1270"/>
      <c r="CH22" s="1270"/>
      <c r="CI22" s="1270"/>
      <c r="CJ22" s="183"/>
      <c r="CK22" s="175">
        <f>$CK$21</f>
        <v>1</v>
      </c>
      <c r="CL22" s="160">
        <f t="shared" si="0"/>
        <v>0</v>
      </c>
      <c r="CM22" s="160">
        <f t="shared" si="3"/>
        <v>0</v>
      </c>
    </row>
    <row r="23" spans="1:91" s="159" customFormat="1" ht="14.1" customHeight="1" x14ac:dyDescent="0.25">
      <c r="A23" s="173" t="s">
        <v>259</v>
      </c>
      <c r="B23" s="157" t="s">
        <v>234</v>
      </c>
      <c r="C23" s="161" t="s">
        <v>258</v>
      </c>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72"/>
      <c r="AD23" s="172"/>
      <c r="AE23" s="1278">
        <f>fml_LCGT_KN</f>
        <v>2375009580</v>
      </c>
      <c r="AF23" s="1278"/>
      <c r="AG23" s="1278"/>
      <c r="AH23" s="1278"/>
      <c r="AI23" s="1278"/>
      <c r="AJ23" s="1278"/>
      <c r="AK23" s="171"/>
      <c r="AL23" s="1279">
        <v>-424655465</v>
      </c>
      <c r="AM23" s="1279"/>
      <c r="AN23" s="1279"/>
      <c r="AO23" s="1279"/>
      <c r="AP23" s="1279"/>
      <c r="AQ23" s="1279"/>
      <c r="AR23" s="194"/>
      <c r="AS23" s="170" t="str">
        <f t="shared" si="1"/>
        <v>09</v>
      </c>
      <c r="AT23" s="197"/>
      <c r="AU23" s="187" t="s">
        <v>257</v>
      </c>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9"/>
      <c r="BV23" s="169"/>
      <c r="BW23" s="1272">
        <f>AE23</f>
        <v>2375009580</v>
      </c>
      <c r="BX23" s="1272"/>
      <c r="BY23" s="1272"/>
      <c r="BZ23" s="1272"/>
      <c r="CA23" s="1272"/>
      <c r="CB23" s="1272"/>
      <c r="CC23" s="1172"/>
      <c r="CD23" s="1272">
        <f>AL23</f>
        <v>-424655465</v>
      </c>
      <c r="CE23" s="1272"/>
      <c r="CF23" s="1272"/>
      <c r="CG23" s="1272"/>
      <c r="CH23" s="1272"/>
      <c r="CI23" s="1272"/>
      <c r="CJ23" s="161"/>
      <c r="CK23" s="175">
        <f t="shared" si="2"/>
        <v>1</v>
      </c>
      <c r="CL23" s="160">
        <f t="shared" si="0"/>
        <v>0</v>
      </c>
      <c r="CM23" s="160">
        <f t="shared" si="3"/>
        <v>0</v>
      </c>
    </row>
    <row r="24" spans="1:91" s="159" customFormat="1" ht="14.1" customHeight="1" x14ac:dyDescent="0.25">
      <c r="A24" s="173" t="s">
        <v>2</v>
      </c>
      <c r="B24" s="157" t="s">
        <v>234</v>
      </c>
      <c r="C24" s="161" t="s">
        <v>256</v>
      </c>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72"/>
      <c r="AD24" s="172"/>
      <c r="AE24" s="1278">
        <f>fml_LCGT_KN</f>
        <v>-3266761985.9999995</v>
      </c>
      <c r="AF24" s="1278"/>
      <c r="AG24" s="1278"/>
      <c r="AH24" s="1278"/>
      <c r="AI24" s="1278"/>
      <c r="AJ24" s="1278"/>
      <c r="AK24" s="171"/>
      <c r="AL24" s="1279">
        <v>4370582608</v>
      </c>
      <c r="AM24" s="1279"/>
      <c r="AN24" s="1279"/>
      <c r="AO24" s="1279"/>
      <c r="AP24" s="1279"/>
      <c r="AQ24" s="1279"/>
      <c r="AR24" s="194"/>
      <c r="AS24" s="170" t="str">
        <f t="shared" si="1"/>
        <v>10</v>
      </c>
      <c r="AT24" s="197"/>
      <c r="AU24" s="187" t="s">
        <v>255</v>
      </c>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9"/>
      <c r="BV24" s="169"/>
      <c r="BW24" s="1272">
        <f>AE24</f>
        <v>-3266761985.9999995</v>
      </c>
      <c r="BX24" s="1272"/>
      <c r="BY24" s="1272"/>
      <c r="BZ24" s="1272"/>
      <c r="CA24" s="1272"/>
      <c r="CB24" s="1272"/>
      <c r="CC24" s="1172"/>
      <c r="CD24" s="1272">
        <f>AL24</f>
        <v>4370582608</v>
      </c>
      <c r="CE24" s="1272"/>
      <c r="CF24" s="1272"/>
      <c r="CG24" s="1272"/>
      <c r="CH24" s="1272"/>
      <c r="CI24" s="1272"/>
      <c r="CJ24" s="161"/>
      <c r="CK24" s="200">
        <f t="shared" si="2"/>
        <v>1</v>
      </c>
      <c r="CL24" s="160">
        <f t="shared" si="0"/>
        <v>0</v>
      </c>
      <c r="CM24" s="160">
        <f t="shared" si="3"/>
        <v>0</v>
      </c>
    </row>
    <row r="25" spans="1:91" s="159" customFormat="1" ht="14.1" customHeight="1" x14ac:dyDescent="0.25">
      <c r="A25" s="173" t="s">
        <v>202</v>
      </c>
      <c r="B25" s="157" t="s">
        <v>234</v>
      </c>
      <c r="C25" s="161" t="s">
        <v>254</v>
      </c>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72"/>
      <c r="AD25" s="172"/>
      <c r="AE25" s="1278">
        <f>fml_LCGT_KN</f>
        <v>2312810681</v>
      </c>
      <c r="AF25" s="1278"/>
      <c r="AG25" s="1278"/>
      <c r="AH25" s="1278"/>
      <c r="AI25" s="1278"/>
      <c r="AJ25" s="1278"/>
      <c r="AK25" s="171"/>
      <c r="AL25" s="1279">
        <v>2036447567</v>
      </c>
      <c r="AM25" s="1279"/>
      <c r="AN25" s="1279"/>
      <c r="AO25" s="1279"/>
      <c r="AP25" s="1279"/>
      <c r="AQ25" s="1279"/>
      <c r="AR25" s="194"/>
      <c r="AS25" s="170" t="str">
        <f t="shared" si="1"/>
        <v>11</v>
      </c>
      <c r="AT25" s="197"/>
      <c r="AU25" s="187" t="s">
        <v>253</v>
      </c>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9"/>
      <c r="BV25" s="169"/>
      <c r="BW25" s="1272">
        <f>AE25</f>
        <v>2312810681</v>
      </c>
      <c r="BX25" s="1272"/>
      <c r="BY25" s="1272"/>
      <c r="BZ25" s="1272"/>
      <c r="CA25" s="1272"/>
      <c r="CB25" s="1272"/>
      <c r="CC25" s="1172"/>
      <c r="CD25" s="1272">
        <f>AL25</f>
        <v>2036447567</v>
      </c>
      <c r="CE25" s="1272"/>
      <c r="CF25" s="1272"/>
      <c r="CG25" s="1272"/>
      <c r="CH25" s="1272"/>
      <c r="CI25" s="1272"/>
      <c r="CJ25" s="161"/>
      <c r="CK25" s="175">
        <f t="shared" si="2"/>
        <v>1</v>
      </c>
      <c r="CL25" s="160">
        <f t="shared" si="0"/>
        <v>0</v>
      </c>
      <c r="CM25" s="160">
        <f t="shared" si="3"/>
        <v>0</v>
      </c>
    </row>
    <row r="26" spans="1:91" s="159" customFormat="1" ht="14.1" customHeight="1" x14ac:dyDescent="0.25">
      <c r="A26" s="173"/>
      <c r="B26" s="199"/>
      <c r="C26" s="161" t="s">
        <v>252</v>
      </c>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72"/>
      <c r="AD26" s="172"/>
      <c r="AE26" s="1278"/>
      <c r="AF26" s="1278"/>
      <c r="AG26" s="1278"/>
      <c r="AH26" s="1278"/>
      <c r="AI26" s="1278"/>
      <c r="AJ26" s="1278"/>
      <c r="AK26" s="171"/>
      <c r="AL26" s="1279">
        <v>0</v>
      </c>
      <c r="AM26" s="1279"/>
      <c r="AN26" s="1279"/>
      <c r="AO26" s="1279"/>
      <c r="AP26" s="1279"/>
      <c r="AQ26" s="1279"/>
      <c r="AR26" s="194"/>
      <c r="AS26" s="170">
        <f t="shared" si="1"/>
        <v>0</v>
      </c>
      <c r="AT26" s="197"/>
      <c r="AU26" s="187" t="s">
        <v>251</v>
      </c>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9"/>
      <c r="BV26" s="169"/>
      <c r="BW26" s="1272"/>
      <c r="BX26" s="1272"/>
      <c r="BY26" s="1272"/>
      <c r="BZ26" s="1272"/>
      <c r="CA26" s="1272"/>
      <c r="CB26" s="1272"/>
      <c r="CC26" s="1172"/>
      <c r="CD26" s="1272"/>
      <c r="CE26" s="1272"/>
      <c r="CF26" s="1272"/>
      <c r="CG26" s="1272"/>
      <c r="CH26" s="1272"/>
      <c r="CI26" s="1272"/>
      <c r="CJ26" s="161"/>
      <c r="CK26" s="175">
        <f>$CK$25</f>
        <v>1</v>
      </c>
      <c r="CL26" s="160">
        <f t="shared" si="0"/>
        <v>0</v>
      </c>
      <c r="CM26" s="160">
        <f t="shared" si="3"/>
        <v>0</v>
      </c>
    </row>
    <row r="27" spans="1:91" s="159" customFormat="1" ht="14.1" customHeight="1" x14ac:dyDescent="0.25">
      <c r="A27" s="173" t="s">
        <v>250</v>
      </c>
      <c r="B27" s="157" t="s">
        <v>234</v>
      </c>
      <c r="C27" s="161" t="s">
        <v>249</v>
      </c>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72"/>
      <c r="AD27" s="172"/>
      <c r="AE27" s="1278">
        <f t="shared" ref="AE27:AE32" si="7">fml_LCGT_KN</f>
        <v>-145886229</v>
      </c>
      <c r="AF27" s="1278"/>
      <c r="AG27" s="1278"/>
      <c r="AH27" s="1278"/>
      <c r="AI27" s="1278"/>
      <c r="AJ27" s="1278"/>
      <c r="AK27" s="171"/>
      <c r="AL27" s="1279">
        <v>651237257</v>
      </c>
      <c r="AM27" s="1279"/>
      <c r="AN27" s="1279"/>
      <c r="AO27" s="1279"/>
      <c r="AP27" s="1279"/>
      <c r="AQ27" s="1279"/>
      <c r="AR27" s="194"/>
      <c r="AS27" s="170" t="str">
        <f t="shared" si="1"/>
        <v>12</v>
      </c>
      <c r="AT27" s="197"/>
      <c r="AU27" s="187" t="s">
        <v>248</v>
      </c>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9"/>
      <c r="BV27" s="169"/>
      <c r="BW27" s="1272">
        <f t="shared" ref="BW27:BW32" si="8">AE27</f>
        <v>-145886229</v>
      </c>
      <c r="BX27" s="1272"/>
      <c r="BY27" s="1272"/>
      <c r="BZ27" s="1272"/>
      <c r="CA27" s="1272"/>
      <c r="CB27" s="1272"/>
      <c r="CC27" s="1172"/>
      <c r="CD27" s="1272">
        <f t="shared" ref="CD27:CD32" si="9">AL27</f>
        <v>651237257</v>
      </c>
      <c r="CE27" s="1272"/>
      <c r="CF27" s="1272"/>
      <c r="CG27" s="1272"/>
      <c r="CH27" s="1272"/>
      <c r="CI27" s="1272"/>
      <c r="CJ27" s="161"/>
      <c r="CK27" s="175">
        <f t="shared" si="2"/>
        <v>1</v>
      </c>
      <c r="CL27" s="160">
        <f t="shared" si="0"/>
        <v>0</v>
      </c>
      <c r="CM27" s="160">
        <f t="shared" si="3"/>
        <v>0</v>
      </c>
    </row>
    <row r="28" spans="1:91" s="159" customFormat="1" ht="14.1" hidden="1" customHeight="1" x14ac:dyDescent="0.25">
      <c r="A28" s="173" t="s">
        <v>247</v>
      </c>
      <c r="B28" s="157" t="s">
        <v>234</v>
      </c>
      <c r="C28" s="198" t="s">
        <v>246</v>
      </c>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72"/>
      <c r="AD28" s="172"/>
      <c r="AE28" s="1278">
        <f t="shared" si="7"/>
        <v>0</v>
      </c>
      <c r="AF28" s="1278"/>
      <c r="AG28" s="1278"/>
      <c r="AH28" s="1278"/>
      <c r="AI28" s="1278"/>
      <c r="AJ28" s="1278"/>
      <c r="AK28" s="171"/>
      <c r="AL28" s="1279">
        <v>0</v>
      </c>
      <c r="AM28" s="1279"/>
      <c r="AN28" s="1279"/>
      <c r="AO28" s="1279"/>
      <c r="AP28" s="1279"/>
      <c r="AQ28" s="1279"/>
      <c r="AR28" s="194"/>
      <c r="AS28" s="170" t="str">
        <f t="shared" si="1"/>
        <v>13</v>
      </c>
      <c r="AT28" s="197"/>
      <c r="AU28" s="187" t="s">
        <v>245</v>
      </c>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9"/>
      <c r="BV28" s="169"/>
      <c r="BW28" s="1272">
        <f t="shared" si="8"/>
        <v>0</v>
      </c>
      <c r="BX28" s="1272"/>
      <c r="BY28" s="1272"/>
      <c r="BZ28" s="1272"/>
      <c r="CA28" s="1272"/>
      <c r="CB28" s="1272"/>
      <c r="CC28" s="1172"/>
      <c r="CD28" s="1272">
        <f t="shared" si="9"/>
        <v>0</v>
      </c>
      <c r="CE28" s="1272"/>
      <c r="CF28" s="1272"/>
      <c r="CG28" s="1272"/>
      <c r="CH28" s="1272"/>
      <c r="CI28" s="1272"/>
      <c r="CJ28" s="161"/>
      <c r="CK28" s="175">
        <f t="shared" si="2"/>
        <v>0</v>
      </c>
      <c r="CL28" s="160">
        <f t="shared" si="0"/>
        <v>0</v>
      </c>
      <c r="CM28" s="160">
        <f t="shared" si="3"/>
        <v>0</v>
      </c>
    </row>
    <row r="29" spans="1:91" s="159" customFormat="1" ht="14.1" customHeight="1" x14ac:dyDescent="0.25">
      <c r="A29" s="173" t="s">
        <v>244</v>
      </c>
      <c r="B29" s="157" t="s">
        <v>234</v>
      </c>
      <c r="C29" s="198" t="s">
        <v>243</v>
      </c>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72"/>
      <c r="AD29" s="172"/>
      <c r="AE29" s="1278">
        <f t="shared" si="7"/>
        <v>-161148752</v>
      </c>
      <c r="AF29" s="1278"/>
      <c r="AG29" s="1278"/>
      <c r="AH29" s="1278"/>
      <c r="AI29" s="1278"/>
      <c r="AJ29" s="1278"/>
      <c r="AK29" s="171"/>
      <c r="AL29" s="1279">
        <v>-398711553</v>
      </c>
      <c r="AM29" s="1279"/>
      <c r="AN29" s="1279"/>
      <c r="AO29" s="1279"/>
      <c r="AP29" s="1279"/>
      <c r="AQ29" s="1279"/>
      <c r="AR29" s="194"/>
      <c r="AS29" s="170" t="str">
        <f t="shared" si="1"/>
        <v>14</v>
      </c>
      <c r="AT29" s="197"/>
      <c r="AU29" s="187" t="s">
        <v>242</v>
      </c>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9"/>
      <c r="BV29" s="169"/>
      <c r="BW29" s="1272">
        <f t="shared" si="8"/>
        <v>-161148752</v>
      </c>
      <c r="BX29" s="1272"/>
      <c r="BY29" s="1272"/>
      <c r="BZ29" s="1272"/>
      <c r="CA29" s="1272"/>
      <c r="CB29" s="1272"/>
      <c r="CC29" s="1172"/>
      <c r="CD29" s="1272">
        <f t="shared" si="9"/>
        <v>-398711553</v>
      </c>
      <c r="CE29" s="1272"/>
      <c r="CF29" s="1272"/>
      <c r="CG29" s="1272"/>
      <c r="CH29" s="1272"/>
      <c r="CI29" s="1272"/>
      <c r="CJ29" s="161"/>
      <c r="CK29" s="175">
        <f t="shared" si="2"/>
        <v>1</v>
      </c>
      <c r="CL29" s="160">
        <f t="shared" si="0"/>
        <v>0</v>
      </c>
      <c r="CM29" s="160">
        <f t="shared" si="3"/>
        <v>0</v>
      </c>
    </row>
    <row r="30" spans="1:91" s="159" customFormat="1" ht="14.1" customHeight="1" x14ac:dyDescent="0.25">
      <c r="A30" s="173" t="s">
        <v>241</v>
      </c>
      <c r="B30" s="157" t="s">
        <v>234</v>
      </c>
      <c r="C30" s="198" t="s">
        <v>240</v>
      </c>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72"/>
      <c r="AD30" s="172"/>
      <c r="AE30" s="1278">
        <f t="shared" si="7"/>
        <v>-252730366</v>
      </c>
      <c r="AF30" s="1278"/>
      <c r="AG30" s="1278"/>
      <c r="AH30" s="1278"/>
      <c r="AI30" s="1278"/>
      <c r="AJ30" s="1278"/>
      <c r="AK30" s="171"/>
      <c r="AL30" s="1279">
        <v>-182023579</v>
      </c>
      <c r="AM30" s="1279"/>
      <c r="AN30" s="1279"/>
      <c r="AO30" s="1279"/>
      <c r="AP30" s="1279"/>
      <c r="AQ30" s="1279"/>
      <c r="AR30" s="194"/>
      <c r="AS30" s="170" t="str">
        <f t="shared" si="1"/>
        <v>15</v>
      </c>
      <c r="AT30" s="197"/>
      <c r="AU30" s="187" t="s">
        <v>239</v>
      </c>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9"/>
      <c r="BV30" s="169"/>
      <c r="BW30" s="1272">
        <f t="shared" si="8"/>
        <v>-252730366</v>
      </c>
      <c r="BX30" s="1272"/>
      <c r="BY30" s="1272"/>
      <c r="BZ30" s="1272"/>
      <c r="CA30" s="1272"/>
      <c r="CB30" s="1272"/>
      <c r="CC30" s="1172"/>
      <c r="CD30" s="1272">
        <f t="shared" si="9"/>
        <v>-182023579</v>
      </c>
      <c r="CE30" s="1272"/>
      <c r="CF30" s="1272"/>
      <c r="CG30" s="1272"/>
      <c r="CH30" s="1272"/>
      <c r="CI30" s="1272"/>
      <c r="CJ30" s="161"/>
      <c r="CK30" s="175">
        <f t="shared" si="2"/>
        <v>1</v>
      </c>
      <c r="CL30" s="160">
        <f t="shared" si="0"/>
        <v>0</v>
      </c>
      <c r="CM30" s="160">
        <f t="shared" si="3"/>
        <v>0</v>
      </c>
    </row>
    <row r="31" spans="1:91" s="159" customFormat="1" ht="14.1" hidden="1" customHeight="1" x14ac:dyDescent="0.25">
      <c r="A31" s="173" t="s">
        <v>238</v>
      </c>
      <c r="B31" s="157" t="s">
        <v>234</v>
      </c>
      <c r="C31" s="198" t="s">
        <v>237</v>
      </c>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72"/>
      <c r="AD31" s="172"/>
      <c r="AE31" s="1278">
        <f t="shared" si="7"/>
        <v>0</v>
      </c>
      <c r="AF31" s="1278"/>
      <c r="AG31" s="1278"/>
      <c r="AH31" s="1278"/>
      <c r="AI31" s="1278"/>
      <c r="AJ31" s="1278"/>
      <c r="AK31" s="171"/>
      <c r="AL31" s="1279">
        <v>0</v>
      </c>
      <c r="AM31" s="1279"/>
      <c r="AN31" s="1279"/>
      <c r="AO31" s="1279"/>
      <c r="AP31" s="1279"/>
      <c r="AQ31" s="1279"/>
      <c r="AR31" s="194"/>
      <c r="AS31" s="170" t="str">
        <f t="shared" si="1"/>
        <v>16</v>
      </c>
      <c r="AT31" s="197"/>
      <c r="AU31" s="187" t="s">
        <v>236</v>
      </c>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9"/>
      <c r="BV31" s="169"/>
      <c r="BW31" s="1272">
        <f t="shared" si="8"/>
        <v>0</v>
      </c>
      <c r="BX31" s="1272"/>
      <c r="BY31" s="1272"/>
      <c r="BZ31" s="1272"/>
      <c r="CA31" s="1272"/>
      <c r="CB31" s="1272"/>
      <c r="CC31" s="1172"/>
      <c r="CD31" s="1272">
        <f t="shared" si="9"/>
        <v>0</v>
      </c>
      <c r="CE31" s="1272"/>
      <c r="CF31" s="1272"/>
      <c r="CG31" s="1272"/>
      <c r="CH31" s="1272"/>
      <c r="CI31" s="1272"/>
      <c r="CJ31" s="161"/>
      <c r="CK31" s="175">
        <f t="shared" si="2"/>
        <v>0</v>
      </c>
      <c r="CL31" s="160">
        <f t="shared" si="0"/>
        <v>0</v>
      </c>
      <c r="CM31" s="160">
        <f t="shared" si="3"/>
        <v>0</v>
      </c>
    </row>
    <row r="32" spans="1:91" s="159" customFormat="1" ht="14.1" customHeight="1" x14ac:dyDescent="0.25">
      <c r="A32" s="173" t="s">
        <v>235</v>
      </c>
      <c r="B32" s="157" t="s">
        <v>234</v>
      </c>
      <c r="C32" s="161" t="s">
        <v>233</v>
      </c>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72"/>
      <c r="AD32" s="172"/>
      <c r="AE32" s="1278">
        <f t="shared" si="7"/>
        <v>-65218190</v>
      </c>
      <c r="AF32" s="1278"/>
      <c r="AG32" s="1278"/>
      <c r="AH32" s="1278"/>
      <c r="AI32" s="1278"/>
      <c r="AJ32" s="1278"/>
      <c r="AK32" s="171"/>
      <c r="AL32" s="1279">
        <v>-47676800</v>
      </c>
      <c r="AM32" s="1279"/>
      <c r="AN32" s="1279"/>
      <c r="AO32" s="1279"/>
      <c r="AP32" s="1279"/>
      <c r="AQ32" s="1279"/>
      <c r="AR32" s="194"/>
      <c r="AS32" s="170" t="str">
        <f>A32</f>
        <v>17</v>
      </c>
      <c r="AT32" s="197"/>
      <c r="AU32" s="187" t="s">
        <v>232</v>
      </c>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9"/>
      <c r="BV32" s="169"/>
      <c r="BW32" s="1272">
        <f t="shared" si="8"/>
        <v>-65218190</v>
      </c>
      <c r="BX32" s="1272"/>
      <c r="BY32" s="1272"/>
      <c r="BZ32" s="1272"/>
      <c r="CA32" s="1272"/>
      <c r="CB32" s="1272"/>
      <c r="CC32" s="1172"/>
      <c r="CD32" s="1272">
        <f t="shared" si="9"/>
        <v>-47676800</v>
      </c>
      <c r="CE32" s="1272"/>
      <c r="CF32" s="1272"/>
      <c r="CG32" s="1272"/>
      <c r="CH32" s="1272"/>
      <c r="CI32" s="1272"/>
      <c r="CJ32" s="161"/>
      <c r="CK32" s="175">
        <f>IF(ISTEXT(A32),IF(OR(SUM(AE32:AJ32)&lt;&gt;0,SUM(AL32:AQ32)&lt;&gt;0),1,0),1)</f>
        <v>1</v>
      </c>
      <c r="CL32" s="160">
        <f t="shared" si="0"/>
        <v>0</v>
      </c>
      <c r="CM32" s="160">
        <f t="shared" si="3"/>
        <v>0</v>
      </c>
    </row>
    <row r="33" spans="1:91" s="157" customFormat="1" ht="15" customHeight="1" x14ac:dyDescent="0.25">
      <c r="A33" s="1171" t="s">
        <v>201</v>
      </c>
      <c r="B33" s="184" t="s">
        <v>231</v>
      </c>
      <c r="C33" s="183"/>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1"/>
      <c r="AD33" s="181"/>
      <c r="AE33" s="1277">
        <f>AE21+SUBTOTAL(109,AE23:AJ32)</f>
        <v>6138204610</v>
      </c>
      <c r="AF33" s="1277"/>
      <c r="AG33" s="1277"/>
      <c r="AH33" s="1277"/>
      <c r="AI33" s="1277"/>
      <c r="AJ33" s="1277"/>
      <c r="AK33" s="196"/>
      <c r="AL33" s="1277">
        <f>AL21+SUBTOTAL(109,AL23:AQ32)</f>
        <v>12651164978</v>
      </c>
      <c r="AM33" s="1277"/>
      <c r="AN33" s="1277"/>
      <c r="AO33" s="1277"/>
      <c r="AP33" s="1277"/>
      <c r="AQ33" s="1277"/>
      <c r="AR33" s="179"/>
      <c r="AS33" s="1180" t="str">
        <f t="shared" si="1"/>
        <v>20</v>
      </c>
      <c r="AT33" s="195" t="s">
        <v>230</v>
      </c>
      <c r="AU33" s="195"/>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6"/>
      <c r="BV33" s="176"/>
      <c r="BW33" s="1270">
        <f>BW21+SUBTOTAL(109,BW23:CB32)</f>
        <v>6138204610</v>
      </c>
      <c r="BX33" s="1270"/>
      <c r="BY33" s="1270"/>
      <c r="BZ33" s="1270"/>
      <c r="CA33" s="1270"/>
      <c r="CB33" s="1270"/>
      <c r="CC33" s="1170"/>
      <c r="CD33" s="1270">
        <f>CD21+SUBTOTAL(109,CD23:CI32)</f>
        <v>12651164978</v>
      </c>
      <c r="CE33" s="1270"/>
      <c r="CF33" s="1270"/>
      <c r="CG33" s="1270"/>
      <c r="CH33" s="1270"/>
      <c r="CI33" s="1270"/>
      <c r="CJ33" s="161"/>
      <c r="CK33" s="161">
        <f t="shared" si="2"/>
        <v>1</v>
      </c>
      <c r="CL33" s="192">
        <f t="shared" si="0"/>
        <v>0</v>
      </c>
      <c r="CM33" s="192">
        <f t="shared" si="3"/>
        <v>0</v>
      </c>
    </row>
    <row r="34" spans="1:91" s="159" customFormat="1" ht="15" customHeight="1" x14ac:dyDescent="0.25">
      <c r="A34" s="173"/>
      <c r="B34" s="1178" t="s">
        <v>229</v>
      </c>
      <c r="C34" s="157"/>
      <c r="D34" s="168"/>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72"/>
      <c r="AD34" s="172"/>
      <c r="AE34" s="1266"/>
      <c r="AF34" s="1266"/>
      <c r="AG34" s="1266"/>
      <c r="AH34" s="1266"/>
      <c r="AI34" s="1266"/>
      <c r="AJ34" s="1266"/>
      <c r="AK34" s="171"/>
      <c r="AL34" s="1267"/>
      <c r="AM34" s="1267"/>
      <c r="AN34" s="1267"/>
      <c r="AO34" s="1267"/>
      <c r="AP34" s="1267"/>
      <c r="AQ34" s="1267"/>
      <c r="AR34" s="174"/>
      <c r="AS34" s="170">
        <f t="shared" si="1"/>
        <v>0</v>
      </c>
      <c r="AT34" s="193" t="s">
        <v>228</v>
      </c>
      <c r="AU34" s="163"/>
      <c r="AV34" s="164"/>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9"/>
      <c r="BV34" s="169"/>
      <c r="BW34" s="1268"/>
      <c r="BX34" s="1268"/>
      <c r="BY34" s="1268"/>
      <c r="BZ34" s="1268"/>
      <c r="CA34" s="1268"/>
      <c r="CB34" s="1268"/>
      <c r="CC34" s="1172"/>
      <c r="CD34" s="1268"/>
      <c r="CE34" s="1268"/>
      <c r="CF34" s="1268"/>
      <c r="CG34" s="1268"/>
      <c r="CH34" s="1268"/>
      <c r="CI34" s="1268"/>
      <c r="CJ34" s="1178"/>
      <c r="CK34" s="175">
        <f>$CK$42</f>
        <v>1</v>
      </c>
      <c r="CL34" s="160">
        <f t="shared" si="0"/>
        <v>0</v>
      </c>
      <c r="CM34" s="160">
        <f t="shared" si="3"/>
        <v>0</v>
      </c>
    </row>
    <row r="35" spans="1:91" s="157" customFormat="1" ht="27.95" customHeight="1" x14ac:dyDescent="0.25">
      <c r="A35" s="170" t="s">
        <v>200</v>
      </c>
      <c r="B35" s="1274" t="str">
        <f>SUBTOTAL(109,$CK$35:CK35)&amp;". Tiền chi để mua sắm, xây dựng tài sản cố định 
và các tài sản dài hạn khác"</f>
        <v>1. Tiền chi để mua sắm, xây dựng tài sản cố định 
và các tài sản dài hạn khác</v>
      </c>
      <c r="C35" s="1274"/>
      <c r="D35" s="1274"/>
      <c r="E35" s="1274"/>
      <c r="F35" s="1274"/>
      <c r="G35" s="1274"/>
      <c r="H35" s="1274"/>
      <c r="I35" s="1274"/>
      <c r="J35" s="1274"/>
      <c r="K35" s="1274"/>
      <c r="L35" s="1274"/>
      <c r="M35" s="1274"/>
      <c r="N35" s="1274"/>
      <c r="O35" s="1274"/>
      <c r="P35" s="1274"/>
      <c r="Q35" s="1274"/>
      <c r="R35" s="1274"/>
      <c r="S35" s="1274"/>
      <c r="T35" s="1173"/>
      <c r="U35" s="1173"/>
      <c r="V35" s="1173"/>
      <c r="W35" s="1173"/>
      <c r="X35" s="1173"/>
      <c r="Y35" s="1173"/>
      <c r="Z35" s="1173"/>
      <c r="AA35" s="1173"/>
      <c r="AB35" s="1173"/>
      <c r="AC35" s="1173"/>
      <c r="AD35" s="1173"/>
      <c r="AE35" s="1272">
        <f t="shared" ref="AE35:AE41" si="10">fml_LCGT_KN</f>
        <v>-2681824389</v>
      </c>
      <c r="AF35" s="1272"/>
      <c r="AG35" s="1272"/>
      <c r="AH35" s="1272"/>
      <c r="AI35" s="1272"/>
      <c r="AJ35" s="1272"/>
      <c r="AK35" s="191"/>
      <c r="AL35" s="1273">
        <v>-118000000</v>
      </c>
      <c r="AM35" s="1273"/>
      <c r="AN35" s="1273"/>
      <c r="AO35" s="1273"/>
      <c r="AP35" s="1273"/>
      <c r="AQ35" s="1273"/>
      <c r="AR35" s="194"/>
      <c r="AS35" s="170" t="str">
        <f t="shared" si="1"/>
        <v>21</v>
      </c>
      <c r="AT35" s="1274" t="str">
        <f>SUBTOTAL(109,$CK$35,CK35)&amp;". Purchase or construction of fixed assets and other long-term assets"</f>
        <v>2. Purchase or construction of fixed assets and other long-term assets</v>
      </c>
      <c r="AU35" s="1274"/>
      <c r="AV35" s="1274"/>
      <c r="AW35" s="1274"/>
      <c r="AX35" s="1274"/>
      <c r="AY35" s="1274"/>
      <c r="AZ35" s="1274"/>
      <c r="BA35" s="1274"/>
      <c r="BB35" s="1274"/>
      <c r="BC35" s="1274"/>
      <c r="BD35" s="1274"/>
      <c r="BE35" s="1274"/>
      <c r="BF35" s="1274"/>
      <c r="BG35" s="1274"/>
      <c r="BH35" s="1274"/>
      <c r="BI35" s="1274"/>
      <c r="BJ35" s="1274"/>
      <c r="BK35" s="1274"/>
      <c r="BL35" s="1173"/>
      <c r="BM35" s="163"/>
      <c r="BN35" s="163"/>
      <c r="BO35" s="163"/>
      <c r="BP35" s="163"/>
      <c r="BQ35" s="163"/>
      <c r="BR35" s="163"/>
      <c r="BS35" s="163"/>
      <c r="BT35" s="163"/>
      <c r="BU35" s="169"/>
      <c r="BV35" s="169"/>
      <c r="BW35" s="1272">
        <f t="shared" ref="BW35:BW41" si="11">AE35</f>
        <v>-2681824389</v>
      </c>
      <c r="BX35" s="1272"/>
      <c r="BY35" s="1272"/>
      <c r="BZ35" s="1272"/>
      <c r="CA35" s="1272"/>
      <c r="CB35" s="1272"/>
      <c r="CC35" s="1172"/>
      <c r="CD35" s="1272">
        <f t="shared" ref="CD35:CD41" si="12">AL35</f>
        <v>-118000000</v>
      </c>
      <c r="CE35" s="1272"/>
      <c r="CF35" s="1272"/>
      <c r="CG35" s="1272"/>
      <c r="CH35" s="1272"/>
      <c r="CI35" s="1272"/>
      <c r="CJ35" s="161"/>
      <c r="CK35" s="1178">
        <f t="shared" si="2"/>
        <v>1</v>
      </c>
      <c r="CL35" s="192">
        <f t="shared" si="0"/>
        <v>0</v>
      </c>
      <c r="CM35" s="192">
        <f t="shared" si="3"/>
        <v>0</v>
      </c>
    </row>
    <row r="36" spans="1:91" s="157" customFormat="1" ht="24.75" customHeight="1" x14ac:dyDescent="0.25">
      <c r="A36" s="170" t="s">
        <v>199</v>
      </c>
      <c r="B36" s="1275" t="str">
        <f>SUBTOTAL(109,$CK$35:CK36)&amp;". Tiền thu từ thanh lý, nhượng bán tài sản cố định và các tài sản dài hạn khác "</f>
        <v xml:space="preserve">2. Tiền thu từ thanh lý, nhượng bán tài sản cố định và các tài sản dài hạn khác </v>
      </c>
      <c r="C36" s="1275"/>
      <c r="D36" s="1275"/>
      <c r="E36" s="1275"/>
      <c r="F36" s="1275"/>
      <c r="G36" s="1275"/>
      <c r="H36" s="1275"/>
      <c r="I36" s="1275"/>
      <c r="J36" s="1275"/>
      <c r="K36" s="1275"/>
      <c r="L36" s="1275"/>
      <c r="M36" s="1275"/>
      <c r="N36" s="1275"/>
      <c r="O36" s="1275"/>
      <c r="P36" s="1275"/>
      <c r="Q36" s="1275"/>
      <c r="R36" s="1275"/>
      <c r="S36" s="1275"/>
      <c r="T36" s="1174"/>
      <c r="U36" s="1174"/>
      <c r="V36" s="1174"/>
      <c r="W36" s="1174"/>
      <c r="X36" s="1174"/>
      <c r="Y36" s="1174"/>
      <c r="Z36" s="1174"/>
      <c r="AA36" s="1174"/>
      <c r="AB36" s="1174"/>
      <c r="AC36" s="1174"/>
      <c r="AD36" s="1174"/>
      <c r="AE36" s="1272">
        <f t="shared" si="10"/>
        <v>1919255008</v>
      </c>
      <c r="AF36" s="1272"/>
      <c r="AG36" s="1272"/>
      <c r="AH36" s="1272"/>
      <c r="AI36" s="1272"/>
      <c r="AJ36" s="1272"/>
      <c r="AK36" s="191"/>
      <c r="AL36" s="1273">
        <v>0</v>
      </c>
      <c r="AM36" s="1273"/>
      <c r="AN36" s="1273"/>
      <c r="AO36" s="1273"/>
      <c r="AP36" s="1273"/>
      <c r="AQ36" s="1273"/>
      <c r="AR36" s="194"/>
      <c r="AS36" s="170" t="str">
        <f t="shared" si="1"/>
        <v>22</v>
      </c>
      <c r="AT36" s="1274" t="str">
        <f>SUBTOTAL(109,$CK$35:CK36)&amp;". Proceeds from disposals of fixed assets and other long-term assets"</f>
        <v>2. Proceeds from disposals of fixed assets and other long-term assets</v>
      </c>
      <c r="AU36" s="1274"/>
      <c r="AV36" s="1274"/>
      <c r="AW36" s="1274"/>
      <c r="AX36" s="1274"/>
      <c r="AY36" s="1274"/>
      <c r="AZ36" s="1274"/>
      <c r="BA36" s="1274"/>
      <c r="BB36" s="1274"/>
      <c r="BC36" s="1274"/>
      <c r="BD36" s="1274"/>
      <c r="BE36" s="1274"/>
      <c r="BF36" s="1274"/>
      <c r="BG36" s="1274"/>
      <c r="BH36" s="1274"/>
      <c r="BI36" s="1274"/>
      <c r="BJ36" s="1274"/>
      <c r="BK36" s="1274"/>
      <c r="BL36" s="1173"/>
      <c r="BM36" s="1173"/>
      <c r="BN36" s="1173"/>
      <c r="BO36" s="1173"/>
      <c r="BP36" s="1173"/>
      <c r="BQ36" s="1173"/>
      <c r="BR36" s="1173"/>
      <c r="BS36" s="1173"/>
      <c r="BT36" s="1173"/>
      <c r="BU36" s="1173"/>
      <c r="BV36" s="1173"/>
      <c r="BW36" s="1272">
        <f t="shared" si="11"/>
        <v>1919255008</v>
      </c>
      <c r="BX36" s="1272"/>
      <c r="BY36" s="1272"/>
      <c r="BZ36" s="1272"/>
      <c r="CA36" s="1272"/>
      <c r="CB36" s="1272"/>
      <c r="CC36" s="1172"/>
      <c r="CD36" s="1272">
        <f t="shared" si="12"/>
        <v>0</v>
      </c>
      <c r="CE36" s="1272"/>
      <c r="CF36" s="1272"/>
      <c r="CG36" s="1272"/>
      <c r="CH36" s="1272"/>
      <c r="CI36" s="1272"/>
      <c r="CJ36" s="161"/>
      <c r="CK36" s="161">
        <f t="shared" si="2"/>
        <v>1</v>
      </c>
      <c r="CL36" s="192">
        <f t="shared" si="0"/>
        <v>0</v>
      </c>
      <c r="CM36" s="192">
        <f t="shared" si="3"/>
        <v>0</v>
      </c>
    </row>
    <row r="37" spans="1:91" s="157" customFormat="1" ht="24.75" customHeight="1" x14ac:dyDescent="0.25">
      <c r="A37" s="170" t="s">
        <v>198</v>
      </c>
      <c r="B37" s="1275" t="str">
        <f>SUBTOTAL(109,$CK$35:CK37)&amp;". Tiền chi cho vay, mua các công cụ nợ của đơn vị khác"</f>
        <v>3. Tiền chi cho vay, mua các công cụ nợ của đơn vị khác</v>
      </c>
      <c r="C37" s="1275"/>
      <c r="D37" s="1275"/>
      <c r="E37" s="1275"/>
      <c r="F37" s="1275"/>
      <c r="G37" s="1275"/>
      <c r="H37" s="1275"/>
      <c r="I37" s="1275"/>
      <c r="J37" s="1275"/>
      <c r="K37" s="1275"/>
      <c r="L37" s="1275"/>
      <c r="M37" s="1275"/>
      <c r="N37" s="1275"/>
      <c r="O37" s="1275"/>
      <c r="P37" s="1275"/>
      <c r="Q37" s="1275"/>
      <c r="R37" s="1275"/>
      <c r="S37" s="1275"/>
      <c r="T37" s="163"/>
      <c r="AC37" s="172"/>
      <c r="AD37" s="172"/>
      <c r="AE37" s="1272">
        <f t="shared" si="10"/>
        <v>-24515802846</v>
      </c>
      <c r="AF37" s="1272"/>
      <c r="AG37" s="1272"/>
      <c r="AH37" s="1272"/>
      <c r="AI37" s="1272"/>
      <c r="AJ37" s="1272"/>
      <c r="AK37" s="191"/>
      <c r="AL37" s="1273">
        <v>-36835000000</v>
      </c>
      <c r="AM37" s="1273"/>
      <c r="AN37" s="1273"/>
      <c r="AO37" s="1273"/>
      <c r="AP37" s="1273"/>
      <c r="AQ37" s="1273"/>
      <c r="AR37" s="194"/>
      <c r="AS37" s="170" t="str">
        <f t="shared" si="1"/>
        <v>23</v>
      </c>
      <c r="AT37" s="1276" t="str">
        <f>SUBTOTAL(109,$CK$35:CK37)&amp;". Loans and purchase of debt instruments from other entities"</f>
        <v>3. Loans and purchase of debt instruments from other entities</v>
      </c>
      <c r="AU37" s="1276"/>
      <c r="AV37" s="1276"/>
      <c r="AW37" s="1276"/>
      <c r="AX37" s="1276"/>
      <c r="AY37" s="1276"/>
      <c r="AZ37" s="1276"/>
      <c r="BA37" s="1276"/>
      <c r="BB37" s="1276"/>
      <c r="BC37" s="1276"/>
      <c r="BD37" s="1276"/>
      <c r="BE37" s="1276"/>
      <c r="BF37" s="1276"/>
      <c r="BG37" s="1276"/>
      <c r="BH37" s="1276"/>
      <c r="BI37" s="1276"/>
      <c r="BJ37" s="1276"/>
      <c r="BK37" s="1276"/>
      <c r="BL37" s="163"/>
      <c r="BM37" s="163"/>
      <c r="BN37" s="163"/>
      <c r="BO37" s="163"/>
      <c r="BP37" s="163"/>
      <c r="BQ37" s="163"/>
      <c r="BR37" s="163"/>
      <c r="BS37" s="163"/>
      <c r="BT37" s="163"/>
      <c r="BU37" s="169"/>
      <c r="BV37" s="169"/>
      <c r="BW37" s="1272">
        <f t="shared" si="11"/>
        <v>-24515802846</v>
      </c>
      <c r="BX37" s="1272"/>
      <c r="BY37" s="1272"/>
      <c r="BZ37" s="1272"/>
      <c r="CA37" s="1272"/>
      <c r="CB37" s="1272"/>
      <c r="CC37" s="1172"/>
      <c r="CD37" s="1272">
        <f t="shared" si="12"/>
        <v>-36835000000</v>
      </c>
      <c r="CE37" s="1272"/>
      <c r="CF37" s="1272"/>
      <c r="CG37" s="1272"/>
      <c r="CH37" s="1272"/>
      <c r="CI37" s="1272"/>
      <c r="CJ37" s="161"/>
      <c r="CK37" s="161">
        <f t="shared" si="2"/>
        <v>1</v>
      </c>
      <c r="CL37" s="192">
        <f t="shared" si="0"/>
        <v>0</v>
      </c>
      <c r="CM37" s="192">
        <f t="shared" si="3"/>
        <v>0</v>
      </c>
    </row>
    <row r="38" spans="1:91" s="157" customFormat="1" ht="24" customHeight="1" x14ac:dyDescent="0.25">
      <c r="A38" s="170" t="s">
        <v>227</v>
      </c>
      <c r="B38" s="1274" t="str">
        <f>SUBTOTAL(109,$CK$35:CK38)&amp;". Tiền thu hồi cho vay, bán lại các công cụ nợ của đơn vị khác "</f>
        <v xml:space="preserve">4. Tiền thu hồi cho vay, bán lại các công cụ nợ của đơn vị khác </v>
      </c>
      <c r="C38" s="1274"/>
      <c r="D38" s="1274"/>
      <c r="E38" s="1274"/>
      <c r="F38" s="1274"/>
      <c r="G38" s="1274"/>
      <c r="H38" s="1274"/>
      <c r="I38" s="1274"/>
      <c r="J38" s="1274"/>
      <c r="K38" s="1274"/>
      <c r="L38" s="1274"/>
      <c r="M38" s="1274"/>
      <c r="N38" s="1274"/>
      <c r="O38" s="1274"/>
      <c r="P38" s="1274"/>
      <c r="Q38" s="1274"/>
      <c r="R38" s="1274"/>
      <c r="S38" s="1274"/>
      <c r="T38" s="1173"/>
      <c r="U38" s="1174"/>
      <c r="V38" s="1174"/>
      <c r="W38" s="1174"/>
      <c r="X38" s="1174"/>
      <c r="Y38" s="1174"/>
      <c r="Z38" s="1174"/>
      <c r="AA38" s="1174"/>
      <c r="AB38" s="1174"/>
      <c r="AC38" s="1174"/>
      <c r="AD38" s="172"/>
      <c r="AE38" s="1272">
        <f t="shared" si="10"/>
        <v>18280100000</v>
      </c>
      <c r="AF38" s="1272"/>
      <c r="AG38" s="1272"/>
      <c r="AH38" s="1272"/>
      <c r="AI38" s="1272"/>
      <c r="AJ38" s="1272"/>
      <c r="AK38" s="191"/>
      <c r="AL38" s="1273">
        <v>23361200000</v>
      </c>
      <c r="AM38" s="1273"/>
      <c r="AN38" s="1273"/>
      <c r="AO38" s="1273"/>
      <c r="AP38" s="1273"/>
      <c r="AQ38" s="1273"/>
      <c r="AR38" s="194"/>
      <c r="AS38" s="170" t="str">
        <f t="shared" si="1"/>
        <v>24</v>
      </c>
      <c r="AT38" s="1274" t="str">
        <f>SUBTOTAL(109,$CK$35:CK38)&amp;". Collection of loans and resale of debt instrument of other entities"</f>
        <v>4. Collection of loans and resale of debt instrument of other entities</v>
      </c>
      <c r="AU38" s="1274"/>
      <c r="AV38" s="1274"/>
      <c r="AW38" s="1274"/>
      <c r="AX38" s="1274"/>
      <c r="AY38" s="1274"/>
      <c r="AZ38" s="1274"/>
      <c r="BA38" s="1274"/>
      <c r="BB38" s="1274"/>
      <c r="BC38" s="1274"/>
      <c r="BD38" s="1274"/>
      <c r="BE38" s="1274"/>
      <c r="BF38" s="1274"/>
      <c r="BG38" s="1274"/>
      <c r="BH38" s="1274"/>
      <c r="BI38" s="1274"/>
      <c r="BJ38" s="1274"/>
      <c r="BK38" s="1274"/>
      <c r="BL38" s="1274"/>
      <c r="BM38" s="1173"/>
      <c r="BN38" s="1173"/>
      <c r="BO38" s="1173"/>
      <c r="BP38" s="1173"/>
      <c r="BQ38" s="1173"/>
      <c r="BR38" s="1173"/>
      <c r="BS38" s="1173"/>
      <c r="BT38" s="1173"/>
      <c r="BU38" s="1173"/>
      <c r="BV38" s="1173"/>
      <c r="BW38" s="1272">
        <f t="shared" si="11"/>
        <v>18280100000</v>
      </c>
      <c r="BX38" s="1272"/>
      <c r="BY38" s="1272"/>
      <c r="BZ38" s="1272"/>
      <c r="CA38" s="1272"/>
      <c r="CB38" s="1272"/>
      <c r="CC38" s="1172"/>
      <c r="CD38" s="1272">
        <f t="shared" si="12"/>
        <v>23361200000</v>
      </c>
      <c r="CE38" s="1272"/>
      <c r="CF38" s="1272"/>
      <c r="CG38" s="1272"/>
      <c r="CH38" s="1272"/>
      <c r="CI38" s="1272"/>
      <c r="CJ38" s="161"/>
      <c r="CK38" s="1178">
        <f t="shared" si="2"/>
        <v>1</v>
      </c>
      <c r="CL38" s="192">
        <f t="shared" si="0"/>
        <v>0</v>
      </c>
      <c r="CM38" s="192">
        <f t="shared" si="3"/>
        <v>0</v>
      </c>
    </row>
    <row r="39" spans="1:91" s="157" customFormat="1" ht="14.1" hidden="1" customHeight="1" x14ac:dyDescent="0.25">
      <c r="A39" s="170" t="s">
        <v>197</v>
      </c>
      <c r="B39" s="189" t="str">
        <f>SUBTOTAL(109,$CK$35:CK39)&amp;". Tiền chi đầu tư góp vốn vào đơn vị khác"</f>
        <v>4. Tiền chi đầu tư góp vốn vào đơn vị khác</v>
      </c>
      <c r="C39" s="187"/>
      <c r="D39" s="163"/>
      <c r="E39" s="163"/>
      <c r="F39" s="163"/>
      <c r="G39" s="163"/>
      <c r="H39" s="163"/>
      <c r="I39" s="163"/>
      <c r="J39" s="163"/>
      <c r="K39" s="163"/>
      <c r="L39" s="163"/>
      <c r="M39" s="163"/>
      <c r="N39" s="163"/>
      <c r="O39" s="163"/>
      <c r="P39" s="163"/>
      <c r="Q39" s="163"/>
      <c r="AC39" s="172"/>
      <c r="AD39" s="172"/>
      <c r="AE39" s="1272">
        <f t="shared" si="10"/>
        <v>0</v>
      </c>
      <c r="AF39" s="1272"/>
      <c r="AG39" s="1272"/>
      <c r="AH39" s="1272"/>
      <c r="AI39" s="1272"/>
      <c r="AJ39" s="1272"/>
      <c r="AK39" s="191"/>
      <c r="AL39" s="1273">
        <v>0</v>
      </c>
      <c r="AM39" s="1273"/>
      <c r="AN39" s="1273"/>
      <c r="AO39" s="1273"/>
      <c r="AP39" s="1273"/>
      <c r="AQ39" s="1273"/>
      <c r="AR39" s="194"/>
      <c r="AS39" s="170" t="str">
        <f t="shared" si="1"/>
        <v>25</v>
      </c>
      <c r="AT39" s="189" t="str">
        <f>SUBTOTAL(109,$CK$35:CK39)&amp;". Equity investments in other entities"</f>
        <v>4. Equity investments in other entities</v>
      </c>
      <c r="AU39" s="188"/>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9"/>
      <c r="BV39" s="169"/>
      <c r="BW39" s="1272">
        <f t="shared" si="11"/>
        <v>0</v>
      </c>
      <c r="BX39" s="1272"/>
      <c r="BY39" s="1272"/>
      <c r="BZ39" s="1272"/>
      <c r="CA39" s="1272"/>
      <c r="CB39" s="1272"/>
      <c r="CC39" s="1172"/>
      <c r="CD39" s="1272">
        <f t="shared" si="12"/>
        <v>0</v>
      </c>
      <c r="CE39" s="1272"/>
      <c r="CF39" s="1272"/>
      <c r="CG39" s="1272"/>
      <c r="CH39" s="1272"/>
      <c r="CI39" s="1272"/>
      <c r="CJ39" s="161"/>
      <c r="CK39" s="161">
        <f t="shared" si="2"/>
        <v>0</v>
      </c>
      <c r="CL39" s="192">
        <f t="shared" si="0"/>
        <v>0</v>
      </c>
      <c r="CM39" s="192">
        <f t="shared" si="3"/>
        <v>0</v>
      </c>
    </row>
    <row r="40" spans="1:91" s="157" customFormat="1" ht="14.1" hidden="1" customHeight="1" x14ac:dyDescent="0.25">
      <c r="A40" s="170" t="s">
        <v>196</v>
      </c>
      <c r="B40" s="189" t="str">
        <f>SUBTOTAL(109,$CK$35:CK40)&amp;". Tiền thu hồi đầu tư góp vốn vào đơn vị khác"</f>
        <v>4. Tiền thu hồi đầu tư góp vốn vào đơn vị khác</v>
      </c>
      <c r="C40" s="187"/>
      <c r="D40" s="163"/>
      <c r="E40" s="163"/>
      <c r="F40" s="163"/>
      <c r="G40" s="163"/>
      <c r="H40" s="163"/>
      <c r="I40" s="163"/>
      <c r="J40" s="163"/>
      <c r="K40" s="163"/>
      <c r="L40" s="163"/>
      <c r="M40" s="163"/>
      <c r="N40" s="163"/>
      <c r="O40" s="163"/>
      <c r="P40" s="163"/>
      <c r="Q40" s="163"/>
      <c r="AC40" s="172"/>
      <c r="AD40" s="172"/>
      <c r="AE40" s="1272">
        <f t="shared" si="10"/>
        <v>0</v>
      </c>
      <c r="AF40" s="1272"/>
      <c r="AG40" s="1272"/>
      <c r="AH40" s="1272"/>
      <c r="AI40" s="1272"/>
      <c r="AJ40" s="1272"/>
      <c r="AK40" s="191"/>
      <c r="AL40" s="1273">
        <v>0</v>
      </c>
      <c r="AM40" s="1273"/>
      <c r="AN40" s="1273"/>
      <c r="AO40" s="1273"/>
      <c r="AP40" s="1273"/>
      <c r="AQ40" s="1273"/>
      <c r="AR40" s="194"/>
      <c r="AS40" s="170" t="str">
        <f t="shared" si="1"/>
        <v>26</v>
      </c>
      <c r="AT40" s="189" t="str">
        <f>SUBTOTAL(109,$CK$35:CK40)&amp;". Proceeds from equity investment in other entities"</f>
        <v>4. Proceeds from equity investment in other entities</v>
      </c>
      <c r="AU40" s="188"/>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9"/>
      <c r="BV40" s="169"/>
      <c r="BW40" s="1272">
        <f t="shared" si="11"/>
        <v>0</v>
      </c>
      <c r="BX40" s="1272"/>
      <c r="BY40" s="1272"/>
      <c r="BZ40" s="1272"/>
      <c r="CA40" s="1272"/>
      <c r="CB40" s="1272"/>
      <c r="CC40" s="1172"/>
      <c r="CD40" s="1272">
        <f t="shared" si="12"/>
        <v>0</v>
      </c>
      <c r="CE40" s="1272"/>
      <c r="CF40" s="1272"/>
      <c r="CG40" s="1272"/>
      <c r="CH40" s="1272"/>
      <c r="CI40" s="1272"/>
      <c r="CJ40" s="161"/>
      <c r="CK40" s="161">
        <f t="shared" si="2"/>
        <v>0</v>
      </c>
      <c r="CL40" s="192">
        <f t="shared" si="0"/>
        <v>0</v>
      </c>
      <c r="CM40" s="192">
        <f t="shared" si="3"/>
        <v>0</v>
      </c>
    </row>
    <row r="41" spans="1:91" s="157" customFormat="1" ht="15" customHeight="1" x14ac:dyDescent="0.25">
      <c r="A41" s="170" t="s">
        <v>226</v>
      </c>
      <c r="B41" s="189" t="str">
        <f>SUBTOTAL(109,$CK$35:CK41)&amp;". Tiền thu lãi cho vay, cổ tức và lợi nhuận được chia"</f>
        <v>5. Tiền thu lãi cho vay, cổ tức và lợi nhuận được chia</v>
      </c>
      <c r="C41" s="187"/>
      <c r="D41" s="163"/>
      <c r="E41" s="163"/>
      <c r="F41" s="163"/>
      <c r="G41" s="163"/>
      <c r="H41" s="163"/>
      <c r="I41" s="163"/>
      <c r="J41" s="163"/>
      <c r="K41" s="163"/>
      <c r="L41" s="163"/>
      <c r="M41" s="163"/>
      <c r="N41" s="163"/>
      <c r="O41" s="163"/>
      <c r="P41" s="163"/>
      <c r="Q41" s="163"/>
      <c r="AC41" s="172"/>
      <c r="AD41" s="172"/>
      <c r="AE41" s="1272">
        <f t="shared" si="10"/>
        <v>2190815208</v>
      </c>
      <c r="AF41" s="1272"/>
      <c r="AG41" s="1272"/>
      <c r="AH41" s="1272"/>
      <c r="AI41" s="1272"/>
      <c r="AJ41" s="1272"/>
      <c r="AK41" s="191"/>
      <c r="AL41" s="1273">
        <v>1080659363</v>
      </c>
      <c r="AM41" s="1273"/>
      <c r="AN41" s="1273"/>
      <c r="AO41" s="1273"/>
      <c r="AP41" s="1273"/>
      <c r="AQ41" s="1273"/>
      <c r="AR41" s="194"/>
      <c r="AS41" s="170" t="str">
        <f t="shared" si="1"/>
        <v>27</v>
      </c>
      <c r="AT41" s="189" t="str">
        <f>SUBTOTAL(109,$CK$35:CK41)&amp;". Interest and dividend received"</f>
        <v>5. Interest and dividend received</v>
      </c>
      <c r="AU41" s="188"/>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9"/>
      <c r="BV41" s="169"/>
      <c r="BW41" s="1272">
        <f t="shared" si="11"/>
        <v>2190815208</v>
      </c>
      <c r="BX41" s="1272"/>
      <c r="BY41" s="1272"/>
      <c r="BZ41" s="1272"/>
      <c r="CA41" s="1272"/>
      <c r="CB41" s="1272"/>
      <c r="CC41" s="1172"/>
      <c r="CD41" s="1272">
        <f t="shared" si="12"/>
        <v>1080659363</v>
      </c>
      <c r="CE41" s="1272"/>
      <c r="CF41" s="1272"/>
      <c r="CG41" s="1272"/>
      <c r="CH41" s="1272"/>
      <c r="CI41" s="1272"/>
      <c r="CJ41" s="161"/>
      <c r="CK41" s="161">
        <f t="shared" si="2"/>
        <v>1</v>
      </c>
      <c r="CL41" s="192">
        <f t="shared" si="0"/>
        <v>0</v>
      </c>
      <c r="CM41" s="192">
        <f t="shared" si="3"/>
        <v>0</v>
      </c>
    </row>
    <row r="42" spans="1:91" s="157" customFormat="1" ht="15" customHeight="1" x14ac:dyDescent="0.25">
      <c r="A42" s="1180" t="s">
        <v>195</v>
      </c>
      <c r="B42" s="184" t="s">
        <v>225</v>
      </c>
      <c r="C42" s="183"/>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1"/>
      <c r="AD42" s="181"/>
      <c r="AE42" s="1269">
        <f>SUBTOTAL(109,AE35:AJ41)</f>
        <v>-4807457019</v>
      </c>
      <c r="AF42" s="1269"/>
      <c r="AG42" s="1269"/>
      <c r="AH42" s="1269"/>
      <c r="AI42" s="1269"/>
      <c r="AJ42" s="1269"/>
      <c r="AK42" s="180"/>
      <c r="AL42" s="1269">
        <f>SUBTOTAL(109,AL35:AQ41)</f>
        <v>-12511140637</v>
      </c>
      <c r="AM42" s="1269"/>
      <c r="AN42" s="1269"/>
      <c r="AO42" s="1269"/>
      <c r="AP42" s="1269"/>
      <c r="AQ42" s="1269"/>
      <c r="AR42" s="179"/>
      <c r="AS42" s="1180" t="str">
        <f t="shared" si="1"/>
        <v>30</v>
      </c>
      <c r="AT42" s="178" t="s">
        <v>224</v>
      </c>
      <c r="AU42" s="178"/>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6"/>
      <c r="BV42" s="176"/>
      <c r="BW42" s="1270">
        <f>SUBTOTAL(109,BW35:CB41)</f>
        <v>-4807457019</v>
      </c>
      <c r="BX42" s="1270"/>
      <c r="BY42" s="1270"/>
      <c r="BZ42" s="1270"/>
      <c r="CA42" s="1270"/>
      <c r="CB42" s="1270"/>
      <c r="CC42" s="1170"/>
      <c r="CD42" s="1270">
        <f>SUBTOTAL(109,CD35:CI41)</f>
        <v>-12511140637</v>
      </c>
      <c r="CE42" s="1270"/>
      <c r="CF42" s="1270"/>
      <c r="CG42" s="1270"/>
      <c r="CH42" s="1270"/>
      <c r="CI42" s="1270"/>
      <c r="CJ42" s="161"/>
      <c r="CK42" s="161">
        <f t="shared" si="2"/>
        <v>1</v>
      </c>
      <c r="CL42" s="192">
        <f t="shared" si="0"/>
        <v>0</v>
      </c>
      <c r="CM42" s="192">
        <f t="shared" si="3"/>
        <v>0</v>
      </c>
    </row>
    <row r="43" spans="1:91" s="157" customFormat="1" ht="15" customHeight="1" x14ac:dyDescent="0.25">
      <c r="A43" s="173"/>
      <c r="B43" s="1178" t="s">
        <v>223</v>
      </c>
      <c r="D43" s="168"/>
      <c r="AC43" s="172"/>
      <c r="AD43" s="172"/>
      <c r="AE43" s="1266"/>
      <c r="AF43" s="1266"/>
      <c r="AG43" s="1266"/>
      <c r="AH43" s="1266"/>
      <c r="AI43" s="1266"/>
      <c r="AJ43" s="1266"/>
      <c r="AK43" s="171"/>
      <c r="AL43" s="1267"/>
      <c r="AM43" s="1267"/>
      <c r="AN43" s="1267"/>
      <c r="AO43" s="1267"/>
      <c r="AP43" s="1267"/>
      <c r="AQ43" s="1267"/>
      <c r="AR43" s="174"/>
      <c r="AS43" s="170">
        <f t="shared" si="1"/>
        <v>0</v>
      </c>
      <c r="AT43" s="193" t="s">
        <v>222</v>
      </c>
      <c r="AU43" s="163"/>
      <c r="AV43" s="164"/>
      <c r="AW43" s="163"/>
      <c r="AX43" s="163"/>
      <c r="AY43" s="163"/>
      <c r="AZ43" s="163"/>
      <c r="BA43" s="163"/>
      <c r="BB43" s="163"/>
      <c r="BC43" s="163"/>
      <c r="BD43" s="163"/>
      <c r="BE43" s="163"/>
      <c r="BF43" s="163"/>
      <c r="BG43" s="163"/>
      <c r="BH43" s="163"/>
      <c r="BI43" s="163"/>
      <c r="BJ43" s="163"/>
      <c r="BK43" s="163"/>
      <c r="BL43" s="163"/>
      <c r="BM43" s="163"/>
      <c r="BN43" s="163"/>
      <c r="BO43" s="163"/>
      <c r="BP43" s="163"/>
      <c r="BQ43" s="163"/>
      <c r="BR43" s="163"/>
      <c r="BS43" s="163"/>
      <c r="BT43" s="163"/>
      <c r="BU43" s="169"/>
      <c r="BV43" s="169"/>
      <c r="BW43" s="1268"/>
      <c r="BX43" s="1268"/>
      <c r="BY43" s="1268"/>
      <c r="BZ43" s="1268"/>
      <c r="CA43" s="1268"/>
      <c r="CB43" s="1268"/>
      <c r="CC43" s="1172"/>
      <c r="CD43" s="1268"/>
      <c r="CE43" s="1268"/>
      <c r="CF43" s="1268"/>
      <c r="CG43" s="1268"/>
      <c r="CH43" s="1268"/>
      <c r="CI43" s="1268"/>
      <c r="CJ43" s="1178"/>
      <c r="CK43" s="161">
        <f>$CK$50</f>
        <v>1</v>
      </c>
      <c r="CL43" s="192">
        <f t="shared" si="0"/>
        <v>0</v>
      </c>
      <c r="CM43" s="192">
        <f t="shared" si="3"/>
        <v>0</v>
      </c>
    </row>
    <row r="44" spans="1:91" s="163" customFormat="1" ht="27.95" hidden="1" customHeight="1" x14ac:dyDescent="0.25">
      <c r="A44" s="170" t="s">
        <v>194</v>
      </c>
      <c r="B44" s="1274" t="str">
        <f>SUBTOTAL(109,$CK$44:CK44)&amp;". Tiền thu từ phát hành cổ phiếu, nhận vốn góp của chủ sở hữu"</f>
        <v>0. Tiền thu từ phát hành cổ phiếu, nhận vốn góp của chủ sở hữu</v>
      </c>
      <c r="C44" s="1274"/>
      <c r="D44" s="1274"/>
      <c r="E44" s="127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2">
        <f t="shared" ref="AE44:AE49" si="13">fml_LCGT_KN</f>
        <v>0</v>
      </c>
      <c r="AF44" s="1272"/>
      <c r="AG44" s="1272"/>
      <c r="AH44" s="1272"/>
      <c r="AI44" s="1272"/>
      <c r="AJ44" s="1272"/>
      <c r="AK44" s="191"/>
      <c r="AL44" s="1273">
        <v>0</v>
      </c>
      <c r="AM44" s="1273"/>
      <c r="AN44" s="1273"/>
      <c r="AO44" s="1273"/>
      <c r="AP44" s="1273"/>
      <c r="AQ44" s="1273"/>
      <c r="AR44" s="190"/>
      <c r="AS44" s="170" t="str">
        <f t="shared" si="1"/>
        <v>31</v>
      </c>
      <c r="AT44" s="1274" t="str">
        <f>SUBTOTAL(109,$CK$44,CK44)&amp;". Proceeds from issuance of shares and receipt of contributed capital"</f>
        <v>0. Proceeds from issuance of shares and receipt of contributed capital</v>
      </c>
      <c r="AU44" s="1274"/>
      <c r="AV44" s="1274"/>
      <c r="AW44" s="1274"/>
      <c r="AX44" s="1274"/>
      <c r="AY44" s="1274"/>
      <c r="AZ44" s="1274"/>
      <c r="BA44" s="1274"/>
      <c r="BB44" s="1274"/>
      <c r="BC44" s="1274"/>
      <c r="BD44" s="1274"/>
      <c r="BE44" s="1274"/>
      <c r="BF44" s="1274"/>
      <c r="BG44" s="1274"/>
      <c r="BH44" s="1274"/>
      <c r="BI44" s="1274"/>
      <c r="BJ44" s="1274"/>
      <c r="BK44" s="1274"/>
      <c r="BL44" s="1274"/>
      <c r="BM44" s="1173"/>
      <c r="BN44" s="1173"/>
      <c r="BO44" s="1173"/>
      <c r="BP44" s="1173"/>
      <c r="BQ44" s="1173"/>
      <c r="BR44" s="1173"/>
      <c r="BS44" s="1173"/>
      <c r="BT44" s="1173"/>
      <c r="BU44" s="1173"/>
      <c r="BV44" s="1173"/>
      <c r="BW44" s="1272">
        <f t="shared" ref="BW44:BW49" si="14">AE44</f>
        <v>0</v>
      </c>
      <c r="BX44" s="1272"/>
      <c r="BY44" s="1272"/>
      <c r="BZ44" s="1272"/>
      <c r="CA44" s="1272"/>
      <c r="CB44" s="1272"/>
      <c r="CC44" s="1172"/>
      <c r="CD44" s="1272">
        <f t="shared" ref="CD44:CD49" si="15">AL44</f>
        <v>0</v>
      </c>
      <c r="CE44" s="1272"/>
      <c r="CF44" s="1272"/>
      <c r="CG44" s="1272"/>
      <c r="CH44" s="1272"/>
      <c r="CI44" s="1272"/>
      <c r="CJ44" s="187"/>
      <c r="CK44" s="187">
        <f t="shared" si="2"/>
        <v>0</v>
      </c>
      <c r="CL44" s="192">
        <f t="shared" si="0"/>
        <v>0</v>
      </c>
      <c r="CM44" s="192">
        <f t="shared" si="3"/>
        <v>0</v>
      </c>
    </row>
    <row r="45" spans="1:91" s="163" customFormat="1" ht="27.95" hidden="1" customHeight="1" x14ac:dyDescent="0.25">
      <c r="A45" s="170" t="s">
        <v>193</v>
      </c>
      <c r="B45" s="1274" t="str">
        <f>SUBTOTAL(109,$CK$44:CK45)&amp;". Tiền trả lại vốn góp cho các chủ sở hữu, mua lại cổ phiếu của doanh nghiệp đã phát hành"</f>
        <v>0. Tiền trả lại vốn góp cho các chủ sở hữu, mua lại cổ phiếu của doanh nghiệp đã phát hành</v>
      </c>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2">
        <f t="shared" si="13"/>
        <v>0</v>
      </c>
      <c r="AF45" s="1272"/>
      <c r="AG45" s="1272"/>
      <c r="AH45" s="1272"/>
      <c r="AI45" s="1272"/>
      <c r="AJ45" s="1272"/>
      <c r="AK45" s="191"/>
      <c r="AL45" s="1273">
        <v>0</v>
      </c>
      <c r="AM45" s="1273"/>
      <c r="AN45" s="1273"/>
      <c r="AO45" s="1273"/>
      <c r="AP45" s="1273"/>
      <c r="AQ45" s="1273"/>
      <c r="AR45" s="190"/>
      <c r="AS45" s="170" t="str">
        <f t="shared" si="1"/>
        <v>32</v>
      </c>
      <c r="AT45" s="1274" t="str">
        <f>SUBTOTAL(109,$CK$44:CK45)&amp;". Repayment of contributions capital and repurchase of stock issued"</f>
        <v>0. Repayment of contributions capital and repurchase of stock issued</v>
      </c>
      <c r="AU45" s="1274"/>
      <c r="AV45" s="1274"/>
      <c r="AW45" s="1274"/>
      <c r="AX45" s="1274"/>
      <c r="AY45" s="1274"/>
      <c r="AZ45" s="1274"/>
      <c r="BA45" s="1274"/>
      <c r="BB45" s="1274"/>
      <c r="BC45" s="1274"/>
      <c r="BD45" s="1274"/>
      <c r="BE45" s="1274"/>
      <c r="BF45" s="1274"/>
      <c r="BG45" s="1274"/>
      <c r="BH45" s="1274"/>
      <c r="BI45" s="1274"/>
      <c r="BJ45" s="1274"/>
      <c r="BK45" s="1274"/>
      <c r="BL45" s="1274"/>
      <c r="BM45" s="1173"/>
      <c r="BN45" s="1173"/>
      <c r="BO45" s="1173"/>
      <c r="BP45" s="1173"/>
      <c r="BQ45" s="1173"/>
      <c r="BR45" s="1173"/>
      <c r="BS45" s="1173"/>
      <c r="BT45" s="1173"/>
      <c r="BU45" s="1173"/>
      <c r="BV45" s="1173"/>
      <c r="BW45" s="1272">
        <f t="shared" si="14"/>
        <v>0</v>
      </c>
      <c r="BX45" s="1272"/>
      <c r="BY45" s="1272"/>
      <c r="BZ45" s="1272"/>
      <c r="CA45" s="1272"/>
      <c r="CB45" s="1272"/>
      <c r="CC45" s="1172"/>
      <c r="CD45" s="1272">
        <f t="shared" si="15"/>
        <v>0</v>
      </c>
      <c r="CE45" s="1272"/>
      <c r="CF45" s="1272"/>
      <c r="CG45" s="1272"/>
      <c r="CH45" s="1272"/>
      <c r="CI45" s="1272"/>
      <c r="CJ45" s="187"/>
      <c r="CK45" s="187">
        <f t="shared" si="2"/>
        <v>0</v>
      </c>
      <c r="CL45" s="192">
        <f t="shared" si="0"/>
        <v>0</v>
      </c>
      <c r="CM45" s="192">
        <f t="shared" si="3"/>
        <v>0</v>
      </c>
    </row>
    <row r="46" spans="1:91" s="185" customFormat="1" ht="14.1" customHeight="1" x14ac:dyDescent="0.25">
      <c r="A46" s="170" t="s">
        <v>221</v>
      </c>
      <c r="B46" s="189" t="str">
        <f>SUBTOTAL(109,$CK$44:CK46)&amp;". Tiền thu đi vay"</f>
        <v>1. Tiền thu đi vay</v>
      </c>
      <c r="C46" s="187"/>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9"/>
      <c r="AD46" s="169"/>
      <c r="AE46" s="1272">
        <f t="shared" si="13"/>
        <v>2830656545</v>
      </c>
      <c r="AF46" s="1272"/>
      <c r="AG46" s="1272"/>
      <c r="AH46" s="1272"/>
      <c r="AI46" s="1272"/>
      <c r="AJ46" s="1272"/>
      <c r="AK46" s="191"/>
      <c r="AL46" s="1273">
        <v>6275316044</v>
      </c>
      <c r="AM46" s="1273"/>
      <c r="AN46" s="1273"/>
      <c r="AO46" s="1273"/>
      <c r="AP46" s="1273"/>
      <c r="AQ46" s="1273"/>
      <c r="AR46" s="190"/>
      <c r="AS46" s="170" t="str">
        <f t="shared" si="1"/>
        <v>33</v>
      </c>
      <c r="AT46" s="189" t="str">
        <f>SUBTOTAL(109,$CK$44:CK46)&amp;". Proceeds from borrowings"</f>
        <v>1. Proceeds from borrowings</v>
      </c>
      <c r="AU46" s="188"/>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9"/>
      <c r="BV46" s="169"/>
      <c r="BW46" s="1272">
        <f t="shared" si="14"/>
        <v>2830656545</v>
      </c>
      <c r="BX46" s="1272"/>
      <c r="BY46" s="1272"/>
      <c r="BZ46" s="1272"/>
      <c r="CA46" s="1272"/>
      <c r="CB46" s="1272"/>
      <c r="CC46" s="1172"/>
      <c r="CD46" s="1272">
        <f t="shared" si="15"/>
        <v>6275316044</v>
      </c>
      <c r="CE46" s="1272"/>
      <c r="CF46" s="1272"/>
      <c r="CG46" s="1272"/>
      <c r="CH46" s="1272"/>
      <c r="CI46" s="1272"/>
      <c r="CJ46" s="187"/>
      <c r="CK46" s="186">
        <f t="shared" si="2"/>
        <v>1</v>
      </c>
      <c r="CL46" s="160">
        <f t="shared" si="0"/>
        <v>0</v>
      </c>
      <c r="CM46" s="160">
        <f t="shared" si="3"/>
        <v>0</v>
      </c>
    </row>
    <row r="47" spans="1:91" s="185" customFormat="1" ht="14.1" customHeight="1" x14ac:dyDescent="0.25">
      <c r="A47" s="170" t="s">
        <v>220</v>
      </c>
      <c r="B47" s="189" t="str">
        <f>SUBTOTAL(109,$CK$44:CK47)&amp;". Tiền trả nợ gốc vay"</f>
        <v>2. Tiền trả nợ gốc vay</v>
      </c>
      <c r="C47" s="187"/>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9"/>
      <c r="AD47" s="169"/>
      <c r="AE47" s="1272">
        <f t="shared" si="13"/>
        <v>-4383180143</v>
      </c>
      <c r="AF47" s="1272"/>
      <c r="AG47" s="1272"/>
      <c r="AH47" s="1272"/>
      <c r="AI47" s="1272"/>
      <c r="AJ47" s="1272"/>
      <c r="AK47" s="191"/>
      <c r="AL47" s="1273">
        <v>-10524993544</v>
      </c>
      <c r="AM47" s="1273"/>
      <c r="AN47" s="1273"/>
      <c r="AO47" s="1273"/>
      <c r="AP47" s="1273"/>
      <c r="AQ47" s="1273"/>
      <c r="AR47" s="190"/>
      <c r="AS47" s="170" t="str">
        <f t="shared" si="1"/>
        <v>34</v>
      </c>
      <c r="AT47" s="189" t="str">
        <f>SUBTOTAL(109,$CK$44:CK47)&amp;". Repayment of principal"</f>
        <v>2. Repayment of principal</v>
      </c>
      <c r="AU47" s="188"/>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9"/>
      <c r="BV47" s="169"/>
      <c r="BW47" s="1272">
        <f t="shared" si="14"/>
        <v>-4383180143</v>
      </c>
      <c r="BX47" s="1272"/>
      <c r="BY47" s="1272"/>
      <c r="BZ47" s="1272"/>
      <c r="CA47" s="1272"/>
      <c r="CB47" s="1272"/>
      <c r="CC47" s="1172"/>
      <c r="CD47" s="1272">
        <f t="shared" si="15"/>
        <v>-10524993544</v>
      </c>
      <c r="CE47" s="1272"/>
      <c r="CF47" s="1272"/>
      <c r="CG47" s="1272"/>
      <c r="CH47" s="1272"/>
      <c r="CI47" s="1272"/>
      <c r="CJ47" s="187"/>
      <c r="CK47" s="186">
        <f t="shared" si="2"/>
        <v>1</v>
      </c>
      <c r="CL47" s="160">
        <f t="shared" si="0"/>
        <v>0</v>
      </c>
      <c r="CM47" s="160">
        <f t="shared" si="3"/>
        <v>0</v>
      </c>
    </row>
    <row r="48" spans="1:91" s="185" customFormat="1" ht="14.1" hidden="1" customHeight="1" x14ac:dyDescent="0.25">
      <c r="A48" s="170" t="s">
        <v>219</v>
      </c>
      <c r="B48" s="189" t="str">
        <f>SUBTOTAL(109,$CK$44:CK48)&amp;". Tiền trả nợ gốc thuê tài chính"</f>
        <v>2. Tiền trả nợ gốc thuê tài chính</v>
      </c>
      <c r="C48" s="187"/>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9"/>
      <c r="AD48" s="169"/>
      <c r="AE48" s="1272">
        <f t="shared" si="13"/>
        <v>0</v>
      </c>
      <c r="AF48" s="1272"/>
      <c r="AG48" s="1272"/>
      <c r="AH48" s="1272"/>
      <c r="AI48" s="1272"/>
      <c r="AJ48" s="1272"/>
      <c r="AK48" s="191"/>
      <c r="AL48" s="1273">
        <v>0</v>
      </c>
      <c r="AM48" s="1273"/>
      <c r="AN48" s="1273"/>
      <c r="AO48" s="1273"/>
      <c r="AP48" s="1273"/>
      <c r="AQ48" s="1273"/>
      <c r="AR48" s="190"/>
      <c r="AS48" s="170" t="str">
        <f t="shared" si="1"/>
        <v>35</v>
      </c>
      <c r="AT48" s="189" t="str">
        <f>SUBTOTAL(109,$CK$44:CK48)&amp;". Repayment of financial principal"</f>
        <v>2. Repayment of financial principal</v>
      </c>
      <c r="AU48" s="188"/>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9"/>
      <c r="BV48" s="169"/>
      <c r="BW48" s="1272">
        <f t="shared" si="14"/>
        <v>0</v>
      </c>
      <c r="BX48" s="1272"/>
      <c r="BY48" s="1272"/>
      <c r="BZ48" s="1272"/>
      <c r="CA48" s="1272"/>
      <c r="CB48" s="1272"/>
      <c r="CC48" s="1172"/>
      <c r="CD48" s="1272">
        <f t="shared" si="15"/>
        <v>0</v>
      </c>
      <c r="CE48" s="1272"/>
      <c r="CF48" s="1272"/>
      <c r="CG48" s="1272"/>
      <c r="CH48" s="1272"/>
      <c r="CI48" s="1272"/>
      <c r="CJ48" s="187"/>
      <c r="CK48" s="186">
        <f t="shared" si="2"/>
        <v>0</v>
      </c>
      <c r="CL48" s="160">
        <f t="shared" si="0"/>
        <v>0</v>
      </c>
      <c r="CM48" s="160">
        <f t="shared" si="3"/>
        <v>0</v>
      </c>
    </row>
    <row r="49" spans="1:91" s="185" customFormat="1" ht="14.1" hidden="1" customHeight="1" x14ac:dyDescent="0.25">
      <c r="A49" s="170" t="s">
        <v>218</v>
      </c>
      <c r="B49" s="189" t="str">
        <f>SUBTOTAL(109,$CK$44:CK49)&amp;". Cổ tức, lợi nhuận đã trả cho chủ sở hữu"</f>
        <v>2. Cổ tức, lợi nhuận đã trả cho chủ sở hữu</v>
      </c>
      <c r="C49" s="187"/>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9"/>
      <c r="AD49" s="169"/>
      <c r="AE49" s="1272">
        <f t="shared" si="13"/>
        <v>0</v>
      </c>
      <c r="AF49" s="1272"/>
      <c r="AG49" s="1272"/>
      <c r="AH49" s="1272"/>
      <c r="AI49" s="1272"/>
      <c r="AJ49" s="1272"/>
      <c r="AK49" s="191"/>
      <c r="AL49" s="1273">
        <v>0</v>
      </c>
      <c r="AM49" s="1273"/>
      <c r="AN49" s="1273"/>
      <c r="AO49" s="1273"/>
      <c r="AP49" s="1273"/>
      <c r="AQ49" s="1273"/>
      <c r="AR49" s="190"/>
      <c r="AS49" s="170" t="str">
        <f t="shared" si="1"/>
        <v>36</v>
      </c>
      <c r="AT49" s="189" t="str">
        <f>SUBTOTAL(109,$CK$44:CK49)&amp;". Dividends or profits paid to owners"</f>
        <v>2. Dividends or profits paid to owners</v>
      </c>
      <c r="AU49" s="188"/>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9"/>
      <c r="BV49" s="169"/>
      <c r="BW49" s="1272">
        <f t="shared" si="14"/>
        <v>0</v>
      </c>
      <c r="BX49" s="1272"/>
      <c r="BY49" s="1272"/>
      <c r="BZ49" s="1272"/>
      <c r="CA49" s="1272"/>
      <c r="CB49" s="1272"/>
      <c r="CC49" s="1172"/>
      <c r="CD49" s="1272">
        <f t="shared" si="15"/>
        <v>0</v>
      </c>
      <c r="CE49" s="1272"/>
      <c r="CF49" s="1272"/>
      <c r="CG49" s="1272"/>
      <c r="CH49" s="1272"/>
      <c r="CI49" s="1272"/>
      <c r="CJ49" s="187"/>
      <c r="CK49" s="186">
        <f t="shared" si="2"/>
        <v>0</v>
      </c>
      <c r="CL49" s="160">
        <f t="shared" si="0"/>
        <v>0</v>
      </c>
      <c r="CM49" s="160">
        <f t="shared" si="3"/>
        <v>0</v>
      </c>
    </row>
    <row r="50" spans="1:91" s="159" customFormat="1" ht="15" customHeight="1" x14ac:dyDescent="0.25">
      <c r="A50" s="1171" t="s">
        <v>192</v>
      </c>
      <c r="B50" s="184" t="s">
        <v>217</v>
      </c>
      <c r="C50" s="183"/>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1"/>
      <c r="AD50" s="181"/>
      <c r="AE50" s="1269">
        <f>SUBTOTAL(109,AE44:AJ49)</f>
        <v>-1552523598</v>
      </c>
      <c r="AF50" s="1269"/>
      <c r="AG50" s="1269"/>
      <c r="AH50" s="1269"/>
      <c r="AI50" s="1269"/>
      <c r="AJ50" s="1269"/>
      <c r="AK50" s="180"/>
      <c r="AL50" s="1269">
        <f>SUBTOTAL(109,AL44:AQ49)</f>
        <v>-4249677500</v>
      </c>
      <c r="AM50" s="1269"/>
      <c r="AN50" s="1269"/>
      <c r="AO50" s="1269"/>
      <c r="AP50" s="1269"/>
      <c r="AQ50" s="1269"/>
      <c r="AR50" s="179"/>
      <c r="AS50" s="1180" t="str">
        <f t="shared" si="1"/>
        <v>40</v>
      </c>
      <c r="AT50" s="178" t="s">
        <v>216</v>
      </c>
      <c r="AU50" s="178"/>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7"/>
      <c r="BR50" s="177"/>
      <c r="BS50" s="177"/>
      <c r="BT50" s="177"/>
      <c r="BU50" s="176"/>
      <c r="BV50" s="176"/>
      <c r="BW50" s="1270">
        <f>SUBTOTAL(109,BW44:CB49)</f>
        <v>-1552523598</v>
      </c>
      <c r="BX50" s="1270"/>
      <c r="BY50" s="1270"/>
      <c r="BZ50" s="1270"/>
      <c r="CA50" s="1270"/>
      <c r="CB50" s="1270"/>
      <c r="CC50" s="1170"/>
      <c r="CD50" s="1270">
        <f>SUBTOTAL(109,CD44:CI49)</f>
        <v>-4249677500</v>
      </c>
      <c r="CE50" s="1270"/>
      <c r="CF50" s="1270"/>
      <c r="CG50" s="1270"/>
      <c r="CH50" s="1270"/>
      <c r="CI50" s="1270"/>
      <c r="CJ50" s="161"/>
      <c r="CK50" s="175">
        <f t="shared" si="2"/>
        <v>1</v>
      </c>
      <c r="CL50" s="160">
        <f t="shared" si="0"/>
        <v>0</v>
      </c>
      <c r="CM50" s="160">
        <f t="shared" si="3"/>
        <v>0</v>
      </c>
    </row>
    <row r="51" spans="1:91" s="159" customFormat="1" ht="15" customHeight="1" x14ac:dyDescent="0.25">
      <c r="A51" s="1171" t="s">
        <v>191</v>
      </c>
      <c r="B51" s="1178" t="s">
        <v>215</v>
      </c>
      <c r="C51" s="157"/>
      <c r="D51" s="168"/>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72"/>
      <c r="AD51" s="172"/>
      <c r="AE51" s="1266">
        <f>AE33+AE42+AE50</f>
        <v>-221776007</v>
      </c>
      <c r="AF51" s="1266"/>
      <c r="AG51" s="1266"/>
      <c r="AH51" s="1266"/>
      <c r="AI51" s="1266"/>
      <c r="AJ51" s="1266"/>
      <c r="AK51" s="171"/>
      <c r="AL51" s="1271">
        <f>AL33+AL42+AL50</f>
        <v>-4109653159</v>
      </c>
      <c r="AM51" s="1271"/>
      <c r="AN51" s="1271"/>
      <c r="AO51" s="1271"/>
      <c r="AP51" s="1271"/>
      <c r="AQ51" s="1271"/>
      <c r="AR51" s="174"/>
      <c r="AS51" s="1180" t="str">
        <f t="shared" si="1"/>
        <v>50</v>
      </c>
      <c r="AT51" s="165" t="s">
        <v>214</v>
      </c>
      <c r="AU51" s="163"/>
      <c r="AV51" s="164"/>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9"/>
      <c r="BV51" s="169"/>
      <c r="BW51" s="1268">
        <f>BW33+BW42+BW50</f>
        <v>-221776007</v>
      </c>
      <c r="BX51" s="1268"/>
      <c r="BY51" s="1268"/>
      <c r="BZ51" s="1268"/>
      <c r="CA51" s="1268"/>
      <c r="CB51" s="1268"/>
      <c r="CC51" s="1172"/>
      <c r="CD51" s="1268">
        <f>CD33+CD42+CD50</f>
        <v>-4109653159</v>
      </c>
      <c r="CE51" s="1268"/>
      <c r="CF51" s="1268"/>
      <c r="CG51" s="1268"/>
      <c r="CH51" s="1268"/>
      <c r="CI51" s="1268"/>
      <c r="CJ51" s="1178"/>
      <c r="CK51" s="175">
        <f t="shared" si="2"/>
        <v>1</v>
      </c>
      <c r="CL51" s="160">
        <f t="shared" si="0"/>
        <v>0</v>
      </c>
      <c r="CM51" s="160">
        <f t="shared" si="3"/>
        <v>0</v>
      </c>
    </row>
    <row r="52" spans="1:91" s="159" customFormat="1" ht="15" customHeight="1" x14ac:dyDescent="0.25">
      <c r="A52" s="1171" t="s">
        <v>188</v>
      </c>
      <c r="B52" s="1178" t="s">
        <v>213</v>
      </c>
      <c r="C52" s="157"/>
      <c r="D52" s="168"/>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72"/>
      <c r="AD52" s="172"/>
      <c r="AE52" s="1266">
        <f>KT_CT110</f>
        <v>3971638435</v>
      </c>
      <c r="AF52" s="1266"/>
      <c r="AG52" s="1266"/>
      <c r="AH52" s="1266"/>
      <c r="AI52" s="1266"/>
      <c r="AJ52" s="1266"/>
      <c r="AK52" s="171"/>
      <c r="AL52" s="1267">
        <v>8080429839</v>
      </c>
      <c r="AM52" s="1267"/>
      <c r="AN52" s="1267"/>
      <c r="AO52" s="1267"/>
      <c r="AP52" s="1267"/>
      <c r="AQ52" s="1267"/>
      <c r="AR52" s="174"/>
      <c r="AS52" s="1180" t="str">
        <f t="shared" si="1"/>
        <v>60</v>
      </c>
      <c r="AT52" s="165" t="s">
        <v>212</v>
      </c>
      <c r="AU52" s="163"/>
      <c r="AV52" s="164"/>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9"/>
      <c r="BV52" s="169"/>
      <c r="BW52" s="1268">
        <f>AE52</f>
        <v>3971638435</v>
      </c>
      <c r="BX52" s="1268"/>
      <c r="BY52" s="1268"/>
      <c r="BZ52" s="1268"/>
      <c r="CA52" s="1268"/>
      <c r="CB52" s="1268"/>
      <c r="CC52" s="1172"/>
      <c r="CD52" s="1268">
        <f>AL52</f>
        <v>8080429839</v>
      </c>
      <c r="CE52" s="1268"/>
      <c r="CF52" s="1268"/>
      <c r="CG52" s="1268"/>
      <c r="CH52" s="1268"/>
      <c r="CI52" s="1268"/>
      <c r="CJ52" s="1178"/>
      <c r="CK52" s="161">
        <f t="shared" si="2"/>
        <v>1</v>
      </c>
      <c r="CL52" s="160">
        <f t="shared" si="0"/>
        <v>0</v>
      </c>
      <c r="CM52" s="160">
        <f t="shared" si="3"/>
        <v>0</v>
      </c>
    </row>
    <row r="53" spans="1:91" s="159" customFormat="1" ht="14.1" customHeight="1" x14ac:dyDescent="0.25">
      <c r="A53" s="173" t="s">
        <v>211</v>
      </c>
      <c r="B53" s="161" t="s">
        <v>210</v>
      </c>
      <c r="C53" s="161"/>
      <c r="D53" s="168"/>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72"/>
      <c r="AD53" s="172"/>
      <c r="AE53" s="1262">
        <v>-155219</v>
      </c>
      <c r="AF53" s="1262"/>
      <c r="AG53" s="1262"/>
      <c r="AH53" s="1262"/>
      <c r="AI53" s="1262"/>
      <c r="AJ53" s="1262"/>
      <c r="AK53" s="171"/>
      <c r="AL53" s="1263">
        <v>861755</v>
      </c>
      <c r="AM53" s="1263"/>
      <c r="AN53" s="1263"/>
      <c r="AO53" s="1263"/>
      <c r="AP53" s="1263"/>
      <c r="AQ53" s="1263"/>
      <c r="AR53" s="166"/>
      <c r="AS53" s="170" t="str">
        <f t="shared" si="1"/>
        <v>61</v>
      </c>
      <c r="AT53" s="1264" t="s">
        <v>209</v>
      </c>
      <c r="AU53" s="1264"/>
      <c r="AV53" s="1264"/>
      <c r="AW53" s="1264"/>
      <c r="AX53" s="1264"/>
      <c r="AY53" s="1264"/>
      <c r="AZ53" s="1264"/>
      <c r="BA53" s="1264"/>
      <c r="BB53" s="1264"/>
      <c r="BC53" s="1264"/>
      <c r="BD53" s="1264"/>
      <c r="BE53" s="1264"/>
      <c r="BF53" s="1264"/>
      <c r="BG53" s="1264"/>
      <c r="BH53" s="1264"/>
      <c r="BI53" s="1264"/>
      <c r="BJ53" s="1264"/>
      <c r="BK53" s="163"/>
      <c r="BL53" s="163"/>
      <c r="BM53" s="163"/>
      <c r="BN53" s="163"/>
      <c r="BO53" s="163"/>
      <c r="BP53" s="163"/>
      <c r="BQ53" s="163"/>
      <c r="BR53" s="163"/>
      <c r="BS53" s="163"/>
      <c r="BT53" s="163"/>
      <c r="BU53" s="169"/>
      <c r="BV53" s="169"/>
      <c r="BW53" s="1265">
        <f>AE53</f>
        <v>-155219</v>
      </c>
      <c r="BX53" s="1265"/>
      <c r="BY53" s="1265"/>
      <c r="BZ53" s="1265"/>
      <c r="CA53" s="1265"/>
      <c r="CB53" s="1265"/>
      <c r="CC53" s="1172"/>
      <c r="CD53" s="1265">
        <f>AL53</f>
        <v>861755</v>
      </c>
      <c r="CE53" s="1265"/>
      <c r="CF53" s="1265"/>
      <c r="CG53" s="1265"/>
      <c r="CH53" s="1265"/>
      <c r="CI53" s="1265"/>
      <c r="CJ53" s="162"/>
      <c r="CK53" s="161">
        <f t="shared" si="2"/>
        <v>1</v>
      </c>
      <c r="CL53" s="160">
        <f t="shared" si="0"/>
        <v>0</v>
      </c>
      <c r="CM53" s="160">
        <f t="shared" si="3"/>
        <v>0</v>
      </c>
    </row>
    <row r="54" spans="1:91" s="159" customFormat="1" ht="15" customHeight="1" thickBot="1" x14ac:dyDescent="0.3">
      <c r="A54" s="1171" t="s">
        <v>187</v>
      </c>
      <c r="B54" s="1178" t="s">
        <v>208</v>
      </c>
      <c r="C54" s="157"/>
      <c r="D54" s="168"/>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259">
        <f>IF(STT_Tien1&gt;0,STT_Tien,"")</f>
        <v>3</v>
      </c>
      <c r="AC54" s="1259"/>
      <c r="AD54" s="1259"/>
      <c r="AE54" s="1260">
        <f>AE51+AE52+AE53</f>
        <v>3749707209</v>
      </c>
      <c r="AF54" s="1260"/>
      <c r="AG54" s="1260"/>
      <c r="AH54" s="1260"/>
      <c r="AI54" s="1260"/>
      <c r="AJ54" s="1260"/>
      <c r="AK54" s="167"/>
      <c r="AL54" s="1260">
        <f>AL51+AL52+AL53</f>
        <v>3971638435</v>
      </c>
      <c r="AM54" s="1260"/>
      <c r="AN54" s="1260"/>
      <c r="AO54" s="1260"/>
      <c r="AP54" s="1260"/>
      <c r="AQ54" s="1260"/>
      <c r="AR54" s="166"/>
      <c r="AS54" s="1180" t="str">
        <f t="shared" si="1"/>
        <v>70</v>
      </c>
      <c r="AT54" s="165" t="s">
        <v>207</v>
      </c>
      <c r="AU54" s="163"/>
      <c r="AV54" s="164"/>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259">
        <f>AB54</f>
        <v>3</v>
      </c>
      <c r="BU54" s="1259"/>
      <c r="BV54" s="1259"/>
      <c r="BW54" s="1261">
        <f>BW51+BW52+BW53</f>
        <v>3749707209</v>
      </c>
      <c r="BX54" s="1261"/>
      <c r="BY54" s="1261"/>
      <c r="BZ54" s="1261"/>
      <c r="CA54" s="1261"/>
      <c r="CB54" s="1261"/>
      <c r="CC54" s="1172"/>
      <c r="CD54" s="1261">
        <f>CD51+CD52+CD53</f>
        <v>3971638435</v>
      </c>
      <c r="CE54" s="1261"/>
      <c r="CF54" s="1261"/>
      <c r="CG54" s="1261"/>
      <c r="CH54" s="1261"/>
      <c r="CI54" s="1261"/>
      <c r="CJ54" s="162"/>
      <c r="CK54" s="161">
        <f t="shared" si="2"/>
        <v>1</v>
      </c>
      <c r="CL54" s="160">
        <f t="shared" si="0"/>
        <v>0</v>
      </c>
      <c r="CM54" s="160">
        <f>IF(ISNONTEXT(AL54),AL54-CD54,0)</f>
        <v>0</v>
      </c>
    </row>
    <row r="55" spans="1:91" s="159" customFormat="1" ht="9.75" customHeight="1" thickTop="1" x14ac:dyDescent="0.25">
      <c r="A55" s="1171"/>
      <c r="B55" s="1178"/>
      <c r="C55" s="157"/>
      <c r="D55" s="168"/>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169"/>
      <c r="AC55" s="1169"/>
      <c r="AD55" s="1169"/>
      <c r="AE55" s="1196"/>
      <c r="AF55" s="1196"/>
      <c r="AG55" s="1196"/>
      <c r="AH55" s="1196"/>
      <c r="AI55" s="1196"/>
      <c r="AJ55" s="1196"/>
      <c r="AK55" s="167"/>
      <c r="AL55" s="1196"/>
      <c r="AM55" s="1196"/>
      <c r="AN55" s="1196"/>
      <c r="AO55" s="1196"/>
      <c r="AP55" s="1196"/>
      <c r="AQ55" s="1196"/>
      <c r="AR55" s="166"/>
      <c r="AS55" s="1180"/>
      <c r="AT55" s="165"/>
      <c r="AU55" s="163"/>
      <c r="AV55" s="164"/>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169"/>
      <c r="BU55" s="1169"/>
      <c r="BV55" s="1169"/>
      <c r="BW55" s="1197"/>
      <c r="BX55" s="1197"/>
      <c r="BY55" s="1197"/>
      <c r="BZ55" s="1197"/>
      <c r="CA55" s="1197"/>
      <c r="CB55" s="1197"/>
      <c r="CC55" s="1172"/>
      <c r="CD55" s="1197"/>
      <c r="CE55" s="1197"/>
      <c r="CF55" s="1197"/>
      <c r="CG55" s="1197"/>
      <c r="CH55" s="1197"/>
      <c r="CI55" s="1197"/>
      <c r="CJ55" s="162"/>
      <c r="CK55" s="161"/>
      <c r="CL55" s="160"/>
      <c r="CM55" s="160"/>
    </row>
    <row r="56" spans="1:91" s="27" customFormat="1" ht="14.1" customHeight="1" outlineLevel="1" x14ac:dyDescent="0.25">
      <c r="A56" s="46"/>
      <c r="B56" s="111"/>
      <c r="C56" s="112"/>
      <c r="D56" s="113"/>
      <c r="E56" s="113"/>
      <c r="F56" s="113"/>
      <c r="G56" s="113"/>
      <c r="H56" s="113"/>
      <c r="I56" s="113"/>
      <c r="J56" s="113"/>
      <c r="K56" s="113"/>
      <c r="L56" s="113"/>
      <c r="M56" s="113"/>
      <c r="N56" s="113"/>
      <c r="O56" s="113"/>
      <c r="P56" s="113"/>
      <c r="Q56" s="1195" t="s">
        <v>2135</v>
      </c>
      <c r="R56" s="1195"/>
      <c r="S56" s="1195"/>
      <c r="T56" s="1195"/>
      <c r="U56" s="1193"/>
      <c r="V56" s="1193"/>
      <c r="W56" s="1193"/>
      <c r="X56" s="1193"/>
      <c r="Y56" s="1193"/>
      <c r="Z56" s="1193"/>
      <c r="AA56" s="1193"/>
      <c r="AB56" s="1195"/>
      <c r="AC56" s="1195"/>
      <c r="AD56" s="1257" t="s">
        <v>2141</v>
      </c>
      <c r="AE56" s="1257"/>
      <c r="AF56" s="1257"/>
      <c r="AG56" s="1257"/>
      <c r="AH56" s="1257"/>
      <c r="AI56" s="1257"/>
      <c r="AJ56" s="1257"/>
      <c r="AK56" s="1257"/>
      <c r="AL56" s="1257"/>
      <c r="AM56" s="1257"/>
      <c r="AN56" s="1257"/>
      <c r="AO56" s="1257"/>
      <c r="AP56" s="1257"/>
      <c r="AQ56" s="1257"/>
      <c r="AR56" s="113"/>
      <c r="AS56" s="46"/>
      <c r="AT56" s="111"/>
      <c r="AU56" s="112"/>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4"/>
      <c r="BV56" s="1193"/>
      <c r="BW56" s="114"/>
      <c r="BX56" s="114"/>
      <c r="BY56" s="114"/>
      <c r="BZ56" s="115"/>
      <c r="CA56" s="113"/>
      <c r="CC56" s="1193"/>
      <c r="CD56" s="113"/>
      <c r="CE56" s="113"/>
      <c r="CF56" s="113"/>
      <c r="CG56" s="113"/>
      <c r="CH56" s="113"/>
      <c r="CI56" s="113"/>
      <c r="CJ56" s="113"/>
      <c r="CK56" s="28"/>
      <c r="CL56" s="1194"/>
      <c r="CM56" s="1194"/>
    </row>
    <row r="57" spans="1:91" s="27" customFormat="1" ht="15" customHeight="1" outlineLevel="1" x14ac:dyDescent="0.25">
      <c r="A57" s="46"/>
      <c r="B57" s="111"/>
      <c r="C57" s="112"/>
      <c r="D57" s="116" t="str">
        <f>IF(Kieu_chan_ky="Kiểu 1",ChucDanh_NguoiLap_V,"")</f>
        <v>Người lập biểu</v>
      </c>
      <c r="E57" s="113"/>
      <c r="F57" s="113"/>
      <c r="G57" s="113"/>
      <c r="H57" s="116"/>
      <c r="I57" s="113"/>
      <c r="J57" s="113"/>
      <c r="L57" s="116"/>
      <c r="M57" s="113"/>
      <c r="N57" s="113"/>
      <c r="O57" s="113"/>
      <c r="P57" s="116"/>
      <c r="Q57" s="113"/>
      <c r="R57" s="116" t="str">
        <f>IF(Kieu_chan_ky="Kiểu 1",ChucDanh_KTT_V,"")</f>
        <v>TP.TCKT</v>
      </c>
      <c r="T57" s="113"/>
      <c r="U57" s="113"/>
      <c r="V57" s="113"/>
      <c r="W57" s="113"/>
      <c r="X57" s="113"/>
      <c r="Y57" s="113"/>
      <c r="Z57" s="113"/>
      <c r="AA57" s="113"/>
      <c r="AB57" s="113"/>
      <c r="AC57" s="114"/>
      <c r="AD57" s="117" t="str">
        <f>IF(VALUE(Dk_1cot)&lt;=6,ChucDanh_ThuTruong_V,"")</f>
        <v/>
      </c>
      <c r="AE57" s="114"/>
      <c r="AF57" s="114"/>
      <c r="AG57" s="114"/>
      <c r="AH57" s="117"/>
      <c r="AI57" s="113"/>
      <c r="AK57" s="117" t="str">
        <f>IF(Kieu_chan_ky="Kiểu 1",ChucDanh_ThuTruong_V,"")</f>
        <v>Giám đốc</v>
      </c>
      <c r="AL57" s="113"/>
      <c r="AM57" s="113"/>
      <c r="AN57" s="113"/>
      <c r="AO57" s="113"/>
      <c r="AP57" s="113"/>
      <c r="AQ57" s="113"/>
      <c r="AR57" s="113"/>
      <c r="AS57" s="46"/>
      <c r="AT57" s="111"/>
      <c r="AU57" s="112"/>
      <c r="AV57" s="116" t="str">
        <f>IF(Kieu_chan_ky="Kiểu 1",ChucDanh_NguoiLap_E,"")</f>
        <v>Preparer</v>
      </c>
      <c r="AW57" s="113"/>
      <c r="AX57" s="113"/>
      <c r="AY57" s="113"/>
      <c r="AZ57" s="116"/>
      <c r="BA57" s="113"/>
      <c r="BB57" s="113"/>
      <c r="BD57" s="116"/>
      <c r="BE57" s="113"/>
      <c r="BF57" s="113"/>
      <c r="BG57" s="113"/>
      <c r="BH57" s="116"/>
      <c r="BI57" s="113"/>
      <c r="BJ57" s="116" t="str">
        <f>IF(Kieu_chan_ky="Kiểu 1",ChucDanh_KTT_E,"")</f>
        <v>Chief Accountant</v>
      </c>
      <c r="BL57" s="113"/>
      <c r="BM57" s="113"/>
      <c r="BN57" s="113"/>
      <c r="BO57" s="113"/>
      <c r="BP57" s="113"/>
      <c r="BQ57" s="113"/>
      <c r="BR57" s="113"/>
      <c r="BS57" s="113"/>
      <c r="BT57" s="113"/>
      <c r="BU57" s="114"/>
      <c r="BV57" s="117" t="str">
        <f>IF(VALUE(Dk_1cot)&lt;=6,ChucDanh_ThuTruong_E,"")</f>
        <v/>
      </c>
      <c r="BW57" s="114"/>
      <c r="BX57" s="114"/>
      <c r="BY57" s="114"/>
      <c r="BZ57" s="117"/>
      <c r="CA57" s="113"/>
      <c r="CC57" s="117" t="str">
        <f>IF(Kieu_chan_ky="Kiểu 1",ChucDanh_ThuTruong_E,"")</f>
        <v>General Director</v>
      </c>
      <c r="CD57" s="113"/>
      <c r="CE57" s="113"/>
      <c r="CF57" s="113"/>
      <c r="CG57" s="113"/>
      <c r="CH57" s="113"/>
      <c r="CI57" s="113"/>
      <c r="CJ57" s="113"/>
      <c r="CK57" s="28">
        <f t="shared" ref="CK57:CK63" si="16">IF(Kieu_chan_ky="Kiểu 1",1,0)</f>
        <v>1</v>
      </c>
      <c r="CL57" s="155">
        <f>AE54-[1]CDKT!V15</f>
        <v>0</v>
      </c>
    </row>
    <row r="58" spans="1:91" s="27" customFormat="1" ht="15" customHeight="1" outlineLevel="1" x14ac:dyDescent="0.25">
      <c r="A58" s="46"/>
      <c r="B58" s="111"/>
      <c r="C58" s="112"/>
      <c r="D58" s="113"/>
      <c r="E58" s="113"/>
      <c r="F58" s="113"/>
      <c r="G58" s="113"/>
      <c r="H58" s="113"/>
      <c r="I58" s="113"/>
      <c r="J58" s="113"/>
      <c r="L58" s="113"/>
      <c r="M58" s="113"/>
      <c r="N58" s="113"/>
      <c r="O58" s="113"/>
      <c r="P58" s="113"/>
      <c r="Q58" s="113"/>
      <c r="R58" s="113"/>
      <c r="T58" s="113"/>
      <c r="U58" s="113"/>
      <c r="V58" s="113"/>
      <c r="W58" s="113"/>
      <c r="X58" s="113"/>
      <c r="Y58" s="113"/>
      <c r="Z58" s="113"/>
      <c r="AA58" s="113"/>
      <c r="AB58" s="113"/>
      <c r="AC58" s="114"/>
      <c r="AD58" s="114"/>
      <c r="AE58" s="114"/>
      <c r="AF58" s="114"/>
      <c r="AG58" s="114"/>
      <c r="AH58" s="114"/>
      <c r="AI58" s="113"/>
      <c r="AK58" s="113"/>
      <c r="AL58" s="113"/>
      <c r="AM58" s="113"/>
      <c r="AN58" s="113"/>
      <c r="AO58" s="113"/>
      <c r="AP58" s="113"/>
      <c r="AQ58" s="113"/>
      <c r="AR58" s="113"/>
      <c r="AS58" s="46"/>
      <c r="AT58" s="111"/>
      <c r="AU58" s="112"/>
      <c r="AV58" s="113"/>
      <c r="AW58" s="113"/>
      <c r="AX58" s="113"/>
      <c r="AY58" s="113"/>
      <c r="AZ58" s="113"/>
      <c r="BA58" s="113"/>
      <c r="BB58" s="113"/>
      <c r="BD58" s="113"/>
      <c r="BE58" s="113"/>
      <c r="BF58" s="113"/>
      <c r="BG58" s="113"/>
      <c r="BH58" s="113"/>
      <c r="BI58" s="113"/>
      <c r="BJ58" s="113"/>
      <c r="BL58" s="113"/>
      <c r="BM58" s="113"/>
      <c r="BN58" s="113"/>
      <c r="BO58" s="113"/>
      <c r="BP58" s="113"/>
      <c r="BQ58" s="113"/>
      <c r="BR58" s="113"/>
      <c r="BS58" s="113"/>
      <c r="BT58" s="113"/>
      <c r="BU58" s="114"/>
      <c r="BV58" s="113"/>
      <c r="BW58" s="114"/>
      <c r="BX58" s="114"/>
      <c r="BY58" s="114"/>
      <c r="BZ58" s="114"/>
      <c r="CA58" s="113"/>
      <c r="CC58" s="113"/>
      <c r="CD58" s="113"/>
      <c r="CE58" s="113"/>
      <c r="CF58" s="113"/>
      <c r="CG58" s="113"/>
      <c r="CH58" s="113"/>
      <c r="CI58" s="113"/>
      <c r="CJ58" s="113"/>
      <c r="CK58" s="28">
        <f t="shared" si="16"/>
        <v>1</v>
      </c>
    </row>
    <row r="59" spans="1:91" s="27" customFormat="1" ht="15" customHeight="1" outlineLevel="1" x14ac:dyDescent="0.25">
      <c r="A59" s="46"/>
      <c r="B59" s="111"/>
      <c r="C59" s="112"/>
      <c r="D59" s="113"/>
      <c r="E59" s="113"/>
      <c r="F59" s="113"/>
      <c r="G59" s="113"/>
      <c r="H59" s="113"/>
      <c r="I59" s="113"/>
      <c r="J59" s="113"/>
      <c r="L59" s="113"/>
      <c r="M59" s="113"/>
      <c r="N59" s="113"/>
      <c r="O59" s="113"/>
      <c r="P59" s="113"/>
      <c r="Q59" s="113"/>
      <c r="R59" s="113"/>
      <c r="T59" s="113"/>
      <c r="U59" s="113"/>
      <c r="V59" s="113"/>
      <c r="W59" s="113"/>
      <c r="X59" s="113"/>
      <c r="Y59" s="113"/>
      <c r="Z59" s="113"/>
      <c r="AA59" s="113"/>
      <c r="AB59" s="113"/>
      <c r="AC59" s="114"/>
      <c r="AD59" s="114"/>
      <c r="AE59" s="114"/>
      <c r="AF59" s="114"/>
      <c r="AG59" s="114"/>
      <c r="AH59" s="114"/>
      <c r="AI59" s="113"/>
      <c r="AK59" s="113"/>
      <c r="AL59" s="113"/>
      <c r="AM59" s="113"/>
      <c r="AN59" s="113"/>
      <c r="AO59" s="113"/>
      <c r="AP59" s="113"/>
      <c r="AQ59" s="113"/>
      <c r="AR59" s="113"/>
      <c r="AS59" s="46"/>
      <c r="AT59" s="111"/>
      <c r="AU59" s="112"/>
      <c r="AV59" s="113"/>
      <c r="AW59" s="113"/>
      <c r="AX59" s="113"/>
      <c r="AY59" s="113"/>
      <c r="AZ59" s="113"/>
      <c r="BA59" s="113"/>
      <c r="BB59" s="113"/>
      <c r="BD59" s="113"/>
      <c r="BE59" s="113"/>
      <c r="BF59" s="113"/>
      <c r="BG59" s="113"/>
      <c r="BH59" s="113"/>
      <c r="BI59" s="113"/>
      <c r="BJ59" s="113"/>
      <c r="BL59" s="113"/>
      <c r="BM59" s="113"/>
      <c r="BN59" s="113"/>
      <c r="BO59" s="113"/>
      <c r="BP59" s="113"/>
      <c r="BQ59" s="113"/>
      <c r="BR59" s="113"/>
      <c r="BS59" s="113"/>
      <c r="BT59" s="113"/>
      <c r="BU59" s="114"/>
      <c r="BV59" s="113"/>
      <c r="BW59" s="114"/>
      <c r="BX59" s="114"/>
      <c r="BY59" s="114"/>
      <c r="BZ59" s="114"/>
      <c r="CA59" s="113"/>
      <c r="CC59" s="113"/>
      <c r="CD59" s="113"/>
      <c r="CE59" s="113"/>
      <c r="CF59" s="113"/>
      <c r="CG59" s="113"/>
      <c r="CH59" s="113"/>
      <c r="CI59" s="113"/>
      <c r="CJ59" s="113"/>
      <c r="CK59" s="28"/>
    </row>
    <row r="60" spans="1:91" s="27" customFormat="1" ht="15" customHeight="1" outlineLevel="1" x14ac:dyDescent="0.25">
      <c r="A60" s="46"/>
      <c r="B60" s="111"/>
      <c r="C60" s="112"/>
      <c r="D60" s="113"/>
      <c r="E60" s="113"/>
      <c r="F60" s="113"/>
      <c r="G60" s="113"/>
      <c r="H60" s="113"/>
      <c r="I60" s="113"/>
      <c r="J60" s="113"/>
      <c r="L60" s="113"/>
      <c r="M60" s="113"/>
      <c r="N60" s="113"/>
      <c r="O60" s="113"/>
      <c r="P60" s="113"/>
      <c r="Q60" s="113"/>
      <c r="R60" s="113"/>
      <c r="T60" s="113"/>
      <c r="U60" s="113"/>
      <c r="V60" s="113"/>
      <c r="W60" s="113"/>
      <c r="X60" s="113"/>
      <c r="Y60" s="113"/>
      <c r="Z60" s="113"/>
      <c r="AA60" s="113"/>
      <c r="AB60" s="113"/>
      <c r="AC60" s="114"/>
      <c r="AD60" s="114"/>
      <c r="AE60" s="114"/>
      <c r="AF60" s="114"/>
      <c r="AG60" s="114"/>
      <c r="AH60" s="114"/>
      <c r="AI60" s="113"/>
      <c r="AK60" s="113"/>
      <c r="AL60" s="113"/>
      <c r="AM60" s="113"/>
      <c r="AN60" s="113"/>
      <c r="AO60" s="113"/>
      <c r="AP60" s="113"/>
      <c r="AQ60" s="113"/>
      <c r="AR60" s="113"/>
      <c r="AS60" s="46"/>
      <c r="AT60" s="111"/>
      <c r="AU60" s="112"/>
      <c r="AV60" s="113"/>
      <c r="AW60" s="113"/>
      <c r="AX60" s="113"/>
      <c r="AY60" s="113"/>
      <c r="AZ60" s="113"/>
      <c r="BA60" s="113"/>
      <c r="BB60" s="113"/>
      <c r="BD60" s="113"/>
      <c r="BE60" s="113"/>
      <c r="BF60" s="113"/>
      <c r="BG60" s="113"/>
      <c r="BH60" s="113"/>
      <c r="BI60" s="113"/>
      <c r="BJ60" s="113"/>
      <c r="BL60" s="113"/>
      <c r="BM60" s="113"/>
      <c r="BN60" s="113"/>
      <c r="BO60" s="113"/>
      <c r="BP60" s="113"/>
      <c r="BQ60" s="113"/>
      <c r="BR60" s="113"/>
      <c r="BS60" s="113"/>
      <c r="BT60" s="113"/>
      <c r="BU60" s="114"/>
      <c r="BV60" s="113"/>
      <c r="BW60" s="114"/>
      <c r="BX60" s="114"/>
      <c r="BY60" s="114"/>
      <c r="BZ60" s="114"/>
      <c r="CA60" s="113"/>
      <c r="CC60" s="113"/>
      <c r="CD60" s="113"/>
      <c r="CE60" s="113"/>
      <c r="CF60" s="113"/>
      <c r="CG60" s="113"/>
      <c r="CH60" s="113"/>
      <c r="CI60" s="113"/>
      <c r="CJ60" s="113"/>
      <c r="CK60" s="28">
        <f t="shared" si="16"/>
        <v>1</v>
      </c>
    </row>
    <row r="61" spans="1:91" s="27" customFormat="1" ht="15" customHeight="1" outlineLevel="1" x14ac:dyDescent="0.25">
      <c r="A61" s="46"/>
      <c r="B61" s="111"/>
      <c r="C61" s="112"/>
      <c r="D61" s="113"/>
      <c r="E61" s="113"/>
      <c r="F61" s="113"/>
      <c r="G61" s="113"/>
      <c r="H61" s="113"/>
      <c r="I61" s="113"/>
      <c r="J61" s="113"/>
      <c r="L61" s="113"/>
      <c r="M61" s="113"/>
      <c r="N61" s="113"/>
      <c r="O61" s="113"/>
      <c r="P61" s="113"/>
      <c r="Q61" s="113"/>
      <c r="R61" s="113"/>
      <c r="T61" s="113"/>
      <c r="U61" s="113"/>
      <c r="V61" s="113"/>
      <c r="W61" s="113"/>
      <c r="X61" s="113"/>
      <c r="Y61" s="113"/>
      <c r="Z61" s="113"/>
      <c r="AA61" s="113"/>
      <c r="AB61" s="113"/>
      <c r="AC61" s="114"/>
      <c r="AD61" s="114"/>
      <c r="AE61" s="114"/>
      <c r="AF61" s="114"/>
      <c r="AG61" s="114"/>
      <c r="AH61" s="114"/>
      <c r="AI61" s="113"/>
      <c r="AK61" s="113"/>
      <c r="AL61" s="113"/>
      <c r="AM61" s="113"/>
      <c r="AN61" s="113"/>
      <c r="AO61" s="113"/>
      <c r="AP61" s="113"/>
      <c r="AQ61" s="113"/>
      <c r="AR61" s="113"/>
      <c r="AS61" s="46"/>
      <c r="AT61" s="111"/>
      <c r="AU61" s="112"/>
      <c r="AV61" s="113"/>
      <c r="AW61" s="113"/>
      <c r="AX61" s="113"/>
      <c r="AY61" s="113"/>
      <c r="AZ61" s="113"/>
      <c r="BA61" s="113"/>
      <c r="BB61" s="113"/>
      <c r="BD61" s="113"/>
      <c r="BE61" s="113"/>
      <c r="BF61" s="113"/>
      <c r="BG61" s="113"/>
      <c r="BH61" s="113"/>
      <c r="BI61" s="113"/>
      <c r="BJ61" s="113"/>
      <c r="BL61" s="113"/>
      <c r="BM61" s="113"/>
      <c r="BN61" s="113"/>
      <c r="BO61" s="113"/>
      <c r="BP61" s="113"/>
      <c r="BQ61" s="113"/>
      <c r="BR61" s="113"/>
      <c r="BS61" s="113"/>
      <c r="BT61" s="113"/>
      <c r="BU61" s="114"/>
      <c r="BV61" s="113"/>
      <c r="BW61" s="114"/>
      <c r="BX61" s="114"/>
      <c r="BY61" s="114"/>
      <c r="BZ61" s="114"/>
      <c r="CA61" s="113"/>
      <c r="CC61" s="113"/>
      <c r="CD61" s="113"/>
      <c r="CE61" s="113"/>
      <c r="CF61" s="113"/>
      <c r="CG61" s="113"/>
      <c r="CH61" s="113"/>
      <c r="CI61" s="113"/>
      <c r="CJ61" s="113"/>
      <c r="CK61" s="28">
        <f t="shared" si="16"/>
        <v>1</v>
      </c>
    </row>
    <row r="62" spans="1:91" s="27" customFormat="1" ht="15" customHeight="1" outlineLevel="1" x14ac:dyDescent="0.25">
      <c r="A62" s="1198" t="s">
        <v>293</v>
      </c>
      <c r="B62" s="111"/>
      <c r="C62" s="112"/>
      <c r="D62" s="118"/>
      <c r="E62" s="113"/>
      <c r="F62" s="113"/>
      <c r="G62" s="113"/>
      <c r="H62" s="118"/>
      <c r="I62" s="113"/>
      <c r="J62" s="113"/>
      <c r="L62" s="116"/>
      <c r="M62" s="113"/>
      <c r="N62" s="113"/>
      <c r="O62" s="1258" t="s">
        <v>292</v>
      </c>
      <c r="P62" s="1258"/>
      <c r="Q62" s="1258"/>
      <c r="R62" s="1258"/>
      <c r="S62" s="1258"/>
      <c r="T62" s="1258"/>
      <c r="U62" s="1258"/>
      <c r="V62" s="1258"/>
      <c r="W62" s="1258"/>
      <c r="X62" s="1258"/>
      <c r="Y62" s="1258"/>
      <c r="Z62" s="1258"/>
      <c r="AA62" s="1258"/>
      <c r="AB62" s="1258"/>
      <c r="AC62" s="114"/>
      <c r="AD62" s="114"/>
      <c r="AE62" s="114"/>
      <c r="AF62" s="114"/>
      <c r="AG62" s="114"/>
      <c r="AH62" s="115"/>
      <c r="AI62" s="113"/>
      <c r="AK62" s="115"/>
      <c r="AL62" s="113"/>
      <c r="AM62" s="113"/>
      <c r="AN62" s="113"/>
      <c r="AO62" s="113"/>
      <c r="AP62" s="113"/>
      <c r="AQ62" s="113"/>
      <c r="AR62" s="113"/>
      <c r="AS62" s="46"/>
      <c r="AT62" s="111"/>
      <c r="AU62" s="112"/>
      <c r="AV62" s="118"/>
      <c r="AW62" s="113"/>
      <c r="AX62" s="113"/>
      <c r="AY62" s="113"/>
      <c r="AZ62" s="118"/>
      <c r="BA62" s="113"/>
      <c r="BB62" s="113"/>
      <c r="BD62" s="116"/>
      <c r="BE62" s="113"/>
      <c r="BF62" s="113"/>
      <c r="BG62" s="113"/>
      <c r="BH62" s="118"/>
      <c r="BI62" s="113"/>
      <c r="BJ62" s="118"/>
      <c r="BL62" s="113"/>
      <c r="BM62" s="113"/>
      <c r="BN62" s="113"/>
      <c r="BO62" s="113"/>
      <c r="BP62" s="113"/>
      <c r="BQ62" s="113"/>
      <c r="BR62" s="113"/>
      <c r="BS62" s="113"/>
      <c r="BT62" s="113"/>
      <c r="BU62" s="114"/>
      <c r="BV62" s="113"/>
      <c r="BW62" s="114"/>
      <c r="BX62" s="114"/>
      <c r="BY62" s="114"/>
      <c r="BZ62" s="115"/>
      <c r="CA62" s="113"/>
      <c r="CC62" s="115"/>
      <c r="CD62" s="113"/>
      <c r="CE62" s="113"/>
      <c r="CF62" s="113"/>
      <c r="CG62" s="113"/>
      <c r="CH62" s="113"/>
      <c r="CI62" s="113"/>
      <c r="CJ62" s="113"/>
      <c r="CK62" s="28">
        <f t="shared" si="16"/>
        <v>1</v>
      </c>
    </row>
    <row r="63" spans="1:91" s="27" customFormat="1" ht="2.1" customHeight="1" x14ac:dyDescent="0.25">
      <c r="A63" s="46"/>
      <c r="B63" s="111"/>
      <c r="C63" s="112"/>
      <c r="D63" s="118"/>
      <c r="E63" s="113"/>
      <c r="F63" s="113"/>
      <c r="G63" s="113"/>
      <c r="H63" s="118"/>
      <c r="I63" s="113"/>
      <c r="J63" s="113"/>
      <c r="L63" s="116"/>
      <c r="M63" s="113"/>
      <c r="N63" s="113"/>
      <c r="O63" s="113"/>
      <c r="P63" s="118"/>
      <c r="Q63" s="113"/>
      <c r="R63" s="118"/>
      <c r="T63" s="113"/>
      <c r="U63" s="113"/>
      <c r="V63" s="113"/>
      <c r="W63" s="113"/>
      <c r="X63" s="113"/>
      <c r="Y63" s="113"/>
      <c r="Z63" s="113"/>
      <c r="AA63" s="113"/>
      <c r="AB63" s="113"/>
      <c r="AC63" s="114"/>
      <c r="AD63" s="115"/>
      <c r="AE63" s="114"/>
      <c r="AF63" s="114"/>
      <c r="AG63" s="114"/>
      <c r="AH63" s="115"/>
      <c r="AI63" s="113"/>
      <c r="AK63" s="115"/>
      <c r="AL63" s="113"/>
      <c r="AM63" s="113"/>
      <c r="AN63" s="113"/>
      <c r="AO63" s="113"/>
      <c r="AP63" s="113"/>
      <c r="AQ63" s="113"/>
      <c r="AR63" s="113"/>
      <c r="AS63" s="90"/>
      <c r="AT63" s="111"/>
      <c r="AU63" s="112"/>
      <c r="AV63" s="118"/>
      <c r="AW63" s="113"/>
      <c r="AX63" s="113"/>
      <c r="AY63" s="113"/>
      <c r="AZ63" s="118"/>
      <c r="BA63" s="113"/>
      <c r="BB63" s="113"/>
      <c r="BC63" s="113"/>
      <c r="BD63" s="116"/>
      <c r="BF63" s="113"/>
      <c r="BG63" s="113"/>
      <c r="BH63" s="113"/>
      <c r="BI63" s="118"/>
      <c r="BJ63" s="113"/>
      <c r="BL63" s="113"/>
      <c r="BM63" s="113"/>
      <c r="BN63" s="113"/>
      <c r="BO63" s="113"/>
      <c r="BP63" s="113"/>
      <c r="BQ63" s="113"/>
      <c r="BR63" s="113"/>
      <c r="BS63" s="113"/>
      <c r="BT63" s="113"/>
      <c r="BU63" s="114"/>
      <c r="BV63" s="115"/>
      <c r="BW63" s="114"/>
      <c r="BX63" s="114"/>
      <c r="BY63" s="114"/>
      <c r="BZ63" s="115"/>
      <c r="CA63" s="113"/>
      <c r="CC63" s="113"/>
      <c r="CD63" s="113"/>
      <c r="CE63" s="113"/>
      <c r="CF63" s="113"/>
      <c r="CG63" s="113"/>
      <c r="CH63" s="113"/>
      <c r="CI63" s="113"/>
      <c r="CJ63" s="113"/>
      <c r="CK63" s="28">
        <f t="shared" si="16"/>
        <v>1</v>
      </c>
    </row>
    <row r="64" spans="1:91" hidden="1" outlineLevel="1" x14ac:dyDescent="0.25">
      <c r="A64" s="46"/>
      <c r="B64" s="111"/>
      <c r="C64" s="112"/>
      <c r="D64" s="118"/>
      <c r="E64" s="113"/>
      <c r="F64" s="113"/>
      <c r="G64" s="113"/>
      <c r="H64" s="118"/>
      <c r="I64" s="113"/>
      <c r="J64" s="113"/>
      <c r="K64" s="27"/>
      <c r="L64" s="116"/>
      <c r="M64" s="113"/>
      <c r="N64" s="113"/>
      <c r="O64" s="113"/>
      <c r="P64" s="118"/>
      <c r="Q64" s="113"/>
      <c r="R64" s="118"/>
      <c r="S64" s="27"/>
      <c r="T64" s="113"/>
      <c r="U64" s="113"/>
      <c r="V64" s="113"/>
      <c r="W64" s="113"/>
      <c r="X64" s="113"/>
      <c r="Y64" s="113"/>
      <c r="Z64" s="113"/>
      <c r="AA64" s="113"/>
      <c r="AB64" s="113"/>
      <c r="AC64" s="114"/>
      <c r="AD64" s="114"/>
      <c r="AE64" s="114"/>
      <c r="AF64" s="114"/>
      <c r="AG64" s="114"/>
      <c r="AH64" s="115"/>
      <c r="AI64" s="113"/>
      <c r="AJ64" s="27"/>
      <c r="AK64" s="115"/>
      <c r="AL64" s="113"/>
      <c r="AM64" s="113"/>
      <c r="AN64" s="113"/>
      <c r="AO64" s="113"/>
      <c r="AP64" s="113"/>
      <c r="AQ64" s="113"/>
      <c r="AR64" s="113"/>
      <c r="AS64" s="90"/>
      <c r="AT64" s="111"/>
      <c r="AU64" s="112"/>
      <c r="AV64" s="118"/>
      <c r="AW64" s="113"/>
      <c r="AX64" s="113"/>
      <c r="AY64" s="113"/>
      <c r="AZ64" s="118"/>
      <c r="BA64" s="113"/>
      <c r="BB64" s="113"/>
      <c r="BC64" s="113"/>
      <c r="BD64" s="116"/>
      <c r="BE64" s="27"/>
      <c r="BF64" s="113"/>
      <c r="BG64" s="113"/>
      <c r="BH64" s="113"/>
      <c r="BI64" s="118"/>
      <c r="BJ64" s="113"/>
      <c r="BK64" s="27"/>
      <c r="BL64" s="113"/>
      <c r="BM64" s="113"/>
      <c r="BN64" s="113"/>
      <c r="BO64" s="113"/>
      <c r="BP64" s="113"/>
      <c r="BQ64" s="113"/>
      <c r="BR64" s="113"/>
      <c r="BS64" s="113"/>
      <c r="BT64" s="113"/>
      <c r="BU64" s="114"/>
      <c r="BV64" s="114"/>
      <c r="BW64" s="114"/>
      <c r="BX64" s="114"/>
      <c r="BY64" s="114"/>
      <c r="BZ64" s="115"/>
      <c r="CA64" s="113"/>
      <c r="CB64" s="27"/>
      <c r="CC64" s="113"/>
      <c r="CD64" s="113"/>
      <c r="CE64" s="113"/>
      <c r="CF64" s="113"/>
      <c r="CG64" s="113"/>
      <c r="CH64" s="113"/>
      <c r="CI64" s="113"/>
      <c r="CK64" s="28">
        <f t="shared" ref="CK64:CK72" si="17">IF(Kieu_chan_ky="Kiểu 2",1,0)</f>
        <v>0</v>
      </c>
    </row>
    <row r="65" spans="1:92" hidden="1" outlineLevel="1" x14ac:dyDescent="0.25">
      <c r="A65" s="113"/>
      <c r="B65" s="153"/>
      <c r="C65" s="15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4"/>
      <c r="AD65" s="114"/>
      <c r="AE65" s="114"/>
      <c r="AF65" s="114"/>
      <c r="AG65" s="114"/>
      <c r="AH65" s="114"/>
      <c r="AI65" s="113"/>
      <c r="AJ65" s="114"/>
      <c r="AK65" s="113"/>
      <c r="AL65" s="113"/>
      <c r="AM65" s="113"/>
      <c r="AN65" s="113"/>
      <c r="AO65" s="113"/>
      <c r="AP65" s="113"/>
      <c r="AQ65" s="113"/>
      <c r="AR65" s="113"/>
      <c r="AS65" s="154"/>
      <c r="AT65" s="153"/>
      <c r="AU65" s="15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4"/>
      <c r="BV65" s="114"/>
      <c r="BW65" s="114"/>
      <c r="BX65" s="114"/>
      <c r="BY65" s="114"/>
      <c r="BZ65" s="114"/>
      <c r="CA65" s="113"/>
      <c r="CB65" s="114"/>
      <c r="CC65" s="113"/>
      <c r="CD65" s="113"/>
      <c r="CE65" s="113"/>
      <c r="CF65" s="113"/>
      <c r="CG65" s="113"/>
      <c r="CH65" s="113"/>
      <c r="CI65" s="113"/>
      <c r="CK65" s="28">
        <f t="shared" si="17"/>
        <v>0</v>
      </c>
    </row>
    <row r="66" spans="1:92" hidden="1" outlineLevel="1" x14ac:dyDescent="0.25">
      <c r="A66" s="113"/>
      <c r="B66" s="153"/>
      <c r="C66" s="15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4"/>
      <c r="AD66" s="114"/>
      <c r="AE66" s="114"/>
      <c r="AF66" s="114"/>
      <c r="AG66" s="114"/>
      <c r="AH66" s="114"/>
      <c r="AI66" s="113"/>
      <c r="AJ66" s="114"/>
      <c r="AK66" s="113"/>
      <c r="AL66" s="113"/>
      <c r="AM66" s="113"/>
      <c r="AN66" s="113"/>
      <c r="AO66" s="113"/>
      <c r="AP66" s="113"/>
      <c r="AQ66" s="113"/>
      <c r="AR66" s="113"/>
      <c r="AS66" s="154"/>
      <c r="AT66" s="153"/>
      <c r="AU66" s="15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4"/>
      <c r="BV66" s="114"/>
      <c r="BW66" s="114"/>
      <c r="BX66" s="114"/>
      <c r="BY66" s="114"/>
      <c r="BZ66" s="114"/>
      <c r="CA66" s="113"/>
      <c r="CB66" s="114"/>
      <c r="CC66" s="113"/>
      <c r="CD66" s="113"/>
      <c r="CE66" s="113"/>
      <c r="CF66" s="113"/>
      <c r="CG66" s="113"/>
      <c r="CH66" s="113"/>
      <c r="CI66" s="113"/>
      <c r="CK66" s="28">
        <f t="shared" si="17"/>
        <v>0</v>
      </c>
    </row>
    <row r="67" spans="1:92" hidden="1" outlineLevel="1" x14ac:dyDescent="0.25">
      <c r="A67" s="113"/>
      <c r="B67" s="153"/>
      <c r="C67" s="15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4"/>
      <c r="AD67" s="114"/>
      <c r="AE67" s="114"/>
      <c r="AF67" s="114"/>
      <c r="AG67" s="114"/>
      <c r="AH67" s="114"/>
      <c r="AI67" s="113"/>
      <c r="AJ67" s="114"/>
      <c r="AK67" s="113"/>
      <c r="AL67" s="113"/>
      <c r="AM67" s="113"/>
      <c r="AN67" s="113"/>
      <c r="AO67" s="113"/>
      <c r="AP67" s="113"/>
      <c r="AQ67" s="113"/>
      <c r="AR67" s="113"/>
      <c r="AS67" s="154"/>
      <c r="AT67" s="153"/>
      <c r="AU67" s="15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4"/>
      <c r="BV67" s="114"/>
      <c r="BW67" s="114"/>
      <c r="BX67" s="114"/>
      <c r="BY67" s="114"/>
      <c r="BZ67" s="114"/>
      <c r="CA67" s="113"/>
      <c r="CB67" s="114"/>
      <c r="CC67" s="113"/>
      <c r="CD67" s="113"/>
      <c r="CE67" s="113"/>
      <c r="CF67" s="113"/>
      <c r="CG67" s="113"/>
      <c r="CH67" s="113"/>
      <c r="CI67" s="113"/>
      <c r="CK67" s="28">
        <f t="shared" si="17"/>
        <v>0</v>
      </c>
    </row>
    <row r="68" spans="1:92" hidden="1" outlineLevel="1" x14ac:dyDescent="0.25">
      <c r="A68" s="113"/>
      <c r="B68" s="153"/>
      <c r="C68" s="15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4"/>
      <c r="AD68" s="114"/>
      <c r="AE68" s="114"/>
      <c r="AF68" s="114"/>
      <c r="AG68" s="114"/>
      <c r="AH68" s="114"/>
      <c r="AI68" s="113"/>
      <c r="AJ68" s="114"/>
      <c r="AK68" s="113"/>
      <c r="AL68" s="113"/>
      <c r="AM68" s="113"/>
      <c r="AN68" s="113"/>
      <c r="AO68" s="113"/>
      <c r="AP68" s="113"/>
      <c r="AQ68" s="113"/>
      <c r="AR68" s="113"/>
      <c r="AS68" s="154"/>
      <c r="AT68" s="153"/>
      <c r="AU68" s="153"/>
      <c r="AV68" s="113"/>
      <c r="AW68" s="113"/>
      <c r="AX68" s="113"/>
      <c r="AY68" s="113"/>
      <c r="AZ68" s="113"/>
      <c r="BA68" s="113"/>
      <c r="BB68" s="113"/>
      <c r="BC68" s="113"/>
      <c r="BD68" s="113"/>
      <c r="BE68" s="119"/>
      <c r="BF68" s="119"/>
      <c r="BG68" s="119"/>
      <c r="BH68" s="119"/>
      <c r="BI68" s="119"/>
      <c r="BJ68" s="119"/>
      <c r="BK68" s="119"/>
      <c r="BL68" s="119"/>
      <c r="BM68" s="119"/>
      <c r="BN68" s="119"/>
      <c r="BO68" s="119"/>
      <c r="BP68" s="119"/>
      <c r="BQ68" s="119"/>
      <c r="BR68" s="119"/>
      <c r="BS68" s="119"/>
      <c r="BT68" s="119"/>
      <c r="BU68" s="122"/>
      <c r="BV68" s="122"/>
      <c r="BW68" s="122"/>
      <c r="BX68" s="114"/>
      <c r="BY68" s="114"/>
      <c r="BZ68" s="114"/>
      <c r="CA68" s="113"/>
      <c r="CB68" s="114"/>
      <c r="CC68" s="113"/>
      <c r="CD68" s="113"/>
      <c r="CE68" s="113"/>
      <c r="CF68" s="113"/>
      <c r="CG68" s="113"/>
      <c r="CH68" s="113"/>
      <c r="CI68" s="113"/>
      <c r="CK68" s="28">
        <f t="shared" si="17"/>
        <v>0</v>
      </c>
    </row>
    <row r="69" spans="1:92" hidden="1" outlineLevel="1" x14ac:dyDescent="0.25">
      <c r="A69" s="113"/>
      <c r="B69" s="153"/>
      <c r="C69" s="153"/>
      <c r="D69" s="113"/>
      <c r="E69" s="113"/>
      <c r="F69" s="113"/>
      <c r="G69" s="113"/>
      <c r="H69" s="113"/>
      <c r="I69" s="113"/>
      <c r="J69" s="113"/>
      <c r="K69" s="113"/>
      <c r="L69" s="113"/>
      <c r="M69" s="120"/>
      <c r="N69" s="120"/>
      <c r="O69" s="120"/>
      <c r="P69" s="120"/>
      <c r="Q69" s="120"/>
      <c r="R69" s="120"/>
      <c r="S69" s="120"/>
      <c r="T69" s="120"/>
      <c r="U69" s="120"/>
      <c r="V69" s="120"/>
      <c r="W69" s="120"/>
      <c r="X69" s="120"/>
      <c r="Y69" s="120"/>
      <c r="Z69" s="120"/>
      <c r="AA69" s="120"/>
      <c r="AB69" s="120"/>
      <c r="AC69" s="121"/>
      <c r="AD69" s="121"/>
      <c r="AE69" s="121"/>
      <c r="AF69" s="114"/>
      <c r="AG69" s="114"/>
      <c r="AH69" s="114"/>
      <c r="AI69" s="113"/>
      <c r="AJ69" s="114"/>
      <c r="AK69" s="113"/>
      <c r="AL69" s="113"/>
      <c r="AM69" s="113"/>
      <c r="AN69" s="113"/>
      <c r="AO69" s="113"/>
      <c r="AP69" s="113"/>
      <c r="AQ69" s="113"/>
      <c r="AR69" s="113"/>
      <c r="AS69" s="154"/>
      <c r="AT69" s="153"/>
      <c r="AU69" s="153"/>
      <c r="AV69" s="113"/>
      <c r="AW69" s="113"/>
      <c r="AX69" s="113"/>
      <c r="AY69" s="113"/>
      <c r="AZ69" s="113"/>
      <c r="BA69" s="113"/>
      <c r="BB69" s="113"/>
      <c r="BC69" s="113"/>
      <c r="BD69" s="113"/>
      <c r="BE69" s="120"/>
      <c r="BF69" s="120"/>
      <c r="BG69" s="120"/>
      <c r="BH69" s="120"/>
      <c r="BI69" s="120"/>
      <c r="BJ69" s="120"/>
      <c r="BK69" s="120"/>
      <c r="BL69" s="120"/>
      <c r="BM69" s="120"/>
      <c r="BN69" s="120"/>
      <c r="BO69" s="120"/>
      <c r="BP69" s="120"/>
      <c r="BQ69" s="120"/>
      <c r="BR69" s="120"/>
      <c r="BS69" s="120"/>
      <c r="BT69" s="120"/>
      <c r="BU69" s="121"/>
      <c r="BV69" s="121"/>
      <c r="BW69" s="121"/>
      <c r="BX69" s="114"/>
      <c r="BY69" s="114"/>
      <c r="BZ69" s="114"/>
      <c r="CA69" s="113"/>
      <c r="CB69" s="114"/>
      <c r="CC69" s="113"/>
      <c r="CD69" s="113"/>
      <c r="CE69" s="113"/>
      <c r="CF69" s="113"/>
      <c r="CG69" s="113"/>
      <c r="CH69" s="113"/>
      <c r="CI69" s="113"/>
      <c r="CK69" s="28">
        <f t="shared" si="17"/>
        <v>0</v>
      </c>
    </row>
    <row r="70" spans="1:92" hidden="1" outlineLevel="1" x14ac:dyDescent="0.25">
      <c r="A70" s="123" t="str">
        <f>IF(Kieu_chan_ky="Kiểu 1","",Ten_NguoiLap_V)</f>
        <v/>
      </c>
      <c r="B70" s="124"/>
      <c r="C70" s="125"/>
      <c r="D70" s="126"/>
      <c r="E70" s="127"/>
      <c r="F70" s="127"/>
      <c r="G70" s="127"/>
      <c r="H70" s="126"/>
      <c r="I70" s="127"/>
      <c r="J70" s="127"/>
      <c r="K70" s="128"/>
      <c r="L70" s="129"/>
      <c r="M70" s="1168" t="str">
        <f>IF(Kieu_chan_ky="Kiểu 1","",Ten_KTT_V)</f>
        <v/>
      </c>
      <c r="N70" s="113"/>
      <c r="O70" s="113"/>
      <c r="P70" s="113"/>
      <c r="Q70" s="113"/>
      <c r="R70" s="113"/>
      <c r="S70" s="113"/>
      <c r="T70" s="113"/>
      <c r="U70" s="113"/>
      <c r="V70" s="113"/>
      <c r="W70" s="113"/>
      <c r="X70" s="113"/>
      <c r="Y70" s="130" t="str">
        <f>IF(Kieu_chan_ky="Kiểu 1","",Ten_ThuTruong_V)</f>
        <v/>
      </c>
      <c r="Z70" s="130"/>
      <c r="AA70" s="130"/>
      <c r="AB70" s="130"/>
      <c r="AC70" s="130"/>
      <c r="AD70" s="130"/>
      <c r="AE70" s="130"/>
      <c r="AF70" s="130"/>
      <c r="AG70" s="144" t="str">
        <f>IF(Kieu_chan_ky="Kiểu 1","",IF(VALUE(Dk_1cot)&lt;=6,"",Ten_ThuTruong_V))</f>
        <v/>
      </c>
      <c r="AH70" s="144"/>
      <c r="AI70" s="144"/>
      <c r="AJ70" s="144"/>
      <c r="AK70" s="144"/>
      <c r="AL70" s="144"/>
      <c r="AM70" s="144"/>
      <c r="AN70" s="144"/>
      <c r="AO70" s="144"/>
      <c r="AP70" s="144"/>
      <c r="AQ70" s="144"/>
      <c r="AR70" s="113"/>
      <c r="AS70" s="123" t="str">
        <f>IF(Kieu_chan_ky="Kiểu 1","",Ten_NguoiLap_E)</f>
        <v/>
      </c>
      <c r="AT70" s="124"/>
      <c r="AU70" s="125"/>
      <c r="AV70" s="126"/>
      <c r="AW70" s="127"/>
      <c r="AX70" s="127"/>
      <c r="AY70" s="127"/>
      <c r="AZ70" s="126"/>
      <c r="BA70" s="127"/>
      <c r="BB70" s="127"/>
      <c r="BC70" s="128"/>
      <c r="BD70" s="129"/>
      <c r="BE70" s="1168" t="str">
        <f>IF(Kieu_chan_ky="Kiểu 1","",Ten_KTT_E)</f>
        <v/>
      </c>
      <c r="BF70" s="113"/>
      <c r="BG70" s="113"/>
      <c r="BH70" s="113"/>
      <c r="BI70" s="113"/>
      <c r="BJ70" s="113"/>
      <c r="BK70" s="113"/>
      <c r="BL70" s="113"/>
      <c r="BM70" s="113"/>
      <c r="BN70" s="113"/>
      <c r="BO70" s="113"/>
      <c r="BP70" s="113"/>
      <c r="BQ70" s="130" t="str">
        <f>IF(Kieu_chan_ky="Kiểu 1","",Ten_ThuTruong_V)</f>
        <v/>
      </c>
      <c r="BR70" s="130"/>
      <c r="BS70" s="130"/>
      <c r="BT70" s="130"/>
      <c r="BU70" s="130"/>
      <c r="BV70" s="130"/>
      <c r="BW70" s="130"/>
      <c r="BX70" s="130"/>
      <c r="BY70" s="144" t="str">
        <f>IF(Kieu_chan_ky="Kiểu 1","",IF(VALUE(Dk_1cot)&lt;=6,"",Ten_ThuTruong_E))</f>
        <v/>
      </c>
      <c r="BZ70" s="144"/>
      <c r="CA70" s="144"/>
      <c r="CB70" s="144"/>
      <c r="CC70" s="144"/>
      <c r="CD70" s="144"/>
      <c r="CE70" s="144"/>
      <c r="CF70" s="144"/>
      <c r="CG70" s="144"/>
      <c r="CH70" s="144"/>
      <c r="CI70" s="144"/>
      <c r="CK70" s="28">
        <f t="shared" si="17"/>
        <v>0</v>
      </c>
    </row>
    <row r="71" spans="1:92" hidden="1" outlineLevel="1" x14ac:dyDescent="0.25">
      <c r="A71" s="81" t="str">
        <f>IF(Kieu_chan_ky="Kiểu 1","",ChucDanh_NguoiLap_V)</f>
        <v/>
      </c>
      <c r="B71" s="112"/>
      <c r="C71" s="112"/>
      <c r="D71" s="113"/>
      <c r="E71" s="113"/>
      <c r="F71" s="113"/>
      <c r="G71" s="113"/>
      <c r="H71" s="118"/>
      <c r="I71" s="113"/>
      <c r="J71" s="113"/>
      <c r="K71" s="113"/>
      <c r="L71" s="113"/>
      <c r="M71" s="81" t="str">
        <f>IF(Kieu_chan_ky="Kiểu 1","",ChucDanh_KTT_V)</f>
        <v/>
      </c>
      <c r="N71" s="113"/>
      <c r="O71" s="113"/>
      <c r="P71" s="113"/>
      <c r="Q71" s="113"/>
      <c r="R71" s="113"/>
      <c r="S71" s="113"/>
      <c r="T71" s="113"/>
      <c r="U71" s="113"/>
      <c r="V71" s="113"/>
      <c r="W71" s="113"/>
      <c r="X71" s="113"/>
      <c r="Y71" s="133" t="str">
        <f>IF(Kieu_chan_ky="Kiểu 1","",ChucDanh_ThuTruong_V)</f>
        <v/>
      </c>
      <c r="Z71" s="133"/>
      <c r="AA71" s="133"/>
      <c r="AB71" s="133"/>
      <c r="AC71" s="133"/>
      <c r="AD71" s="133"/>
      <c r="AE71" s="133"/>
      <c r="AF71" s="133"/>
      <c r="AG71" s="133" t="str">
        <f>IF(Kieu_chan_ky="Kiểu 1","",IF(VALUE(Dk_1cot)&lt;=6,"",ChucDanh_ThuTruong_V))</f>
        <v/>
      </c>
      <c r="AH71" s="133"/>
      <c r="AI71" s="133"/>
      <c r="AJ71" s="133"/>
      <c r="AK71" s="133"/>
      <c r="AL71" s="133"/>
      <c r="AM71" s="133"/>
      <c r="AN71" s="133"/>
      <c r="AO71" s="133"/>
      <c r="AP71" s="133"/>
      <c r="AQ71" s="133"/>
      <c r="AR71" s="113"/>
      <c r="AS71" s="81" t="str">
        <f>IF(Kieu_chan_ky="Kiểu 1","",ChucDanh_NguoiLap_E)</f>
        <v/>
      </c>
      <c r="AT71" s="112"/>
      <c r="AU71" s="112"/>
      <c r="AV71" s="113"/>
      <c r="AW71" s="113"/>
      <c r="AX71" s="113"/>
      <c r="AY71" s="113"/>
      <c r="AZ71" s="118"/>
      <c r="BA71" s="113"/>
      <c r="BB71" s="113"/>
      <c r="BC71" s="113"/>
      <c r="BD71" s="113"/>
      <c r="BE71" s="81" t="str">
        <f>IF(Kieu_chan_ky="Kiểu 1","",ChucDanh_KTT_E)</f>
        <v/>
      </c>
      <c r="BF71" s="113"/>
      <c r="BG71" s="113"/>
      <c r="BH71" s="113"/>
      <c r="BI71" s="113"/>
      <c r="BJ71" s="113"/>
      <c r="BK71" s="113"/>
      <c r="BL71" s="113"/>
      <c r="BM71" s="113"/>
      <c r="BN71" s="113"/>
      <c r="BO71" s="113"/>
      <c r="BP71" s="113"/>
      <c r="BQ71" s="133" t="str">
        <f>IF(Kieu_chan_ky="Kiểu 1","",ChucDanh_ThuTruong_V)</f>
        <v/>
      </c>
      <c r="BR71" s="133"/>
      <c r="BS71" s="133"/>
      <c r="BT71" s="133"/>
      <c r="BU71" s="133"/>
      <c r="BV71" s="133"/>
      <c r="BW71" s="133"/>
      <c r="BX71" s="133"/>
      <c r="BY71" s="133" t="str">
        <f>IF(Kieu_chan_ky="Kiểu 1","",IF(VALUE(Dk_1cot)&lt;=6,"",ChucDanh_ThuTruong_E))</f>
        <v/>
      </c>
      <c r="BZ71" s="133"/>
      <c r="CA71" s="133"/>
      <c r="CB71" s="133"/>
      <c r="CC71" s="133"/>
      <c r="CD71" s="133"/>
      <c r="CE71" s="133"/>
      <c r="CF71" s="133"/>
      <c r="CG71" s="133"/>
      <c r="CH71" s="133"/>
      <c r="CI71" s="133"/>
      <c r="CK71" s="28">
        <f t="shared" si="17"/>
        <v>0</v>
      </c>
    </row>
    <row r="72" spans="1:92" hidden="1" outlineLevel="1" x14ac:dyDescent="0.25">
      <c r="A72" s="143" t="str">
        <f>IF(Kieu_chan_ky="Kiểu 1","",Ngay_Ky_BCTC_V)</f>
        <v/>
      </c>
      <c r="B72" s="153"/>
      <c r="C72" s="153"/>
      <c r="D72" s="113"/>
      <c r="E72" s="113"/>
      <c r="F72" s="113"/>
      <c r="G72" s="113"/>
      <c r="H72" s="113"/>
      <c r="I72" s="113"/>
      <c r="J72" s="113"/>
      <c r="K72" s="113"/>
      <c r="L72" s="113"/>
      <c r="M72" s="113"/>
      <c r="N72" s="113"/>
      <c r="O72" s="113"/>
      <c r="P72" s="113"/>
      <c r="Q72" s="113"/>
      <c r="R72" s="113"/>
      <c r="S72" s="113"/>
      <c r="T72" s="113"/>
      <c r="U72" s="113"/>
      <c r="V72" s="113"/>
      <c r="W72" s="113"/>
      <c r="X72" s="113"/>
      <c r="Y72" s="135"/>
      <c r="Z72" s="135"/>
      <c r="AA72" s="135"/>
      <c r="AB72" s="135"/>
      <c r="AC72" s="135"/>
      <c r="AD72" s="135"/>
      <c r="AE72" s="135"/>
      <c r="AF72" s="135"/>
      <c r="AG72" s="135"/>
      <c r="AH72" s="135"/>
      <c r="AI72" s="135"/>
      <c r="AJ72" s="135"/>
      <c r="AK72" s="135"/>
      <c r="AL72" s="135"/>
      <c r="AM72" s="135"/>
      <c r="AN72" s="135"/>
      <c r="AO72" s="135"/>
      <c r="AP72" s="135"/>
      <c r="AQ72" s="135"/>
      <c r="AR72" s="113"/>
      <c r="AS72" s="143" t="str">
        <f>IF(Kieu_chan_ky="Kiểu 1","",Ngay_Ky_BCTC_E)</f>
        <v/>
      </c>
      <c r="AT72" s="153"/>
      <c r="AU72" s="15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35"/>
      <c r="BR72" s="135"/>
      <c r="BS72" s="135"/>
      <c r="BT72" s="135"/>
      <c r="BU72" s="135"/>
      <c r="BV72" s="135"/>
      <c r="BW72" s="135"/>
      <c r="BX72" s="135"/>
      <c r="BY72" s="135"/>
      <c r="BZ72" s="135"/>
      <c r="CA72" s="135"/>
      <c r="CB72" s="135"/>
      <c r="CC72" s="135"/>
      <c r="CD72" s="135"/>
      <c r="CE72" s="135"/>
      <c r="CF72" s="135"/>
      <c r="CG72" s="135"/>
      <c r="CH72" s="135"/>
      <c r="CI72" s="135"/>
      <c r="CK72" s="28">
        <f t="shared" si="17"/>
        <v>0</v>
      </c>
    </row>
    <row r="73" spans="1:92" collapsed="1" x14ac:dyDescent="0.25">
      <c r="B73" s="137"/>
      <c r="C73" s="137"/>
      <c r="AT73" s="137"/>
      <c r="AU73" s="137"/>
    </row>
    <row r="74" spans="1:92" x14ac:dyDescent="0.25">
      <c r="B74" s="137"/>
      <c r="C74" s="137"/>
      <c r="AT74" s="137"/>
      <c r="AU74" s="137"/>
    </row>
    <row r="75" spans="1:92" x14ac:dyDescent="0.25">
      <c r="B75" s="137"/>
      <c r="C75" s="137"/>
      <c r="AT75" s="137"/>
      <c r="AU75" s="137"/>
    </row>
    <row r="76" spans="1:92" x14ac:dyDescent="0.25">
      <c r="B76" s="137"/>
      <c r="C76" s="137"/>
      <c r="AT76" s="137"/>
      <c r="AU76" s="137"/>
    </row>
    <row r="77" spans="1:92" x14ac:dyDescent="0.25">
      <c r="B77" s="137"/>
      <c r="C77" s="137"/>
      <c r="AT77" s="137"/>
      <c r="AU77" s="137"/>
    </row>
    <row r="78" spans="1:92" x14ac:dyDescent="0.25">
      <c r="B78" s="137"/>
      <c r="C78" s="137"/>
      <c r="AT78" s="137"/>
      <c r="AU78" s="137"/>
    </row>
    <row r="79" spans="1:92" s="136" customFormat="1" x14ac:dyDescent="0.25">
      <c r="B79" s="137"/>
      <c r="C79" s="137"/>
      <c r="AC79" s="138"/>
      <c r="AD79" s="138"/>
      <c r="AE79" s="138"/>
      <c r="AF79" s="138"/>
      <c r="AG79" s="138"/>
      <c r="AH79" s="138"/>
      <c r="AJ79" s="138"/>
      <c r="AS79" s="139"/>
      <c r="AT79" s="137"/>
      <c r="AU79" s="137"/>
      <c r="BU79" s="138"/>
      <c r="BV79" s="138"/>
      <c r="BW79" s="138"/>
      <c r="BX79" s="138"/>
      <c r="BY79" s="138"/>
      <c r="BZ79" s="138"/>
      <c r="CB79" s="138"/>
      <c r="CK79" s="142"/>
      <c r="CL79" s="139"/>
      <c r="CM79" s="139"/>
      <c r="CN79" s="139"/>
    </row>
    <row r="80" spans="1:92" s="136" customFormat="1" x14ac:dyDescent="0.25">
      <c r="B80" s="137"/>
      <c r="C80" s="137"/>
      <c r="AC80" s="138"/>
      <c r="AD80" s="138"/>
      <c r="AE80" s="138"/>
      <c r="AF80" s="138"/>
      <c r="AG80" s="138"/>
      <c r="AH80" s="138"/>
      <c r="AJ80" s="138"/>
      <c r="AS80" s="139"/>
      <c r="AT80" s="137"/>
      <c r="AU80" s="137"/>
      <c r="BU80" s="138"/>
      <c r="BV80" s="138"/>
      <c r="BW80" s="138"/>
      <c r="BX80" s="138"/>
      <c r="BY80" s="138"/>
      <c r="BZ80" s="138"/>
      <c r="CB80" s="138"/>
      <c r="CK80" s="142"/>
      <c r="CL80" s="139"/>
      <c r="CM80" s="139"/>
      <c r="CN80" s="139"/>
    </row>
    <row r="81" spans="2:92" s="136" customFormat="1" x14ac:dyDescent="0.25">
      <c r="B81" s="137"/>
      <c r="C81" s="137"/>
      <c r="AC81" s="138"/>
      <c r="AD81" s="138"/>
      <c r="AE81" s="138"/>
      <c r="AF81" s="138"/>
      <c r="AG81" s="138"/>
      <c r="AH81" s="138"/>
      <c r="AJ81" s="138"/>
      <c r="AS81" s="139"/>
      <c r="AT81" s="137"/>
      <c r="AU81" s="137"/>
      <c r="BU81" s="138"/>
      <c r="BV81" s="138"/>
      <c r="BW81" s="138"/>
      <c r="BX81" s="138"/>
      <c r="BY81" s="138"/>
      <c r="BZ81" s="138"/>
      <c r="CB81" s="138"/>
      <c r="CK81" s="142"/>
      <c r="CL81" s="139"/>
      <c r="CM81" s="139"/>
      <c r="CN81" s="139"/>
    </row>
    <row r="82" spans="2:92" s="136" customFormat="1" x14ac:dyDescent="0.25">
      <c r="B82" s="137"/>
      <c r="C82" s="137"/>
      <c r="AC82" s="138"/>
      <c r="AD82" s="138"/>
      <c r="AE82" s="138"/>
      <c r="AF82" s="138"/>
      <c r="AG82" s="138"/>
      <c r="AH82" s="138"/>
      <c r="AJ82" s="138"/>
      <c r="AS82" s="139"/>
      <c r="AT82" s="137"/>
      <c r="AU82" s="137"/>
      <c r="BU82" s="138"/>
      <c r="BV82" s="138"/>
      <c r="BW82" s="138"/>
      <c r="BX82" s="138"/>
      <c r="BY82" s="138"/>
      <c r="BZ82" s="138"/>
      <c r="CB82" s="138"/>
      <c r="CK82" s="142"/>
      <c r="CL82" s="139"/>
      <c r="CM82" s="139"/>
      <c r="CN82" s="139"/>
    </row>
    <row r="83" spans="2:92" s="136" customFormat="1" x14ac:dyDescent="0.25">
      <c r="B83" s="137"/>
      <c r="C83" s="137"/>
      <c r="AC83" s="138"/>
      <c r="AD83" s="138"/>
      <c r="AE83" s="138"/>
      <c r="AF83" s="138"/>
      <c r="AG83" s="138"/>
      <c r="AH83" s="138"/>
      <c r="AJ83" s="138"/>
      <c r="AS83" s="139"/>
      <c r="AT83" s="137"/>
      <c r="AU83" s="137"/>
      <c r="BU83" s="138"/>
      <c r="BV83" s="138"/>
      <c r="BW83" s="138"/>
      <c r="BX83" s="138"/>
      <c r="BY83" s="138"/>
      <c r="BZ83" s="138"/>
      <c r="CB83" s="138"/>
      <c r="CK83" s="142"/>
      <c r="CL83" s="139"/>
      <c r="CM83" s="139"/>
      <c r="CN83" s="139"/>
    </row>
    <row r="84" spans="2:92" s="136" customFormat="1" x14ac:dyDescent="0.25">
      <c r="B84" s="137"/>
      <c r="C84" s="137"/>
      <c r="AC84" s="138"/>
      <c r="AD84" s="138"/>
      <c r="AE84" s="138"/>
      <c r="AF84" s="138"/>
      <c r="AG84" s="138"/>
      <c r="AH84" s="138"/>
      <c r="AJ84" s="138"/>
      <c r="AS84" s="139"/>
      <c r="AT84" s="137"/>
      <c r="AU84" s="137"/>
      <c r="BU84" s="138"/>
      <c r="BV84" s="138"/>
      <c r="BW84" s="138"/>
      <c r="BX84" s="138"/>
      <c r="BY84" s="138"/>
      <c r="BZ84" s="138"/>
      <c r="CB84" s="138"/>
      <c r="CK84" s="142"/>
      <c r="CL84" s="139"/>
      <c r="CM84" s="139"/>
      <c r="CN84" s="139"/>
    </row>
    <row r="85" spans="2:92" s="136" customFormat="1" x14ac:dyDescent="0.25">
      <c r="B85" s="137"/>
      <c r="C85" s="137"/>
      <c r="AC85" s="138"/>
      <c r="AD85" s="138"/>
      <c r="AE85" s="138"/>
      <c r="AF85" s="138"/>
      <c r="AG85" s="138"/>
      <c r="AH85" s="138"/>
      <c r="AJ85" s="138"/>
      <c r="AS85" s="139"/>
      <c r="AT85" s="137"/>
      <c r="AU85" s="137"/>
      <c r="BU85" s="138"/>
      <c r="BV85" s="138"/>
      <c r="BW85" s="138"/>
      <c r="BX85" s="138"/>
      <c r="BY85" s="138"/>
      <c r="BZ85" s="138"/>
      <c r="CB85" s="138"/>
      <c r="CK85" s="142"/>
      <c r="CL85" s="139"/>
      <c r="CM85" s="139"/>
      <c r="CN85" s="139"/>
    </row>
    <row r="86" spans="2:92" s="136" customFormat="1" x14ac:dyDescent="0.25">
      <c r="B86" s="137"/>
      <c r="C86" s="137"/>
      <c r="AC86" s="138"/>
      <c r="AD86" s="138"/>
      <c r="AE86" s="138"/>
      <c r="AF86" s="138"/>
      <c r="AG86" s="138"/>
      <c r="AH86" s="138"/>
      <c r="AJ86" s="138"/>
      <c r="AS86" s="139"/>
      <c r="AT86" s="137"/>
      <c r="AU86" s="137"/>
      <c r="BU86" s="138"/>
      <c r="BV86" s="138"/>
      <c r="BW86" s="138"/>
      <c r="BX86" s="138"/>
      <c r="BY86" s="138"/>
      <c r="BZ86" s="138"/>
      <c r="CB86" s="138"/>
      <c r="CK86" s="142"/>
      <c r="CL86" s="139"/>
      <c r="CM86" s="139"/>
      <c r="CN86" s="139"/>
    </row>
    <row r="87" spans="2:92" s="136" customFormat="1" x14ac:dyDescent="0.25">
      <c r="B87" s="137"/>
      <c r="C87" s="137"/>
      <c r="AC87" s="138"/>
      <c r="AD87" s="138"/>
      <c r="AE87" s="138"/>
      <c r="AF87" s="138"/>
      <c r="AG87" s="138"/>
      <c r="AH87" s="138"/>
      <c r="AJ87" s="138"/>
      <c r="AS87" s="139"/>
      <c r="AT87" s="137"/>
      <c r="AU87" s="137"/>
      <c r="BU87" s="138"/>
      <c r="BV87" s="138"/>
      <c r="BW87" s="138"/>
      <c r="BX87" s="138"/>
      <c r="BY87" s="138"/>
      <c r="BZ87" s="138"/>
      <c r="CB87" s="138"/>
      <c r="CK87" s="142"/>
      <c r="CL87" s="139"/>
      <c r="CM87" s="139"/>
      <c r="CN87" s="139"/>
    </row>
    <row r="88" spans="2:92" s="136" customFormat="1" x14ac:dyDescent="0.25">
      <c r="B88" s="137"/>
      <c r="C88" s="137"/>
      <c r="AC88" s="138"/>
      <c r="AD88" s="138"/>
      <c r="AE88" s="138"/>
      <c r="AF88" s="138"/>
      <c r="AG88" s="138"/>
      <c r="AH88" s="138"/>
      <c r="AJ88" s="138"/>
      <c r="AS88" s="139"/>
      <c r="AT88" s="137"/>
      <c r="AU88" s="137"/>
      <c r="BU88" s="138"/>
      <c r="BV88" s="138"/>
      <c r="BW88" s="138"/>
      <c r="BX88" s="138"/>
      <c r="BY88" s="138"/>
      <c r="BZ88" s="138"/>
      <c r="CB88" s="138"/>
      <c r="CK88" s="142"/>
      <c r="CL88" s="139"/>
      <c r="CM88" s="139"/>
      <c r="CN88" s="139"/>
    </row>
    <row r="89" spans="2:92" s="136" customFormat="1" x14ac:dyDescent="0.25">
      <c r="B89" s="137"/>
      <c r="C89" s="137"/>
      <c r="AC89" s="138"/>
      <c r="AD89" s="138"/>
      <c r="AE89" s="138"/>
      <c r="AF89" s="138"/>
      <c r="AG89" s="138"/>
      <c r="AH89" s="138"/>
      <c r="AJ89" s="138"/>
      <c r="AS89" s="139"/>
      <c r="AT89" s="137"/>
      <c r="AU89" s="137"/>
      <c r="BU89" s="138"/>
      <c r="BV89" s="138"/>
      <c r="BW89" s="138"/>
      <c r="BX89" s="138"/>
      <c r="BY89" s="138"/>
      <c r="BZ89" s="138"/>
      <c r="CB89" s="138"/>
      <c r="CK89" s="142"/>
      <c r="CL89" s="139"/>
      <c r="CM89" s="139"/>
      <c r="CN89" s="139"/>
    </row>
    <row r="90" spans="2:92" s="136" customFormat="1" x14ac:dyDescent="0.25">
      <c r="B90" s="137"/>
      <c r="C90" s="137"/>
      <c r="AC90" s="138"/>
      <c r="AD90" s="138"/>
      <c r="AE90" s="138"/>
      <c r="AF90" s="138"/>
      <c r="AG90" s="138"/>
      <c r="AH90" s="138"/>
      <c r="AJ90" s="138"/>
      <c r="AS90" s="139"/>
      <c r="AT90" s="137"/>
      <c r="AU90" s="137"/>
      <c r="BU90" s="138"/>
      <c r="BV90" s="138"/>
      <c r="BW90" s="138"/>
      <c r="BX90" s="138"/>
      <c r="BY90" s="138"/>
      <c r="BZ90" s="138"/>
      <c r="CB90" s="138"/>
      <c r="CK90" s="142"/>
      <c r="CL90" s="139"/>
      <c r="CM90" s="139"/>
      <c r="CN90" s="139"/>
    </row>
    <row r="91" spans="2:92" s="136" customFormat="1" x14ac:dyDescent="0.25">
      <c r="B91" s="137"/>
      <c r="C91" s="137"/>
      <c r="AC91" s="138"/>
      <c r="AD91" s="138"/>
      <c r="AE91" s="138"/>
      <c r="AF91" s="138"/>
      <c r="AG91" s="138"/>
      <c r="AH91" s="138"/>
      <c r="AJ91" s="138"/>
      <c r="AS91" s="139"/>
      <c r="AT91" s="137"/>
      <c r="AU91" s="137"/>
      <c r="BU91" s="138"/>
      <c r="BV91" s="138"/>
      <c r="BW91" s="138"/>
      <c r="BX91" s="138"/>
      <c r="BY91" s="138"/>
      <c r="BZ91" s="138"/>
      <c r="CB91" s="138"/>
      <c r="CK91" s="142"/>
      <c r="CL91" s="139"/>
      <c r="CM91" s="139"/>
      <c r="CN91" s="139"/>
    </row>
    <row r="92" spans="2:92" s="136" customFormat="1" x14ac:dyDescent="0.25">
      <c r="B92" s="137"/>
      <c r="C92" s="137"/>
      <c r="AC92" s="138"/>
      <c r="AD92" s="138"/>
      <c r="AE92" s="138"/>
      <c r="AF92" s="138"/>
      <c r="AG92" s="138"/>
      <c r="AH92" s="138"/>
      <c r="AJ92" s="138"/>
      <c r="AS92" s="139"/>
      <c r="AT92" s="137"/>
      <c r="AU92" s="137"/>
      <c r="BU92" s="138"/>
      <c r="BV92" s="138"/>
      <c r="BW92" s="138"/>
      <c r="BX92" s="138"/>
      <c r="BY92" s="138"/>
      <c r="BZ92" s="138"/>
      <c r="CB92" s="138"/>
      <c r="CK92" s="142"/>
      <c r="CL92" s="139"/>
      <c r="CM92" s="139"/>
      <c r="CN92" s="139"/>
    </row>
    <row r="93" spans="2:92" s="136" customFormat="1" x14ac:dyDescent="0.25">
      <c r="B93" s="137"/>
      <c r="C93" s="137"/>
      <c r="AC93" s="138"/>
      <c r="AD93" s="138"/>
      <c r="AE93" s="138"/>
      <c r="AF93" s="138"/>
      <c r="AG93" s="138"/>
      <c r="AH93" s="138"/>
      <c r="AJ93" s="138"/>
      <c r="AS93" s="139"/>
      <c r="AT93" s="137"/>
      <c r="AU93" s="137"/>
      <c r="BU93" s="138"/>
      <c r="BV93" s="138"/>
      <c r="BW93" s="138"/>
      <c r="BX93" s="138"/>
      <c r="BY93" s="138"/>
      <c r="BZ93" s="138"/>
      <c r="CB93" s="138"/>
      <c r="CK93" s="142"/>
      <c r="CL93" s="139"/>
      <c r="CM93" s="139"/>
      <c r="CN93" s="139"/>
    </row>
    <row r="94" spans="2:92" s="136" customFormat="1" x14ac:dyDescent="0.25">
      <c r="B94" s="137"/>
      <c r="C94" s="137"/>
      <c r="AC94" s="138"/>
      <c r="AD94" s="138"/>
      <c r="AE94" s="138"/>
      <c r="AF94" s="138"/>
      <c r="AG94" s="138"/>
      <c r="AH94" s="138"/>
      <c r="AJ94" s="138"/>
      <c r="AS94" s="139"/>
      <c r="AT94" s="137"/>
      <c r="AU94" s="137"/>
      <c r="BU94" s="138"/>
      <c r="BV94" s="138"/>
      <c r="BW94" s="138"/>
      <c r="BX94" s="138"/>
      <c r="BY94" s="138"/>
      <c r="BZ94" s="138"/>
      <c r="CB94" s="138"/>
      <c r="CK94" s="142"/>
      <c r="CL94" s="139"/>
      <c r="CM94" s="139"/>
      <c r="CN94" s="139"/>
    </row>
    <row r="95" spans="2:92" s="136" customFormat="1" x14ac:dyDescent="0.25">
      <c r="B95" s="137"/>
      <c r="C95" s="137"/>
      <c r="AC95" s="138"/>
      <c r="AD95" s="138"/>
      <c r="AE95" s="138"/>
      <c r="AF95" s="138"/>
      <c r="AG95" s="138"/>
      <c r="AH95" s="138"/>
      <c r="AJ95" s="138"/>
      <c r="AS95" s="139"/>
      <c r="AT95" s="137"/>
      <c r="AU95" s="137"/>
      <c r="BU95" s="138"/>
      <c r="BV95" s="138"/>
      <c r="BW95" s="138"/>
      <c r="BX95" s="138"/>
      <c r="BY95" s="138"/>
      <c r="BZ95" s="138"/>
      <c r="CB95" s="138"/>
      <c r="CK95" s="142"/>
      <c r="CL95" s="139"/>
      <c r="CM95" s="139"/>
      <c r="CN95" s="139"/>
    </row>
    <row r="96" spans="2:92" s="136" customFormat="1" x14ac:dyDescent="0.25">
      <c r="B96" s="137"/>
      <c r="C96" s="137"/>
      <c r="AC96" s="138"/>
      <c r="AD96" s="138"/>
      <c r="AE96" s="138"/>
      <c r="AF96" s="138"/>
      <c r="AG96" s="138"/>
      <c r="AH96" s="138"/>
      <c r="AJ96" s="138"/>
      <c r="AS96" s="139"/>
      <c r="AT96" s="137"/>
      <c r="AU96" s="137"/>
      <c r="BU96" s="138"/>
      <c r="BV96" s="138"/>
      <c r="BW96" s="138"/>
      <c r="BX96" s="138"/>
      <c r="BY96" s="138"/>
      <c r="BZ96" s="138"/>
      <c r="CB96" s="138"/>
      <c r="CK96" s="142"/>
      <c r="CL96" s="139"/>
      <c r="CM96" s="139"/>
      <c r="CN96" s="139"/>
    </row>
    <row r="97" spans="2:92" s="136" customFormat="1" x14ac:dyDescent="0.25">
      <c r="B97" s="137"/>
      <c r="C97" s="137"/>
      <c r="AC97" s="138"/>
      <c r="AD97" s="138"/>
      <c r="AE97" s="138"/>
      <c r="AF97" s="138"/>
      <c r="AG97" s="138"/>
      <c r="AH97" s="138"/>
      <c r="AJ97" s="138"/>
      <c r="AS97" s="139"/>
      <c r="AT97" s="137"/>
      <c r="AU97" s="137"/>
      <c r="BU97" s="138"/>
      <c r="BV97" s="138"/>
      <c r="BW97" s="138"/>
      <c r="BX97" s="138"/>
      <c r="BY97" s="138"/>
      <c r="BZ97" s="138"/>
      <c r="CB97" s="138"/>
      <c r="CK97" s="142"/>
      <c r="CL97" s="139"/>
      <c r="CM97" s="139"/>
      <c r="CN97" s="139"/>
    </row>
    <row r="98" spans="2:92" s="136" customFormat="1" x14ac:dyDescent="0.25">
      <c r="B98" s="137"/>
      <c r="C98" s="137"/>
      <c r="AC98" s="138"/>
      <c r="AD98" s="138"/>
      <c r="AE98" s="138"/>
      <c r="AF98" s="138"/>
      <c r="AG98" s="138"/>
      <c r="AH98" s="138"/>
      <c r="AJ98" s="138"/>
      <c r="AS98" s="139"/>
      <c r="AT98" s="137"/>
      <c r="AU98" s="137"/>
      <c r="BU98" s="138"/>
      <c r="BV98" s="138"/>
      <c r="BW98" s="138"/>
      <c r="BX98" s="138"/>
      <c r="BY98" s="138"/>
      <c r="BZ98" s="138"/>
      <c r="CB98" s="138"/>
      <c r="CK98" s="142"/>
      <c r="CL98" s="139"/>
      <c r="CM98" s="139"/>
      <c r="CN98" s="139"/>
    </row>
    <row r="99" spans="2:92" s="136" customFormat="1" x14ac:dyDescent="0.25">
      <c r="B99" s="137"/>
      <c r="C99" s="137"/>
      <c r="AC99" s="138"/>
      <c r="AD99" s="138"/>
      <c r="AE99" s="138"/>
      <c r="AF99" s="138"/>
      <c r="AG99" s="138"/>
      <c r="AH99" s="138"/>
      <c r="AJ99" s="138"/>
      <c r="AS99" s="139"/>
      <c r="AT99" s="137"/>
      <c r="AU99" s="137"/>
      <c r="BU99" s="138"/>
      <c r="BV99" s="138"/>
      <c r="BW99" s="138"/>
      <c r="BX99" s="138"/>
      <c r="BY99" s="138"/>
      <c r="BZ99" s="138"/>
      <c r="CB99" s="138"/>
      <c r="CK99" s="142"/>
      <c r="CL99" s="139"/>
      <c r="CM99" s="139"/>
      <c r="CN99" s="139"/>
    </row>
    <row r="100" spans="2:92" s="136" customFormat="1" x14ac:dyDescent="0.25">
      <c r="B100" s="137"/>
      <c r="C100" s="137"/>
      <c r="AC100" s="138"/>
      <c r="AD100" s="138"/>
      <c r="AE100" s="138"/>
      <c r="AF100" s="138"/>
      <c r="AG100" s="138"/>
      <c r="AH100" s="138"/>
      <c r="AJ100" s="138"/>
      <c r="AS100" s="139"/>
      <c r="AT100" s="141"/>
      <c r="AU100" s="141"/>
      <c r="BU100" s="138"/>
      <c r="BV100" s="138"/>
      <c r="BW100" s="138"/>
      <c r="BX100" s="138"/>
      <c r="BY100" s="138"/>
      <c r="BZ100" s="138"/>
      <c r="CB100" s="138"/>
      <c r="CK100" s="142"/>
      <c r="CL100" s="139"/>
      <c r="CM100" s="139"/>
      <c r="CN100" s="139"/>
    </row>
  </sheetData>
  <sheetProtection formatCells="0" formatColumns="0" formatRows="0" autoFilter="0" pivotTables="0"/>
  <autoFilter ref="CK4:CK72">
    <filterColumn colId="0">
      <filters>
        <filter val="1"/>
      </filters>
    </filterColumn>
  </autoFilter>
  <mergeCells count="222">
    <mergeCell ref="A10:A11"/>
    <mergeCell ref="B10:S11"/>
    <mergeCell ref="AB10:AD11"/>
    <mergeCell ref="AE10:AJ10"/>
    <mergeCell ref="AL10:AQ10"/>
    <mergeCell ref="AS10:AS11"/>
    <mergeCell ref="A6:AQ6"/>
    <mergeCell ref="AS6:CI6"/>
    <mergeCell ref="CL6:CM6"/>
    <mergeCell ref="A7:AQ7"/>
    <mergeCell ref="AS7:CI7"/>
    <mergeCell ref="A8:AQ8"/>
    <mergeCell ref="AS8:CI8"/>
    <mergeCell ref="AE12:AJ12"/>
    <mergeCell ref="AL12:AQ12"/>
    <mergeCell ref="BW12:CB12"/>
    <mergeCell ref="CD12:CI12"/>
    <mergeCell ref="AT10:BL11"/>
    <mergeCell ref="BT10:BV11"/>
    <mergeCell ref="BW10:CB10"/>
    <mergeCell ref="CD10:CI10"/>
    <mergeCell ref="AE11:AJ11"/>
    <mergeCell ref="AL11:AQ11"/>
    <mergeCell ref="BW11:CB11"/>
    <mergeCell ref="CD11:CI11"/>
    <mergeCell ref="CD15:CI15"/>
    <mergeCell ref="AE16:AJ16"/>
    <mergeCell ref="AL16:AQ16"/>
    <mergeCell ref="BW16:CB16"/>
    <mergeCell ref="CD16:CI16"/>
    <mergeCell ref="AE13:AJ13"/>
    <mergeCell ref="AL13:AQ13"/>
    <mergeCell ref="BW13:CB13"/>
    <mergeCell ref="CD13:CI13"/>
    <mergeCell ref="AE14:AJ14"/>
    <mergeCell ref="AL14:AQ14"/>
    <mergeCell ref="BW14:CB14"/>
    <mergeCell ref="CD14:CI14"/>
    <mergeCell ref="C17:S17"/>
    <mergeCell ref="AB17:AD17"/>
    <mergeCell ref="AE17:AJ17"/>
    <mergeCell ref="AL17:AQ17"/>
    <mergeCell ref="AU17:BT17"/>
    <mergeCell ref="BW17:CB17"/>
    <mergeCell ref="AB15:AD15"/>
    <mergeCell ref="AE15:AJ15"/>
    <mergeCell ref="AL15:AQ15"/>
    <mergeCell ref="BW15:CB15"/>
    <mergeCell ref="AB19:AD19"/>
    <mergeCell ref="AE19:AJ19"/>
    <mergeCell ref="AL19:AQ19"/>
    <mergeCell ref="BT19:BV19"/>
    <mergeCell ref="BW19:CB19"/>
    <mergeCell ref="CD19:CI19"/>
    <mergeCell ref="CD17:CI17"/>
    <mergeCell ref="AB18:AD18"/>
    <mergeCell ref="AE18:AJ18"/>
    <mergeCell ref="AL18:AQ18"/>
    <mergeCell ref="BT18:BV18"/>
    <mergeCell ref="BW18:CB18"/>
    <mergeCell ref="CD18:CI18"/>
    <mergeCell ref="AE21:AJ21"/>
    <mergeCell ref="AL21:AQ21"/>
    <mergeCell ref="BW21:CB21"/>
    <mergeCell ref="CD21:CI21"/>
    <mergeCell ref="AE22:AJ22"/>
    <mergeCell ref="AL22:AQ22"/>
    <mergeCell ref="BW22:CB22"/>
    <mergeCell ref="CD22:CI22"/>
    <mergeCell ref="AB20:AD20"/>
    <mergeCell ref="AE20:AJ20"/>
    <mergeCell ref="AL20:AQ20"/>
    <mergeCell ref="BT20:BV20"/>
    <mergeCell ref="BW20:CB20"/>
    <mergeCell ref="CD20:CI20"/>
    <mergeCell ref="AE25:AJ25"/>
    <mergeCell ref="AL25:AQ25"/>
    <mergeCell ref="BW25:CB25"/>
    <mergeCell ref="CD25:CI25"/>
    <mergeCell ref="AE26:AJ26"/>
    <mergeCell ref="AL26:AQ26"/>
    <mergeCell ref="BW26:CB26"/>
    <mergeCell ref="CD26:CI26"/>
    <mergeCell ref="AE23:AJ23"/>
    <mergeCell ref="AL23:AQ23"/>
    <mergeCell ref="BW23:CB23"/>
    <mergeCell ref="CD23:CI23"/>
    <mergeCell ref="AE24:AJ24"/>
    <mergeCell ref="AL24:AQ24"/>
    <mergeCell ref="BW24:CB24"/>
    <mergeCell ref="CD24:CI24"/>
    <mergeCell ref="AE29:AJ29"/>
    <mergeCell ref="AL29:AQ29"/>
    <mergeCell ref="BW29:CB29"/>
    <mergeCell ref="CD29:CI29"/>
    <mergeCell ref="AE30:AJ30"/>
    <mergeCell ref="AL30:AQ30"/>
    <mergeCell ref="BW30:CB30"/>
    <mergeCell ref="CD30:CI30"/>
    <mergeCell ref="AE27:AJ27"/>
    <mergeCell ref="AL27:AQ27"/>
    <mergeCell ref="BW27:CB27"/>
    <mergeCell ref="CD27:CI27"/>
    <mergeCell ref="AE28:AJ28"/>
    <mergeCell ref="AL28:AQ28"/>
    <mergeCell ref="BW28:CB28"/>
    <mergeCell ref="CD28:CI28"/>
    <mergeCell ref="AE33:AJ33"/>
    <mergeCell ref="AL33:AQ33"/>
    <mergeCell ref="BW33:CB33"/>
    <mergeCell ref="CD33:CI33"/>
    <mergeCell ref="AE34:AJ34"/>
    <mergeCell ref="AL34:AQ34"/>
    <mergeCell ref="BW34:CB34"/>
    <mergeCell ref="CD34:CI34"/>
    <mergeCell ref="AE31:AJ31"/>
    <mergeCell ref="AL31:AQ31"/>
    <mergeCell ref="BW31:CB31"/>
    <mergeCell ref="CD31:CI31"/>
    <mergeCell ref="AE32:AJ32"/>
    <mergeCell ref="AL32:AQ32"/>
    <mergeCell ref="BW32:CB32"/>
    <mergeCell ref="CD32:CI32"/>
    <mergeCell ref="B36:S36"/>
    <mergeCell ref="AE36:AJ36"/>
    <mergeCell ref="AL36:AQ36"/>
    <mergeCell ref="AT36:BK36"/>
    <mergeCell ref="BW36:CB36"/>
    <mergeCell ref="CD36:CI36"/>
    <mergeCell ref="B35:S35"/>
    <mergeCell ref="AE35:AJ35"/>
    <mergeCell ref="AL35:AQ35"/>
    <mergeCell ref="AT35:BK35"/>
    <mergeCell ref="BW35:CB35"/>
    <mergeCell ref="CD35:CI35"/>
    <mergeCell ref="B38:S38"/>
    <mergeCell ref="AE38:AJ38"/>
    <mergeCell ref="AL38:AQ38"/>
    <mergeCell ref="AT38:BL38"/>
    <mergeCell ref="BW38:CB38"/>
    <mergeCell ref="CD38:CI38"/>
    <mergeCell ref="B37:S37"/>
    <mergeCell ref="AE37:AJ37"/>
    <mergeCell ref="AL37:AQ37"/>
    <mergeCell ref="AT37:BK37"/>
    <mergeCell ref="BW37:CB37"/>
    <mergeCell ref="CD37:CI37"/>
    <mergeCell ref="AE41:AJ41"/>
    <mergeCell ref="AL41:AQ41"/>
    <mergeCell ref="BW41:CB41"/>
    <mergeCell ref="CD41:CI41"/>
    <mergeCell ref="AE42:AJ42"/>
    <mergeCell ref="AL42:AQ42"/>
    <mergeCell ref="BW42:CB42"/>
    <mergeCell ref="CD42:CI42"/>
    <mergeCell ref="AE39:AJ39"/>
    <mergeCell ref="AL39:AQ39"/>
    <mergeCell ref="BW39:CB39"/>
    <mergeCell ref="CD39:CI39"/>
    <mergeCell ref="AE40:AJ40"/>
    <mergeCell ref="AL40:AQ40"/>
    <mergeCell ref="BW40:CB40"/>
    <mergeCell ref="CD40:CI40"/>
    <mergeCell ref="CD44:CI44"/>
    <mergeCell ref="B45:S45"/>
    <mergeCell ref="T45:AD45"/>
    <mergeCell ref="AE45:AJ45"/>
    <mergeCell ref="AL45:AQ45"/>
    <mergeCell ref="AT45:BL45"/>
    <mergeCell ref="BW45:CB45"/>
    <mergeCell ref="CD45:CI45"/>
    <mergeCell ref="AE43:AJ43"/>
    <mergeCell ref="AL43:AQ43"/>
    <mergeCell ref="BW43:CB43"/>
    <mergeCell ref="CD43:CI43"/>
    <mergeCell ref="B44:S44"/>
    <mergeCell ref="T44:AD44"/>
    <mergeCell ref="AE44:AJ44"/>
    <mergeCell ref="AL44:AQ44"/>
    <mergeCell ref="AT44:BL44"/>
    <mergeCell ref="BW44:CB44"/>
    <mergeCell ref="AE48:AJ48"/>
    <mergeCell ref="AL48:AQ48"/>
    <mergeCell ref="BW48:CB48"/>
    <mergeCell ref="CD48:CI48"/>
    <mergeCell ref="AE49:AJ49"/>
    <mergeCell ref="AL49:AQ49"/>
    <mergeCell ref="BW49:CB49"/>
    <mergeCell ref="CD49:CI49"/>
    <mergeCell ref="AE46:AJ46"/>
    <mergeCell ref="AL46:AQ46"/>
    <mergeCell ref="BW46:CB46"/>
    <mergeCell ref="CD46:CI46"/>
    <mergeCell ref="AE47:AJ47"/>
    <mergeCell ref="AL47:AQ47"/>
    <mergeCell ref="BW47:CB47"/>
    <mergeCell ref="CD47:CI47"/>
    <mergeCell ref="AE52:AJ52"/>
    <mergeCell ref="AL52:AQ52"/>
    <mergeCell ref="BW52:CB52"/>
    <mergeCell ref="CD52:CI52"/>
    <mergeCell ref="AE50:AJ50"/>
    <mergeCell ref="AL50:AQ50"/>
    <mergeCell ref="BW50:CB50"/>
    <mergeCell ref="CD50:CI50"/>
    <mergeCell ref="AE51:AJ51"/>
    <mergeCell ref="AL51:AQ51"/>
    <mergeCell ref="BW51:CB51"/>
    <mergeCell ref="CD51:CI51"/>
    <mergeCell ref="AD56:AQ56"/>
    <mergeCell ref="O62:AB62"/>
    <mergeCell ref="AB54:AD54"/>
    <mergeCell ref="AE54:AJ54"/>
    <mergeCell ref="AL54:AQ54"/>
    <mergeCell ref="BT54:BV54"/>
    <mergeCell ref="BW54:CB54"/>
    <mergeCell ref="CD54:CI54"/>
    <mergeCell ref="AE53:AJ53"/>
    <mergeCell ref="AL53:AQ53"/>
    <mergeCell ref="AT53:BJ53"/>
    <mergeCell ref="BW53:CB53"/>
    <mergeCell ref="CD53:CI53"/>
  </mergeCells>
  <conditionalFormatting sqref="AE54:AJ55">
    <cfRule type="expression" dxfId="1028" priority="15" stopIfTrue="1">
      <formula>IF($AE$54&lt;&gt;KN_CT110,TRUE,FALSE)</formula>
    </cfRule>
  </conditionalFormatting>
  <conditionalFormatting sqref="CL8:CM55">
    <cfRule type="cellIs" dxfId="1027" priority="14" stopIfTrue="1" operator="notEqual">
      <formula>0</formula>
    </cfRule>
  </conditionalFormatting>
  <conditionalFormatting sqref="AD63 Q56 AD57 BV56:BV57">
    <cfRule type="expression" dxfId="1026" priority="13">
      <formula>IF(VALUE(Dk_1cot)&gt;6,TRUE,FALSE)</formula>
    </cfRule>
  </conditionalFormatting>
  <conditionalFormatting sqref="BV63">
    <cfRule type="expression" dxfId="1025" priority="12">
      <formula>IF(VALUE(Dk_1cot)&gt;6,TRUE,FALSE)</formula>
    </cfRule>
  </conditionalFormatting>
  <conditionalFormatting sqref="AE29:AQ29 AE31:AK31 AE35:AQ35 AE37:AQ37 AE39:AQ39 AE45:AQ45 AK47:AQ49 BW29:CI29 BW31:CC31 BW35:CI35 BW37:CI37 BW39:CI39 BW45:CI45 BW47:CI49 AE28:AK28 BW28:CC28">
    <cfRule type="cellIs" dxfId="1024" priority="10" operator="greaterThan">
      <formula>0</formula>
    </cfRule>
  </conditionalFormatting>
  <conditionalFormatting sqref="CL20">
    <cfRule type="cellIs" dxfId="1023" priority="9" stopIfTrue="1" operator="notEqual">
      <formula>0</formula>
    </cfRule>
  </conditionalFormatting>
  <conditionalFormatting sqref="CL32">
    <cfRule type="cellIs" dxfId="1022" priority="8" stopIfTrue="1" operator="notEqual">
      <formula>0</formula>
    </cfRule>
  </conditionalFormatting>
  <conditionalFormatting sqref="AE32:AQ32 BW32:CI32">
    <cfRule type="cellIs" dxfId="1021" priority="7" operator="greaterThan">
      <formula>0</formula>
    </cfRule>
  </conditionalFormatting>
  <conditionalFormatting sqref="AG70:AG71">
    <cfRule type="expression" dxfId="1020" priority="4">
      <formula>IF($AO$8="6",TRUE,FALSE)</formula>
    </cfRule>
  </conditionalFormatting>
  <conditionalFormatting sqref="BY70:BY71">
    <cfRule type="expression" dxfId="1019" priority="3">
      <formula>IF($AO$8="6",TRUE,FALSE)</formula>
    </cfRule>
  </conditionalFormatting>
  <conditionalFormatting sqref="AL30:AQ30">
    <cfRule type="cellIs" dxfId="1018" priority="2" operator="greaterThan">
      <formula>0</formula>
    </cfRule>
  </conditionalFormatting>
  <conditionalFormatting sqref="CD30:CI30">
    <cfRule type="cellIs" dxfId="1017" priority="1" operator="greaterThan">
      <formula>0</formula>
    </cfRule>
  </conditionalFormatting>
  <pageMargins left="0.90551181102362199" right="0.39370078740157499" top="0.5" bottom="0.5" header="0.196850393700787" footer="0.39370078740157499"/>
  <pageSetup paperSize="9" firstPageNumber="9" orientation="portrait" r:id="rId1"/>
  <headerFooter>
    <oddFooter>&amp;R&amp;10&amp;P</oddFooter>
  </headerFooter>
  <drawing r:id="rId2"/>
  <legacyDrawing r:id="rId3"/>
  <controls>
    <mc:AlternateContent xmlns:mc="http://schemas.openxmlformats.org/markup-compatibility/2006">
      <mc:Choice Requires="x14">
        <control shapeId="10241" r:id="rId4" name="togLock">
          <controlPr defaultSize="0" print="0" autoFill="0" autoLine="0" r:id="rId5">
            <anchor moveWithCells="1">
              <from>
                <xdr:col>90</xdr:col>
                <xdr:colOff>66675</xdr:colOff>
                <xdr:row>1</xdr:row>
                <xdr:rowOff>0</xdr:rowOff>
              </from>
              <to>
                <xdr:col>90</xdr:col>
                <xdr:colOff>923925</xdr:colOff>
                <xdr:row>2</xdr:row>
                <xdr:rowOff>95250</xdr:rowOff>
              </to>
            </anchor>
          </controlPr>
        </control>
      </mc:Choice>
      <mc:Fallback>
        <control shapeId="10241" r:id="rId4" name="togLock"/>
      </mc:Fallback>
    </mc:AlternateContent>
    <mc:AlternateContent xmlns:mc="http://schemas.openxmlformats.org/markup-compatibility/2006">
      <mc:Choice Requires="x14">
        <control shapeId="10242" r:id="rId6" name="togEV">
          <controlPr defaultSize="0" print="0" autoFill="0" autoLine="0" r:id="rId7">
            <anchor>
              <from>
                <xdr:col>16</xdr:col>
                <xdr:colOff>9525</xdr:colOff>
                <xdr:row>1</xdr:row>
                <xdr:rowOff>0</xdr:rowOff>
              </from>
              <to>
                <xdr:col>30</xdr:col>
                <xdr:colOff>38100</xdr:colOff>
                <xdr:row>2</xdr:row>
                <xdr:rowOff>85725</xdr:rowOff>
              </to>
            </anchor>
          </controlPr>
        </control>
      </mc:Choice>
      <mc:Fallback>
        <control shapeId="10242" r:id="rId6" name="togEV"/>
      </mc:Fallback>
    </mc:AlternateContent>
    <mc:AlternateContent xmlns:mc="http://schemas.openxmlformats.org/markup-compatibility/2006">
      <mc:Choice Requires="x14">
        <control shapeId="10243" r:id="rId8" name="togShowHide">
          <controlPr defaultSize="0" print="0" autoFill="0" autoLine="0" r:id="rId9">
            <anchor moveWithCells="1">
              <from>
                <xdr:col>89</xdr:col>
                <xdr:colOff>57150</xdr:colOff>
                <xdr:row>1</xdr:row>
                <xdr:rowOff>0</xdr:rowOff>
              </from>
              <to>
                <xdr:col>89</xdr:col>
                <xdr:colOff>942975</xdr:colOff>
                <xdr:row>2</xdr:row>
                <xdr:rowOff>85725</xdr:rowOff>
              </to>
            </anchor>
          </controlPr>
        </control>
      </mc:Choice>
      <mc:Fallback>
        <control shapeId="10243" r:id="rId8" name="togShowHide"/>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7">
    <tabColor indexed="11"/>
  </sheetPr>
  <dimension ref="A1:XFD2019"/>
  <sheetViews>
    <sheetView view="pageBreakPreview" zoomScaleNormal="100" zoomScaleSheetLayoutView="100" workbookViewId="0">
      <pane ySplit="4" topLeftCell="A1951" activePane="bottomLeft" state="frozen"/>
      <selection pane="bottomLeft" activeCell="AG1996" sqref="AG1996"/>
    </sheetView>
  </sheetViews>
  <sheetFormatPr defaultColWidth="2.5703125" defaultRowHeight="12.75" outlineLevelRow="2" outlineLevelCol="1" x14ac:dyDescent="0.25"/>
  <cols>
    <col min="1" max="1" width="3.42578125" style="813" customWidth="1" outlineLevel="1"/>
    <col min="2" max="2" width="1.140625" style="813" customWidth="1" outlineLevel="1"/>
    <col min="3" max="15" width="2.5703125" style="423" customWidth="1" outlineLevel="1"/>
    <col min="16" max="16" width="3.140625" style="423" customWidth="1" outlineLevel="1"/>
    <col min="17" max="21" width="2.5703125" style="423" customWidth="1" outlineLevel="1"/>
    <col min="22" max="22" width="3.140625" style="423" customWidth="1" outlineLevel="1"/>
    <col min="23" max="23" width="2.5703125" style="441" customWidth="1" outlineLevel="1"/>
    <col min="24" max="24" width="1.42578125" style="441" customWidth="1" outlineLevel="1"/>
    <col min="25" max="25" width="2.5703125" style="441" customWidth="1" outlineLevel="1"/>
    <col min="26" max="26" width="3" style="441" customWidth="1" outlineLevel="1"/>
    <col min="27" max="29" width="2.5703125" style="441" customWidth="1" outlineLevel="1"/>
    <col min="30" max="30" width="2" style="441" customWidth="1" outlineLevel="1"/>
    <col min="31" max="32" width="2.85546875" style="441" customWidth="1" outlineLevel="1"/>
    <col min="33" max="35" width="2.5703125" style="441" customWidth="1" outlineLevel="1"/>
    <col min="36" max="36" width="0.28515625" style="349" hidden="1" customWidth="1"/>
    <col min="37" max="37" width="3.7109375" style="813" hidden="1" customWidth="1" outlineLevel="1"/>
    <col min="38" max="38" width="1.140625" style="813" hidden="1" customWidth="1" outlineLevel="1"/>
    <col min="39" max="71" width="2.5703125" style="423" hidden="1" customWidth="1" outlineLevel="1"/>
    <col min="72" max="72" width="0.85546875" style="423" hidden="1" customWidth="1" collapsed="1"/>
    <col min="73" max="73" width="0.140625" style="510" customWidth="1"/>
    <col min="74" max="74" width="13.28515625" style="814" hidden="1" customWidth="1" outlineLevel="1"/>
    <col min="75" max="75" width="12" style="814" hidden="1" customWidth="1" outlineLevel="1"/>
    <col min="76" max="76" width="7.140625" style="815" hidden="1" customWidth="1" outlineLevel="1"/>
    <col min="77" max="77" width="2.5703125" style="349" hidden="1" customWidth="1"/>
    <col min="78" max="78" width="18.85546875" style="348" hidden="1" customWidth="1"/>
    <col min="79" max="80" width="12.140625" style="348" hidden="1" customWidth="1"/>
    <col min="81" max="82" width="12.85546875" style="348" customWidth="1"/>
    <col min="83" max="83" width="12.5703125" style="348" customWidth="1"/>
    <col min="84" max="84" width="11.42578125" style="348" bestFit="1" customWidth="1"/>
    <col min="85" max="16384" width="2.5703125" style="349"/>
  </cols>
  <sheetData>
    <row r="1" spans="1:84" s="281" customFormat="1" ht="15" hidden="1" customHeight="1" outlineLevel="1" x14ac:dyDescent="0.25">
      <c r="A1" s="82" t="str">
        <f>Ten_DVCQ_V</f>
        <v>TỔNG CÔNG TY XYZ</v>
      </c>
      <c r="B1" s="82"/>
      <c r="C1" s="82"/>
      <c r="D1" s="82"/>
      <c r="E1" s="82"/>
      <c r="F1" s="82"/>
      <c r="G1" s="82"/>
      <c r="H1" s="269"/>
      <c r="I1" s="82"/>
      <c r="J1" s="82"/>
      <c r="K1" s="82"/>
      <c r="L1" s="82"/>
      <c r="M1" s="82"/>
      <c r="N1" s="82"/>
      <c r="O1" s="82"/>
      <c r="P1" s="82"/>
      <c r="Q1" s="82"/>
      <c r="R1" s="82"/>
      <c r="S1" s="82"/>
      <c r="T1" s="82"/>
      <c r="U1" s="82"/>
      <c r="V1" s="82"/>
      <c r="W1" s="270"/>
      <c r="X1" s="270"/>
      <c r="Y1" s="270"/>
      <c r="Z1" s="270"/>
      <c r="AA1" s="270"/>
      <c r="AB1" s="270"/>
      <c r="AC1" s="270"/>
      <c r="AD1" s="270"/>
      <c r="AE1" s="270"/>
      <c r="AF1" s="270"/>
      <c r="AG1" s="270"/>
      <c r="AH1" s="270"/>
      <c r="AI1" s="271"/>
      <c r="AJ1" s="272"/>
      <c r="AK1" s="273" t="str">
        <f>Ten_DVCQ_E</f>
        <v>XYZ CORPORATION</v>
      </c>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274"/>
      <c r="BT1" s="275"/>
      <c r="BU1" s="276"/>
      <c r="BV1" s="277"/>
      <c r="BW1" s="277"/>
      <c r="BX1" s="278"/>
      <c r="BY1" s="272"/>
      <c r="BZ1" s="279"/>
      <c r="CA1" s="279"/>
      <c r="CB1" s="280"/>
      <c r="CC1" s="280"/>
      <c r="CD1" s="280"/>
      <c r="CE1" s="280"/>
      <c r="CF1" s="280"/>
    </row>
    <row r="2" spans="1:84" s="281" customFormat="1" ht="15" customHeight="1" collapsed="1" x14ac:dyDescent="0.25">
      <c r="A2" s="282" t="str">
        <f>Ten_CongTy_TieuDe_V</f>
        <v>Công ty Cổ phần Viglacera Từ Sơn</v>
      </c>
      <c r="B2" s="282"/>
      <c r="C2" s="282"/>
      <c r="D2" s="282"/>
      <c r="E2" s="282"/>
      <c r="F2" s="282"/>
      <c r="G2" s="282"/>
      <c r="H2" s="269"/>
      <c r="I2" s="282"/>
      <c r="J2" s="282"/>
      <c r="K2" s="282"/>
      <c r="L2" s="282"/>
      <c r="M2" s="282"/>
      <c r="N2" s="282"/>
      <c r="O2" s="282"/>
      <c r="P2" s="282"/>
      <c r="Q2" s="282"/>
      <c r="R2" s="282"/>
      <c r="S2" s="282"/>
      <c r="T2" s="282"/>
      <c r="U2" s="283"/>
      <c r="V2" s="82"/>
      <c r="W2" s="270"/>
      <c r="X2" s="270"/>
      <c r="Y2" s="270"/>
      <c r="Z2" s="270"/>
      <c r="AA2" s="270"/>
      <c r="AB2" s="270"/>
      <c r="AC2" s="270"/>
      <c r="AD2" s="270"/>
      <c r="AE2" s="270"/>
      <c r="AF2" s="270"/>
      <c r="AG2" s="270"/>
      <c r="AH2" s="270"/>
      <c r="AI2" s="284" t="str">
        <f>CONCATENATE(Loai_BC_V)</f>
        <v>Báo cáo tài chính</v>
      </c>
      <c r="AJ2" s="272"/>
      <c r="AK2" s="285" t="str">
        <f>Ten_CongTy_TieuDe_E</f>
        <v>ABC Joint Stock Company</v>
      </c>
      <c r="AL2" s="282"/>
      <c r="AM2" s="282"/>
      <c r="AN2" s="282"/>
      <c r="AO2" s="282"/>
      <c r="AP2" s="282"/>
      <c r="AQ2" s="282"/>
      <c r="AR2" s="282"/>
      <c r="AS2" s="282"/>
      <c r="AT2" s="282"/>
      <c r="AU2" s="282"/>
      <c r="AV2" s="282"/>
      <c r="AW2" s="282"/>
      <c r="AX2" s="282"/>
      <c r="AY2" s="282"/>
      <c r="AZ2" s="282"/>
      <c r="BA2" s="282"/>
      <c r="BB2" s="282"/>
      <c r="BC2" s="282"/>
      <c r="BD2" s="282"/>
      <c r="BE2" s="82"/>
      <c r="BF2" s="82"/>
      <c r="BG2" s="82"/>
      <c r="BH2" s="82"/>
      <c r="BI2" s="82"/>
      <c r="BJ2" s="82"/>
      <c r="BK2" s="82"/>
      <c r="BL2" s="82"/>
      <c r="BM2" s="82"/>
      <c r="BN2" s="82"/>
      <c r="BO2" s="82"/>
      <c r="BP2" s="82"/>
      <c r="BQ2" s="82"/>
      <c r="BR2" s="82"/>
      <c r="BS2" s="284" t="str">
        <f>CONCATENATE(Loai_BC_E)</f>
        <v>Separate Financial Statements</v>
      </c>
      <c r="BT2" s="286"/>
      <c r="BU2" s="287"/>
      <c r="BV2" s="288" t="s">
        <v>339</v>
      </c>
      <c r="BW2" s="288" t="s">
        <v>340</v>
      </c>
      <c r="BX2" s="289" t="s">
        <v>341</v>
      </c>
      <c r="BY2" s="272"/>
      <c r="BZ2" s="279"/>
      <c r="CA2" s="279"/>
      <c r="CB2" s="280"/>
      <c r="CC2" s="280"/>
      <c r="CD2" s="280"/>
      <c r="CE2" s="280"/>
      <c r="CF2" s="280"/>
    </row>
    <row r="3" spans="1:84" s="281" customFormat="1" ht="15" customHeight="1" x14ac:dyDescent="0.25">
      <c r="A3" s="82" t="str">
        <f>Dia_Chi_Congty_V</f>
        <v>Phường Đình Bảng - Thị xã Từ Sơn - Tỉnh Bắc Ninh</v>
      </c>
      <c r="B3" s="282"/>
      <c r="C3" s="82"/>
      <c r="D3" s="82"/>
      <c r="E3" s="82"/>
      <c r="F3" s="82"/>
      <c r="G3" s="82"/>
      <c r="H3" s="82"/>
      <c r="I3" s="82"/>
      <c r="J3" s="82"/>
      <c r="K3" s="82"/>
      <c r="L3" s="82"/>
      <c r="M3" s="82"/>
      <c r="N3" s="82"/>
      <c r="O3" s="82"/>
      <c r="P3" s="82"/>
      <c r="Q3" s="82"/>
      <c r="R3" s="82"/>
      <c r="S3" s="82"/>
      <c r="T3" s="82"/>
      <c r="U3" s="82"/>
      <c r="V3" s="82"/>
      <c r="W3" s="270"/>
      <c r="X3" s="270"/>
      <c r="Y3" s="270"/>
      <c r="Z3" s="270"/>
      <c r="AA3" s="270"/>
      <c r="AB3" s="270"/>
      <c r="AC3" s="270"/>
      <c r="AD3" s="270"/>
      <c r="AE3" s="270"/>
      <c r="AF3" s="270"/>
      <c r="AG3" s="270"/>
      <c r="AH3" s="270"/>
      <c r="AI3" s="274" t="str">
        <f>Ky_ke_toan_V</f>
        <v>năm tài chính kết thúc ngày 31/12/2017</v>
      </c>
      <c r="AJ3" s="272"/>
      <c r="AK3" s="273" t="str">
        <f>Dia_Chi_Congty_E</f>
        <v>Sai Dong - Long Bien - Hanoi</v>
      </c>
      <c r="AL3" s="2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274" t="str">
        <f>Ky_ke_toan_E</f>
        <v>for the fiscal year ended as at 31 December 2015</v>
      </c>
      <c r="BT3" s="275"/>
      <c r="BU3" s="276" t="s">
        <v>342</v>
      </c>
      <c r="BV3" s="290"/>
      <c r="BW3" s="290"/>
      <c r="BX3" s="291"/>
      <c r="BY3" s="272"/>
      <c r="BZ3" s="279"/>
      <c r="CA3" s="279" t="s">
        <v>343</v>
      </c>
      <c r="CB3" s="280" t="s">
        <v>344</v>
      </c>
      <c r="CC3" s="280"/>
      <c r="CD3" s="280"/>
      <c r="CE3" s="280"/>
      <c r="CF3" s="280"/>
    </row>
    <row r="4" spans="1:84" s="281" customFormat="1" ht="3" customHeight="1" x14ac:dyDescent="0.25">
      <c r="A4" s="292"/>
      <c r="B4" s="292"/>
      <c r="C4" s="293"/>
      <c r="D4" s="293"/>
      <c r="E4" s="293"/>
      <c r="F4" s="293"/>
      <c r="G4" s="293"/>
      <c r="H4" s="293"/>
      <c r="I4" s="293"/>
      <c r="J4" s="293"/>
      <c r="K4" s="293"/>
      <c r="L4" s="293"/>
      <c r="M4" s="293"/>
      <c r="N4" s="293"/>
      <c r="O4" s="293"/>
      <c r="P4" s="293"/>
      <c r="Q4" s="293"/>
      <c r="R4" s="293"/>
      <c r="S4" s="293"/>
      <c r="T4" s="293"/>
      <c r="U4" s="293"/>
      <c r="V4" s="293"/>
      <c r="W4" s="294"/>
      <c r="X4" s="294"/>
      <c r="Y4" s="294"/>
      <c r="Z4" s="294"/>
      <c r="AA4" s="294"/>
      <c r="AB4" s="294"/>
      <c r="AC4" s="294"/>
      <c r="AD4" s="294"/>
      <c r="AE4" s="294"/>
      <c r="AF4" s="294"/>
      <c r="AG4" s="294"/>
      <c r="AH4" s="294"/>
      <c r="AI4" s="294"/>
      <c r="AJ4" s="272"/>
      <c r="AK4" s="292"/>
      <c r="AL4" s="292"/>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82"/>
      <c r="BU4" s="295"/>
      <c r="BV4" s="296"/>
      <c r="BW4" s="296"/>
      <c r="BX4" s="291"/>
      <c r="BY4" s="272"/>
      <c r="BZ4" s="279"/>
      <c r="CA4" s="279"/>
      <c r="CB4" s="280"/>
      <c r="CC4" s="280"/>
      <c r="CD4" s="280"/>
      <c r="CE4" s="280"/>
      <c r="CF4" s="280"/>
    </row>
    <row r="5" spans="1:84" s="302" customFormat="1" ht="12.95" customHeight="1" x14ac:dyDescent="0.25">
      <c r="A5" s="297"/>
      <c r="B5" s="298"/>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82"/>
      <c r="AK5" s="282"/>
      <c r="AL5" s="2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295"/>
      <c r="BV5" s="299"/>
      <c r="BW5" s="299"/>
      <c r="BX5" s="300"/>
      <c r="BY5" s="82"/>
      <c r="BZ5" s="273"/>
      <c r="CA5" s="273"/>
      <c r="CB5" s="301"/>
      <c r="CC5" s="301"/>
      <c r="CD5" s="301"/>
      <c r="CE5" s="301"/>
      <c r="CF5" s="301"/>
    </row>
    <row r="6" spans="1:84" s="309" customFormat="1" ht="18.95" customHeight="1" x14ac:dyDescent="0.25">
      <c r="A6" s="1639" t="str">
        <f>CONCATENATE("THUYẾT MINH ",UPPER(Loai_BC_V))</f>
        <v>THUYẾT MINH BÁO CÁO TÀI CHÍNH</v>
      </c>
      <c r="B6" s="1639"/>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c r="AF6" s="1639"/>
      <c r="AG6" s="1639"/>
      <c r="AH6" s="1639"/>
      <c r="AI6" s="1639"/>
      <c r="AJ6" s="303"/>
      <c r="AK6" s="1640" t="str">
        <f>CONCATENATE("NOTES TO THE ",UPPER(Loai_BC_E))</f>
        <v>NOTES TO THE SEPARATE FINANCIAL STATEMENTS</v>
      </c>
      <c r="AL6" s="1640"/>
      <c r="AM6" s="1640"/>
      <c r="AN6" s="1640"/>
      <c r="AO6" s="1640"/>
      <c r="AP6" s="1640"/>
      <c r="AQ6" s="1640"/>
      <c r="AR6" s="1640"/>
      <c r="AS6" s="1640"/>
      <c r="AT6" s="1640"/>
      <c r="AU6" s="1640"/>
      <c r="AV6" s="1640"/>
      <c r="AW6" s="1640"/>
      <c r="AX6" s="1640"/>
      <c r="AY6" s="1640"/>
      <c r="AZ6" s="1640"/>
      <c r="BA6" s="1640"/>
      <c r="BB6" s="1640"/>
      <c r="BC6" s="1640"/>
      <c r="BD6" s="1640"/>
      <c r="BE6" s="1640"/>
      <c r="BF6" s="1640"/>
      <c r="BG6" s="1640"/>
      <c r="BH6" s="1640"/>
      <c r="BI6" s="1640"/>
      <c r="BJ6" s="1640"/>
      <c r="BK6" s="1640"/>
      <c r="BL6" s="1640"/>
      <c r="BM6" s="1640"/>
      <c r="BN6" s="1640"/>
      <c r="BO6" s="1640"/>
      <c r="BP6" s="1640"/>
      <c r="BQ6" s="1640"/>
      <c r="BR6" s="1640"/>
      <c r="BS6" s="1640"/>
      <c r="BT6" s="303"/>
      <c r="BU6" s="304"/>
      <c r="BV6" s="305"/>
      <c r="BW6" s="305"/>
      <c r="BX6" s="306"/>
      <c r="BY6" s="303"/>
      <c r="BZ6" s="307"/>
      <c r="CA6" s="307"/>
      <c r="CB6" s="308"/>
      <c r="CC6" s="308"/>
      <c r="CD6" s="308"/>
      <c r="CE6" s="308"/>
      <c r="CF6" s="308"/>
    </row>
    <row r="7" spans="1:84" s="281" customFormat="1" ht="15" customHeight="1" x14ac:dyDescent="0.25">
      <c r="A7" s="1641" t="str">
        <f>TDe_Time_LCTT_V</f>
        <v>Năm 2017</v>
      </c>
      <c r="B7" s="1641"/>
      <c r="C7" s="1641"/>
      <c r="D7" s="1641"/>
      <c r="E7" s="1641"/>
      <c r="F7" s="1641"/>
      <c r="G7" s="1641"/>
      <c r="H7" s="1641"/>
      <c r="I7" s="1641"/>
      <c r="J7" s="1641"/>
      <c r="K7" s="1641"/>
      <c r="L7" s="1641"/>
      <c r="M7" s="1641"/>
      <c r="N7" s="1641"/>
      <c r="O7" s="1641"/>
      <c r="P7" s="1641"/>
      <c r="Q7" s="1641"/>
      <c r="R7" s="1641"/>
      <c r="S7" s="1641"/>
      <c r="T7" s="1641"/>
      <c r="U7" s="1641"/>
      <c r="V7" s="1641"/>
      <c r="W7" s="1641"/>
      <c r="X7" s="1641"/>
      <c r="Y7" s="1641"/>
      <c r="Z7" s="1641"/>
      <c r="AA7" s="1641"/>
      <c r="AB7" s="1641"/>
      <c r="AC7" s="1641"/>
      <c r="AD7" s="1641"/>
      <c r="AE7" s="1641"/>
      <c r="AF7" s="1641"/>
      <c r="AG7" s="1641"/>
      <c r="AH7" s="1641"/>
      <c r="AI7" s="1641"/>
      <c r="AJ7" s="272"/>
      <c r="AK7" s="1642" t="str">
        <f>TDe_Time_LCTT_E</f>
        <v>Year 2015</v>
      </c>
      <c r="AL7" s="1642"/>
      <c r="AM7" s="1642"/>
      <c r="AN7" s="1642"/>
      <c r="AO7" s="1642"/>
      <c r="AP7" s="1642"/>
      <c r="AQ7" s="1642"/>
      <c r="AR7" s="1642"/>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c r="BP7" s="1642"/>
      <c r="BQ7" s="1642"/>
      <c r="BR7" s="1642"/>
      <c r="BS7" s="1642"/>
      <c r="BT7" s="82"/>
      <c r="BU7" s="295"/>
      <c r="BV7" s="310"/>
      <c r="BW7" s="310"/>
      <c r="BX7" s="291"/>
      <c r="BY7" s="272"/>
      <c r="BZ7" s="279"/>
      <c r="CA7" s="279"/>
      <c r="CB7" s="280"/>
      <c r="CC7" s="280"/>
      <c r="CD7" s="280"/>
      <c r="CE7" s="280"/>
      <c r="CF7" s="280"/>
    </row>
    <row r="8" spans="1:84" s="302" customFormat="1" ht="14.1" customHeight="1" x14ac:dyDescent="0.25">
      <c r="A8" s="311"/>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82"/>
      <c r="AK8" s="282"/>
      <c r="AL8" s="2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295"/>
      <c r="BV8" s="310"/>
      <c r="BW8" s="310"/>
      <c r="BX8" s="300"/>
      <c r="BY8" s="82"/>
      <c r="BZ8" s="273"/>
      <c r="CA8" s="273"/>
      <c r="CB8" s="301"/>
      <c r="CC8" s="301"/>
      <c r="CD8" s="301"/>
      <c r="CE8" s="301"/>
      <c r="CF8" s="301"/>
    </row>
    <row r="9" spans="1:84" s="281" customFormat="1" ht="15" customHeight="1" x14ac:dyDescent="0.25">
      <c r="A9" s="311">
        <v>1</v>
      </c>
      <c r="B9" s="312" t="s">
        <v>345</v>
      </c>
      <c r="C9" s="312" t="s">
        <v>346</v>
      </c>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72"/>
      <c r="AK9" s="313">
        <v>1</v>
      </c>
      <c r="AL9" s="282" t="s">
        <v>345</v>
      </c>
      <c r="AM9" s="282" t="str">
        <f>UPPER(CONCATENATE("CHARACTERISTICS OF OPERATION OF THE ",LoaiCT_E))</f>
        <v>CHARACTERISTICS OF OPERATION OF THE CORPORATION</v>
      </c>
      <c r="AN9" s="82"/>
      <c r="AO9" s="82"/>
      <c r="AP9" s="82"/>
      <c r="AQ9" s="82"/>
      <c r="AR9" s="82"/>
      <c r="AS9" s="82"/>
      <c r="AT9" s="82"/>
      <c r="AU9" s="82"/>
      <c r="AV9" s="82"/>
      <c r="AW9" s="82"/>
      <c r="AX9" s="82"/>
      <c r="AY9" s="82"/>
      <c r="AZ9" s="82"/>
      <c r="BA9" s="82"/>
      <c r="BB9" s="82"/>
      <c r="BC9" s="82"/>
      <c r="BD9" s="82"/>
      <c r="BE9" s="82"/>
      <c r="BF9" s="82"/>
      <c r="BG9" s="270"/>
      <c r="BH9" s="270"/>
      <c r="BI9" s="270"/>
      <c r="BJ9" s="270"/>
      <c r="BK9" s="270"/>
      <c r="BL9" s="270"/>
      <c r="BM9" s="270"/>
      <c r="BN9" s="270"/>
      <c r="BO9" s="270"/>
      <c r="BP9" s="270"/>
      <c r="BQ9" s="270"/>
      <c r="BR9" s="270"/>
      <c r="BS9" s="270"/>
      <c r="BT9" s="82"/>
      <c r="BU9" s="295"/>
      <c r="BV9" s="310"/>
      <c r="BW9" s="310"/>
      <c r="BX9" s="291"/>
      <c r="BY9" s="272"/>
      <c r="BZ9" s="279"/>
      <c r="CA9" s="279"/>
      <c r="CB9" s="280"/>
      <c r="CC9" s="280"/>
      <c r="CD9" s="280"/>
      <c r="CE9" s="280"/>
      <c r="CF9" s="280"/>
    </row>
    <row r="10" spans="1:84" s="281" customFormat="1" ht="14.1" customHeight="1" x14ac:dyDescent="0.25">
      <c r="A10" s="311"/>
      <c r="B10" s="312"/>
      <c r="C10" s="1602"/>
      <c r="D10" s="1602"/>
      <c r="E10" s="1602"/>
      <c r="F10" s="1602"/>
      <c r="G10" s="1602"/>
      <c r="H10" s="1602"/>
      <c r="I10" s="1602"/>
      <c r="J10" s="1602"/>
      <c r="K10" s="1602"/>
      <c r="L10" s="1602"/>
      <c r="M10" s="1602"/>
      <c r="N10" s="1602"/>
      <c r="O10" s="1602"/>
      <c r="P10" s="1602"/>
      <c r="Q10" s="1602"/>
      <c r="R10" s="1602"/>
      <c r="S10" s="1602"/>
      <c r="T10" s="1602"/>
      <c r="U10" s="1602"/>
      <c r="V10" s="1602"/>
      <c r="W10" s="1602"/>
      <c r="X10" s="1602"/>
      <c r="Y10" s="1602"/>
      <c r="Z10" s="1602"/>
      <c r="AA10" s="1602"/>
      <c r="AB10" s="1602"/>
      <c r="AC10" s="1602"/>
      <c r="AD10" s="1602"/>
      <c r="AE10" s="1602"/>
      <c r="AF10" s="1602"/>
      <c r="AG10" s="1602"/>
      <c r="AH10" s="1602"/>
      <c r="AI10" s="1602"/>
      <c r="AJ10" s="272"/>
      <c r="AK10" s="313"/>
      <c r="AL10" s="282"/>
      <c r="AM10" s="1622"/>
      <c r="AN10" s="1622"/>
      <c r="AO10" s="1622"/>
      <c r="AP10" s="1622"/>
      <c r="AQ10" s="1622"/>
      <c r="AR10" s="1622"/>
      <c r="AS10" s="1622"/>
      <c r="AT10" s="1622"/>
      <c r="AU10" s="1622"/>
      <c r="AV10" s="1622"/>
      <c r="AW10" s="1622"/>
      <c r="AX10" s="1622"/>
      <c r="AY10" s="1622"/>
      <c r="AZ10" s="1622"/>
      <c r="BA10" s="1622"/>
      <c r="BB10" s="1622"/>
      <c r="BC10" s="1622"/>
      <c r="BD10" s="1622"/>
      <c r="BE10" s="1622"/>
      <c r="BF10" s="1622"/>
      <c r="BG10" s="1622"/>
      <c r="BH10" s="1622"/>
      <c r="BI10" s="1622"/>
      <c r="BJ10" s="1622"/>
      <c r="BK10" s="1622"/>
      <c r="BL10" s="1622"/>
      <c r="BM10" s="1622"/>
      <c r="BN10" s="1622"/>
      <c r="BO10" s="1622"/>
      <c r="BP10" s="1622"/>
      <c r="BQ10" s="1622"/>
      <c r="BR10" s="1622"/>
      <c r="BS10" s="1622"/>
      <c r="BT10" s="82"/>
      <c r="BU10" s="295"/>
      <c r="BV10" s="310"/>
      <c r="BW10" s="310"/>
      <c r="BX10" s="291"/>
      <c r="BY10" s="272"/>
      <c r="BZ10" s="279"/>
      <c r="CA10" s="279"/>
      <c r="CB10" s="280"/>
      <c r="CC10" s="280"/>
      <c r="CD10" s="280"/>
      <c r="CE10" s="280"/>
      <c r="CF10" s="280"/>
    </row>
    <row r="11" spans="1:84" s="281" customFormat="1" ht="15" customHeight="1" x14ac:dyDescent="0.25">
      <c r="A11" s="311"/>
      <c r="B11" s="312"/>
      <c r="C11" s="1626" t="s">
        <v>347</v>
      </c>
      <c r="D11" s="1626"/>
      <c r="E11" s="1626"/>
      <c r="F11" s="1626"/>
      <c r="G11" s="1626"/>
      <c r="H11" s="1626"/>
      <c r="I11" s="1626"/>
      <c r="J11" s="1626"/>
      <c r="K11" s="1626"/>
      <c r="L11" s="1626"/>
      <c r="M11" s="1626"/>
      <c r="N11" s="1626"/>
      <c r="O11" s="1626"/>
      <c r="P11" s="1626"/>
      <c r="Q11" s="1626"/>
      <c r="R11" s="1626"/>
      <c r="S11" s="1626"/>
      <c r="T11" s="1626"/>
      <c r="U11" s="1626"/>
      <c r="V11" s="1626"/>
      <c r="W11" s="1626"/>
      <c r="X11" s="1626"/>
      <c r="Y11" s="1626"/>
      <c r="Z11" s="1626"/>
      <c r="AA11" s="1626"/>
      <c r="AB11" s="1626"/>
      <c r="AC11" s="1626"/>
      <c r="AD11" s="1626"/>
      <c r="AE11" s="1626"/>
      <c r="AF11" s="1626"/>
      <c r="AG11" s="1626"/>
      <c r="AH11" s="1626"/>
      <c r="AI11" s="1626"/>
      <c r="AJ11" s="272"/>
      <c r="AK11" s="313"/>
      <c r="AL11" s="282"/>
      <c r="AM11" s="1632" t="s">
        <v>348</v>
      </c>
      <c r="AN11" s="1632"/>
      <c r="AO11" s="1632"/>
      <c r="AP11" s="1632"/>
      <c r="AQ11" s="1632"/>
      <c r="AR11" s="1632"/>
      <c r="AS11" s="1632"/>
      <c r="AT11" s="1632"/>
      <c r="AU11" s="1632"/>
      <c r="AV11" s="1632"/>
      <c r="AW11" s="1632"/>
      <c r="AX11" s="1632"/>
      <c r="AY11" s="1632"/>
      <c r="AZ11" s="1632"/>
      <c r="BA11" s="1632"/>
      <c r="BB11" s="1632"/>
      <c r="BC11" s="1632"/>
      <c r="BD11" s="1632"/>
      <c r="BE11" s="1632"/>
      <c r="BF11" s="1632"/>
      <c r="BG11" s="1632"/>
      <c r="BH11" s="1632"/>
      <c r="BI11" s="1632"/>
      <c r="BJ11" s="1632"/>
      <c r="BK11" s="1632"/>
      <c r="BL11" s="1632"/>
      <c r="BM11" s="1632"/>
      <c r="BN11" s="1632"/>
      <c r="BO11" s="1632"/>
      <c r="BP11" s="1632"/>
      <c r="BQ11" s="1632"/>
      <c r="BR11" s="1632"/>
      <c r="BS11" s="1632"/>
      <c r="BT11" s="82"/>
      <c r="BU11" s="295"/>
      <c r="BV11" s="310"/>
      <c r="BW11" s="310"/>
      <c r="BX11" s="291"/>
      <c r="BY11" s="272"/>
      <c r="BZ11" s="279"/>
      <c r="CA11" s="279"/>
      <c r="CB11" s="280"/>
      <c r="CC11" s="280"/>
      <c r="CD11" s="280"/>
      <c r="CE11" s="280"/>
      <c r="CF11" s="280"/>
    </row>
    <row r="12" spans="1:84" s="281" customFormat="1" ht="14.1" customHeight="1" x14ac:dyDescent="0.25">
      <c r="A12" s="311"/>
      <c r="B12" s="312"/>
      <c r="C12" s="1602"/>
      <c r="D12" s="1602"/>
      <c r="E12" s="1602"/>
      <c r="F12" s="1602"/>
      <c r="G12" s="1602"/>
      <c r="H12" s="1602"/>
      <c r="I12" s="1602"/>
      <c r="J12" s="1602"/>
      <c r="K12" s="1602"/>
      <c r="L12" s="1602"/>
      <c r="M12" s="1602"/>
      <c r="N12" s="1602"/>
      <c r="O12" s="1602"/>
      <c r="P12" s="1602"/>
      <c r="Q12" s="1602"/>
      <c r="R12" s="1602"/>
      <c r="S12" s="1602"/>
      <c r="T12" s="1602"/>
      <c r="U12" s="1602"/>
      <c r="V12" s="1602"/>
      <c r="W12" s="1602"/>
      <c r="X12" s="1602"/>
      <c r="Y12" s="1602"/>
      <c r="Z12" s="1602"/>
      <c r="AA12" s="1602"/>
      <c r="AB12" s="1602"/>
      <c r="AC12" s="1602"/>
      <c r="AD12" s="1602"/>
      <c r="AE12" s="1602"/>
      <c r="AF12" s="1602"/>
      <c r="AG12" s="1602"/>
      <c r="AH12" s="1602"/>
      <c r="AI12" s="1602"/>
      <c r="AJ12" s="272"/>
      <c r="AK12" s="313"/>
      <c r="AL12" s="282"/>
      <c r="AM12" s="1622"/>
      <c r="AN12" s="1622"/>
      <c r="AO12" s="1622"/>
      <c r="AP12" s="1622"/>
      <c r="AQ12" s="1622"/>
      <c r="AR12" s="1622"/>
      <c r="AS12" s="1622"/>
      <c r="AT12" s="1622"/>
      <c r="AU12" s="1622"/>
      <c r="AV12" s="1622"/>
      <c r="AW12" s="1622"/>
      <c r="AX12" s="1622"/>
      <c r="AY12" s="1622"/>
      <c r="AZ12" s="1622"/>
      <c r="BA12" s="1622"/>
      <c r="BB12" s="1622"/>
      <c r="BC12" s="1622"/>
      <c r="BD12" s="1622"/>
      <c r="BE12" s="1622"/>
      <c r="BF12" s="1622"/>
      <c r="BG12" s="1622"/>
      <c r="BH12" s="1622"/>
      <c r="BI12" s="1622"/>
      <c r="BJ12" s="1622"/>
      <c r="BK12" s="1622"/>
      <c r="BL12" s="1622"/>
      <c r="BM12" s="1622"/>
      <c r="BN12" s="1622"/>
      <c r="BO12" s="1622"/>
      <c r="BP12" s="1622"/>
      <c r="BQ12" s="1622"/>
      <c r="BR12" s="1622"/>
      <c r="BS12" s="1622"/>
      <c r="BT12" s="82"/>
      <c r="BU12" s="295"/>
      <c r="BV12" s="310"/>
      <c r="BW12" s="310"/>
      <c r="BX12" s="291"/>
      <c r="BY12" s="272"/>
      <c r="BZ12" s="279"/>
      <c r="CA12" s="279"/>
      <c r="CB12" s="280"/>
      <c r="CC12" s="280"/>
      <c r="CD12" s="280"/>
      <c r="CE12" s="280"/>
      <c r="CF12" s="280"/>
    </row>
    <row r="13" spans="1:84" s="281" customFormat="1" ht="42.75" customHeight="1" x14ac:dyDescent="0.25">
      <c r="A13" s="311"/>
      <c r="B13" s="312"/>
      <c r="C13" s="1604" t="str">
        <f>[1]BCBGD!A35</f>
        <v>Công ty Cổ phần Viglacera Từ Sơn là Công ty Cổ phần được chuyển đổi từ doanh nghiệp Nhà nước là Công ty Gốm xây dựng Từ Sơn theo Quyết định số 1729/QĐ-BXD ngày 04 tháng 11 năm 2004 của Bộ trưởng Bộ Xây dựng.</v>
      </c>
      <c r="D13" s="1604"/>
      <c r="E13" s="1604"/>
      <c r="F13" s="1604"/>
      <c r="G13" s="1604"/>
      <c r="H13" s="1604"/>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272"/>
      <c r="AK13" s="313"/>
      <c r="AL13" s="282"/>
      <c r="AM13" s="1604" t="str">
        <f>[1]BCBGD!P35</f>
        <v>ABC Joint Stock Company was established under Decision No...... dated....... issued by.... )</v>
      </c>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82"/>
      <c r="BU13" s="295"/>
      <c r="BV13" s="310"/>
      <c r="BW13" s="310"/>
      <c r="BX13" s="291"/>
      <c r="BY13" s="272"/>
      <c r="BZ13" s="279"/>
      <c r="CA13" s="279"/>
      <c r="CB13" s="280"/>
      <c r="CC13" s="280"/>
      <c r="CD13" s="280"/>
      <c r="CE13" s="280"/>
      <c r="CF13" s="280"/>
    </row>
    <row r="14" spans="1:84" s="281" customFormat="1" ht="12.95" customHeight="1" x14ac:dyDescent="0.25">
      <c r="A14" s="311"/>
      <c r="B14" s="312"/>
      <c r="C14" s="314"/>
      <c r="D14" s="314"/>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272"/>
      <c r="AK14" s="313"/>
      <c r="AL14" s="282"/>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4"/>
      <c r="BP14" s="314"/>
      <c r="BQ14" s="314"/>
      <c r="BR14" s="314"/>
      <c r="BS14" s="314"/>
      <c r="BT14" s="82"/>
      <c r="BU14" s="295"/>
      <c r="BV14" s="310"/>
      <c r="BW14" s="310"/>
      <c r="BX14" s="291"/>
      <c r="BY14" s="272"/>
      <c r="BZ14" s="279"/>
      <c r="CA14" s="279"/>
      <c r="CB14" s="280"/>
      <c r="CC14" s="280"/>
      <c r="CD14" s="280"/>
      <c r="CE14" s="280"/>
      <c r="CF14" s="280"/>
    </row>
    <row r="15" spans="1:84" s="281" customFormat="1" ht="15" customHeight="1" x14ac:dyDescent="0.25">
      <c r="A15" s="311"/>
      <c r="B15" s="312"/>
      <c r="C15" s="1604" t="str">
        <f>[1]BCBGD!A37</f>
        <v>Trụ sở chính của Công ty tại Phường Đình Bảng - Thị xã Từ Sơn - Tỉnh Bắc Ninh.</v>
      </c>
      <c r="D15" s="1604"/>
      <c r="E15" s="1604"/>
      <c r="F15" s="1604"/>
      <c r="G15" s="1604"/>
      <c r="H15" s="1604"/>
      <c r="I15" s="1604"/>
      <c r="J15" s="1604"/>
      <c r="K15" s="1604"/>
      <c r="L15" s="1604"/>
      <c r="M15" s="1604"/>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272"/>
      <c r="AK15" s="313"/>
      <c r="AL15" s="282"/>
      <c r="AM15" s="1637" t="str">
        <f>[1]BCBGD!P37</f>
        <v>The Corporation’s head office is located at…</v>
      </c>
      <c r="AN15" s="1637"/>
      <c r="AO15" s="1637"/>
      <c r="AP15" s="1637"/>
      <c r="AQ15" s="1637"/>
      <c r="AR15" s="1637"/>
      <c r="AS15" s="1637"/>
      <c r="AT15" s="1637"/>
      <c r="AU15" s="1637"/>
      <c r="AV15" s="1637"/>
      <c r="AW15" s="1637"/>
      <c r="AX15" s="1637"/>
      <c r="AY15" s="1637"/>
      <c r="AZ15" s="1637"/>
      <c r="BA15" s="1637"/>
      <c r="BB15" s="1637"/>
      <c r="BC15" s="1637"/>
      <c r="BD15" s="1637"/>
      <c r="BE15" s="1637"/>
      <c r="BF15" s="1637"/>
      <c r="BG15" s="1637"/>
      <c r="BH15" s="1637"/>
      <c r="BI15" s="1637"/>
      <c r="BJ15" s="1637"/>
      <c r="BK15" s="1637"/>
      <c r="BL15" s="1637"/>
      <c r="BM15" s="1637"/>
      <c r="BN15" s="1637"/>
      <c r="BO15" s="1637"/>
      <c r="BP15" s="1637"/>
      <c r="BQ15" s="1637"/>
      <c r="BR15" s="1637"/>
      <c r="BS15" s="1637"/>
      <c r="BT15" s="82"/>
      <c r="BU15" s="295"/>
      <c r="BV15" s="310"/>
      <c r="BW15" s="310"/>
      <c r="BX15" s="291"/>
      <c r="BY15" s="272"/>
      <c r="BZ15" s="279"/>
      <c r="CA15" s="279"/>
      <c r="CB15" s="280"/>
      <c r="CC15" s="280"/>
      <c r="CD15" s="280"/>
      <c r="CE15" s="280"/>
      <c r="CF15" s="280"/>
    </row>
    <row r="16" spans="1:84" s="281" customFormat="1" ht="14.1" customHeight="1" x14ac:dyDescent="0.25">
      <c r="A16" s="311"/>
      <c r="B16" s="312"/>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272"/>
      <c r="AK16" s="313"/>
      <c r="AL16" s="282"/>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82"/>
      <c r="BU16" s="295"/>
      <c r="BV16" s="310"/>
      <c r="BW16" s="310"/>
      <c r="BX16" s="291"/>
      <c r="BY16" s="272"/>
      <c r="BZ16" s="279"/>
      <c r="CA16" s="279"/>
      <c r="CB16" s="280"/>
      <c r="CC16" s="280"/>
      <c r="CD16" s="280"/>
      <c r="CE16" s="280"/>
      <c r="CF16" s="280"/>
    </row>
    <row r="17" spans="1:84" s="281" customFormat="1" ht="29.1" customHeight="1" x14ac:dyDescent="0.25">
      <c r="A17" s="311"/>
      <c r="B17" s="312"/>
      <c r="C17" s="1604" t="s">
        <v>349</v>
      </c>
      <c r="D17" s="1604"/>
      <c r="E17" s="1604"/>
      <c r="F17" s="1604"/>
      <c r="G17" s="1604"/>
      <c r="H17" s="1604"/>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272"/>
      <c r="AK17" s="313"/>
      <c r="AL17" s="282"/>
      <c r="AM17" s="1637" t="str">
        <f>"The "&amp;LoaiCT_E&amp;"'s charter capital"</f>
        <v>The Corporation's charter capital</v>
      </c>
      <c r="AN17" s="1637"/>
      <c r="AO17" s="1637"/>
      <c r="AP17" s="1637"/>
      <c r="AQ17" s="1637"/>
      <c r="AR17" s="1637"/>
      <c r="AS17" s="1637"/>
      <c r="AT17" s="1637"/>
      <c r="AU17" s="1637"/>
      <c r="AV17" s="1637"/>
      <c r="AW17" s="1637"/>
      <c r="AX17" s="1637"/>
      <c r="AY17" s="1637"/>
      <c r="AZ17" s="1637"/>
      <c r="BA17" s="1637"/>
      <c r="BB17" s="1637"/>
      <c r="BC17" s="1637"/>
      <c r="BD17" s="1637"/>
      <c r="BE17" s="1637"/>
      <c r="BF17" s="1637"/>
      <c r="BG17" s="1637"/>
      <c r="BH17" s="1637"/>
      <c r="BI17" s="1637"/>
      <c r="BJ17" s="1637"/>
      <c r="BK17" s="1637"/>
      <c r="BL17" s="1637"/>
      <c r="BM17" s="1637"/>
      <c r="BN17" s="1637"/>
      <c r="BO17" s="1637"/>
      <c r="BP17" s="1637"/>
      <c r="BQ17" s="1637"/>
      <c r="BR17" s="1637"/>
      <c r="BS17" s="1637"/>
      <c r="BT17" s="82"/>
      <c r="BU17" s="295"/>
      <c r="BV17" s="310"/>
      <c r="BW17" s="310"/>
      <c r="BX17" s="291"/>
      <c r="BY17" s="272"/>
      <c r="BZ17" s="279"/>
      <c r="CA17" s="279"/>
      <c r="CB17" s="280"/>
      <c r="CC17" s="280"/>
      <c r="CD17" s="280"/>
      <c r="CE17" s="280"/>
      <c r="CF17" s="280"/>
    </row>
    <row r="18" spans="1:84" s="302" customFormat="1" ht="14.1" customHeight="1" x14ac:dyDescent="0.25">
      <c r="A18" s="311"/>
      <c r="B18" s="312"/>
      <c r="C18" s="295"/>
      <c r="D18" s="295"/>
      <c r="E18" s="295"/>
      <c r="F18" s="295"/>
      <c r="G18" s="295"/>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95"/>
      <c r="AI18" s="295"/>
      <c r="AJ18" s="82"/>
      <c r="AK18" s="313"/>
      <c r="AL18" s="2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295"/>
      <c r="BV18" s="310"/>
      <c r="BW18" s="310"/>
      <c r="BX18" s="300"/>
      <c r="BY18" s="82"/>
      <c r="BZ18" s="273"/>
      <c r="CA18" s="273"/>
      <c r="CB18" s="301"/>
      <c r="CC18" s="301"/>
      <c r="CD18" s="301"/>
      <c r="CE18" s="301"/>
      <c r="CF18" s="301"/>
    </row>
    <row r="19" spans="1:84" s="281" customFormat="1" ht="15" customHeight="1" x14ac:dyDescent="0.25">
      <c r="A19" s="311"/>
      <c r="B19" s="312"/>
      <c r="C19" s="312" t="s">
        <v>350</v>
      </c>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72"/>
      <c r="AK19" s="313"/>
      <c r="AL19" s="282"/>
      <c r="AM19" s="282" t="s">
        <v>351</v>
      </c>
      <c r="AN19" s="82"/>
      <c r="AO19" s="82"/>
      <c r="AP19" s="82"/>
      <c r="AQ19" s="82"/>
      <c r="AR19" s="82"/>
      <c r="AS19" s="82"/>
      <c r="AT19" s="82"/>
      <c r="AU19" s="82"/>
      <c r="AV19" s="82"/>
      <c r="AW19" s="82"/>
      <c r="AX19" s="82"/>
      <c r="AY19" s="82"/>
      <c r="AZ19" s="82"/>
      <c r="BA19" s="82"/>
      <c r="BB19" s="82"/>
      <c r="BC19" s="82"/>
      <c r="BD19" s="82"/>
      <c r="BE19" s="82"/>
      <c r="BF19" s="82"/>
      <c r="BG19" s="270"/>
      <c r="BH19" s="270"/>
      <c r="BI19" s="270"/>
      <c r="BJ19" s="270"/>
      <c r="BK19" s="270"/>
      <c r="BL19" s="270"/>
      <c r="BM19" s="270"/>
      <c r="BN19" s="270"/>
      <c r="BO19" s="270"/>
      <c r="BP19" s="270"/>
      <c r="BQ19" s="270"/>
      <c r="BR19" s="270"/>
      <c r="BS19" s="270"/>
      <c r="BT19" s="82"/>
      <c r="BU19" s="295"/>
      <c r="BV19" s="310"/>
      <c r="BW19" s="310"/>
      <c r="BX19" s="291"/>
      <c r="BY19" s="272"/>
      <c r="BZ19" s="279"/>
      <c r="CA19" s="279"/>
      <c r="CB19" s="280"/>
      <c r="CC19" s="280"/>
      <c r="CD19" s="280"/>
      <c r="CE19" s="280"/>
      <c r="CF19" s="280"/>
    </row>
    <row r="20" spans="1:84" s="302" customFormat="1" ht="14.1" customHeight="1" x14ac:dyDescent="0.25">
      <c r="A20" s="311"/>
      <c r="B20" s="312"/>
      <c r="C20" s="1616"/>
      <c r="D20" s="1616"/>
      <c r="E20" s="1616"/>
      <c r="F20" s="1616"/>
      <c r="G20" s="1616"/>
      <c r="H20" s="1616"/>
      <c r="I20" s="1616"/>
      <c r="J20" s="1616"/>
      <c r="K20" s="1616"/>
      <c r="L20" s="1616"/>
      <c r="M20" s="1616"/>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6"/>
      <c r="AI20" s="1616"/>
      <c r="AJ20" s="82"/>
      <c r="AK20" s="313"/>
      <c r="AL20" s="282"/>
      <c r="AM20" s="316"/>
      <c r="AN20" s="82"/>
      <c r="AO20" s="82"/>
      <c r="AP20" s="82"/>
      <c r="AQ20" s="82"/>
      <c r="AR20" s="82"/>
      <c r="AS20" s="82"/>
      <c r="AT20" s="82"/>
      <c r="AU20" s="82"/>
      <c r="AV20" s="82"/>
      <c r="AW20" s="82"/>
      <c r="AX20" s="82"/>
      <c r="AY20" s="82"/>
      <c r="AZ20" s="82"/>
      <c r="BA20" s="82"/>
      <c r="BB20" s="82"/>
      <c r="BC20" s="82"/>
      <c r="BD20" s="82"/>
      <c r="BE20" s="82"/>
      <c r="BF20" s="82"/>
      <c r="BG20" s="270"/>
      <c r="BH20" s="270"/>
      <c r="BI20" s="270"/>
      <c r="BJ20" s="270"/>
      <c r="BK20" s="270"/>
      <c r="BL20" s="270"/>
      <c r="BM20" s="270"/>
      <c r="BN20" s="270"/>
      <c r="BO20" s="270"/>
      <c r="BP20" s="270"/>
      <c r="BQ20" s="270"/>
      <c r="BR20" s="270"/>
      <c r="BS20" s="270"/>
      <c r="BT20" s="82"/>
      <c r="BU20" s="295"/>
      <c r="BV20" s="310"/>
      <c r="BW20" s="310"/>
      <c r="BX20" s="300"/>
      <c r="BY20" s="82"/>
      <c r="BZ20" s="273"/>
      <c r="CA20" s="273"/>
      <c r="CB20" s="301"/>
      <c r="CC20" s="301"/>
      <c r="CD20" s="301"/>
      <c r="CE20" s="301"/>
      <c r="CF20" s="301"/>
    </row>
    <row r="21" spans="1:84" s="281" customFormat="1" ht="15" customHeight="1" x14ac:dyDescent="0.25">
      <c r="A21" s="311"/>
      <c r="B21" s="312"/>
      <c r="C21" s="1638" t="s">
        <v>352</v>
      </c>
      <c r="D21" s="1638"/>
      <c r="E21" s="1638"/>
      <c r="F21" s="1638"/>
      <c r="G21" s="1638"/>
      <c r="H21" s="1638"/>
      <c r="I21" s="1638"/>
      <c r="J21" s="1638"/>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272"/>
      <c r="AK21" s="313"/>
      <c r="AL21" s="282"/>
      <c r="AM21" s="82"/>
      <c r="AN21" s="82"/>
      <c r="AO21" s="82"/>
      <c r="AP21" s="82"/>
      <c r="AQ21" s="82"/>
      <c r="AR21" s="82"/>
      <c r="AS21" s="82"/>
      <c r="AT21" s="82"/>
      <c r="AU21" s="82"/>
      <c r="AV21" s="82"/>
      <c r="AW21" s="82"/>
      <c r="AX21" s="82"/>
      <c r="AY21" s="82"/>
      <c r="AZ21" s="82"/>
      <c r="BA21" s="82"/>
      <c r="BB21" s="82"/>
      <c r="BC21" s="82"/>
      <c r="BD21" s="82"/>
      <c r="BE21" s="82"/>
      <c r="BF21" s="82"/>
      <c r="BG21" s="270"/>
      <c r="BH21" s="270"/>
      <c r="BI21" s="270"/>
      <c r="BJ21" s="270"/>
      <c r="BK21" s="270"/>
      <c r="BL21" s="270"/>
      <c r="BM21" s="270"/>
      <c r="BN21" s="270"/>
      <c r="BO21" s="270"/>
      <c r="BP21" s="270"/>
      <c r="BQ21" s="270"/>
      <c r="BR21" s="270"/>
      <c r="BS21" s="270"/>
      <c r="BT21" s="82"/>
      <c r="BU21" s="295"/>
      <c r="BV21" s="310"/>
      <c r="BW21" s="310"/>
      <c r="BX21" s="291"/>
      <c r="BY21" s="272"/>
      <c r="BZ21" s="279"/>
      <c r="CA21" s="279"/>
      <c r="CB21" s="280"/>
      <c r="CC21" s="280"/>
      <c r="CD21" s="280"/>
      <c r="CE21" s="280"/>
      <c r="CF21" s="280"/>
    </row>
    <row r="22" spans="1:84" s="302" customFormat="1" ht="14.1" customHeight="1" x14ac:dyDescent="0.25">
      <c r="A22" s="311"/>
      <c r="B22" s="312"/>
      <c r="C22" s="1604"/>
      <c r="D22" s="1604"/>
      <c r="E22" s="1604"/>
      <c r="F22" s="1604"/>
      <c r="G22" s="1604"/>
      <c r="H22" s="1604"/>
      <c r="I22" s="1604"/>
      <c r="J22" s="1604"/>
      <c r="K22" s="1604"/>
      <c r="L22" s="1604"/>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82"/>
      <c r="AK22" s="313"/>
      <c r="AL22" s="282"/>
      <c r="AM22" s="82"/>
      <c r="AN22" s="82"/>
      <c r="AO22" s="82"/>
      <c r="AP22" s="82"/>
      <c r="AQ22" s="82"/>
      <c r="AR22" s="82"/>
      <c r="AS22" s="82"/>
      <c r="AT22" s="82"/>
      <c r="AU22" s="82"/>
      <c r="AV22" s="82"/>
      <c r="AW22" s="82"/>
      <c r="AX22" s="82"/>
      <c r="AY22" s="82"/>
      <c r="AZ22" s="82"/>
      <c r="BA22" s="82"/>
      <c r="BB22" s="82"/>
      <c r="BC22" s="82"/>
      <c r="BD22" s="82"/>
      <c r="BE22" s="82"/>
      <c r="BF22" s="82"/>
      <c r="BG22" s="270"/>
      <c r="BH22" s="270"/>
      <c r="BI22" s="270"/>
      <c r="BJ22" s="270"/>
      <c r="BK22" s="270"/>
      <c r="BL22" s="270"/>
      <c r="BM22" s="270"/>
      <c r="BN22" s="270"/>
      <c r="BO22" s="270"/>
      <c r="BP22" s="270"/>
      <c r="BQ22" s="270"/>
      <c r="BR22" s="270"/>
      <c r="BS22" s="270"/>
      <c r="BT22" s="82"/>
      <c r="BU22" s="295"/>
      <c r="BV22" s="310"/>
      <c r="BW22" s="310"/>
      <c r="BX22" s="300"/>
      <c r="BY22" s="82"/>
      <c r="BZ22" s="273"/>
      <c r="CA22" s="273"/>
      <c r="CB22" s="301"/>
      <c r="CC22" s="301"/>
      <c r="CD22" s="301"/>
      <c r="CE22" s="301"/>
      <c r="CF22" s="301"/>
    </row>
    <row r="23" spans="1:84" s="281" customFormat="1" ht="15" customHeight="1" x14ac:dyDescent="0.25">
      <c r="A23" s="311"/>
      <c r="B23" s="312"/>
      <c r="C23" s="312" t="s">
        <v>353</v>
      </c>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72"/>
      <c r="AK23" s="313"/>
      <c r="AL23" s="282"/>
      <c r="AM23" s="282" t="s">
        <v>354</v>
      </c>
      <c r="AN23" s="82"/>
      <c r="AO23" s="82"/>
      <c r="AP23" s="82"/>
      <c r="AQ23" s="82"/>
      <c r="AR23" s="82"/>
      <c r="AS23" s="82"/>
      <c r="AT23" s="82"/>
      <c r="AU23" s="82"/>
      <c r="AV23" s="82"/>
      <c r="AW23" s="82"/>
      <c r="AX23" s="82"/>
      <c r="AY23" s="82"/>
      <c r="AZ23" s="82"/>
      <c r="BA23" s="82"/>
      <c r="BB23" s="82"/>
      <c r="BC23" s="82"/>
      <c r="BD23" s="82"/>
      <c r="BE23" s="82"/>
      <c r="BF23" s="82"/>
      <c r="BG23" s="270"/>
      <c r="BH23" s="270"/>
      <c r="BI23" s="270"/>
      <c r="BJ23" s="270"/>
      <c r="BK23" s="270"/>
      <c r="BL23" s="270"/>
      <c r="BM23" s="270"/>
      <c r="BN23" s="270"/>
      <c r="BO23" s="270"/>
      <c r="BP23" s="270"/>
      <c r="BQ23" s="270"/>
      <c r="BR23" s="270"/>
      <c r="BS23" s="270"/>
      <c r="BT23" s="82"/>
      <c r="BU23" s="295"/>
      <c r="BV23" s="310"/>
      <c r="BW23" s="310"/>
      <c r="BX23" s="291"/>
      <c r="BY23" s="272"/>
      <c r="BZ23" s="279"/>
      <c r="CA23" s="279"/>
      <c r="CB23" s="280"/>
      <c r="CC23" s="280"/>
      <c r="CD23" s="280"/>
      <c r="CE23" s="280"/>
      <c r="CF23" s="280"/>
    </row>
    <row r="24" spans="1:84" s="302" customFormat="1" ht="14.1" customHeight="1" x14ac:dyDescent="0.25">
      <c r="A24" s="311"/>
      <c r="B24" s="312"/>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82"/>
      <c r="AK24" s="313"/>
      <c r="AL24" s="282"/>
      <c r="AM24" s="82"/>
      <c r="AN24" s="82"/>
      <c r="AO24" s="82"/>
      <c r="AP24" s="82"/>
      <c r="AQ24" s="82"/>
      <c r="AR24" s="82"/>
      <c r="AS24" s="82"/>
      <c r="AT24" s="82"/>
      <c r="AU24" s="82"/>
      <c r="AV24" s="82"/>
      <c r="AW24" s="82"/>
      <c r="AX24" s="82"/>
      <c r="AY24" s="82"/>
      <c r="AZ24" s="82"/>
      <c r="BA24" s="82"/>
      <c r="BB24" s="82"/>
      <c r="BC24" s="82"/>
      <c r="BD24" s="82"/>
      <c r="BE24" s="82"/>
      <c r="BF24" s="82"/>
      <c r="BG24" s="270"/>
      <c r="BH24" s="270"/>
      <c r="BI24" s="270"/>
      <c r="BJ24" s="270"/>
      <c r="BK24" s="270"/>
      <c r="BL24" s="270"/>
      <c r="BM24" s="270"/>
      <c r="BN24" s="270"/>
      <c r="BO24" s="270"/>
      <c r="BP24" s="270"/>
      <c r="BQ24" s="270"/>
      <c r="BR24" s="270"/>
      <c r="BS24" s="270"/>
      <c r="BT24" s="82"/>
      <c r="BU24" s="295"/>
      <c r="BV24" s="310"/>
      <c r="BW24" s="310"/>
      <c r="BX24" s="300"/>
      <c r="BY24" s="82"/>
      <c r="BZ24" s="273"/>
      <c r="CA24" s="273"/>
      <c r="CB24" s="301"/>
      <c r="CC24" s="301"/>
      <c r="CD24" s="301"/>
      <c r="CE24" s="301"/>
      <c r="CF24" s="301"/>
    </row>
    <row r="25" spans="1:84" s="281" customFormat="1" ht="15" customHeight="1" x14ac:dyDescent="0.25">
      <c r="A25" s="311"/>
      <c r="B25" s="312"/>
      <c r="C25" s="1604" t="str">
        <f>CONCATENATE("Hoạt động chính của ",LoaiCT_V," là:")</f>
        <v>Hoạt động chính của Công ty là:</v>
      </c>
      <c r="D25" s="1604"/>
      <c r="E25" s="1604"/>
      <c r="F25" s="1604"/>
      <c r="G25" s="1604"/>
      <c r="H25" s="1604"/>
      <c r="I25" s="1604"/>
      <c r="J25" s="1604"/>
      <c r="K25" s="1604"/>
      <c r="L25" s="1604"/>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272"/>
      <c r="AK25" s="313"/>
      <c r="AL25" s="282"/>
      <c r="AM25" s="1637" t="str">
        <f>CONCATENATE("Main business activity of the ",LoaiCT_E,": … (insert as Original and Amended Business Licenses)")</f>
        <v>Main business activity of the Corporation: … (insert as Original and Amended Business Licenses)</v>
      </c>
      <c r="AN25" s="1637"/>
      <c r="AO25" s="1637"/>
      <c r="AP25" s="1637"/>
      <c r="AQ25" s="1637"/>
      <c r="AR25" s="1637"/>
      <c r="AS25" s="1637"/>
      <c r="AT25" s="1637"/>
      <c r="AU25" s="1637"/>
      <c r="AV25" s="1637"/>
      <c r="AW25" s="1637"/>
      <c r="AX25" s="1637"/>
      <c r="AY25" s="1637"/>
      <c r="AZ25" s="1637"/>
      <c r="BA25" s="1637"/>
      <c r="BB25" s="1637"/>
      <c r="BC25" s="1637"/>
      <c r="BD25" s="1637"/>
      <c r="BE25" s="1637"/>
      <c r="BF25" s="1637"/>
      <c r="BG25" s="1637"/>
      <c r="BH25" s="1637"/>
      <c r="BI25" s="1637"/>
      <c r="BJ25" s="1637"/>
      <c r="BK25" s="1637"/>
      <c r="BL25" s="1637"/>
      <c r="BM25" s="1637"/>
      <c r="BN25" s="1637"/>
      <c r="BO25" s="1637"/>
      <c r="BP25" s="1637"/>
      <c r="BQ25" s="1637"/>
      <c r="BR25" s="1637"/>
      <c r="BS25" s="1637"/>
      <c r="BT25" s="82"/>
      <c r="BU25" s="295"/>
      <c r="BV25" s="310"/>
      <c r="BW25" s="310"/>
      <c r="BX25" s="291"/>
      <c r="BY25" s="272"/>
      <c r="BZ25" s="279"/>
      <c r="CA25" s="279"/>
      <c r="CB25" s="280"/>
      <c r="CC25" s="280"/>
      <c r="CD25" s="280"/>
      <c r="CE25" s="280"/>
      <c r="CF25" s="280"/>
    </row>
    <row r="26" spans="1:84" s="281" customFormat="1" ht="15" customHeight="1" x14ac:dyDescent="0.25">
      <c r="A26" s="311"/>
      <c r="B26" s="312"/>
      <c r="C26" s="317" t="s">
        <v>355</v>
      </c>
      <c r="D26" s="1603" t="s">
        <v>356</v>
      </c>
      <c r="E26" s="1603"/>
      <c r="F26" s="1603"/>
      <c r="G26" s="1603"/>
      <c r="H26" s="1603"/>
      <c r="I26" s="1603"/>
      <c r="J26" s="1603"/>
      <c r="K26" s="1603"/>
      <c r="L26" s="1603"/>
      <c r="M26" s="1603"/>
      <c r="N26" s="1603"/>
      <c r="O26" s="1603"/>
      <c r="P26" s="1603"/>
      <c r="Q26" s="1603"/>
      <c r="R26" s="1603"/>
      <c r="S26" s="1603"/>
      <c r="T26" s="1603"/>
      <c r="U26" s="1603"/>
      <c r="V26" s="1603"/>
      <c r="W26" s="1603"/>
      <c r="X26" s="1603"/>
      <c r="Y26" s="1603"/>
      <c r="Z26" s="1603"/>
      <c r="AA26" s="1603"/>
      <c r="AB26" s="1603"/>
      <c r="AC26" s="1603"/>
      <c r="AD26" s="1603"/>
      <c r="AE26" s="1603"/>
      <c r="AF26" s="1603"/>
      <c r="AG26" s="1603"/>
      <c r="AH26" s="1603"/>
      <c r="AI26" s="1603"/>
      <c r="AJ26" s="272"/>
      <c r="AK26" s="313"/>
      <c r="AL26" s="282"/>
      <c r="AM26" s="317" t="s">
        <v>355</v>
      </c>
      <c r="AN26" s="1635"/>
      <c r="AO26" s="1635"/>
      <c r="AP26" s="1635"/>
      <c r="AQ26" s="1635"/>
      <c r="AR26" s="1635"/>
      <c r="AS26" s="1635"/>
      <c r="AT26" s="1635"/>
      <c r="AU26" s="1635"/>
      <c r="AV26" s="1635"/>
      <c r="AW26" s="1635"/>
      <c r="AX26" s="1635"/>
      <c r="AY26" s="1635"/>
      <c r="AZ26" s="1635"/>
      <c r="BA26" s="1635"/>
      <c r="BB26" s="1635"/>
      <c r="BC26" s="1635"/>
      <c r="BD26" s="1635"/>
      <c r="BE26" s="1635"/>
      <c r="BF26" s="1635"/>
      <c r="BG26" s="1635"/>
      <c r="BH26" s="1635"/>
      <c r="BI26" s="1635"/>
      <c r="BJ26" s="1635"/>
      <c r="BK26" s="1635"/>
      <c r="BL26" s="1635"/>
      <c r="BM26" s="1635"/>
      <c r="BN26" s="1635"/>
      <c r="BO26" s="1635"/>
      <c r="BP26" s="1635"/>
      <c r="BQ26" s="1635"/>
      <c r="BR26" s="1635"/>
      <c r="BS26" s="1635"/>
      <c r="BT26" s="82"/>
      <c r="BU26" s="295"/>
      <c r="BV26" s="310"/>
      <c r="BW26" s="310"/>
      <c r="BX26" s="291"/>
      <c r="BY26" s="272"/>
      <c r="BZ26" s="279"/>
      <c r="CA26" s="279"/>
      <c r="CB26" s="280"/>
      <c r="CC26" s="280"/>
      <c r="CD26" s="280"/>
      <c r="CE26" s="280"/>
      <c r="CF26" s="280"/>
    </row>
    <row r="27" spans="1:84" s="281" customFormat="1" ht="29.1" customHeight="1" x14ac:dyDescent="0.25">
      <c r="A27" s="311"/>
      <c r="B27" s="312"/>
      <c r="C27" s="317" t="s">
        <v>355</v>
      </c>
      <c r="D27" s="1603" t="s">
        <v>357</v>
      </c>
      <c r="E27" s="1603"/>
      <c r="F27" s="1603"/>
      <c r="G27" s="1603"/>
      <c r="H27" s="1603"/>
      <c r="I27" s="1603"/>
      <c r="J27" s="1603"/>
      <c r="K27" s="1603"/>
      <c r="L27" s="1603"/>
      <c r="M27" s="1603"/>
      <c r="N27" s="1603"/>
      <c r="O27" s="1603"/>
      <c r="P27" s="1603"/>
      <c r="Q27" s="1603"/>
      <c r="R27" s="1603"/>
      <c r="S27" s="1603"/>
      <c r="T27" s="1603"/>
      <c r="U27" s="1603"/>
      <c r="V27" s="1603"/>
      <c r="W27" s="1603"/>
      <c r="X27" s="1603"/>
      <c r="Y27" s="1603"/>
      <c r="Z27" s="1603"/>
      <c r="AA27" s="1603"/>
      <c r="AB27" s="1603"/>
      <c r="AC27" s="1603"/>
      <c r="AD27" s="1603"/>
      <c r="AE27" s="1603"/>
      <c r="AF27" s="1603"/>
      <c r="AG27" s="1603"/>
      <c r="AH27" s="1603"/>
      <c r="AI27" s="1603"/>
      <c r="AJ27" s="272"/>
      <c r="AK27" s="313"/>
      <c r="AL27" s="282"/>
      <c r="AM27" s="317" t="s">
        <v>355</v>
      </c>
      <c r="AN27" s="1635"/>
      <c r="AO27" s="1635"/>
      <c r="AP27" s="1635"/>
      <c r="AQ27" s="1635"/>
      <c r="AR27" s="1635"/>
      <c r="AS27" s="1635"/>
      <c r="AT27" s="1635"/>
      <c r="AU27" s="1635"/>
      <c r="AV27" s="1635"/>
      <c r="AW27" s="1635"/>
      <c r="AX27" s="1635"/>
      <c r="AY27" s="1635"/>
      <c r="AZ27" s="1635"/>
      <c r="BA27" s="1635"/>
      <c r="BB27" s="1635"/>
      <c r="BC27" s="1635"/>
      <c r="BD27" s="1635"/>
      <c r="BE27" s="1635"/>
      <c r="BF27" s="1635"/>
      <c r="BG27" s="1635"/>
      <c r="BH27" s="1635"/>
      <c r="BI27" s="1635"/>
      <c r="BJ27" s="1635"/>
      <c r="BK27" s="1635"/>
      <c r="BL27" s="1635"/>
      <c r="BM27" s="1635"/>
      <c r="BN27" s="1635"/>
      <c r="BO27" s="1635"/>
      <c r="BP27" s="1635"/>
      <c r="BQ27" s="1635"/>
      <c r="BR27" s="1635"/>
      <c r="BS27" s="1635"/>
      <c r="BT27" s="82"/>
      <c r="BU27" s="295"/>
      <c r="BV27" s="310"/>
      <c r="BW27" s="310"/>
      <c r="BX27" s="291"/>
      <c r="BY27" s="272"/>
      <c r="BZ27" s="279"/>
      <c r="CA27" s="279"/>
      <c r="CB27" s="280"/>
      <c r="CC27" s="280"/>
      <c r="CD27" s="280"/>
      <c r="CE27" s="280"/>
      <c r="CF27" s="280"/>
    </row>
    <row r="28" spans="1:84" s="281" customFormat="1" ht="15" hidden="1" customHeight="1" x14ac:dyDescent="0.25">
      <c r="A28" s="311"/>
      <c r="B28" s="312"/>
      <c r="C28" s="317" t="s">
        <v>355</v>
      </c>
      <c r="D28" s="1603"/>
      <c r="E28" s="1603"/>
      <c r="F28" s="1603"/>
      <c r="G28" s="1603"/>
      <c r="H28" s="1603"/>
      <c r="I28" s="1603"/>
      <c r="J28" s="1603"/>
      <c r="K28" s="1603"/>
      <c r="L28" s="1603"/>
      <c r="M28" s="1603"/>
      <c r="N28" s="1603"/>
      <c r="O28" s="1603"/>
      <c r="P28" s="1603"/>
      <c r="Q28" s="1603"/>
      <c r="R28" s="1603"/>
      <c r="S28" s="1603"/>
      <c r="T28" s="1603"/>
      <c r="U28" s="1603"/>
      <c r="V28" s="1603"/>
      <c r="W28" s="1603"/>
      <c r="X28" s="1603"/>
      <c r="Y28" s="1603"/>
      <c r="Z28" s="1603"/>
      <c r="AA28" s="1603"/>
      <c r="AB28" s="1603"/>
      <c r="AC28" s="1603"/>
      <c r="AD28" s="1603"/>
      <c r="AE28" s="1603"/>
      <c r="AF28" s="1603"/>
      <c r="AG28" s="1603"/>
      <c r="AH28" s="1603"/>
      <c r="AI28" s="1603"/>
      <c r="AJ28" s="272"/>
      <c r="AK28" s="313"/>
      <c r="AL28" s="282"/>
      <c r="AM28" s="317" t="s">
        <v>355</v>
      </c>
      <c r="AN28" s="1635"/>
      <c r="AO28" s="1635"/>
      <c r="AP28" s="1635"/>
      <c r="AQ28" s="1635"/>
      <c r="AR28" s="1635"/>
      <c r="AS28" s="1635"/>
      <c r="AT28" s="1635"/>
      <c r="AU28" s="1635"/>
      <c r="AV28" s="1635"/>
      <c r="AW28" s="1635"/>
      <c r="AX28" s="1635"/>
      <c r="AY28" s="1635"/>
      <c r="AZ28" s="1635"/>
      <c r="BA28" s="1635"/>
      <c r="BB28" s="1635"/>
      <c r="BC28" s="1635"/>
      <c r="BD28" s="1635"/>
      <c r="BE28" s="1635"/>
      <c r="BF28" s="1635"/>
      <c r="BG28" s="1635"/>
      <c r="BH28" s="1635"/>
      <c r="BI28" s="1635"/>
      <c r="BJ28" s="1635"/>
      <c r="BK28" s="1635"/>
      <c r="BL28" s="1635"/>
      <c r="BM28" s="1635"/>
      <c r="BN28" s="1635"/>
      <c r="BO28" s="1635"/>
      <c r="BP28" s="1635"/>
      <c r="BQ28" s="1635"/>
      <c r="BR28" s="1635"/>
      <c r="BS28" s="1635"/>
      <c r="BT28" s="82"/>
      <c r="BU28" s="295"/>
      <c r="BV28" s="310"/>
      <c r="BW28" s="310"/>
      <c r="BX28" s="291"/>
      <c r="BY28" s="272"/>
      <c r="BZ28" s="279"/>
      <c r="CA28" s="279"/>
      <c r="CB28" s="280"/>
      <c r="CC28" s="280"/>
      <c r="CD28" s="280"/>
      <c r="CE28" s="280"/>
      <c r="CF28" s="280"/>
    </row>
    <row r="29" spans="1:84" s="302" customFormat="1" ht="12.95" customHeight="1" x14ac:dyDescent="0.25">
      <c r="A29" s="311"/>
      <c r="B29" s="312"/>
      <c r="C29" s="317"/>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82"/>
      <c r="AK29" s="313"/>
      <c r="AL29" s="282"/>
      <c r="AM29" s="317"/>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82"/>
      <c r="BU29" s="295"/>
      <c r="BV29" s="310"/>
      <c r="BW29" s="310"/>
      <c r="BX29" s="300"/>
      <c r="BY29" s="82"/>
      <c r="BZ29" s="273"/>
      <c r="CA29" s="273"/>
      <c r="CB29" s="301"/>
      <c r="CC29" s="301"/>
      <c r="CD29" s="301"/>
      <c r="CE29" s="301"/>
      <c r="CF29" s="301"/>
    </row>
    <row r="30" spans="1:84" s="302" customFormat="1" ht="15" hidden="1" customHeight="1" x14ac:dyDescent="0.25">
      <c r="A30" s="311"/>
      <c r="B30" s="312"/>
      <c r="C30" s="1630" t="s">
        <v>358</v>
      </c>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1630"/>
      <c r="AB30" s="1630"/>
      <c r="AC30" s="1630"/>
      <c r="AD30" s="1630"/>
      <c r="AE30" s="1630"/>
      <c r="AF30" s="1630"/>
      <c r="AG30" s="1630"/>
      <c r="AH30" s="1630"/>
      <c r="AI30" s="1630"/>
      <c r="AJ30" s="82"/>
      <c r="AK30" s="313"/>
      <c r="AL30" s="282"/>
      <c r="AM30" s="1631" t="s">
        <v>359</v>
      </c>
      <c r="AN30" s="1631"/>
      <c r="AO30" s="1631"/>
      <c r="AP30" s="1631"/>
      <c r="AQ30" s="1631"/>
      <c r="AR30" s="1631"/>
      <c r="AS30" s="1631"/>
      <c r="AT30" s="1631"/>
      <c r="AU30" s="1631"/>
      <c r="AV30" s="1631"/>
      <c r="AW30" s="1631"/>
      <c r="AX30" s="1631"/>
      <c r="AY30" s="1631"/>
      <c r="AZ30" s="1631"/>
      <c r="BA30" s="1631"/>
      <c r="BB30" s="1631"/>
      <c r="BC30" s="1631"/>
      <c r="BD30" s="1631"/>
      <c r="BE30" s="1631"/>
      <c r="BF30" s="1631"/>
      <c r="BG30" s="1631"/>
      <c r="BH30" s="1631"/>
      <c r="BI30" s="1631"/>
      <c r="BJ30" s="1631"/>
      <c r="BK30" s="1631"/>
      <c r="BL30" s="1631"/>
      <c r="BM30" s="1631"/>
      <c r="BN30" s="1631"/>
      <c r="BO30" s="1631"/>
      <c r="BP30" s="1631"/>
      <c r="BQ30" s="1631"/>
      <c r="BR30" s="1631"/>
      <c r="BS30" s="1631"/>
      <c r="BT30" s="82"/>
      <c r="BU30" s="295"/>
      <c r="BV30" s="310"/>
      <c r="BW30" s="310"/>
      <c r="BX30" s="300"/>
      <c r="BY30" s="82"/>
      <c r="BZ30" s="273"/>
      <c r="CA30" s="273"/>
      <c r="CB30" s="301"/>
      <c r="CC30" s="301"/>
      <c r="CD30" s="301"/>
      <c r="CE30" s="301"/>
      <c r="CF30" s="301"/>
    </row>
    <row r="31" spans="1:84" s="281" customFormat="1" ht="56.1" hidden="1" customHeight="1" x14ac:dyDescent="0.25">
      <c r="A31" s="311"/>
      <c r="B31" s="312"/>
      <c r="C31" s="1605" t="s">
        <v>360</v>
      </c>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1605"/>
      <c r="AB31" s="1605"/>
      <c r="AC31" s="1605"/>
      <c r="AD31" s="1605"/>
      <c r="AE31" s="1605"/>
      <c r="AF31" s="1605"/>
      <c r="AG31" s="1605"/>
      <c r="AH31" s="1605"/>
      <c r="AI31" s="1605"/>
      <c r="AJ31" s="272"/>
      <c r="AK31" s="313"/>
      <c r="AL31" s="282"/>
      <c r="AM31" s="1636" t="s">
        <v>360</v>
      </c>
      <c r="AN31" s="1636"/>
      <c r="AO31" s="1636"/>
      <c r="AP31" s="1636"/>
      <c r="AQ31" s="1636"/>
      <c r="AR31" s="1636"/>
      <c r="AS31" s="1636"/>
      <c r="AT31" s="1636"/>
      <c r="AU31" s="1636"/>
      <c r="AV31" s="1636"/>
      <c r="AW31" s="1636"/>
      <c r="AX31" s="1636"/>
      <c r="AY31" s="1636"/>
      <c r="AZ31" s="1636"/>
      <c r="BA31" s="1636"/>
      <c r="BB31" s="1636"/>
      <c r="BC31" s="1636"/>
      <c r="BD31" s="1636"/>
      <c r="BE31" s="1636"/>
      <c r="BF31" s="1636"/>
      <c r="BG31" s="1636"/>
      <c r="BH31" s="1636"/>
      <c r="BI31" s="1636"/>
      <c r="BJ31" s="1636"/>
      <c r="BK31" s="1636"/>
      <c r="BL31" s="1636"/>
      <c r="BM31" s="1636"/>
      <c r="BN31" s="1636"/>
      <c r="BO31" s="1636"/>
      <c r="BP31" s="1636"/>
      <c r="BQ31" s="1636"/>
      <c r="BR31" s="1636"/>
      <c r="BS31" s="1636"/>
      <c r="BT31" s="82"/>
      <c r="BU31" s="295"/>
      <c r="BV31" s="310"/>
      <c r="BW31" s="310"/>
      <c r="BX31" s="291"/>
      <c r="BY31" s="272"/>
      <c r="BZ31" s="279"/>
      <c r="CA31" s="279"/>
      <c r="CB31" s="280"/>
      <c r="CC31" s="280"/>
      <c r="CD31" s="280"/>
      <c r="CE31" s="280"/>
      <c r="CF31" s="280"/>
    </row>
    <row r="32" spans="1:84" s="281" customFormat="1" ht="14.1" hidden="1" customHeight="1" x14ac:dyDescent="0.25">
      <c r="A32" s="311"/>
      <c r="B32" s="312"/>
      <c r="C32" s="1604"/>
      <c r="D32" s="1604"/>
      <c r="E32" s="1604"/>
      <c r="F32" s="1604"/>
      <c r="G32" s="1604"/>
      <c r="H32" s="1604"/>
      <c r="I32" s="1604"/>
      <c r="J32" s="1604"/>
      <c r="K32" s="1604"/>
      <c r="L32" s="1604"/>
      <c r="M32" s="1604"/>
      <c r="N32" s="1604"/>
      <c r="O32" s="1604"/>
      <c r="P32" s="1604"/>
      <c r="Q32" s="1604"/>
      <c r="R32" s="1604"/>
      <c r="S32" s="1604"/>
      <c r="T32" s="1604"/>
      <c r="U32" s="1604"/>
      <c r="V32" s="1604"/>
      <c r="W32" s="1604"/>
      <c r="X32" s="1604"/>
      <c r="Y32" s="1604"/>
      <c r="Z32" s="1604"/>
      <c r="AA32" s="1604"/>
      <c r="AB32" s="1604"/>
      <c r="AC32" s="1604"/>
      <c r="AD32" s="1604"/>
      <c r="AE32" s="1604"/>
      <c r="AF32" s="1604"/>
      <c r="AG32" s="1604"/>
      <c r="AH32" s="1604"/>
      <c r="AI32" s="1604"/>
      <c r="AJ32" s="272"/>
      <c r="AK32" s="313"/>
      <c r="AL32" s="282"/>
      <c r="AM32" s="1604"/>
      <c r="AN32" s="1604"/>
      <c r="AO32" s="1604"/>
      <c r="AP32" s="1604"/>
      <c r="AQ32" s="1604"/>
      <c r="AR32" s="1604"/>
      <c r="AS32" s="1604"/>
      <c r="AT32" s="1604"/>
      <c r="AU32" s="1604"/>
      <c r="AV32" s="1604"/>
      <c r="AW32" s="1604"/>
      <c r="AX32" s="1604"/>
      <c r="AY32" s="1604"/>
      <c r="AZ32" s="1604"/>
      <c r="BA32" s="1604"/>
      <c r="BB32" s="1604"/>
      <c r="BC32" s="1604"/>
      <c r="BD32" s="1604"/>
      <c r="BE32" s="1604"/>
      <c r="BF32" s="1604"/>
      <c r="BG32" s="1604"/>
      <c r="BH32" s="1604"/>
      <c r="BI32" s="1604"/>
      <c r="BJ32" s="1604"/>
      <c r="BK32" s="1604"/>
      <c r="BL32" s="1604"/>
      <c r="BM32" s="1604"/>
      <c r="BN32" s="1604"/>
      <c r="BO32" s="1604"/>
      <c r="BP32" s="1604"/>
      <c r="BQ32" s="1604"/>
      <c r="BR32" s="1604"/>
      <c r="BS32" s="1604"/>
      <c r="BT32" s="82"/>
      <c r="BU32" s="295"/>
      <c r="BV32" s="310"/>
      <c r="BW32" s="310"/>
      <c r="BX32" s="291"/>
      <c r="BY32" s="272"/>
      <c r="BZ32" s="279"/>
      <c r="CA32" s="279"/>
      <c r="CB32" s="280"/>
      <c r="CC32" s="280"/>
      <c r="CD32" s="280"/>
      <c r="CE32" s="280"/>
      <c r="CF32" s="280"/>
    </row>
    <row r="33" spans="1:84" s="302" customFormat="1" ht="14.1" hidden="1" customHeight="1" x14ac:dyDescent="0.25">
      <c r="A33" s="311"/>
      <c r="B33" s="312"/>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82"/>
      <c r="AK33" s="313"/>
      <c r="AL33" s="282"/>
      <c r="AM33" s="82"/>
      <c r="AN33" s="82"/>
      <c r="AO33" s="82"/>
      <c r="AP33" s="82"/>
      <c r="AQ33" s="82"/>
      <c r="AR33" s="82"/>
      <c r="AS33" s="82"/>
      <c r="AT33" s="82"/>
      <c r="AU33" s="82"/>
      <c r="AV33" s="82"/>
      <c r="AW33" s="82"/>
      <c r="AX33" s="82"/>
      <c r="AY33" s="82"/>
      <c r="AZ33" s="82"/>
      <c r="BA33" s="82"/>
      <c r="BB33" s="82"/>
      <c r="BC33" s="82"/>
      <c r="BD33" s="82"/>
      <c r="BE33" s="82"/>
      <c r="BF33" s="82"/>
      <c r="BG33" s="270"/>
      <c r="BH33" s="270"/>
      <c r="BI33" s="270"/>
      <c r="BJ33" s="270"/>
      <c r="BK33" s="270"/>
      <c r="BL33" s="270"/>
      <c r="BM33" s="270"/>
      <c r="BN33" s="270"/>
      <c r="BO33" s="270"/>
      <c r="BP33" s="270"/>
      <c r="BQ33" s="270"/>
      <c r="BR33" s="270"/>
      <c r="BS33" s="270"/>
      <c r="BT33" s="82"/>
      <c r="BU33" s="295"/>
      <c r="BV33" s="310"/>
      <c r="BW33" s="310"/>
      <c r="BX33" s="300"/>
      <c r="BY33" s="82"/>
      <c r="BZ33" s="273"/>
      <c r="CA33" s="273"/>
      <c r="CB33" s="301"/>
      <c r="CC33" s="301"/>
      <c r="CD33" s="301"/>
      <c r="CE33" s="301"/>
      <c r="CF33" s="301"/>
    </row>
    <row r="34" spans="1:84" s="302" customFormat="1" ht="15" hidden="1" customHeight="1" x14ac:dyDescent="0.25">
      <c r="A34" s="311"/>
      <c r="B34" s="312"/>
      <c r="C34" s="1630" t="str">
        <f>"Đặc điểm hoạt động của "&amp;LoaiCT_V&amp;" trong năm tài chính có ảnh hưởng đến "&amp;Loai_BC_V</f>
        <v>Đặc điểm hoạt động của Công ty trong năm tài chính có ảnh hưởng đến Báo cáo tài chính</v>
      </c>
      <c r="D34" s="1630"/>
      <c r="E34" s="1630"/>
      <c r="F34" s="1630"/>
      <c r="G34" s="1630"/>
      <c r="H34" s="1630"/>
      <c r="I34" s="1630"/>
      <c r="J34" s="1630"/>
      <c r="K34" s="1630"/>
      <c r="L34" s="1630"/>
      <c r="M34" s="1630"/>
      <c r="N34" s="1630"/>
      <c r="O34" s="1630"/>
      <c r="P34" s="1630"/>
      <c r="Q34" s="1630"/>
      <c r="R34" s="1630"/>
      <c r="S34" s="1630"/>
      <c r="T34" s="1630"/>
      <c r="U34" s="1630"/>
      <c r="V34" s="1630"/>
      <c r="W34" s="1630"/>
      <c r="X34" s="1630"/>
      <c r="Y34" s="1630"/>
      <c r="Z34" s="1630"/>
      <c r="AA34" s="1630"/>
      <c r="AB34" s="1630"/>
      <c r="AC34" s="1630"/>
      <c r="AD34" s="1630"/>
      <c r="AE34" s="1630"/>
      <c r="AF34" s="1630"/>
      <c r="AG34" s="1630"/>
      <c r="AH34" s="1630"/>
      <c r="AI34" s="1630"/>
      <c r="AJ34" s="82"/>
      <c r="AK34" s="313"/>
      <c r="AL34" s="282"/>
      <c r="AM34" s="1631" t="str">
        <f>CONCATENATE("Characteristics of operations of the ",LoaiCT_E," in the fiscal year affecting the ",Loai_BC_E)</f>
        <v>Characteristics of operations of the Corporation in the fiscal year affecting the Separate Financial Statements</v>
      </c>
      <c r="AN34" s="1631"/>
      <c r="AO34" s="1631"/>
      <c r="AP34" s="1631"/>
      <c r="AQ34" s="1631"/>
      <c r="AR34" s="1631"/>
      <c r="AS34" s="1631"/>
      <c r="AT34" s="1631"/>
      <c r="AU34" s="1631"/>
      <c r="AV34" s="1631"/>
      <c r="AW34" s="1631"/>
      <c r="AX34" s="1631"/>
      <c r="AY34" s="1631"/>
      <c r="AZ34" s="1631"/>
      <c r="BA34" s="1631"/>
      <c r="BB34" s="1631"/>
      <c r="BC34" s="1631"/>
      <c r="BD34" s="1631"/>
      <c r="BE34" s="1631"/>
      <c r="BF34" s="1631"/>
      <c r="BG34" s="1631"/>
      <c r="BH34" s="1631"/>
      <c r="BI34" s="1631"/>
      <c r="BJ34" s="1631"/>
      <c r="BK34" s="1631"/>
      <c r="BL34" s="1631"/>
      <c r="BM34" s="1631"/>
      <c r="BN34" s="1631"/>
      <c r="BO34" s="1631"/>
      <c r="BP34" s="1631"/>
      <c r="BQ34" s="1631"/>
      <c r="BR34" s="1631"/>
      <c r="BS34" s="1631"/>
      <c r="BT34" s="82"/>
      <c r="BU34" s="295"/>
      <c r="BV34" s="310"/>
      <c r="BW34" s="310"/>
      <c r="BX34" s="300"/>
      <c r="BY34" s="82"/>
      <c r="BZ34" s="273"/>
      <c r="CA34" s="273"/>
      <c r="CB34" s="301"/>
      <c r="CC34" s="301"/>
      <c r="CD34" s="301"/>
      <c r="CE34" s="301"/>
      <c r="CF34" s="301"/>
    </row>
    <row r="35" spans="1:84" s="281" customFormat="1" ht="126" hidden="1" customHeight="1" x14ac:dyDescent="0.25">
      <c r="A35" s="311"/>
      <c r="B35" s="312"/>
      <c r="C35" s="1611" t="s">
        <v>361</v>
      </c>
      <c r="D35" s="1605"/>
      <c r="E35" s="1605"/>
      <c r="F35" s="1605"/>
      <c r="G35" s="1605"/>
      <c r="H35" s="1605"/>
      <c r="I35" s="1605"/>
      <c r="J35" s="1605"/>
      <c r="K35" s="1605"/>
      <c r="L35" s="1605"/>
      <c r="M35" s="1605"/>
      <c r="N35" s="1605"/>
      <c r="O35" s="1605"/>
      <c r="P35" s="1605"/>
      <c r="Q35" s="1605"/>
      <c r="R35" s="1605"/>
      <c r="S35" s="1605"/>
      <c r="T35" s="1605"/>
      <c r="U35" s="1605"/>
      <c r="V35" s="1605"/>
      <c r="W35" s="1605"/>
      <c r="X35" s="1605"/>
      <c r="Y35" s="1605"/>
      <c r="Z35" s="1605"/>
      <c r="AA35" s="1605"/>
      <c r="AB35" s="1605"/>
      <c r="AC35" s="1605"/>
      <c r="AD35" s="1605"/>
      <c r="AE35" s="1605"/>
      <c r="AF35" s="1605"/>
      <c r="AG35" s="1605"/>
      <c r="AH35" s="1605"/>
      <c r="AI35" s="1605"/>
      <c r="AJ35" s="272"/>
      <c r="AK35" s="313"/>
      <c r="AL35" s="282"/>
      <c r="AM35" s="1633" t="s">
        <v>362</v>
      </c>
      <c r="AN35" s="1634"/>
      <c r="AO35" s="1634"/>
      <c r="AP35" s="1634"/>
      <c r="AQ35" s="1634"/>
      <c r="AR35" s="1634"/>
      <c r="AS35" s="1634"/>
      <c r="AT35" s="1634"/>
      <c r="AU35" s="1634"/>
      <c r="AV35" s="1634"/>
      <c r="AW35" s="1634"/>
      <c r="AX35" s="1634"/>
      <c r="AY35" s="1634"/>
      <c r="AZ35" s="1634"/>
      <c r="BA35" s="1634"/>
      <c r="BB35" s="1634"/>
      <c r="BC35" s="1634"/>
      <c r="BD35" s="1634"/>
      <c r="BE35" s="1634"/>
      <c r="BF35" s="1634"/>
      <c r="BG35" s="1634"/>
      <c r="BH35" s="1634"/>
      <c r="BI35" s="1634"/>
      <c r="BJ35" s="1634"/>
      <c r="BK35" s="1634"/>
      <c r="BL35" s="1634"/>
      <c r="BM35" s="1634"/>
      <c r="BN35" s="1634"/>
      <c r="BO35" s="1634"/>
      <c r="BP35" s="1634"/>
      <c r="BQ35" s="1634"/>
      <c r="BR35" s="1634"/>
      <c r="BS35" s="1634"/>
      <c r="BT35" s="82"/>
      <c r="BU35" s="295"/>
      <c r="BV35" s="310"/>
      <c r="BW35" s="310"/>
      <c r="BX35" s="291"/>
      <c r="BY35" s="272"/>
      <c r="BZ35" s="279"/>
      <c r="CA35" s="279"/>
      <c r="CB35" s="280"/>
      <c r="CC35" s="280"/>
      <c r="CD35" s="280"/>
      <c r="CE35" s="280"/>
      <c r="CF35" s="280"/>
    </row>
    <row r="36" spans="1:84" s="302" customFormat="1" ht="14.1" hidden="1" customHeight="1" x14ac:dyDescent="0.25">
      <c r="A36" s="311"/>
      <c r="B36" s="312"/>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82"/>
      <c r="AK36" s="313"/>
      <c r="AL36" s="282"/>
      <c r="AM36" s="82"/>
      <c r="AN36" s="82"/>
      <c r="AO36" s="82"/>
      <c r="AP36" s="82"/>
      <c r="AQ36" s="82"/>
      <c r="AR36" s="82"/>
      <c r="AS36" s="82"/>
      <c r="AT36" s="82"/>
      <c r="AU36" s="82"/>
      <c r="AV36" s="82"/>
      <c r="AW36" s="82"/>
      <c r="AX36" s="82"/>
      <c r="AY36" s="82"/>
      <c r="AZ36" s="82"/>
      <c r="BA36" s="82"/>
      <c r="BB36" s="82"/>
      <c r="BC36" s="82"/>
      <c r="BD36" s="82"/>
      <c r="BE36" s="82"/>
      <c r="BF36" s="82"/>
      <c r="BG36" s="270"/>
      <c r="BH36" s="270"/>
      <c r="BI36" s="270"/>
      <c r="BJ36" s="270"/>
      <c r="BK36" s="270"/>
      <c r="BL36" s="270"/>
      <c r="BM36" s="270"/>
      <c r="BN36" s="270"/>
      <c r="BO36" s="270"/>
      <c r="BP36" s="270"/>
      <c r="BQ36" s="270"/>
      <c r="BR36" s="270"/>
      <c r="BS36" s="270"/>
      <c r="BT36" s="82"/>
      <c r="BU36" s="295"/>
      <c r="BV36" s="310"/>
      <c r="BW36" s="310"/>
      <c r="BX36" s="300"/>
      <c r="BY36" s="82"/>
      <c r="BZ36" s="273"/>
      <c r="CA36" s="273"/>
      <c r="CB36" s="301"/>
      <c r="CC36" s="301"/>
      <c r="CD36" s="301"/>
      <c r="CE36" s="301"/>
      <c r="CF36" s="301"/>
    </row>
    <row r="37" spans="1:84" s="302" customFormat="1" ht="15" customHeight="1" x14ac:dyDescent="0.25">
      <c r="A37" s="311"/>
      <c r="B37" s="312"/>
      <c r="C37" s="1630" t="s">
        <v>363</v>
      </c>
      <c r="D37" s="1630"/>
      <c r="E37" s="1630"/>
      <c r="F37" s="1630"/>
      <c r="G37" s="1630"/>
      <c r="H37" s="1630"/>
      <c r="I37" s="1630"/>
      <c r="J37" s="1630"/>
      <c r="K37" s="1630"/>
      <c r="L37" s="1630"/>
      <c r="M37" s="1630"/>
      <c r="N37" s="1630"/>
      <c r="O37" s="1630"/>
      <c r="P37" s="1630"/>
      <c r="Q37" s="1630"/>
      <c r="R37" s="1630"/>
      <c r="S37" s="1630"/>
      <c r="T37" s="1630"/>
      <c r="U37" s="1630"/>
      <c r="V37" s="1630"/>
      <c r="W37" s="1630"/>
      <c r="X37" s="1630"/>
      <c r="Y37" s="1630"/>
      <c r="Z37" s="1630"/>
      <c r="AA37" s="1630"/>
      <c r="AB37" s="1630"/>
      <c r="AC37" s="1630"/>
      <c r="AD37" s="1630"/>
      <c r="AE37" s="1630"/>
      <c r="AF37" s="1630"/>
      <c r="AG37" s="1630"/>
      <c r="AH37" s="1630"/>
      <c r="AI37" s="1630"/>
      <c r="AJ37" s="82"/>
      <c r="AK37" s="313"/>
      <c r="AL37" s="282"/>
      <c r="AM37" s="1631" t="s">
        <v>364</v>
      </c>
      <c r="AN37" s="1631"/>
      <c r="AO37" s="1631"/>
      <c r="AP37" s="1631"/>
      <c r="AQ37" s="1631"/>
      <c r="AR37" s="1631"/>
      <c r="AS37" s="1631"/>
      <c r="AT37" s="1631"/>
      <c r="AU37" s="1631"/>
      <c r="AV37" s="1631"/>
      <c r="AW37" s="1631"/>
      <c r="AX37" s="1631"/>
      <c r="AY37" s="1631"/>
      <c r="AZ37" s="1631"/>
      <c r="BA37" s="1631"/>
      <c r="BB37" s="1631"/>
      <c r="BC37" s="1631"/>
      <c r="BD37" s="1631"/>
      <c r="BE37" s="1631"/>
      <c r="BF37" s="1631"/>
      <c r="BG37" s="1631"/>
      <c r="BH37" s="1631"/>
      <c r="BI37" s="1631"/>
      <c r="BJ37" s="1631"/>
      <c r="BK37" s="1631"/>
      <c r="BL37" s="1631"/>
      <c r="BM37" s="1631"/>
      <c r="BN37" s="1631"/>
      <c r="BO37" s="1631"/>
      <c r="BP37" s="1631"/>
      <c r="BQ37" s="1631"/>
      <c r="BR37" s="1631"/>
      <c r="BS37" s="1631"/>
      <c r="BT37" s="82"/>
      <c r="BU37" s="295"/>
      <c r="BV37" s="310"/>
      <c r="BW37" s="310"/>
      <c r="BX37" s="300"/>
      <c r="BY37" s="82"/>
      <c r="BZ37" s="273"/>
      <c r="CA37" s="273"/>
      <c r="CB37" s="301"/>
      <c r="CC37" s="301"/>
      <c r="CD37" s="301"/>
      <c r="CE37" s="301"/>
      <c r="CF37" s="301"/>
    </row>
    <row r="38" spans="1:84" s="281" customFormat="1" ht="14.1" customHeight="1" x14ac:dyDescent="0.25">
      <c r="A38" s="311"/>
      <c r="B38" s="312"/>
      <c r="C38" s="1626"/>
      <c r="D38" s="1626"/>
      <c r="E38" s="1626"/>
      <c r="F38" s="1626"/>
      <c r="G38" s="1626"/>
      <c r="H38" s="1626"/>
      <c r="I38" s="1626"/>
      <c r="J38" s="1626"/>
      <c r="K38" s="1626"/>
      <c r="L38" s="1626"/>
      <c r="M38" s="1626"/>
      <c r="N38" s="1626"/>
      <c r="O38" s="295"/>
      <c r="P38" s="1626"/>
      <c r="Q38" s="1626"/>
      <c r="R38" s="1626"/>
      <c r="S38" s="1626"/>
      <c r="T38" s="1626"/>
      <c r="U38" s="1626"/>
      <c r="V38" s="1626"/>
      <c r="W38" s="1626"/>
      <c r="X38" s="312"/>
      <c r="Y38" s="1626"/>
      <c r="Z38" s="1626"/>
      <c r="AA38" s="1626"/>
      <c r="AB38" s="1626"/>
      <c r="AC38" s="1626"/>
      <c r="AD38" s="1626"/>
      <c r="AE38" s="1626"/>
      <c r="AF38" s="1626"/>
      <c r="AG38" s="1626"/>
      <c r="AH38" s="1626"/>
      <c r="AI38" s="1626"/>
      <c r="AJ38" s="272"/>
      <c r="AK38" s="313"/>
      <c r="AL38" s="282"/>
      <c r="AM38" s="1632"/>
      <c r="AN38" s="1632"/>
      <c r="AO38" s="1632"/>
      <c r="AP38" s="1632"/>
      <c r="AQ38" s="1632"/>
      <c r="AR38" s="1632"/>
      <c r="AS38" s="1632"/>
      <c r="AT38" s="1632"/>
      <c r="AU38" s="1632"/>
      <c r="AV38" s="1632"/>
      <c r="AW38" s="1632"/>
      <c r="AX38" s="1632"/>
      <c r="AY38" s="1632"/>
      <c r="AZ38" s="1632"/>
      <c r="BA38" s="1632"/>
      <c r="BB38" s="1629"/>
      <c r="BC38" s="1629"/>
      <c r="BD38" s="1629"/>
      <c r="BE38" s="1629"/>
      <c r="BF38" s="1629"/>
      <c r="BG38" s="1629"/>
      <c r="BH38" s="1629"/>
      <c r="BI38" s="282"/>
      <c r="BJ38" s="282"/>
      <c r="BK38" s="282"/>
      <c r="BL38" s="282"/>
      <c r="BM38" s="282"/>
      <c r="BN38" s="282"/>
      <c r="BO38" s="282"/>
      <c r="BP38" s="282"/>
      <c r="BQ38" s="282"/>
      <c r="BR38" s="282"/>
      <c r="BS38" s="282"/>
      <c r="BT38" s="82"/>
      <c r="BU38" s="295"/>
      <c r="BV38" s="310"/>
      <c r="BW38" s="310"/>
      <c r="BX38" s="291"/>
      <c r="BY38" s="272"/>
      <c r="BZ38" s="279"/>
      <c r="CA38" s="279"/>
      <c r="CB38" s="280"/>
      <c r="CC38" s="280"/>
      <c r="CD38" s="280"/>
      <c r="CE38" s="280"/>
      <c r="CF38" s="280"/>
    </row>
    <row r="39" spans="1:84" s="281" customFormat="1" ht="15" customHeight="1" x14ac:dyDescent="0.25">
      <c r="A39" s="311"/>
      <c r="B39" s="312"/>
      <c r="C39" s="1625" t="str">
        <f>CONCATENATE(LoaiCT_V," có các đơn vị trực thuộc sau:")</f>
        <v>Công ty có các đơn vị trực thuộc sau:</v>
      </c>
      <c r="D39" s="1625"/>
      <c r="E39" s="1625"/>
      <c r="F39" s="1625"/>
      <c r="G39" s="1625"/>
      <c r="H39" s="1625"/>
      <c r="I39" s="1625"/>
      <c r="J39" s="1625"/>
      <c r="K39" s="1625"/>
      <c r="L39" s="1625"/>
      <c r="M39" s="1625"/>
      <c r="N39" s="1625"/>
      <c r="O39" s="295"/>
      <c r="P39" s="1626" t="s">
        <v>365</v>
      </c>
      <c r="Q39" s="1626"/>
      <c r="R39" s="1626"/>
      <c r="S39" s="1626"/>
      <c r="T39" s="1626"/>
      <c r="U39" s="1626"/>
      <c r="V39" s="1626"/>
      <c r="W39" s="1626"/>
      <c r="X39" s="312"/>
      <c r="Y39" s="1626" t="s">
        <v>366</v>
      </c>
      <c r="Z39" s="1626"/>
      <c r="AA39" s="1626"/>
      <c r="AB39" s="1626"/>
      <c r="AC39" s="1626"/>
      <c r="AD39" s="1626"/>
      <c r="AE39" s="1626"/>
      <c r="AF39" s="1626"/>
      <c r="AG39" s="1626"/>
      <c r="AH39" s="1626"/>
      <c r="AI39" s="1626"/>
      <c r="AJ39" s="272"/>
      <c r="AK39" s="313"/>
      <c r="AL39" s="282"/>
      <c r="AM39" s="1627" t="str">
        <f>CONCATENATE("The ",LoaiCT_E,"’s member entities are as follows:")</f>
        <v>The Corporation’s member entities are as follows:</v>
      </c>
      <c r="AN39" s="1627"/>
      <c r="AO39" s="1627"/>
      <c r="AP39" s="1627"/>
      <c r="AQ39" s="1627"/>
      <c r="AR39" s="1627"/>
      <c r="AS39" s="1627"/>
      <c r="AT39" s="1627"/>
      <c r="AU39" s="1627"/>
      <c r="AV39" s="1627"/>
      <c r="AW39" s="1627"/>
      <c r="AX39" s="1627"/>
      <c r="AY39" s="1627"/>
      <c r="AZ39" s="1627"/>
      <c r="BA39" s="320"/>
      <c r="BB39" s="1628" t="s">
        <v>367</v>
      </c>
      <c r="BC39" s="1628"/>
      <c r="BD39" s="1628"/>
      <c r="BE39" s="1628"/>
      <c r="BF39" s="1628"/>
      <c r="BG39" s="1628"/>
      <c r="BH39" s="1628"/>
      <c r="BI39" s="1628"/>
      <c r="BJ39" s="282"/>
      <c r="BK39" s="1629" t="s">
        <v>368</v>
      </c>
      <c r="BL39" s="1629"/>
      <c r="BM39" s="1629"/>
      <c r="BN39" s="1629"/>
      <c r="BO39" s="1629"/>
      <c r="BP39" s="1629"/>
      <c r="BQ39" s="1629"/>
      <c r="BR39" s="1629"/>
      <c r="BS39" s="1629"/>
      <c r="BT39" s="82"/>
      <c r="BU39" s="295"/>
      <c r="BV39" s="310"/>
      <c r="BW39" s="310"/>
      <c r="BX39" s="291"/>
      <c r="BY39" s="272"/>
      <c r="BZ39" s="279"/>
      <c r="CA39" s="279"/>
      <c r="CB39" s="280"/>
      <c r="CC39" s="280"/>
      <c r="CD39" s="280"/>
      <c r="CE39" s="280"/>
      <c r="CF39" s="280"/>
    </row>
    <row r="40" spans="1:84" s="281" customFormat="1" ht="29.1" customHeight="1" x14ac:dyDescent="0.25">
      <c r="A40" s="311"/>
      <c r="B40" s="312"/>
      <c r="C40" s="1602" t="s">
        <v>369</v>
      </c>
      <c r="D40" s="1602"/>
      <c r="E40" s="1602"/>
      <c r="F40" s="1602"/>
      <c r="G40" s="1602"/>
      <c r="H40" s="1602"/>
      <c r="I40" s="1602"/>
      <c r="J40" s="1602"/>
      <c r="K40" s="1602"/>
      <c r="L40" s="1602"/>
      <c r="M40" s="1602"/>
      <c r="N40" s="1602"/>
      <c r="O40" s="295"/>
      <c r="P40" s="1624" t="s">
        <v>2136</v>
      </c>
      <c r="Q40" s="1624"/>
      <c r="R40" s="1624"/>
      <c r="S40" s="1624"/>
      <c r="T40" s="1624"/>
      <c r="U40" s="1624"/>
      <c r="V40" s="1624"/>
      <c r="W40" s="1624"/>
      <c r="X40" s="321"/>
      <c r="Y40" s="1621" t="s">
        <v>370</v>
      </c>
      <c r="Z40" s="1621"/>
      <c r="AA40" s="1621"/>
      <c r="AB40" s="1621"/>
      <c r="AC40" s="1621"/>
      <c r="AD40" s="1621"/>
      <c r="AE40" s="1621"/>
      <c r="AF40" s="1621"/>
      <c r="AG40" s="1621"/>
      <c r="AH40" s="1621"/>
      <c r="AI40" s="1621"/>
      <c r="AJ40" s="272"/>
      <c r="AK40" s="313"/>
      <c r="AL40" s="282"/>
      <c r="AM40" s="1622" t="s">
        <v>371</v>
      </c>
      <c r="AN40" s="1622"/>
      <c r="AO40" s="1622"/>
      <c r="AP40" s="1622"/>
      <c r="AQ40" s="1622"/>
      <c r="AR40" s="1622"/>
      <c r="AS40" s="1622"/>
      <c r="AT40" s="1622"/>
      <c r="AU40" s="1622"/>
      <c r="AV40" s="1622"/>
      <c r="AW40" s="1622"/>
      <c r="AX40" s="1622"/>
      <c r="AY40" s="1622"/>
      <c r="AZ40" s="1622"/>
      <c r="BA40" s="82"/>
      <c r="BB40" s="1622"/>
      <c r="BC40" s="1622"/>
      <c r="BD40" s="1622"/>
      <c r="BE40" s="1622"/>
      <c r="BF40" s="1622"/>
      <c r="BG40" s="1622"/>
      <c r="BH40" s="1622"/>
      <c r="BI40" s="1622"/>
      <c r="BJ40" s="270"/>
      <c r="BK40" s="1623"/>
      <c r="BL40" s="1623"/>
      <c r="BM40" s="1623"/>
      <c r="BN40" s="1623"/>
      <c r="BO40" s="1623"/>
      <c r="BP40" s="1623"/>
      <c r="BQ40" s="1623"/>
      <c r="BR40" s="1623"/>
      <c r="BS40" s="1623"/>
      <c r="BT40" s="82"/>
      <c r="BU40" s="295"/>
      <c r="BV40" s="310"/>
      <c r="BW40" s="310"/>
      <c r="BX40" s="291"/>
      <c r="BY40" s="272"/>
      <c r="BZ40" s="279"/>
      <c r="CA40" s="279"/>
      <c r="CB40" s="280"/>
      <c r="CC40" s="280"/>
      <c r="CD40" s="280"/>
      <c r="CE40" s="280"/>
      <c r="CF40" s="280"/>
    </row>
    <row r="41" spans="1:84" s="281" customFormat="1" ht="29.1" customHeight="1" x14ac:dyDescent="0.25">
      <c r="A41" s="311"/>
      <c r="B41" s="312"/>
      <c r="C41" s="1602" t="s">
        <v>372</v>
      </c>
      <c r="D41" s="1602"/>
      <c r="E41" s="1602"/>
      <c r="F41" s="1602"/>
      <c r="G41" s="1602"/>
      <c r="H41" s="1602"/>
      <c r="I41" s="1602"/>
      <c r="J41" s="1602"/>
      <c r="K41" s="1602"/>
      <c r="L41" s="1602"/>
      <c r="M41" s="1602"/>
      <c r="N41" s="1602"/>
      <c r="O41" s="295"/>
      <c r="P41" s="1624" t="s">
        <v>2137</v>
      </c>
      <c r="Q41" s="1624"/>
      <c r="R41" s="1624"/>
      <c r="S41" s="1624"/>
      <c r="T41" s="1624"/>
      <c r="U41" s="1624"/>
      <c r="V41" s="1624"/>
      <c r="W41" s="1624"/>
      <c r="X41" s="321"/>
      <c r="Y41" s="1621" t="s">
        <v>370</v>
      </c>
      <c r="Z41" s="1621"/>
      <c r="AA41" s="1621"/>
      <c r="AB41" s="1621"/>
      <c r="AC41" s="1621"/>
      <c r="AD41" s="1621"/>
      <c r="AE41" s="1621"/>
      <c r="AF41" s="1621"/>
      <c r="AG41" s="1621"/>
      <c r="AH41" s="1621"/>
      <c r="AI41" s="1621"/>
      <c r="AJ41" s="272"/>
      <c r="AK41" s="313"/>
      <c r="AL41" s="282"/>
      <c r="AM41" s="1622" t="s">
        <v>373</v>
      </c>
      <c r="AN41" s="1622"/>
      <c r="AO41" s="1622"/>
      <c r="AP41" s="1622"/>
      <c r="AQ41" s="1622"/>
      <c r="AR41" s="1622"/>
      <c r="AS41" s="1622"/>
      <c r="AT41" s="1622"/>
      <c r="AU41" s="1622"/>
      <c r="AV41" s="1622"/>
      <c r="AW41" s="1622"/>
      <c r="AX41" s="1622"/>
      <c r="AY41" s="1622"/>
      <c r="AZ41" s="1622"/>
      <c r="BA41" s="82"/>
      <c r="BB41" s="1622"/>
      <c r="BC41" s="1622"/>
      <c r="BD41" s="1622"/>
      <c r="BE41" s="1622"/>
      <c r="BF41" s="1622"/>
      <c r="BG41" s="1622"/>
      <c r="BH41" s="1622"/>
      <c r="BI41" s="1622"/>
      <c r="BJ41" s="270"/>
      <c r="BK41" s="1623"/>
      <c r="BL41" s="1623"/>
      <c r="BM41" s="1623"/>
      <c r="BN41" s="1623"/>
      <c r="BO41" s="1623"/>
      <c r="BP41" s="1623"/>
      <c r="BQ41" s="1623"/>
      <c r="BR41" s="1623"/>
      <c r="BS41" s="1623"/>
      <c r="BT41" s="82"/>
      <c r="BU41" s="295"/>
      <c r="BV41" s="310"/>
      <c r="BW41" s="310"/>
      <c r="BX41" s="291"/>
      <c r="BY41" s="272"/>
      <c r="BZ41" s="279"/>
      <c r="CA41" s="279"/>
      <c r="CB41" s="280"/>
      <c r="CC41" s="280"/>
      <c r="CD41" s="280"/>
      <c r="CE41" s="280"/>
      <c r="CF41" s="280"/>
    </row>
    <row r="42" spans="1:84" s="281" customFormat="1" ht="15" hidden="1" customHeight="1" x14ac:dyDescent="0.25">
      <c r="A42" s="311"/>
      <c r="B42" s="312"/>
      <c r="C42" s="1602" t="s">
        <v>374</v>
      </c>
      <c r="D42" s="1602"/>
      <c r="E42" s="1602"/>
      <c r="F42" s="1602"/>
      <c r="G42" s="1602"/>
      <c r="H42" s="1602"/>
      <c r="I42" s="1602"/>
      <c r="J42" s="1602"/>
      <c r="K42" s="1602"/>
      <c r="L42" s="1602"/>
      <c r="M42" s="1602"/>
      <c r="N42" s="1602"/>
      <c r="O42" s="295"/>
      <c r="P42" s="1621"/>
      <c r="Q42" s="1621"/>
      <c r="R42" s="1621"/>
      <c r="S42" s="1621"/>
      <c r="T42" s="1621"/>
      <c r="U42" s="1621"/>
      <c r="V42" s="1621"/>
      <c r="W42" s="1621"/>
      <c r="X42" s="321"/>
      <c r="Y42" s="1621"/>
      <c r="Z42" s="1621"/>
      <c r="AA42" s="1621"/>
      <c r="AB42" s="1621"/>
      <c r="AC42" s="1621"/>
      <c r="AD42" s="1621"/>
      <c r="AE42" s="1621"/>
      <c r="AF42" s="1621"/>
      <c r="AG42" s="1621"/>
      <c r="AH42" s="1621"/>
      <c r="AI42" s="1621"/>
      <c r="AJ42" s="272"/>
      <c r="AK42" s="313"/>
      <c r="AL42" s="282"/>
      <c r="AM42" s="1622" t="s">
        <v>375</v>
      </c>
      <c r="AN42" s="1622"/>
      <c r="AO42" s="1622"/>
      <c r="AP42" s="1622"/>
      <c r="AQ42" s="1622"/>
      <c r="AR42" s="1622"/>
      <c r="AS42" s="1622"/>
      <c r="AT42" s="1622"/>
      <c r="AU42" s="1622"/>
      <c r="AV42" s="1622"/>
      <c r="AW42" s="1622"/>
      <c r="AX42" s="1622"/>
      <c r="AY42" s="1622"/>
      <c r="AZ42" s="1622"/>
      <c r="BA42" s="82"/>
      <c r="BB42" s="1622"/>
      <c r="BC42" s="1622"/>
      <c r="BD42" s="1622"/>
      <c r="BE42" s="1622"/>
      <c r="BF42" s="1622"/>
      <c r="BG42" s="1622"/>
      <c r="BH42" s="1622"/>
      <c r="BI42" s="1622"/>
      <c r="BJ42" s="270"/>
      <c r="BK42" s="1623"/>
      <c r="BL42" s="1623"/>
      <c r="BM42" s="1623"/>
      <c r="BN42" s="1623"/>
      <c r="BO42" s="1623"/>
      <c r="BP42" s="1623"/>
      <c r="BQ42" s="1623"/>
      <c r="BR42" s="1623"/>
      <c r="BS42" s="1623"/>
      <c r="BT42" s="82"/>
      <c r="BU42" s="295"/>
      <c r="BV42" s="310"/>
      <c r="BW42" s="310"/>
      <c r="BX42" s="291"/>
      <c r="BY42" s="272"/>
      <c r="BZ42" s="279"/>
      <c r="CA42" s="279"/>
      <c r="CB42" s="280"/>
      <c r="CC42" s="280"/>
      <c r="CD42" s="280"/>
      <c r="CE42" s="280"/>
      <c r="CF42" s="280"/>
    </row>
    <row r="43" spans="1:84" s="281" customFormat="1" ht="15" hidden="1" customHeight="1" x14ac:dyDescent="0.25">
      <c r="A43" s="311"/>
      <c r="B43" s="312"/>
      <c r="C43" s="1602" t="s">
        <v>376</v>
      </c>
      <c r="D43" s="1602"/>
      <c r="E43" s="1602"/>
      <c r="F43" s="1602"/>
      <c r="G43" s="1602"/>
      <c r="H43" s="1602"/>
      <c r="I43" s="1602"/>
      <c r="J43" s="1602"/>
      <c r="K43" s="1602"/>
      <c r="L43" s="1602"/>
      <c r="M43" s="1602"/>
      <c r="N43" s="1602"/>
      <c r="O43" s="295"/>
      <c r="P43" s="1621"/>
      <c r="Q43" s="1621"/>
      <c r="R43" s="1621"/>
      <c r="S43" s="1621"/>
      <c r="T43" s="1621"/>
      <c r="U43" s="1621"/>
      <c r="V43" s="1621"/>
      <c r="W43" s="1621"/>
      <c r="X43" s="321"/>
      <c r="Y43" s="1621"/>
      <c r="Z43" s="1621"/>
      <c r="AA43" s="1621"/>
      <c r="AB43" s="1621"/>
      <c r="AC43" s="1621"/>
      <c r="AD43" s="1621"/>
      <c r="AE43" s="1621"/>
      <c r="AF43" s="1621"/>
      <c r="AG43" s="1621"/>
      <c r="AH43" s="1621"/>
      <c r="AI43" s="1621"/>
      <c r="AJ43" s="272"/>
      <c r="AK43" s="313"/>
      <c r="AL43" s="282"/>
      <c r="AM43" s="1622" t="s">
        <v>377</v>
      </c>
      <c r="AN43" s="1622"/>
      <c r="AO43" s="1622"/>
      <c r="AP43" s="1622"/>
      <c r="AQ43" s="1622"/>
      <c r="AR43" s="1622"/>
      <c r="AS43" s="1622"/>
      <c r="AT43" s="1622"/>
      <c r="AU43" s="1622"/>
      <c r="AV43" s="1622"/>
      <c r="AW43" s="1622"/>
      <c r="AX43" s="1622"/>
      <c r="AY43" s="1622"/>
      <c r="AZ43" s="1622"/>
      <c r="BA43" s="82"/>
      <c r="BB43" s="1622"/>
      <c r="BC43" s="1622"/>
      <c r="BD43" s="1622"/>
      <c r="BE43" s="1622"/>
      <c r="BF43" s="1622"/>
      <c r="BG43" s="1622"/>
      <c r="BH43" s="1622"/>
      <c r="BI43" s="1622"/>
      <c r="BJ43" s="270"/>
      <c r="BK43" s="1623"/>
      <c r="BL43" s="1623"/>
      <c r="BM43" s="1623"/>
      <c r="BN43" s="1623"/>
      <c r="BO43" s="1623"/>
      <c r="BP43" s="1623"/>
      <c r="BQ43" s="1623"/>
      <c r="BR43" s="1623"/>
      <c r="BS43" s="1623"/>
      <c r="BT43" s="82"/>
      <c r="BU43" s="295"/>
      <c r="BV43" s="310"/>
      <c r="BW43" s="310"/>
      <c r="BX43" s="291"/>
      <c r="BY43" s="272"/>
      <c r="BZ43" s="279"/>
      <c r="CA43" s="279"/>
      <c r="CB43" s="280"/>
      <c r="CC43" s="280"/>
      <c r="CD43" s="280"/>
      <c r="CE43" s="280"/>
      <c r="CF43" s="280"/>
    </row>
    <row r="44" spans="1:84" s="281" customFormat="1" ht="45" hidden="1" customHeight="1" x14ac:dyDescent="0.25">
      <c r="A44" s="311"/>
      <c r="B44" s="312"/>
      <c r="C44" s="1605" t="s">
        <v>378</v>
      </c>
      <c r="D44" s="1605"/>
      <c r="E44" s="1605"/>
      <c r="F44" s="1605"/>
      <c r="G44" s="1605"/>
      <c r="H44" s="1605"/>
      <c r="I44" s="1605"/>
      <c r="J44" s="1605"/>
      <c r="K44" s="1605"/>
      <c r="L44" s="1605"/>
      <c r="M44" s="1605"/>
      <c r="N44" s="1605"/>
      <c r="O44" s="1605"/>
      <c r="P44" s="1605"/>
      <c r="Q44" s="1605"/>
      <c r="R44" s="1605"/>
      <c r="S44" s="1605"/>
      <c r="T44" s="1605"/>
      <c r="U44" s="1605"/>
      <c r="V44" s="1605"/>
      <c r="W44" s="1605"/>
      <c r="X44" s="1605"/>
      <c r="Y44" s="1605"/>
      <c r="Z44" s="1605"/>
      <c r="AA44" s="1605"/>
      <c r="AB44" s="1605"/>
      <c r="AC44" s="1605"/>
      <c r="AD44" s="1605"/>
      <c r="AE44" s="1605"/>
      <c r="AF44" s="1605"/>
      <c r="AG44" s="1605"/>
      <c r="AH44" s="1605"/>
      <c r="AI44" s="1605"/>
      <c r="AJ44" s="272"/>
      <c r="AK44" s="313"/>
      <c r="AL44" s="282"/>
      <c r="AM44" s="1619" t="s">
        <v>379</v>
      </c>
      <c r="AN44" s="1619"/>
      <c r="AO44" s="1619"/>
      <c r="AP44" s="1619"/>
      <c r="AQ44" s="1619"/>
      <c r="AR44" s="1619"/>
      <c r="AS44" s="1619"/>
      <c r="AT44" s="1619"/>
      <c r="AU44" s="1619"/>
      <c r="AV44" s="1619"/>
      <c r="AW44" s="1619"/>
      <c r="AX44" s="1619"/>
      <c r="AY44" s="1619"/>
      <c r="AZ44" s="1619"/>
      <c r="BA44" s="1619"/>
      <c r="BB44" s="1619"/>
      <c r="BC44" s="1619"/>
      <c r="BD44" s="1619"/>
      <c r="BE44" s="1619"/>
      <c r="BF44" s="1619"/>
      <c r="BG44" s="1619"/>
      <c r="BH44" s="1619"/>
      <c r="BI44" s="1619"/>
      <c r="BJ44" s="1619"/>
      <c r="BK44" s="1619"/>
      <c r="BL44" s="1619"/>
      <c r="BM44" s="1619"/>
      <c r="BN44" s="1619"/>
      <c r="BO44" s="1619"/>
      <c r="BP44" s="1619"/>
      <c r="BQ44" s="1619"/>
      <c r="BR44" s="1619"/>
      <c r="BS44" s="1619"/>
      <c r="BT44" s="82"/>
      <c r="BU44" s="295"/>
      <c r="BV44" s="310"/>
      <c r="BW44" s="310"/>
      <c r="BX44" s="291"/>
      <c r="BY44" s="272"/>
      <c r="BZ44" s="279"/>
      <c r="CA44" s="279"/>
      <c r="CB44" s="280"/>
      <c r="CC44" s="280"/>
      <c r="CD44" s="280"/>
      <c r="CE44" s="280"/>
      <c r="CF44" s="280"/>
    </row>
    <row r="45" spans="1:84" s="302" customFormat="1" ht="14.1" hidden="1" customHeight="1" x14ac:dyDescent="0.25">
      <c r="A45" s="311"/>
      <c r="B45" s="312"/>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82"/>
      <c r="AK45" s="313"/>
      <c r="AL45" s="282"/>
      <c r="AM45" s="82"/>
      <c r="AN45" s="82"/>
      <c r="AO45" s="82"/>
      <c r="AP45" s="82"/>
      <c r="AQ45" s="82"/>
      <c r="AR45" s="82"/>
      <c r="AS45" s="82"/>
      <c r="AT45" s="82"/>
      <c r="AU45" s="82"/>
      <c r="AV45" s="82"/>
      <c r="AW45" s="82"/>
      <c r="AX45" s="82"/>
      <c r="AY45" s="82"/>
      <c r="AZ45" s="82"/>
      <c r="BA45" s="82"/>
      <c r="BB45" s="82"/>
      <c r="BC45" s="82"/>
      <c r="BD45" s="82"/>
      <c r="BE45" s="82"/>
      <c r="BF45" s="82"/>
      <c r="BG45" s="270"/>
      <c r="BH45" s="270"/>
      <c r="BI45" s="270"/>
      <c r="BJ45" s="270"/>
      <c r="BK45" s="270"/>
      <c r="BL45" s="270"/>
      <c r="BM45" s="270"/>
      <c r="BN45" s="270"/>
      <c r="BO45" s="270"/>
      <c r="BP45" s="270"/>
      <c r="BQ45" s="270"/>
      <c r="BR45" s="270"/>
      <c r="BS45" s="270"/>
      <c r="BT45" s="82"/>
      <c r="BU45" s="295"/>
      <c r="BV45" s="310"/>
      <c r="BW45" s="310"/>
      <c r="BX45" s="300"/>
      <c r="BY45" s="82"/>
      <c r="BZ45" s="273"/>
      <c r="CA45" s="273"/>
      <c r="CB45" s="301"/>
      <c r="CC45" s="301"/>
      <c r="CD45" s="301"/>
      <c r="CE45" s="301"/>
      <c r="CF45" s="301"/>
    </row>
    <row r="46" spans="1:84" s="302" customFormat="1" ht="15" hidden="1" customHeight="1" x14ac:dyDescent="0.25">
      <c r="A46" s="311"/>
      <c r="B46" s="312"/>
      <c r="C46" s="1603" t="str">
        <f>CONCATENATE("Thông tin về các công ty con, công ty liên doanh, liên kết của ",LoaiCT_V,": Xem chi tiết tại Thuyết minh số ",STT_CKDTTaiChinh,".")</f>
        <v>Thông tin về các công ty con, công ty liên doanh, liên kết của Công ty: Xem chi tiết tại Thuyết minh số 4.</v>
      </c>
      <c r="D46" s="1603"/>
      <c r="E46" s="1603"/>
      <c r="F46" s="1603"/>
      <c r="G46" s="1603"/>
      <c r="H46" s="1603"/>
      <c r="I46" s="1603"/>
      <c r="J46" s="1603"/>
      <c r="K46" s="1603"/>
      <c r="L46" s="1603"/>
      <c r="M46" s="1603"/>
      <c r="N46" s="1603"/>
      <c r="O46" s="1603"/>
      <c r="P46" s="1603"/>
      <c r="Q46" s="1603"/>
      <c r="R46" s="1603"/>
      <c r="S46" s="1603"/>
      <c r="T46" s="1603"/>
      <c r="U46" s="1603"/>
      <c r="V46" s="1603"/>
      <c r="W46" s="1603"/>
      <c r="X46" s="1603"/>
      <c r="Y46" s="1603"/>
      <c r="Z46" s="1603"/>
      <c r="AA46" s="1603"/>
      <c r="AB46" s="1603"/>
      <c r="AC46" s="1603"/>
      <c r="AD46" s="1603"/>
      <c r="AE46" s="1603"/>
      <c r="AF46" s="1603"/>
      <c r="AG46" s="1603"/>
      <c r="AH46" s="1603"/>
      <c r="AI46" s="1603"/>
      <c r="AJ46" s="82"/>
      <c r="AK46" s="313"/>
      <c r="AL46" s="282"/>
      <c r="AM46" s="1620" t="str">
        <f>CONCATENATE("Information of Subsidiaries, Associated companies and joint ventures of the ",LoaiCT_E," is provided in Note No. ",STT_CKDTTaiChinh,".")</f>
        <v>Information of Subsidiaries, Associated companies and joint ventures of the Corporation is provided in Note No. 4.</v>
      </c>
      <c r="AN46" s="1620"/>
      <c r="AO46" s="1620"/>
      <c r="AP46" s="1620"/>
      <c r="AQ46" s="1620"/>
      <c r="AR46" s="1620"/>
      <c r="AS46" s="1620"/>
      <c r="AT46" s="1620"/>
      <c r="AU46" s="1620"/>
      <c r="AV46" s="1620"/>
      <c r="AW46" s="1620"/>
      <c r="AX46" s="1620"/>
      <c r="AY46" s="1620"/>
      <c r="AZ46" s="1620"/>
      <c r="BA46" s="1620"/>
      <c r="BB46" s="1620"/>
      <c r="BC46" s="1620"/>
      <c r="BD46" s="1620"/>
      <c r="BE46" s="1620"/>
      <c r="BF46" s="1620"/>
      <c r="BG46" s="1620"/>
      <c r="BH46" s="1620"/>
      <c r="BI46" s="1620"/>
      <c r="BJ46" s="1620"/>
      <c r="BK46" s="1620"/>
      <c r="BL46" s="1620"/>
      <c r="BM46" s="1620"/>
      <c r="BN46" s="1620"/>
      <c r="BO46" s="1620"/>
      <c r="BP46" s="1620"/>
      <c r="BQ46" s="1620"/>
      <c r="BR46" s="1620"/>
      <c r="BS46" s="1620"/>
      <c r="BT46" s="82"/>
      <c r="BU46" s="295"/>
      <c r="BV46" s="310"/>
      <c r="BW46" s="310"/>
      <c r="BX46" s="300"/>
      <c r="BY46" s="82"/>
      <c r="BZ46" s="273"/>
      <c r="CA46" s="273"/>
      <c r="CB46" s="301"/>
      <c r="CC46" s="301"/>
      <c r="CD46" s="301"/>
      <c r="CE46" s="301"/>
      <c r="CF46" s="301"/>
    </row>
    <row r="47" spans="1:84" s="302" customFormat="1" ht="15" customHeight="1" x14ac:dyDescent="0.25">
      <c r="A47" s="311"/>
      <c r="B47" s="312"/>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82"/>
      <c r="AK47" s="313"/>
      <c r="AL47" s="282"/>
      <c r="AM47" s="82"/>
      <c r="AN47" s="82"/>
      <c r="AO47" s="82"/>
      <c r="AP47" s="82"/>
      <c r="AQ47" s="82"/>
      <c r="AR47" s="82"/>
      <c r="AS47" s="82"/>
      <c r="AT47" s="82"/>
      <c r="AU47" s="82"/>
      <c r="AV47" s="82"/>
      <c r="AW47" s="82"/>
      <c r="AX47" s="82"/>
      <c r="AY47" s="82"/>
      <c r="AZ47" s="82"/>
      <c r="BA47" s="82"/>
      <c r="BB47" s="82"/>
      <c r="BC47" s="82"/>
      <c r="BD47" s="82"/>
      <c r="BE47" s="82"/>
      <c r="BF47" s="82"/>
      <c r="BG47" s="270"/>
      <c r="BH47" s="270"/>
      <c r="BI47" s="270"/>
      <c r="BJ47" s="270"/>
      <c r="BK47" s="270"/>
      <c r="BL47" s="270"/>
      <c r="BM47" s="270"/>
      <c r="BN47" s="270"/>
      <c r="BO47" s="270"/>
      <c r="BP47" s="270"/>
      <c r="BQ47" s="270"/>
      <c r="BR47" s="270"/>
      <c r="BS47" s="270"/>
      <c r="BT47" s="82"/>
      <c r="BU47" s="295"/>
      <c r="BV47" s="310"/>
      <c r="BW47" s="310"/>
      <c r="BX47" s="300"/>
      <c r="BY47" s="82"/>
      <c r="BZ47" s="273"/>
      <c r="CA47" s="273"/>
      <c r="CB47" s="301"/>
      <c r="CC47" s="301"/>
      <c r="CD47" s="301"/>
      <c r="CE47" s="301"/>
      <c r="CF47" s="301"/>
    </row>
    <row r="48" spans="1:84" s="281" customFormat="1" ht="15" customHeight="1" x14ac:dyDescent="0.25">
      <c r="A48" s="311">
        <v>2</v>
      </c>
      <c r="B48" s="312" t="s">
        <v>345</v>
      </c>
      <c r="C48" s="312" t="str">
        <f>CONCATENATE("CHẾ ĐỘ VÀ CHÍNH SÁCH KẾ TOÁN ÁP DỤNG TẠI "&amp;UPPER(LoaiCT_V))</f>
        <v>CHẾ ĐỘ VÀ CHÍNH SÁCH KẾ TOÁN ÁP DỤNG TẠI CÔNG TY</v>
      </c>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72"/>
      <c r="AK48" s="313">
        <v>2</v>
      </c>
      <c r="AL48" s="282" t="s">
        <v>345</v>
      </c>
      <c r="AM48" s="282" t="s">
        <v>380</v>
      </c>
      <c r="AN48" s="82"/>
      <c r="AO48" s="82"/>
      <c r="AP48" s="82"/>
      <c r="AQ48" s="82"/>
      <c r="AR48" s="82"/>
      <c r="AS48" s="82"/>
      <c r="AT48" s="82"/>
      <c r="AU48" s="82"/>
      <c r="AV48" s="82"/>
      <c r="AW48" s="82"/>
      <c r="AX48" s="82"/>
      <c r="AY48" s="82"/>
      <c r="AZ48" s="82"/>
      <c r="BA48" s="82"/>
      <c r="BB48" s="82"/>
      <c r="BC48" s="82"/>
      <c r="BD48" s="82"/>
      <c r="BE48" s="82"/>
      <c r="BF48" s="82"/>
      <c r="BG48" s="270"/>
      <c r="BH48" s="270"/>
      <c r="BI48" s="270"/>
      <c r="BJ48" s="270"/>
      <c r="BK48" s="270"/>
      <c r="BL48" s="270"/>
      <c r="BM48" s="270"/>
      <c r="BN48" s="270"/>
      <c r="BO48" s="270"/>
      <c r="BP48" s="270"/>
      <c r="BQ48" s="270"/>
      <c r="BR48" s="270"/>
      <c r="BS48" s="270"/>
      <c r="BT48" s="82"/>
      <c r="BU48" s="295"/>
      <c r="BV48" s="310"/>
      <c r="BW48" s="310"/>
      <c r="BX48" s="291"/>
      <c r="BY48" s="272"/>
      <c r="BZ48" s="279"/>
      <c r="CA48" s="279"/>
      <c r="CB48" s="280"/>
      <c r="CC48" s="280"/>
      <c r="CD48" s="280"/>
      <c r="CE48" s="280"/>
      <c r="CF48" s="280"/>
    </row>
    <row r="49" spans="1:84" s="302" customFormat="1" ht="15" customHeight="1" x14ac:dyDescent="0.25">
      <c r="A49" s="322"/>
      <c r="B49" s="312"/>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87"/>
      <c r="AL49" s="312"/>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82"/>
      <c r="BU49" s="295"/>
      <c r="BV49" s="310"/>
      <c r="BW49" s="310"/>
      <c r="BX49" s="300"/>
      <c r="BY49" s="82"/>
      <c r="BZ49" s="273"/>
      <c r="CA49" s="273"/>
      <c r="CB49" s="301"/>
      <c r="CC49" s="301"/>
      <c r="CD49" s="301"/>
      <c r="CE49" s="301"/>
      <c r="CF49" s="301"/>
    </row>
    <row r="50" spans="1:84" s="281" customFormat="1" ht="15" customHeight="1" x14ac:dyDescent="0.25">
      <c r="A50" s="322" t="str">
        <f>subSTT</f>
        <v>2.1</v>
      </c>
      <c r="B50" s="312" t="s">
        <v>345</v>
      </c>
      <c r="C50" s="312" t="s">
        <v>381</v>
      </c>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5"/>
      <c r="AG50" s="295"/>
      <c r="AH50" s="295"/>
      <c r="AI50" s="295"/>
      <c r="AJ50" s="323"/>
      <c r="AK50" s="287" t="str">
        <f>A50</f>
        <v>2.1</v>
      </c>
      <c r="AL50" s="312" t="s">
        <v>345</v>
      </c>
      <c r="AM50" s="312" t="s">
        <v>382</v>
      </c>
      <c r="AN50" s="295"/>
      <c r="AO50" s="295"/>
      <c r="AP50" s="295"/>
      <c r="AQ50" s="295"/>
      <c r="AR50" s="295"/>
      <c r="AS50" s="295"/>
      <c r="AT50" s="295"/>
      <c r="AU50" s="295"/>
      <c r="AV50" s="295"/>
      <c r="AW50" s="295"/>
      <c r="AX50" s="295"/>
      <c r="AY50" s="295"/>
      <c r="AZ50" s="295"/>
      <c r="BA50" s="295"/>
      <c r="BB50" s="295"/>
      <c r="BC50" s="295"/>
      <c r="BD50" s="295"/>
      <c r="BE50" s="295"/>
      <c r="BF50" s="295"/>
      <c r="BG50" s="295"/>
      <c r="BH50" s="295"/>
      <c r="BI50" s="295"/>
      <c r="BJ50" s="295"/>
      <c r="BK50" s="295"/>
      <c r="BL50" s="295"/>
      <c r="BM50" s="295"/>
      <c r="BN50" s="295"/>
      <c r="BO50" s="295"/>
      <c r="BP50" s="295"/>
      <c r="BQ50" s="295"/>
      <c r="BR50" s="295"/>
      <c r="BS50" s="295"/>
      <c r="BT50" s="82"/>
      <c r="BU50" s="295"/>
      <c r="BV50" s="310"/>
      <c r="BW50" s="310"/>
      <c r="BX50" s="291"/>
      <c r="BY50" s="272"/>
      <c r="BZ50" s="279"/>
      <c r="CA50" s="279"/>
      <c r="CB50" s="280"/>
      <c r="CC50" s="280"/>
      <c r="CD50" s="280"/>
      <c r="CE50" s="280"/>
      <c r="CF50" s="280"/>
    </row>
    <row r="51" spans="1:84" s="302" customFormat="1" ht="14.25" customHeight="1" x14ac:dyDescent="0.25">
      <c r="A51" s="322"/>
      <c r="B51" s="312"/>
      <c r="C51" s="324"/>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87"/>
      <c r="AL51" s="312"/>
      <c r="AM51" s="324"/>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82"/>
      <c r="BU51" s="295"/>
      <c r="BV51" s="310"/>
      <c r="BW51" s="310"/>
      <c r="BX51" s="300"/>
      <c r="BY51" s="82"/>
      <c r="BZ51" s="273"/>
      <c r="CA51" s="273"/>
      <c r="CB51" s="301"/>
      <c r="CC51" s="301"/>
      <c r="CD51" s="301"/>
      <c r="CE51" s="301"/>
      <c r="CF51" s="301"/>
    </row>
    <row r="52" spans="1:84" s="302" customFormat="1" ht="15" customHeight="1" x14ac:dyDescent="0.25">
      <c r="A52" s="322"/>
      <c r="B52" s="312"/>
      <c r="C52" s="1604" t="str">
        <f>CONCATENATE("Kỳ kế toán năm của ",LoaiCT_V," theo năm dương lịch bắt đầu từ ngày 01/01 và kết thúc vào ngày 31/12 hàng năm.")</f>
        <v>Kỳ kế toán năm của Công ty theo năm dương lịch bắt đầu từ ngày 01/01 và kết thúc vào ngày 31/12 hàng năm.</v>
      </c>
      <c r="D52" s="1604"/>
      <c r="E52" s="1604"/>
      <c r="F52" s="1604"/>
      <c r="G52" s="1604"/>
      <c r="H52" s="1604"/>
      <c r="I52" s="1604"/>
      <c r="J52" s="1604"/>
      <c r="K52" s="1604"/>
      <c r="L52" s="1604"/>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295"/>
      <c r="AK52" s="287"/>
      <c r="AL52" s="312"/>
      <c r="AM52" s="1615" t="s">
        <v>383</v>
      </c>
      <c r="AN52" s="1602"/>
      <c r="AO52" s="1602"/>
      <c r="AP52" s="1602"/>
      <c r="AQ52" s="1602"/>
      <c r="AR52" s="1602"/>
      <c r="AS52" s="1602"/>
      <c r="AT52" s="1602"/>
      <c r="AU52" s="1602"/>
      <c r="AV52" s="1602"/>
      <c r="AW52" s="1602"/>
      <c r="AX52" s="1602"/>
      <c r="AY52" s="1602"/>
      <c r="AZ52" s="1602"/>
      <c r="BA52" s="1602"/>
      <c r="BB52" s="1602"/>
      <c r="BC52" s="1602"/>
      <c r="BD52" s="1602"/>
      <c r="BE52" s="1602"/>
      <c r="BF52" s="1602"/>
      <c r="BG52" s="1602"/>
      <c r="BH52" s="1602"/>
      <c r="BI52" s="1602"/>
      <c r="BJ52" s="1602"/>
      <c r="BK52" s="1602"/>
      <c r="BL52" s="1602"/>
      <c r="BM52" s="1602"/>
      <c r="BN52" s="1602"/>
      <c r="BO52" s="1602"/>
      <c r="BP52" s="1602"/>
      <c r="BQ52" s="1602"/>
      <c r="BR52" s="1602"/>
      <c r="BS52" s="1602"/>
      <c r="BT52" s="82"/>
      <c r="BU52" s="295"/>
      <c r="BV52" s="310"/>
      <c r="BW52" s="310"/>
      <c r="BX52" s="300"/>
      <c r="BY52" s="82"/>
      <c r="BZ52" s="273"/>
      <c r="CA52" s="273"/>
      <c r="CB52" s="301"/>
      <c r="CC52" s="301"/>
      <c r="CD52" s="301"/>
      <c r="CE52" s="301"/>
      <c r="CF52" s="301"/>
    </row>
    <row r="53" spans="1:84" s="302" customFormat="1" ht="15" customHeight="1" x14ac:dyDescent="0.25">
      <c r="A53" s="322"/>
      <c r="B53" s="312"/>
      <c r="C53" s="1604" t="s">
        <v>384</v>
      </c>
      <c r="D53" s="1604"/>
      <c r="E53" s="1604"/>
      <c r="F53" s="1604"/>
      <c r="G53" s="1604"/>
      <c r="H53" s="1604"/>
      <c r="I53" s="1604"/>
      <c r="J53" s="1604"/>
      <c r="K53" s="1604"/>
      <c r="L53" s="1604"/>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295"/>
      <c r="AK53" s="287"/>
      <c r="AL53" s="312"/>
      <c r="AM53" s="1615" t="str">
        <f>CONCATENATE("The ",LoaiCT_E," maintains its accounting records in VND.")</f>
        <v>The Corporation maintains its accounting records in VND.</v>
      </c>
      <c r="AN53" s="1602"/>
      <c r="AO53" s="1602"/>
      <c r="AP53" s="1602"/>
      <c r="AQ53" s="1602"/>
      <c r="AR53" s="1602"/>
      <c r="AS53" s="1602"/>
      <c r="AT53" s="1602"/>
      <c r="AU53" s="1602"/>
      <c r="AV53" s="1602"/>
      <c r="AW53" s="1602"/>
      <c r="AX53" s="1602"/>
      <c r="AY53" s="1602"/>
      <c r="AZ53" s="1602"/>
      <c r="BA53" s="1602"/>
      <c r="BB53" s="1602"/>
      <c r="BC53" s="1602"/>
      <c r="BD53" s="1602"/>
      <c r="BE53" s="1602"/>
      <c r="BF53" s="1602"/>
      <c r="BG53" s="1602"/>
      <c r="BH53" s="1602"/>
      <c r="BI53" s="1602"/>
      <c r="BJ53" s="1602"/>
      <c r="BK53" s="1602"/>
      <c r="BL53" s="1602"/>
      <c r="BM53" s="1602"/>
      <c r="BN53" s="1602"/>
      <c r="BO53" s="1602"/>
      <c r="BP53" s="1602"/>
      <c r="BQ53" s="1602"/>
      <c r="BR53" s="1602"/>
      <c r="BS53" s="1602"/>
      <c r="BT53" s="82"/>
      <c r="BU53" s="295"/>
      <c r="BV53" s="310"/>
      <c r="BW53" s="310"/>
      <c r="BX53" s="300"/>
      <c r="BY53" s="82"/>
      <c r="BZ53" s="273"/>
      <c r="CA53" s="273"/>
      <c r="CB53" s="301"/>
      <c r="CC53" s="301"/>
      <c r="CD53" s="301"/>
      <c r="CE53" s="301"/>
      <c r="CF53" s="301"/>
    </row>
    <row r="54" spans="1:84" s="302" customFormat="1" ht="2.1" customHeight="1" x14ac:dyDescent="0.25">
      <c r="A54" s="322"/>
      <c r="B54" s="312"/>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c r="AG54" s="314"/>
      <c r="AH54" s="314"/>
      <c r="AI54" s="314"/>
      <c r="AJ54" s="295"/>
      <c r="AK54" s="287"/>
      <c r="AL54" s="312"/>
      <c r="AM54" s="325"/>
      <c r="AN54" s="295"/>
      <c r="AO54" s="295"/>
      <c r="AP54" s="295"/>
      <c r="AQ54" s="295"/>
      <c r="AR54" s="295"/>
      <c r="AS54" s="295"/>
      <c r="AT54" s="295"/>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82"/>
      <c r="BU54" s="295"/>
      <c r="BV54" s="299"/>
      <c r="BW54" s="299"/>
      <c r="BX54" s="300"/>
      <c r="BY54" s="82"/>
      <c r="BZ54" s="273"/>
      <c r="CA54" s="273"/>
      <c r="CB54" s="301"/>
      <c r="CC54" s="301"/>
      <c r="CD54" s="301"/>
      <c r="CE54" s="301"/>
      <c r="CF54" s="301"/>
    </row>
    <row r="55" spans="1:84" s="326" customFormat="1" ht="12.95" customHeight="1" x14ac:dyDescent="0.25">
      <c r="A55" s="322"/>
      <c r="B55" s="312"/>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23"/>
      <c r="AK55" s="287"/>
      <c r="AL55" s="312"/>
      <c r="AM55" s="325"/>
      <c r="AN55" s="295"/>
      <c r="AO55" s="295"/>
      <c r="AP55" s="295"/>
      <c r="AQ55" s="295"/>
      <c r="AR55" s="295"/>
      <c r="AS55" s="295"/>
      <c r="AT55" s="295"/>
      <c r="AU55" s="295"/>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295"/>
      <c r="BV55" s="310"/>
      <c r="BW55" s="310"/>
      <c r="BX55" s="291"/>
      <c r="BY55" s="323"/>
      <c r="BZ55" s="279"/>
      <c r="CA55" s="279"/>
      <c r="CB55" s="280"/>
      <c r="CC55" s="280"/>
      <c r="CD55" s="280"/>
      <c r="CE55" s="280"/>
      <c r="CF55" s="280"/>
    </row>
    <row r="56" spans="1:84" s="326" customFormat="1" ht="15" customHeight="1" x14ac:dyDescent="0.25">
      <c r="A56" s="322" t="str">
        <f>subSTT</f>
        <v>2.2</v>
      </c>
      <c r="B56" s="312" t="s">
        <v>345</v>
      </c>
      <c r="C56" s="312" t="s">
        <v>385</v>
      </c>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323"/>
      <c r="AK56" s="287" t="str">
        <f>A56</f>
        <v>2.2</v>
      </c>
      <c r="AL56" s="312" t="s">
        <v>345</v>
      </c>
      <c r="AM56" s="312" t="s">
        <v>386</v>
      </c>
      <c r="AN56" s="295"/>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c r="BR56" s="295"/>
      <c r="BS56" s="295"/>
      <c r="BT56" s="295"/>
      <c r="BU56" s="295"/>
      <c r="BV56" s="310"/>
      <c r="BW56" s="310"/>
      <c r="BX56" s="291"/>
      <c r="BY56" s="323"/>
      <c r="BZ56" s="279"/>
      <c r="CA56" s="279"/>
      <c r="CB56" s="280"/>
      <c r="CC56" s="280"/>
      <c r="CD56" s="280"/>
      <c r="CE56" s="280"/>
      <c r="CF56" s="280"/>
    </row>
    <row r="57" spans="1:84" s="326" customFormat="1" ht="12.95" customHeight="1" x14ac:dyDescent="0.25">
      <c r="A57" s="322"/>
      <c r="B57" s="312"/>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23"/>
      <c r="AK57" s="287"/>
      <c r="AL57" s="312"/>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295"/>
      <c r="BU57" s="295"/>
      <c r="BV57" s="310"/>
      <c r="BW57" s="310"/>
      <c r="BX57" s="291"/>
      <c r="BY57" s="323"/>
      <c r="BZ57" s="279"/>
      <c r="CA57" s="279"/>
      <c r="CB57" s="280"/>
      <c r="CC57" s="280"/>
      <c r="CD57" s="280"/>
      <c r="CE57" s="280"/>
      <c r="CF57" s="280"/>
    </row>
    <row r="58" spans="1:84" s="326" customFormat="1" ht="15" customHeight="1" x14ac:dyDescent="0.25">
      <c r="A58" s="322"/>
      <c r="B58" s="312"/>
      <c r="C58" s="1618" t="s">
        <v>387</v>
      </c>
      <c r="D58" s="1618"/>
      <c r="E58" s="1618"/>
      <c r="F58" s="1618"/>
      <c r="G58" s="1618"/>
      <c r="H58" s="1618"/>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323"/>
      <c r="AK58" s="287"/>
      <c r="AL58" s="312"/>
      <c r="AM58" s="1618" t="s">
        <v>388</v>
      </c>
      <c r="AN58" s="1618"/>
      <c r="AO58" s="1618"/>
      <c r="AP58" s="1618"/>
      <c r="AQ58" s="1618"/>
      <c r="AR58" s="1618"/>
      <c r="AS58" s="1618"/>
      <c r="AT58" s="1618"/>
      <c r="AU58" s="1618"/>
      <c r="AV58" s="1618"/>
      <c r="AW58" s="1618"/>
      <c r="AX58" s="1618"/>
      <c r="AY58" s="1618"/>
      <c r="AZ58" s="1618"/>
      <c r="BA58" s="1618"/>
      <c r="BB58" s="1618"/>
      <c r="BC58" s="1618"/>
      <c r="BD58" s="1618"/>
      <c r="BE58" s="1618"/>
      <c r="BF58" s="1618"/>
      <c r="BG58" s="1618"/>
      <c r="BH58" s="1618"/>
      <c r="BI58" s="1618"/>
      <c r="BJ58" s="1618"/>
      <c r="BK58" s="1618"/>
      <c r="BL58" s="1618"/>
      <c r="BM58" s="1618"/>
      <c r="BN58" s="1618"/>
      <c r="BO58" s="1618"/>
      <c r="BP58" s="1618"/>
      <c r="BQ58" s="1618"/>
      <c r="BR58" s="1618"/>
      <c r="BS58" s="1618"/>
      <c r="BT58" s="295"/>
      <c r="BU58" s="295"/>
      <c r="BV58" s="310"/>
      <c r="BW58" s="310"/>
      <c r="BX58" s="291"/>
      <c r="BY58" s="323"/>
      <c r="BZ58" s="279"/>
      <c r="CA58" s="279"/>
      <c r="CB58" s="280"/>
      <c r="CC58" s="280"/>
      <c r="CD58" s="280"/>
      <c r="CE58" s="280"/>
      <c r="CF58" s="280"/>
    </row>
    <row r="59" spans="1:84" s="326" customFormat="1" ht="42" customHeight="1" x14ac:dyDescent="0.25">
      <c r="A59" s="322"/>
      <c r="B59" s="312"/>
      <c r="C59" s="1604" t="str">
        <f>CONCATENATE(LoaiCT_V," áp dụng Chế độ kế toán doanh nghiệp ban hành theo Thông tư số 200/2014/TT-BTC ngày 22/12/2014 của Bộ Tài chính và Thông tư số 53/2016/TT-BTC ngày 21/03/2016 của Bộ Tài chính về việc sửa đổi, bổ sung một số điều của Thông tư số 200/2014/TT-BTC.")</f>
        <v>Công ty áp dụng Chế độ kế toán doanh nghiệp ban hành theo Thông tư số 200/2014/TT-BTC ngày 22/12/2014 của Bộ Tài chính và Thông tư số 53/2016/TT-BTC ngày 21/03/2016 của Bộ Tài chính về việc sửa đổi, bổ sung một số điều của Thông tư số 200/2014/TT-BTC.</v>
      </c>
      <c r="D59" s="1604"/>
      <c r="E59" s="1604"/>
      <c r="F59" s="1604"/>
      <c r="G59" s="1604"/>
      <c r="H59" s="1604"/>
      <c r="I59" s="1604"/>
      <c r="J59" s="1604"/>
      <c r="K59" s="1604"/>
      <c r="L59" s="1604"/>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323"/>
      <c r="AK59" s="287"/>
      <c r="AL59" s="312"/>
      <c r="AM59" s="1604" t="str">
        <f>CONCATENATE("The ",LoaiCT_E," applies Enterprise Accounting System issued under Circular No. 200/2014/TT-BTC dated  December 22, 2014 of the Minister of Finance.")</f>
        <v>The Corporation applies Enterprise Accounting System issued under Circular No. 200/2014/TT-BTC dated  December 22, 2014 of the Minister of Finance.</v>
      </c>
      <c r="AN59" s="1604"/>
      <c r="AO59" s="1604"/>
      <c r="AP59" s="1604"/>
      <c r="AQ59" s="1604"/>
      <c r="AR59" s="1604"/>
      <c r="AS59" s="1604"/>
      <c r="AT59" s="1604"/>
      <c r="AU59" s="1604"/>
      <c r="AV59" s="1604"/>
      <c r="AW59" s="1604"/>
      <c r="AX59" s="1604"/>
      <c r="AY59" s="1604"/>
      <c r="AZ59" s="1604"/>
      <c r="BA59" s="1604"/>
      <c r="BB59" s="1604"/>
      <c r="BC59" s="1604"/>
      <c r="BD59" s="1604"/>
      <c r="BE59" s="1604"/>
      <c r="BF59" s="1604"/>
      <c r="BG59" s="1604"/>
      <c r="BH59" s="1604"/>
      <c r="BI59" s="1604"/>
      <c r="BJ59" s="1604"/>
      <c r="BK59" s="1604"/>
      <c r="BL59" s="1604"/>
      <c r="BM59" s="1604"/>
      <c r="BN59" s="1604"/>
      <c r="BO59" s="1604"/>
      <c r="BP59" s="1604"/>
      <c r="BQ59" s="1604"/>
      <c r="BR59" s="1604"/>
      <c r="BS59" s="1604"/>
      <c r="BT59" s="295"/>
      <c r="BU59" s="295"/>
      <c r="BV59" s="310"/>
      <c r="BW59" s="310"/>
      <c r="BX59" s="291"/>
      <c r="BY59" s="323"/>
      <c r="BZ59" s="279"/>
      <c r="CA59" s="279"/>
      <c r="CB59" s="280"/>
      <c r="CC59" s="280"/>
      <c r="CD59" s="280"/>
      <c r="CE59" s="280"/>
      <c r="CF59" s="280"/>
    </row>
    <row r="60" spans="1:84" s="326" customFormat="1" ht="12.95" customHeight="1" x14ac:dyDescent="0.25">
      <c r="A60" s="322"/>
      <c r="B60" s="312"/>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323"/>
      <c r="AK60" s="287"/>
      <c r="AL60" s="312"/>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295"/>
      <c r="BQ60" s="295"/>
      <c r="BR60" s="295"/>
      <c r="BS60" s="295"/>
      <c r="BT60" s="295"/>
      <c r="BU60" s="295"/>
      <c r="BV60" s="310"/>
      <c r="BW60" s="310"/>
      <c r="BX60" s="291"/>
      <c r="BY60" s="323"/>
      <c r="BZ60" s="279"/>
      <c r="CA60" s="279"/>
      <c r="CB60" s="280"/>
      <c r="CC60" s="280"/>
      <c r="CD60" s="280"/>
      <c r="CE60" s="280"/>
      <c r="CF60" s="280"/>
    </row>
    <row r="61" spans="1:84" s="326" customFormat="1" ht="15" customHeight="1" x14ac:dyDescent="0.25">
      <c r="A61" s="322"/>
      <c r="B61" s="312"/>
      <c r="C61" s="1609" t="s">
        <v>389</v>
      </c>
      <c r="D61" s="1609"/>
      <c r="E61" s="1609"/>
      <c r="F61" s="1609"/>
      <c r="G61" s="1609"/>
      <c r="H61" s="1609"/>
      <c r="I61" s="1609"/>
      <c r="J61" s="1609"/>
      <c r="K61" s="1609"/>
      <c r="L61" s="1609"/>
      <c r="M61" s="1609"/>
      <c r="N61" s="1609"/>
      <c r="O61" s="1609"/>
      <c r="P61" s="1609"/>
      <c r="Q61" s="1609"/>
      <c r="R61" s="1609"/>
      <c r="S61" s="1609"/>
      <c r="T61" s="1609"/>
      <c r="U61" s="1609"/>
      <c r="V61" s="1609"/>
      <c r="W61" s="1609"/>
      <c r="X61" s="1609"/>
      <c r="Y61" s="1609"/>
      <c r="Z61" s="1609"/>
      <c r="AA61" s="1609"/>
      <c r="AB61" s="1609"/>
      <c r="AC61" s="1609"/>
      <c r="AD61" s="1609"/>
      <c r="AE61" s="1609"/>
      <c r="AF61" s="1609"/>
      <c r="AG61" s="1609"/>
      <c r="AH61" s="1609"/>
      <c r="AI61" s="1609"/>
      <c r="AJ61" s="323"/>
      <c r="AK61" s="287"/>
      <c r="AL61" s="312"/>
      <c r="AM61" s="1609" t="s">
        <v>390</v>
      </c>
      <c r="AN61" s="1609"/>
      <c r="AO61" s="1609"/>
      <c r="AP61" s="1609"/>
      <c r="AQ61" s="1609"/>
      <c r="AR61" s="1609"/>
      <c r="AS61" s="1609"/>
      <c r="AT61" s="1609"/>
      <c r="AU61" s="1609"/>
      <c r="AV61" s="1609"/>
      <c r="AW61" s="1609"/>
      <c r="AX61" s="1609"/>
      <c r="AY61" s="1609"/>
      <c r="AZ61" s="1609"/>
      <c r="BA61" s="1609"/>
      <c r="BB61" s="1609"/>
      <c r="BC61" s="1609"/>
      <c r="BD61" s="1609"/>
      <c r="BE61" s="1609"/>
      <c r="BF61" s="1609"/>
      <c r="BG61" s="1609"/>
      <c r="BH61" s="1609"/>
      <c r="BI61" s="1609"/>
      <c r="BJ61" s="1609"/>
      <c r="BK61" s="1609"/>
      <c r="BL61" s="1609"/>
      <c r="BM61" s="1609"/>
      <c r="BN61" s="1609"/>
      <c r="BO61" s="1609"/>
      <c r="BP61" s="1609"/>
      <c r="BQ61" s="1609"/>
      <c r="BR61" s="1609"/>
      <c r="BS61" s="1609"/>
      <c r="BT61" s="295"/>
      <c r="BU61" s="295"/>
      <c r="BV61" s="310"/>
      <c r="BW61" s="310"/>
      <c r="BX61" s="291"/>
      <c r="BY61" s="323"/>
      <c r="BZ61" s="279"/>
      <c r="CA61" s="279"/>
      <c r="CB61" s="280"/>
      <c r="CC61" s="280"/>
      <c r="CD61" s="280"/>
      <c r="CE61" s="280"/>
      <c r="CF61" s="280"/>
    </row>
    <row r="62" spans="1:84" s="326" customFormat="1" ht="42" customHeight="1" x14ac:dyDescent="0.25">
      <c r="A62" s="322"/>
      <c r="B62" s="312"/>
      <c r="C62" s="1604" t="str">
        <f>CONCATENATE(LoaiCT_V," đã áp dụng các Chuẩn mực kế toán Việt Nam và các văn bản hướng dẫn Chuẩn mực do Nhà nước đã ban hành."," Các ",Loai_BC_V," và trình bày theo đúng quy định của từng chuẩn mực, thông tư hướng dẫn thực hiện Chuẩn mực và Chế độ kế toán hiện hành đang áp dụng.")</f>
        <v>Công ty đã áp dụng các Chuẩn mực kế toán Việt Nam và các văn bản hướng dẫn Chuẩn mực do Nhà nước đã ban hành. Các Báo cáo tài chính và trình bày theo đúng quy định của từng chuẩn mực, thông tư hướng dẫn thực hiện Chuẩn mực và Chế độ kế toán hiện hành đang áp dụng.</v>
      </c>
      <c r="D62" s="1604"/>
      <c r="E62" s="1604"/>
      <c r="F62" s="1604"/>
      <c r="G62" s="1604"/>
      <c r="H62" s="1604"/>
      <c r="I62" s="1604"/>
      <c r="J62" s="1604"/>
      <c r="K62" s="1604"/>
      <c r="L62" s="1604"/>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327"/>
      <c r="AK62" s="328"/>
      <c r="AL62" s="328"/>
      <c r="AM62" s="1604" t="str">
        <f>CONCATENATE("The ",LoaiCT_E," applies Vietnamese Accounting Standards and supplement documents issued by the State."," Financial statements are prepared in accordance with regulations of each standard and supplement documents as well as with current Accounting Standards and Accounting System.")</f>
        <v>The Corporation applies Vietnamese Accounting Standards and supplement documents issued by the State. Financial statements are prepared in accordance with regulations of each standard and supplement documents as well as with current Accounting Standards and Accounting System.</v>
      </c>
      <c r="AN62" s="1604"/>
      <c r="AO62" s="1604"/>
      <c r="AP62" s="1604"/>
      <c r="AQ62" s="1604"/>
      <c r="AR62" s="1604"/>
      <c r="AS62" s="1604"/>
      <c r="AT62" s="1604"/>
      <c r="AU62" s="1604"/>
      <c r="AV62" s="1604"/>
      <c r="AW62" s="1604"/>
      <c r="AX62" s="1604"/>
      <c r="AY62" s="1604"/>
      <c r="AZ62" s="1604"/>
      <c r="BA62" s="1604"/>
      <c r="BB62" s="1604"/>
      <c r="BC62" s="1604"/>
      <c r="BD62" s="1604"/>
      <c r="BE62" s="1604"/>
      <c r="BF62" s="1604"/>
      <c r="BG62" s="1604"/>
      <c r="BH62" s="1604"/>
      <c r="BI62" s="1604"/>
      <c r="BJ62" s="1604"/>
      <c r="BK62" s="1604"/>
      <c r="BL62" s="1604"/>
      <c r="BM62" s="1604"/>
      <c r="BN62" s="1604"/>
      <c r="BO62" s="1604"/>
      <c r="BP62" s="1604"/>
      <c r="BQ62" s="1604"/>
      <c r="BR62" s="1604"/>
      <c r="BS62" s="1604"/>
      <c r="BT62" s="295"/>
      <c r="BU62" s="295"/>
      <c r="BV62" s="310"/>
      <c r="BW62" s="310"/>
      <c r="BX62" s="291"/>
      <c r="BY62" s="323"/>
      <c r="BZ62" s="279"/>
      <c r="CA62" s="279"/>
      <c r="CB62" s="280"/>
      <c r="CC62" s="280"/>
      <c r="CD62" s="280"/>
      <c r="CE62" s="280"/>
      <c r="CF62" s="280"/>
    </row>
    <row r="63" spans="1:84" s="326" customFormat="1" ht="2.1" customHeight="1" x14ac:dyDescent="0.25">
      <c r="A63" s="322"/>
      <c r="B63" s="312"/>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23"/>
      <c r="AK63" s="287"/>
      <c r="AL63" s="312"/>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4"/>
      <c r="BK63" s="314"/>
      <c r="BL63" s="314"/>
      <c r="BM63" s="314"/>
      <c r="BN63" s="314"/>
      <c r="BO63" s="314"/>
      <c r="BP63" s="314"/>
      <c r="BQ63" s="314"/>
      <c r="BR63" s="314"/>
      <c r="BS63" s="314"/>
      <c r="BT63" s="295"/>
      <c r="BU63" s="295"/>
      <c r="BV63" s="310"/>
      <c r="BW63" s="310"/>
      <c r="BX63" s="291"/>
      <c r="BY63" s="323"/>
      <c r="BZ63" s="279"/>
      <c r="CA63" s="279"/>
      <c r="CB63" s="280"/>
      <c r="CC63" s="280"/>
      <c r="CD63" s="280"/>
      <c r="CE63" s="280"/>
      <c r="CF63" s="280"/>
    </row>
    <row r="64" spans="1:84" s="329" customFormat="1" ht="12.95" customHeight="1" x14ac:dyDescent="0.25">
      <c r="A64" s="322"/>
      <c r="B64" s="312"/>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87"/>
      <c r="AL64" s="312"/>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310"/>
      <c r="BW64" s="310"/>
      <c r="BX64" s="300"/>
      <c r="BY64" s="295"/>
      <c r="BZ64" s="273"/>
      <c r="CA64" s="273"/>
      <c r="CB64" s="301"/>
      <c r="CC64" s="301"/>
      <c r="CD64" s="301"/>
      <c r="CE64" s="301"/>
      <c r="CF64" s="301"/>
    </row>
    <row r="65" spans="1:84" s="329" customFormat="1" ht="15" customHeight="1" x14ac:dyDescent="0.25">
      <c r="A65" s="322" t="str">
        <f>subSTT</f>
        <v>2.3</v>
      </c>
      <c r="B65" s="312" t="s">
        <v>345</v>
      </c>
      <c r="C65" s="312" t="str">
        <f>CONCATENATE("Cơ sở lập ",Loai_BC_V)</f>
        <v>Cơ sở lập Báo cáo tài chính</v>
      </c>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87" t="str">
        <f>A65</f>
        <v>2.3</v>
      </c>
      <c r="AL65" s="312" t="s">
        <v>345</v>
      </c>
      <c r="AM65" s="312" t="str">
        <f>CONCATENATE("Basis for preparation of ",Loai_BC_E)</f>
        <v>Basis for preparation of Separate Financial Statements</v>
      </c>
      <c r="AN65" s="295"/>
      <c r="AO65" s="295"/>
      <c r="AP65" s="295"/>
      <c r="AQ65" s="295"/>
      <c r="AR65" s="295"/>
      <c r="AS65" s="295"/>
      <c r="AT65" s="295"/>
      <c r="AU65" s="295"/>
      <c r="AV65" s="295"/>
      <c r="AW65" s="295"/>
      <c r="AX65" s="295"/>
      <c r="AY65" s="295"/>
      <c r="AZ65" s="295"/>
      <c r="BA65" s="295"/>
      <c r="BB65" s="295"/>
      <c r="BC65" s="295"/>
      <c r="BD65" s="295"/>
      <c r="BE65" s="295"/>
      <c r="BF65" s="295"/>
      <c r="BG65" s="295"/>
      <c r="BH65" s="295"/>
      <c r="BI65" s="295"/>
      <c r="BJ65" s="295"/>
      <c r="BK65" s="295"/>
      <c r="BL65" s="295"/>
      <c r="BM65" s="295"/>
      <c r="BN65" s="295"/>
      <c r="BO65" s="295"/>
      <c r="BP65" s="295"/>
      <c r="BQ65" s="295"/>
      <c r="BR65" s="295"/>
      <c r="BS65" s="295"/>
      <c r="BT65" s="295"/>
      <c r="BU65" s="295"/>
      <c r="BV65" s="310"/>
      <c r="BW65" s="310"/>
      <c r="BX65" s="300"/>
      <c r="BY65" s="295"/>
      <c r="BZ65" s="273"/>
      <c r="CA65" s="273"/>
      <c r="CB65" s="301"/>
      <c r="CC65" s="301"/>
      <c r="CD65" s="301"/>
      <c r="CE65" s="301"/>
      <c r="CF65" s="301"/>
    </row>
    <row r="66" spans="1:84" s="326" customFormat="1" ht="14.1" customHeight="1" x14ac:dyDescent="0.25">
      <c r="A66" s="322"/>
      <c r="B66" s="312"/>
      <c r="C66" s="1611"/>
      <c r="D66" s="1611"/>
      <c r="E66" s="1611"/>
      <c r="F66" s="1611"/>
      <c r="G66" s="1611"/>
      <c r="H66" s="1611"/>
      <c r="I66" s="1611"/>
      <c r="J66" s="1611"/>
      <c r="K66" s="1611"/>
      <c r="L66" s="1611"/>
      <c r="M66" s="1611"/>
      <c r="N66" s="1611"/>
      <c r="O66" s="1611"/>
      <c r="P66" s="1611"/>
      <c r="Q66" s="1611"/>
      <c r="R66" s="1611"/>
      <c r="S66" s="1611"/>
      <c r="T66" s="1611"/>
      <c r="U66" s="1611"/>
      <c r="V66" s="1611"/>
      <c r="W66" s="1611"/>
      <c r="X66" s="1611"/>
      <c r="Y66" s="1611"/>
      <c r="Z66" s="1611"/>
      <c r="AA66" s="1611"/>
      <c r="AB66" s="1611"/>
      <c r="AC66" s="1611"/>
      <c r="AD66" s="1611"/>
      <c r="AE66" s="1611"/>
      <c r="AF66" s="1611"/>
      <c r="AG66" s="1611"/>
      <c r="AH66" s="1611"/>
      <c r="AI66" s="1611"/>
      <c r="AJ66" s="323"/>
      <c r="AK66" s="287"/>
      <c r="AL66" s="312"/>
      <c r="AM66" s="324" t="s">
        <v>391</v>
      </c>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310"/>
      <c r="BW66" s="310"/>
      <c r="BX66" s="291"/>
      <c r="BY66" s="323"/>
      <c r="BZ66" s="279"/>
      <c r="CA66" s="279"/>
      <c r="CB66" s="280"/>
      <c r="CC66" s="280"/>
      <c r="CD66" s="280"/>
      <c r="CE66" s="280"/>
      <c r="CF66" s="280"/>
    </row>
    <row r="67" spans="1:84" s="329" customFormat="1" ht="15" customHeight="1" x14ac:dyDescent="0.25">
      <c r="A67" s="322"/>
      <c r="B67" s="312"/>
      <c r="C67" s="1604" t="str">
        <f>CONCATENATE(Loai_BC_V," được trình bày theo nguyên tắc giá gốc.")</f>
        <v>Báo cáo tài chính được trình bày theo nguyên tắc giá gốc.</v>
      </c>
      <c r="D67" s="1604"/>
      <c r="E67" s="1604"/>
      <c r="F67" s="1604"/>
      <c r="G67" s="1604"/>
      <c r="H67" s="1604"/>
      <c r="I67" s="1604"/>
      <c r="J67" s="1604"/>
      <c r="K67" s="1604"/>
      <c r="L67" s="1604"/>
      <c r="M67" s="1604"/>
      <c r="N67" s="1604"/>
      <c r="O67" s="1604"/>
      <c r="P67" s="1604"/>
      <c r="Q67" s="1604"/>
      <c r="R67" s="1604"/>
      <c r="S67" s="1604"/>
      <c r="T67" s="1604"/>
      <c r="U67" s="1604"/>
      <c r="V67" s="1604"/>
      <c r="W67" s="1604"/>
      <c r="X67" s="1604"/>
      <c r="Y67" s="1604"/>
      <c r="Z67" s="1604"/>
      <c r="AA67" s="1604"/>
      <c r="AB67" s="1604"/>
      <c r="AC67" s="1604"/>
      <c r="AD67" s="1604"/>
      <c r="AE67" s="1604"/>
      <c r="AF67" s="1604"/>
      <c r="AG67" s="1604"/>
      <c r="AH67" s="1604"/>
      <c r="AI67" s="1604"/>
      <c r="AJ67" s="295"/>
      <c r="AK67" s="287"/>
      <c r="AL67" s="312"/>
      <c r="AM67" s="1604" t="str">
        <f>CONCATENATE(Loai_BC_E," are presented based on historical cost principle.")</f>
        <v>Separate Financial Statements are presented based on historical cost principle.</v>
      </c>
      <c r="AN67" s="1604"/>
      <c r="AO67" s="1604"/>
      <c r="AP67" s="1604"/>
      <c r="AQ67" s="1604"/>
      <c r="AR67" s="1604"/>
      <c r="AS67" s="1604"/>
      <c r="AT67" s="1604"/>
      <c r="AU67" s="1604"/>
      <c r="AV67" s="1604"/>
      <c r="AW67" s="1604"/>
      <c r="AX67" s="1604"/>
      <c r="AY67" s="1604"/>
      <c r="AZ67" s="1604"/>
      <c r="BA67" s="1604"/>
      <c r="BB67" s="1604"/>
      <c r="BC67" s="1604"/>
      <c r="BD67" s="1604"/>
      <c r="BE67" s="1604"/>
      <c r="BF67" s="1604"/>
      <c r="BG67" s="1604"/>
      <c r="BH67" s="1604"/>
      <c r="BI67" s="1604"/>
      <c r="BJ67" s="1604"/>
      <c r="BK67" s="1604"/>
      <c r="BL67" s="1604"/>
      <c r="BM67" s="1604"/>
      <c r="BN67" s="1604"/>
      <c r="BO67" s="1604"/>
      <c r="BP67" s="1604"/>
      <c r="BQ67" s="1604"/>
      <c r="BR67" s="1604"/>
      <c r="BS67" s="1604"/>
      <c r="BT67" s="295"/>
      <c r="BU67" s="295"/>
      <c r="BV67" s="310"/>
      <c r="BW67" s="310"/>
      <c r="BX67" s="300"/>
      <c r="BY67" s="295"/>
      <c r="BZ67" s="273"/>
      <c r="CA67" s="273"/>
      <c r="CB67" s="301"/>
      <c r="CC67" s="301"/>
      <c r="CD67" s="301"/>
      <c r="CE67" s="301"/>
      <c r="CF67" s="301"/>
    </row>
    <row r="68" spans="1:84" s="329" customFormat="1" ht="14.1" customHeight="1" x14ac:dyDescent="0.25">
      <c r="A68" s="322"/>
      <c r="B68" s="312"/>
      <c r="C68" s="1604"/>
      <c r="D68" s="1604"/>
      <c r="E68" s="1604"/>
      <c r="F68" s="1604"/>
      <c r="G68" s="1604"/>
      <c r="H68" s="1604"/>
      <c r="I68" s="1604"/>
      <c r="J68" s="1604"/>
      <c r="K68" s="1604"/>
      <c r="L68" s="1604"/>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295"/>
      <c r="AK68" s="287"/>
      <c r="AL68" s="312"/>
      <c r="AM68" s="1604"/>
      <c r="AN68" s="1604"/>
      <c r="AO68" s="1604"/>
      <c r="AP68" s="1604"/>
      <c r="AQ68" s="1604"/>
      <c r="AR68" s="1604"/>
      <c r="AS68" s="1604"/>
      <c r="AT68" s="1604"/>
      <c r="AU68" s="1604"/>
      <c r="AV68" s="1604"/>
      <c r="AW68" s="1604"/>
      <c r="AX68" s="1604"/>
      <c r="AY68" s="1604"/>
      <c r="AZ68" s="1604"/>
      <c r="BA68" s="1604"/>
      <c r="BB68" s="1604"/>
      <c r="BC68" s="1604"/>
      <c r="BD68" s="1604"/>
      <c r="BE68" s="1604"/>
      <c r="BF68" s="1604"/>
      <c r="BG68" s="1604"/>
      <c r="BH68" s="1604"/>
      <c r="BI68" s="1604"/>
      <c r="BJ68" s="1604"/>
      <c r="BK68" s="1604"/>
      <c r="BL68" s="1604"/>
      <c r="BM68" s="1604"/>
      <c r="BN68" s="1604"/>
      <c r="BO68" s="1604"/>
      <c r="BP68" s="1604"/>
      <c r="BQ68" s="1604"/>
      <c r="BR68" s="1604"/>
      <c r="BS68" s="1604"/>
      <c r="BT68" s="295"/>
      <c r="BU68" s="295"/>
      <c r="BV68" s="310"/>
      <c r="BW68" s="310"/>
      <c r="BX68" s="300"/>
      <c r="BY68" s="295"/>
      <c r="BZ68" s="273"/>
      <c r="CA68" s="273"/>
      <c r="CB68" s="301"/>
      <c r="CC68" s="301"/>
      <c r="CD68" s="301"/>
      <c r="CE68" s="301"/>
      <c r="CF68" s="301"/>
    </row>
    <row r="69" spans="1:84" s="329" customFormat="1" ht="71.25" customHeight="1" x14ac:dyDescent="0.25">
      <c r="A69" s="322"/>
      <c r="B69" s="312"/>
      <c r="C69" s="1604" t="str">
        <f>CONCATENATE(Loai_BC_V," của ",LoaiCT_V," được lập trên cơ sở tổng hợp các nghiệp vụ, giao dịch phát sinh và được ghi sổ kế toán tại Chi nhánh Hải Dương"," và tại Văn phòng ",LoaiCT_V,".","
Trong ",Loai_BC_V," của ",LoaiCT_V,", các nghiệp vụ giao dịch nội bộ và số dư nội bộ có liên quan đến tài sản, nguồn vốn và công nợ phải thu, phải trả nội bộ đã được loại trừ toàn bộ.")</f>
        <v>Báo cáo tài chính của Công ty được lập trên cơ sở tổng hợp các nghiệp vụ, giao dịch phát sinh và được ghi sổ kế toán tại Chi nhánh Hải Dương và tại Văn phòng Công ty.
Trong Báo cáo tài chính của Công ty, các nghiệp vụ giao dịch nội bộ và số dư nội bộ có liên quan đến tài sản, nguồn vốn và công nợ phải thu, phải trả nội bộ đã được loại trừ toàn bộ.</v>
      </c>
      <c r="D69" s="1604"/>
      <c r="E69" s="1604"/>
      <c r="F69" s="1604"/>
      <c r="G69" s="1604"/>
      <c r="H69" s="1604"/>
      <c r="I69" s="1604"/>
      <c r="J69" s="1604"/>
      <c r="K69" s="1604"/>
      <c r="L69" s="1604"/>
      <c r="M69" s="1604"/>
      <c r="N69" s="1604"/>
      <c r="O69" s="1604"/>
      <c r="P69" s="1604"/>
      <c r="Q69" s="1604"/>
      <c r="R69" s="1604"/>
      <c r="S69" s="1604"/>
      <c r="T69" s="1604"/>
      <c r="U69" s="1604"/>
      <c r="V69" s="1604"/>
      <c r="W69" s="1604"/>
      <c r="X69" s="1604"/>
      <c r="Y69" s="1604"/>
      <c r="Z69" s="1604"/>
      <c r="AA69" s="1604"/>
      <c r="AB69" s="1604"/>
      <c r="AC69" s="1604"/>
      <c r="AD69" s="1604"/>
      <c r="AE69" s="1604"/>
      <c r="AF69" s="1604"/>
      <c r="AG69" s="1604"/>
      <c r="AH69" s="1604"/>
      <c r="AI69" s="1604"/>
      <c r="AJ69" s="295"/>
      <c r="AK69" s="287"/>
      <c r="AL69" s="312"/>
      <c r="AM69" s="1604" t="str">
        <f>CONCATENATE(Loai_BC_E," of the ",LoaiCT_E," are prepared based on summarization of transactions incurred, then recorded into accounting books of dependent accounting entities and at the offices of the ",LoaiCT_E,".
In the ",Loai_BC_E," of the ",LoaiCT_E,", the intra-group balances and transactions related to assets, equity, receivables and payable are/ or are not eliminated in full.")</f>
        <v>Separate Financial Statements of the Corporation are prepared based on summarization of transactions incurred, then recorded into accounting books of dependent accounting entities and at the offices of the Corporation.
In the Separate Financial Statements of the Corporation, the intra-group balances and transactions related to assets, equity, receivables and payable are/ or are not eliminated in full.</v>
      </c>
      <c r="AN69" s="1604"/>
      <c r="AO69" s="1604"/>
      <c r="AP69" s="1604"/>
      <c r="AQ69" s="1604"/>
      <c r="AR69" s="1604"/>
      <c r="AS69" s="1604"/>
      <c r="AT69" s="1604"/>
      <c r="AU69" s="1604"/>
      <c r="AV69" s="1604"/>
      <c r="AW69" s="1604"/>
      <c r="AX69" s="1604"/>
      <c r="AY69" s="1604"/>
      <c r="AZ69" s="1604"/>
      <c r="BA69" s="1604"/>
      <c r="BB69" s="1604"/>
      <c r="BC69" s="1604"/>
      <c r="BD69" s="1604"/>
      <c r="BE69" s="1604"/>
      <c r="BF69" s="1604"/>
      <c r="BG69" s="1604"/>
      <c r="BH69" s="1604"/>
      <c r="BI69" s="1604"/>
      <c r="BJ69" s="1604"/>
      <c r="BK69" s="1604"/>
      <c r="BL69" s="1604"/>
      <c r="BM69" s="1604"/>
      <c r="BN69" s="1604"/>
      <c r="BO69" s="1604"/>
      <c r="BP69" s="1604"/>
      <c r="BQ69" s="1604"/>
      <c r="BR69" s="1604"/>
      <c r="BS69" s="1604"/>
      <c r="BT69" s="295"/>
      <c r="BU69" s="295"/>
      <c r="BV69" s="310"/>
      <c r="BW69" s="310"/>
      <c r="BX69" s="300"/>
      <c r="BY69" s="295"/>
      <c r="BZ69" s="273"/>
      <c r="CA69" s="273"/>
      <c r="CB69" s="301"/>
      <c r="CC69" s="301"/>
      <c r="CD69" s="301"/>
      <c r="CE69" s="301"/>
      <c r="CF69" s="301"/>
    </row>
    <row r="70" spans="1:84" s="329" customFormat="1" ht="14.25" hidden="1" customHeight="1" x14ac:dyDescent="0.25">
      <c r="A70" s="322"/>
      <c r="B70" s="312"/>
      <c r="C70" s="1611"/>
      <c r="D70" s="1611"/>
      <c r="E70" s="1611"/>
      <c r="F70" s="1611"/>
      <c r="G70" s="1611"/>
      <c r="H70" s="1611"/>
      <c r="I70" s="1611"/>
      <c r="J70" s="1611"/>
      <c r="K70" s="1611"/>
      <c r="L70" s="1611"/>
      <c r="M70" s="1611"/>
      <c r="N70" s="1611"/>
      <c r="O70" s="1611"/>
      <c r="P70" s="1611"/>
      <c r="Q70" s="1611"/>
      <c r="R70" s="1611"/>
      <c r="S70" s="1611"/>
      <c r="T70" s="1611"/>
      <c r="U70" s="1611"/>
      <c r="V70" s="1611"/>
      <c r="W70" s="1611"/>
      <c r="X70" s="1611"/>
      <c r="Y70" s="1611"/>
      <c r="Z70" s="1611"/>
      <c r="AA70" s="1611"/>
      <c r="AB70" s="1611"/>
      <c r="AC70" s="1611"/>
      <c r="AD70" s="1611"/>
      <c r="AE70" s="1611"/>
      <c r="AF70" s="1611"/>
      <c r="AG70" s="1611"/>
      <c r="AH70" s="1611"/>
      <c r="AI70" s="1611"/>
      <c r="AJ70" s="295"/>
      <c r="AK70" s="287"/>
      <c r="AL70" s="312"/>
      <c r="AM70" s="1611" t="s">
        <v>392</v>
      </c>
      <c r="AN70" s="1611"/>
      <c r="AO70" s="1611"/>
      <c r="AP70" s="1611"/>
      <c r="AQ70" s="1611"/>
      <c r="AR70" s="1611"/>
      <c r="AS70" s="1611"/>
      <c r="AT70" s="1611"/>
      <c r="AU70" s="1611"/>
      <c r="AV70" s="1611"/>
      <c r="AW70" s="1611"/>
      <c r="AX70" s="1611"/>
      <c r="AY70" s="1611"/>
      <c r="AZ70" s="1611"/>
      <c r="BA70" s="1611"/>
      <c r="BB70" s="1611"/>
      <c r="BC70" s="1611"/>
      <c r="BD70" s="1611"/>
      <c r="BE70" s="1611"/>
      <c r="BF70" s="1611"/>
      <c r="BG70" s="1611"/>
      <c r="BH70" s="1611"/>
      <c r="BI70" s="1611"/>
      <c r="BJ70" s="1611"/>
      <c r="BK70" s="1611"/>
      <c r="BL70" s="1611"/>
      <c r="BM70" s="1611"/>
      <c r="BN70" s="1611"/>
      <c r="BO70" s="1611"/>
      <c r="BP70" s="1611"/>
      <c r="BQ70" s="1611"/>
      <c r="BR70" s="1611"/>
      <c r="BS70" s="1611"/>
      <c r="BT70" s="295"/>
      <c r="BU70" s="295"/>
      <c r="BV70" s="310"/>
      <c r="BW70" s="310"/>
      <c r="BX70" s="300"/>
      <c r="BY70" s="295"/>
      <c r="BZ70" s="273"/>
      <c r="CA70" s="273"/>
      <c r="CB70" s="301"/>
      <c r="CC70" s="301"/>
      <c r="CD70" s="301"/>
      <c r="CE70" s="301"/>
      <c r="CF70" s="301"/>
    </row>
    <row r="71" spans="1:84" s="329" customFormat="1" ht="54.95" hidden="1" customHeight="1" x14ac:dyDescent="0.25">
      <c r="A71" s="322"/>
      <c r="B71" s="312"/>
      <c r="C71" s="1604" t="str">
        <f>CONCATENATE("Những người sử dụng các ",Loai_BC_V," này nên đọc các ",Loai_BC_V," kết hợp với các Báo cáo tài chính hợp nhất của "&amp;LoaiCT_V&amp;" và các Công ty con (“Tập đoàn“)"," cho ",Ky_ke_toan_V," để có đủ thông tin về tình hình tài chính, kết quả hoạt động kinh doanh và các luồng lưu chuyển tiền tệ của cả Tập đoàn.")</f>
        <v>Những người sử dụng các Báo cáo tài chính này nên đọc các Báo cáo tài chính kết hợp với các Báo cáo tài chính hợp nhất của Công ty và các Công ty con (“Tập đoàn“) cho năm tài chính kết thúc ngày 31/12/2017 để có đủ thông tin về tình hình tài chính, kết quả hoạt động kinh doanh và các luồng lưu chuyển tiền tệ của cả Tập đoàn.</v>
      </c>
      <c r="D71" s="1604"/>
      <c r="E71" s="1604"/>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1604"/>
      <c r="AB71" s="1604"/>
      <c r="AC71" s="1604"/>
      <c r="AD71" s="1604"/>
      <c r="AE71" s="1604"/>
      <c r="AF71" s="1604"/>
      <c r="AG71" s="1604"/>
      <c r="AH71" s="1604"/>
      <c r="AI71" s="1604"/>
      <c r="AJ71" s="295"/>
      <c r="AK71" s="287"/>
      <c r="AL71" s="312"/>
      <c r="AM71" s="1604" t="str">
        <f>CONCATENATE("The Users of this ",Loai_BC_E," should study the ",Loai_BC_E," combined with the Consolidated Financial Statements of the ",LoaiCT_E," and its subsidiaries (“Group“) for the fiscal year ended as at 31 December 2015 in order to gain enough information regarding the financial position, results of operations and cash flows of the Group.")</f>
        <v>The Users of this Separate Financial Statements should study the Separate Financial Statements combined with the Consolidated Financial Statements of the Corporation and its subsidiaries (“Group“) for the fiscal year ended as at 31 December 2015 in order to gain enough information regarding the financial position, results of operations and cash flows of the Group.</v>
      </c>
      <c r="AN71" s="1604"/>
      <c r="AO71" s="1604"/>
      <c r="AP71" s="1604"/>
      <c r="AQ71" s="1604"/>
      <c r="AR71" s="1604"/>
      <c r="AS71" s="1604"/>
      <c r="AT71" s="1604"/>
      <c r="AU71" s="1604"/>
      <c r="AV71" s="1604"/>
      <c r="AW71" s="1604"/>
      <c r="AX71" s="1604"/>
      <c r="AY71" s="1604"/>
      <c r="AZ71" s="1604"/>
      <c r="BA71" s="1604"/>
      <c r="BB71" s="1604"/>
      <c r="BC71" s="1604"/>
      <c r="BD71" s="1604"/>
      <c r="BE71" s="1604"/>
      <c r="BF71" s="1604"/>
      <c r="BG71" s="1604"/>
      <c r="BH71" s="1604"/>
      <c r="BI71" s="1604"/>
      <c r="BJ71" s="1604"/>
      <c r="BK71" s="1604"/>
      <c r="BL71" s="1604"/>
      <c r="BM71" s="1604"/>
      <c r="BN71" s="1604"/>
      <c r="BO71" s="1604"/>
      <c r="BP71" s="1604"/>
      <c r="BQ71" s="1604"/>
      <c r="BR71" s="1604"/>
      <c r="BS71" s="1604"/>
      <c r="BT71" s="295"/>
      <c r="BU71" s="295"/>
      <c r="BV71" s="310"/>
      <c r="BW71" s="310"/>
      <c r="BX71" s="300"/>
      <c r="BY71" s="295"/>
      <c r="BZ71" s="273"/>
      <c r="CA71" s="273"/>
      <c r="CB71" s="301"/>
      <c r="CC71" s="301"/>
      <c r="CD71" s="301"/>
      <c r="CE71" s="301"/>
      <c r="CF71" s="301"/>
    </row>
    <row r="72" spans="1:84" s="329" customFormat="1" ht="12.95" customHeight="1" x14ac:dyDescent="0.25">
      <c r="A72" s="322"/>
      <c r="B72" s="312"/>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295"/>
      <c r="AF72" s="295"/>
      <c r="AG72" s="295"/>
      <c r="AH72" s="295"/>
      <c r="AI72" s="295"/>
      <c r="AJ72" s="295"/>
      <c r="AK72" s="287"/>
      <c r="AL72" s="312"/>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c r="BK72" s="295"/>
      <c r="BL72" s="295"/>
      <c r="BM72" s="295"/>
      <c r="BN72" s="295"/>
      <c r="BO72" s="295"/>
      <c r="BP72" s="295"/>
      <c r="BQ72" s="295"/>
      <c r="BR72" s="295"/>
      <c r="BS72" s="295"/>
      <c r="BT72" s="295"/>
      <c r="BU72" s="295"/>
      <c r="BV72" s="310"/>
      <c r="BW72" s="310"/>
      <c r="BX72" s="300"/>
      <c r="BY72" s="295"/>
      <c r="BZ72" s="273"/>
      <c r="CA72" s="273"/>
      <c r="CB72" s="301"/>
      <c r="CC72" s="301"/>
      <c r="CD72" s="301"/>
      <c r="CE72" s="301"/>
      <c r="CF72" s="301"/>
    </row>
    <row r="73" spans="1:84" s="326" customFormat="1" ht="15" customHeight="1" x14ac:dyDescent="0.25">
      <c r="A73" s="322" t="str">
        <f>subSTT</f>
        <v>2.4</v>
      </c>
      <c r="B73" s="312" t="s">
        <v>345</v>
      </c>
      <c r="C73" s="312" t="s">
        <v>393</v>
      </c>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323"/>
      <c r="AK73" s="287" t="str">
        <f>A73</f>
        <v>2.4</v>
      </c>
      <c r="AL73" s="312" t="s">
        <v>345</v>
      </c>
      <c r="AM73" s="312" t="s">
        <v>394</v>
      </c>
      <c r="AN73" s="295"/>
      <c r="AO73" s="295"/>
      <c r="AP73" s="295"/>
      <c r="AQ73" s="295"/>
      <c r="AR73" s="295"/>
      <c r="AS73" s="295"/>
      <c r="AT73" s="295"/>
      <c r="AU73" s="295"/>
      <c r="AV73" s="295"/>
      <c r="AW73" s="295"/>
      <c r="AX73" s="295"/>
      <c r="AY73" s="295"/>
      <c r="AZ73" s="295"/>
      <c r="BA73" s="295"/>
      <c r="BB73" s="295"/>
      <c r="BC73" s="295"/>
      <c r="BD73" s="295"/>
      <c r="BE73" s="295"/>
      <c r="BF73" s="295"/>
      <c r="BG73" s="295"/>
      <c r="BH73" s="295"/>
      <c r="BI73" s="295"/>
      <c r="BJ73" s="295"/>
      <c r="BK73" s="295"/>
      <c r="BL73" s="295"/>
      <c r="BM73" s="295"/>
      <c r="BN73" s="295"/>
      <c r="BO73" s="295"/>
      <c r="BP73" s="295"/>
      <c r="BQ73" s="295"/>
      <c r="BR73" s="295"/>
      <c r="BS73" s="295"/>
      <c r="BT73" s="295"/>
      <c r="BU73" s="295"/>
      <c r="BV73" s="310"/>
      <c r="BW73" s="310"/>
      <c r="BX73" s="291"/>
      <c r="BY73" s="323"/>
      <c r="BZ73" s="279"/>
      <c r="CA73" s="279"/>
      <c r="CB73" s="280"/>
      <c r="CC73" s="280"/>
      <c r="CD73" s="280"/>
      <c r="CE73" s="280"/>
      <c r="CF73" s="280"/>
    </row>
    <row r="74" spans="1:84" s="326" customFormat="1" ht="12.95" customHeight="1" x14ac:dyDescent="0.25">
      <c r="A74" s="322"/>
      <c r="B74" s="312"/>
      <c r="C74" s="324"/>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323"/>
      <c r="AK74" s="287"/>
      <c r="AL74" s="312"/>
      <c r="AM74" s="324" t="s">
        <v>395</v>
      </c>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310"/>
      <c r="BW74" s="310"/>
      <c r="BX74" s="291"/>
      <c r="BY74" s="323"/>
      <c r="BZ74" s="279"/>
      <c r="CA74" s="279"/>
      <c r="CB74" s="280"/>
      <c r="CC74" s="280"/>
      <c r="CD74" s="280"/>
      <c r="CE74" s="280"/>
      <c r="CF74" s="280"/>
    </row>
    <row r="75" spans="1:84" s="326" customFormat="1" ht="15" customHeight="1" x14ac:dyDescent="0.25">
      <c r="A75" s="322"/>
      <c r="B75" s="312"/>
      <c r="C75" s="1617" t="s">
        <v>396</v>
      </c>
      <c r="D75" s="1617"/>
      <c r="E75" s="1617"/>
      <c r="F75" s="1617"/>
      <c r="G75" s="1617"/>
      <c r="H75" s="1617"/>
      <c r="I75" s="1617"/>
      <c r="J75" s="1617"/>
      <c r="K75" s="1617"/>
      <c r="L75" s="1617"/>
      <c r="M75" s="1617"/>
      <c r="N75" s="1617"/>
      <c r="O75" s="1617"/>
      <c r="P75" s="1617"/>
      <c r="Q75" s="1617"/>
      <c r="R75" s="1617"/>
      <c r="S75" s="1617"/>
      <c r="T75" s="1617"/>
      <c r="U75" s="1617"/>
      <c r="V75" s="1617"/>
      <c r="W75" s="1617"/>
      <c r="X75" s="1617"/>
      <c r="Y75" s="1617"/>
      <c r="Z75" s="1617"/>
      <c r="AA75" s="1617"/>
      <c r="AB75" s="1617"/>
      <c r="AC75" s="1617"/>
      <c r="AD75" s="1617"/>
      <c r="AE75" s="1617"/>
      <c r="AF75" s="1617"/>
      <c r="AG75" s="1617"/>
      <c r="AH75" s="1617"/>
      <c r="AI75" s="1617"/>
      <c r="AJ75" s="323"/>
      <c r="AK75" s="287"/>
      <c r="AL75" s="312"/>
      <c r="AM75" s="1617" t="s">
        <v>397</v>
      </c>
      <c r="AN75" s="1617"/>
      <c r="AO75" s="1617"/>
      <c r="AP75" s="1617"/>
      <c r="AQ75" s="1617"/>
      <c r="AR75" s="1617"/>
      <c r="AS75" s="1617"/>
      <c r="AT75" s="1617"/>
      <c r="AU75" s="1617"/>
      <c r="AV75" s="1617"/>
      <c r="AW75" s="1617"/>
      <c r="AX75" s="1617"/>
      <c r="AY75" s="1617"/>
      <c r="AZ75" s="1617"/>
      <c r="BA75" s="1617"/>
      <c r="BB75" s="1617"/>
      <c r="BC75" s="1617"/>
      <c r="BD75" s="1617"/>
      <c r="BE75" s="1617"/>
      <c r="BF75" s="1617"/>
      <c r="BG75" s="1617"/>
      <c r="BH75" s="1617"/>
      <c r="BI75" s="1617"/>
      <c r="BJ75" s="1617"/>
      <c r="BK75" s="1617"/>
      <c r="BL75" s="1617"/>
      <c r="BM75" s="1617"/>
      <c r="BN75" s="1617"/>
      <c r="BO75" s="1617"/>
      <c r="BP75" s="1617"/>
      <c r="BQ75" s="1617"/>
      <c r="BR75" s="1617"/>
      <c r="BS75" s="1617"/>
      <c r="BT75" s="295"/>
      <c r="BU75" s="295"/>
      <c r="BV75" s="310"/>
      <c r="BW75" s="310"/>
      <c r="BX75" s="291"/>
      <c r="BY75" s="323"/>
      <c r="BZ75" s="279"/>
      <c r="CA75" s="279"/>
      <c r="CB75" s="280"/>
      <c r="CC75" s="280"/>
      <c r="CD75" s="280"/>
      <c r="CE75" s="280"/>
      <c r="CF75" s="280"/>
    </row>
    <row r="76" spans="1:84" s="326" customFormat="1" ht="15" customHeight="1" x14ac:dyDescent="0.25">
      <c r="A76" s="322"/>
      <c r="B76" s="312"/>
      <c r="C76" s="1604" t="s">
        <v>398</v>
      </c>
      <c r="D76" s="1604"/>
      <c r="E76" s="1604"/>
      <c r="F76" s="1604"/>
      <c r="G76" s="1604"/>
      <c r="H76" s="1604"/>
      <c r="I76" s="1604"/>
      <c r="J76" s="1604"/>
      <c r="K76" s="1604"/>
      <c r="L76" s="1604"/>
      <c r="M76" s="1604"/>
      <c r="N76" s="1604"/>
      <c r="O76" s="1604"/>
      <c r="P76" s="1604"/>
      <c r="Q76" s="1604"/>
      <c r="R76" s="1604"/>
      <c r="S76" s="1604"/>
      <c r="T76" s="1604"/>
      <c r="U76" s="1604"/>
      <c r="V76" s="1604"/>
      <c r="W76" s="1604"/>
      <c r="X76" s="1604"/>
      <c r="Y76" s="1604"/>
      <c r="Z76" s="1604"/>
      <c r="AA76" s="1604"/>
      <c r="AB76" s="1604"/>
      <c r="AC76" s="1604"/>
      <c r="AD76" s="1604"/>
      <c r="AE76" s="1604"/>
      <c r="AF76" s="1604"/>
      <c r="AG76" s="1604"/>
      <c r="AH76" s="1604"/>
      <c r="AI76" s="1604"/>
      <c r="AJ76" s="323"/>
      <c r="AK76" s="287"/>
      <c r="AL76" s="312"/>
      <c r="AM76" s="1604" t="s">
        <v>399</v>
      </c>
      <c r="AN76" s="1604"/>
      <c r="AO76" s="1604"/>
      <c r="AP76" s="1604"/>
      <c r="AQ76" s="1604"/>
      <c r="AR76" s="1604"/>
      <c r="AS76" s="1604"/>
      <c r="AT76" s="1604"/>
      <c r="AU76" s="1604"/>
      <c r="AV76" s="1604"/>
      <c r="AW76" s="1604"/>
      <c r="AX76" s="1604"/>
      <c r="AY76" s="1604"/>
      <c r="AZ76" s="1604"/>
      <c r="BA76" s="1604"/>
      <c r="BB76" s="1604"/>
      <c r="BC76" s="1604"/>
      <c r="BD76" s="1604"/>
      <c r="BE76" s="1604"/>
      <c r="BF76" s="1604"/>
      <c r="BG76" s="1604"/>
      <c r="BH76" s="1604"/>
      <c r="BI76" s="1604"/>
      <c r="BJ76" s="1604"/>
      <c r="BK76" s="1604"/>
      <c r="BL76" s="1604"/>
      <c r="BM76" s="1604"/>
      <c r="BN76" s="1604"/>
      <c r="BO76" s="1604"/>
      <c r="BP76" s="1604"/>
      <c r="BQ76" s="1604"/>
      <c r="BR76" s="1604"/>
      <c r="BS76" s="1604"/>
      <c r="BT76" s="295"/>
      <c r="BU76" s="295"/>
      <c r="BV76" s="310"/>
      <c r="BW76" s="310"/>
      <c r="BX76" s="291"/>
      <c r="BY76" s="323"/>
      <c r="BZ76" s="279"/>
      <c r="CA76" s="279"/>
      <c r="CB76" s="280"/>
      <c r="CC76" s="280"/>
      <c r="CD76" s="280"/>
      <c r="CE76" s="280"/>
      <c r="CF76" s="280"/>
    </row>
    <row r="77" spans="1:84" s="326" customFormat="1" ht="56.1" customHeight="1" x14ac:dyDescent="0.25">
      <c r="A77" s="322"/>
      <c r="B77" s="312"/>
      <c r="C77" s="1604" t="str">
        <f>CONCATENATE("Tài sản tài chính của ",LoaiCT_V," bao gồm tiền và các khoản tương đương tiền, các khoản phải thu khách hàng và phải thu khác, các khoản cho vay, các khoản đầu tư ngắn hạn và dài hạn. ","Tại thời điểm ghi nhận ban đầu, tài sản tài chính được xác định theo giá mua/chi phí phát hành cộng các chi phí phát sinh khác liên quan trực tiếp đến việc mua, phát hành tài sản tài chính đó.")</f>
        <v>Tài sản tài chính của Công ty bao gồm tiền và các khoản tương đương tiền, các khoản phải thu khách hàng và phải thu khác, các khoản cho vay, các khoản đầu tư ngắn hạn và dài hạn. Tại thời điểm ghi nhận ban đầu, tài sản tài chính được xác định theo giá mua/chi phí phát hành cộng các chi phí phát sinh khác liên quan trực tiếp đến việc mua, phát hành tài sản tài chính đó.</v>
      </c>
      <c r="D77" s="1604"/>
      <c r="E77" s="1604"/>
      <c r="F77" s="1604"/>
      <c r="G77" s="1604"/>
      <c r="H77" s="1604"/>
      <c r="I77" s="1604"/>
      <c r="J77" s="1604"/>
      <c r="K77" s="1604"/>
      <c r="L77" s="1604"/>
      <c r="M77" s="1604"/>
      <c r="N77" s="1604"/>
      <c r="O77" s="1604"/>
      <c r="P77" s="1604"/>
      <c r="Q77" s="1604"/>
      <c r="R77" s="1604"/>
      <c r="S77" s="1604"/>
      <c r="T77" s="1604"/>
      <c r="U77" s="1604"/>
      <c r="V77" s="1604"/>
      <c r="W77" s="1604"/>
      <c r="X77" s="1604"/>
      <c r="Y77" s="1604"/>
      <c r="Z77" s="1604"/>
      <c r="AA77" s="1604"/>
      <c r="AB77" s="1604"/>
      <c r="AC77" s="1604"/>
      <c r="AD77" s="1604"/>
      <c r="AE77" s="1604"/>
      <c r="AF77" s="1604"/>
      <c r="AG77" s="1604"/>
      <c r="AH77" s="1604"/>
      <c r="AI77" s="1604"/>
      <c r="AJ77" s="323"/>
      <c r="AK77" s="287"/>
      <c r="AL77" s="312"/>
      <c r="AM77" s="1604" t="str">
        <f>CONCATENATE("Financial assets of the ",LoaiCT_E," include cash and cash equivalents, trade receivables and other receivables, lending, long-term and short-term investments. ","At initial recognition, financial assets are identified by purchasing price/issuing cost plus other expenses directly related to the purchase and issuance of those assets.")</f>
        <v>Financial assets of the Corporation include cash and cash equivalents, trade receivables and other receivables, lending, long-term and short-term investments. At initial recognition, financial assets are identified by purchasing price/issuing cost plus other expenses directly related to the purchase and issuance of those assets.</v>
      </c>
      <c r="AN77" s="1604"/>
      <c r="AO77" s="1604"/>
      <c r="AP77" s="1604"/>
      <c r="AQ77" s="1604"/>
      <c r="AR77" s="1604"/>
      <c r="AS77" s="1604"/>
      <c r="AT77" s="1604"/>
      <c r="AU77" s="1604"/>
      <c r="AV77" s="1604"/>
      <c r="AW77" s="1604"/>
      <c r="AX77" s="1604"/>
      <c r="AY77" s="1604"/>
      <c r="AZ77" s="1604"/>
      <c r="BA77" s="1604"/>
      <c r="BB77" s="1604"/>
      <c r="BC77" s="1604"/>
      <c r="BD77" s="1604"/>
      <c r="BE77" s="1604"/>
      <c r="BF77" s="1604"/>
      <c r="BG77" s="1604"/>
      <c r="BH77" s="1604"/>
      <c r="BI77" s="1604"/>
      <c r="BJ77" s="1604"/>
      <c r="BK77" s="1604"/>
      <c r="BL77" s="1604"/>
      <c r="BM77" s="1604"/>
      <c r="BN77" s="1604"/>
      <c r="BO77" s="1604"/>
      <c r="BP77" s="1604"/>
      <c r="BQ77" s="1604"/>
      <c r="BR77" s="1604"/>
      <c r="BS77" s="1604"/>
      <c r="BT77" s="295"/>
      <c r="BU77" s="295"/>
      <c r="BV77" s="310"/>
      <c r="BW77" s="310"/>
      <c r="BX77" s="291"/>
      <c r="BY77" s="323"/>
      <c r="BZ77" s="279"/>
      <c r="CA77" s="279"/>
      <c r="CB77" s="280"/>
      <c r="CC77" s="280"/>
      <c r="CD77" s="280"/>
      <c r="CE77" s="280"/>
      <c r="CF77" s="280"/>
    </row>
    <row r="78" spans="1:84" s="326" customFormat="1" ht="12.95" customHeight="1" x14ac:dyDescent="0.25">
      <c r="A78" s="322"/>
      <c r="B78" s="312"/>
      <c r="C78" s="1604"/>
      <c r="D78" s="1604"/>
      <c r="E78" s="1604"/>
      <c r="F78" s="1604"/>
      <c r="G78" s="1604"/>
      <c r="H78" s="1604"/>
      <c r="I78" s="1604"/>
      <c r="J78" s="1604"/>
      <c r="K78" s="1604"/>
      <c r="L78" s="1604"/>
      <c r="M78" s="1604"/>
      <c r="N78" s="1604"/>
      <c r="O78" s="1604"/>
      <c r="P78" s="1604"/>
      <c r="Q78" s="1604"/>
      <c r="R78" s="1604"/>
      <c r="S78" s="1604"/>
      <c r="T78" s="1604"/>
      <c r="U78" s="1604"/>
      <c r="V78" s="1604"/>
      <c r="W78" s="1604"/>
      <c r="X78" s="1604"/>
      <c r="Y78" s="1604"/>
      <c r="Z78" s="1604"/>
      <c r="AA78" s="1604"/>
      <c r="AB78" s="1604"/>
      <c r="AC78" s="1604"/>
      <c r="AD78" s="1604"/>
      <c r="AE78" s="1604"/>
      <c r="AF78" s="1604"/>
      <c r="AG78" s="1604"/>
      <c r="AH78" s="1604"/>
      <c r="AI78" s="1604"/>
      <c r="AJ78" s="323"/>
      <c r="AK78" s="287"/>
      <c r="AL78" s="312"/>
      <c r="AM78" s="1604"/>
      <c r="AN78" s="1604"/>
      <c r="AO78" s="1604"/>
      <c r="AP78" s="1604"/>
      <c r="AQ78" s="1604"/>
      <c r="AR78" s="1604"/>
      <c r="AS78" s="1604"/>
      <c r="AT78" s="1604"/>
      <c r="AU78" s="1604"/>
      <c r="AV78" s="1604"/>
      <c r="AW78" s="1604"/>
      <c r="AX78" s="1604"/>
      <c r="AY78" s="1604"/>
      <c r="AZ78" s="1604"/>
      <c r="BA78" s="1604"/>
      <c r="BB78" s="1604"/>
      <c r="BC78" s="1604"/>
      <c r="BD78" s="1604"/>
      <c r="BE78" s="1604"/>
      <c r="BF78" s="1604"/>
      <c r="BG78" s="1604"/>
      <c r="BH78" s="1604"/>
      <c r="BI78" s="1604"/>
      <c r="BJ78" s="1604"/>
      <c r="BK78" s="1604"/>
      <c r="BL78" s="1604"/>
      <c r="BM78" s="1604"/>
      <c r="BN78" s="1604"/>
      <c r="BO78" s="1604"/>
      <c r="BP78" s="1604"/>
      <c r="BQ78" s="1604"/>
      <c r="BR78" s="1604"/>
      <c r="BS78" s="1604"/>
      <c r="BT78" s="295"/>
      <c r="BU78" s="295"/>
      <c r="BV78" s="310"/>
      <c r="BW78" s="310"/>
      <c r="BX78" s="291"/>
      <c r="BY78" s="323"/>
      <c r="BZ78" s="279"/>
      <c r="CA78" s="279"/>
      <c r="CB78" s="280"/>
      <c r="CC78" s="280"/>
      <c r="CD78" s="280"/>
      <c r="CE78" s="280"/>
      <c r="CF78" s="280"/>
    </row>
    <row r="79" spans="1:84" s="326" customFormat="1" ht="15" customHeight="1" x14ac:dyDescent="0.25">
      <c r="A79" s="322"/>
      <c r="B79" s="312"/>
      <c r="C79" s="1604" t="s">
        <v>400</v>
      </c>
      <c r="D79" s="1604"/>
      <c r="E79" s="1604"/>
      <c r="F79" s="1604"/>
      <c r="G79" s="1604"/>
      <c r="H79" s="1604"/>
      <c r="I79" s="1604"/>
      <c r="J79" s="1604"/>
      <c r="K79" s="1604"/>
      <c r="L79" s="1604"/>
      <c r="M79" s="1604"/>
      <c r="N79" s="1604"/>
      <c r="O79" s="1604"/>
      <c r="P79" s="1604"/>
      <c r="Q79" s="1604"/>
      <c r="R79" s="1604"/>
      <c r="S79" s="1604"/>
      <c r="T79" s="1604"/>
      <c r="U79" s="1604"/>
      <c r="V79" s="1604"/>
      <c r="W79" s="1604"/>
      <c r="X79" s="1604"/>
      <c r="Y79" s="1604"/>
      <c r="Z79" s="1604"/>
      <c r="AA79" s="1604"/>
      <c r="AB79" s="1604"/>
      <c r="AC79" s="1604"/>
      <c r="AD79" s="1604"/>
      <c r="AE79" s="1604"/>
      <c r="AF79" s="1604"/>
      <c r="AG79" s="1604"/>
      <c r="AH79" s="1604"/>
      <c r="AI79" s="1604"/>
      <c r="AJ79" s="323"/>
      <c r="AK79" s="287"/>
      <c r="AL79" s="312"/>
      <c r="AM79" s="1604" t="s">
        <v>401</v>
      </c>
      <c r="AN79" s="1604"/>
      <c r="AO79" s="1604"/>
      <c r="AP79" s="1604"/>
      <c r="AQ79" s="1604"/>
      <c r="AR79" s="1604"/>
      <c r="AS79" s="1604"/>
      <c r="AT79" s="1604"/>
      <c r="AU79" s="1604"/>
      <c r="AV79" s="1604"/>
      <c r="AW79" s="1604"/>
      <c r="AX79" s="1604"/>
      <c r="AY79" s="1604"/>
      <c r="AZ79" s="1604"/>
      <c r="BA79" s="1604"/>
      <c r="BB79" s="1604"/>
      <c r="BC79" s="1604"/>
      <c r="BD79" s="1604"/>
      <c r="BE79" s="1604"/>
      <c r="BF79" s="1604"/>
      <c r="BG79" s="1604"/>
      <c r="BH79" s="1604"/>
      <c r="BI79" s="1604"/>
      <c r="BJ79" s="1604"/>
      <c r="BK79" s="1604"/>
      <c r="BL79" s="1604"/>
      <c r="BM79" s="1604"/>
      <c r="BN79" s="1604"/>
      <c r="BO79" s="1604"/>
      <c r="BP79" s="1604"/>
      <c r="BQ79" s="1604"/>
      <c r="BR79" s="1604"/>
      <c r="BS79" s="1604"/>
      <c r="BT79" s="295"/>
      <c r="BU79" s="295"/>
      <c r="BV79" s="310"/>
      <c r="BW79" s="310"/>
      <c r="BX79" s="291"/>
      <c r="BY79" s="323"/>
      <c r="BZ79" s="279"/>
      <c r="CA79" s="279"/>
      <c r="CB79" s="280"/>
      <c r="CC79" s="280"/>
      <c r="CD79" s="280"/>
      <c r="CE79" s="280"/>
      <c r="CF79" s="280"/>
    </row>
    <row r="80" spans="1:84" s="326" customFormat="1" ht="42" customHeight="1" x14ac:dyDescent="0.25">
      <c r="A80" s="322"/>
      <c r="B80" s="312"/>
      <c r="C80" s="1604" t="str">
        <f>CONCATENATE("Nợ phải trả tài chính của ",LoaiCT_V," bao gồm các khoản vay, các khoản phải trả người bán và phải trả khác, chi phí phải trả. ","Tại thời điểm ghi nhận lần đầu, các khoản nợ phải trả tài chính được xác định theo giá phát hành cộng các chi phí phát sinh liên quan trực tiếp đến việc phát hành nợ phải trả tài chính đó.")</f>
        <v>Nợ phải trả tài chính của Công ty bao gồm các khoản vay, các khoản phải trả người bán và phải trả khác, chi phí phải trả. Tại thời điểm ghi nhận lần đầu, các khoản nợ phải trả tài chính được xác định theo giá phát hành cộng các chi phí phát sinh liên quan trực tiếp đến việc phát hành nợ phải trả tài chính đó.</v>
      </c>
      <c r="D80" s="1604"/>
      <c r="E80" s="1604"/>
      <c r="F80" s="1604"/>
      <c r="G80" s="1604"/>
      <c r="H80" s="1604"/>
      <c r="I80" s="1604"/>
      <c r="J80" s="1604"/>
      <c r="K80" s="1604"/>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323"/>
      <c r="AK80" s="287"/>
      <c r="AL80" s="312"/>
      <c r="AM80" s="1604" t="str">
        <f>CONCATENATE("Financial liabilities of the ",LoaiCT_E," include loans, trade payables and other payables, accrued expenses. At initial recognition, financial liabilities are determined by issuing price plus other expense directly related to the issuance of those liabilities.")</f>
        <v>Financial liabilities of the Corporation include loans, trade payables and other payables, accrued expenses. At initial recognition, financial liabilities are determined by issuing price plus other expense directly related to the issuance of those liabilities.</v>
      </c>
      <c r="AN80" s="1604"/>
      <c r="AO80" s="1604"/>
      <c r="AP80" s="1604"/>
      <c r="AQ80" s="1604"/>
      <c r="AR80" s="1604"/>
      <c r="AS80" s="1604"/>
      <c r="AT80" s="1604"/>
      <c r="AU80" s="1604"/>
      <c r="AV80" s="1604"/>
      <c r="AW80" s="1604"/>
      <c r="AX80" s="1604"/>
      <c r="AY80" s="1604"/>
      <c r="AZ80" s="1604"/>
      <c r="BA80" s="1604"/>
      <c r="BB80" s="1604"/>
      <c r="BC80" s="1604"/>
      <c r="BD80" s="1604"/>
      <c r="BE80" s="1604"/>
      <c r="BF80" s="1604"/>
      <c r="BG80" s="1604"/>
      <c r="BH80" s="1604"/>
      <c r="BI80" s="1604"/>
      <c r="BJ80" s="1604"/>
      <c r="BK80" s="1604"/>
      <c r="BL80" s="1604"/>
      <c r="BM80" s="1604"/>
      <c r="BN80" s="1604"/>
      <c r="BO80" s="1604"/>
      <c r="BP80" s="1604"/>
      <c r="BQ80" s="1604"/>
      <c r="BR80" s="1604"/>
      <c r="BS80" s="1604"/>
      <c r="BT80" s="295"/>
      <c r="BU80" s="295"/>
      <c r="BV80" s="310"/>
      <c r="BW80" s="310"/>
      <c r="BX80" s="291"/>
      <c r="BY80" s="323"/>
      <c r="BZ80" s="279"/>
      <c r="CA80" s="279"/>
      <c r="CB80" s="280"/>
      <c r="CC80" s="280"/>
      <c r="CD80" s="280"/>
      <c r="CE80" s="280"/>
      <c r="CF80" s="280"/>
    </row>
    <row r="81" spans="1:84" s="326" customFormat="1" ht="12.95" customHeight="1" x14ac:dyDescent="0.25">
      <c r="A81" s="322"/>
      <c r="B81" s="312"/>
      <c r="C81" s="1604"/>
      <c r="D81" s="1604"/>
      <c r="E81" s="1604"/>
      <c r="F81" s="1604"/>
      <c r="G81" s="1604"/>
      <c r="H81" s="1604"/>
      <c r="I81" s="1604"/>
      <c r="J81" s="1604"/>
      <c r="K81" s="1604"/>
      <c r="L81" s="1604"/>
      <c r="M81" s="1604"/>
      <c r="N81" s="1604"/>
      <c r="O81" s="1604"/>
      <c r="P81" s="1604"/>
      <c r="Q81" s="1604"/>
      <c r="R81" s="1604"/>
      <c r="S81" s="1604"/>
      <c r="T81" s="1604"/>
      <c r="U81" s="1604"/>
      <c r="V81" s="1604"/>
      <c r="W81" s="1604"/>
      <c r="X81" s="1604"/>
      <c r="Y81" s="1604"/>
      <c r="Z81" s="1604"/>
      <c r="AA81" s="1604"/>
      <c r="AB81" s="1604"/>
      <c r="AC81" s="1604"/>
      <c r="AD81" s="1604"/>
      <c r="AE81" s="1604"/>
      <c r="AF81" s="1604"/>
      <c r="AG81" s="1604"/>
      <c r="AH81" s="1604"/>
      <c r="AI81" s="1604"/>
      <c r="AJ81" s="323"/>
      <c r="AK81" s="287"/>
      <c r="AL81" s="312"/>
      <c r="AM81" s="1604"/>
      <c r="AN81" s="1604"/>
      <c r="AO81" s="1604"/>
      <c r="AP81" s="1604"/>
      <c r="AQ81" s="1604"/>
      <c r="AR81" s="1604"/>
      <c r="AS81" s="1604"/>
      <c r="AT81" s="1604"/>
      <c r="AU81" s="1604"/>
      <c r="AV81" s="1604"/>
      <c r="AW81" s="1604"/>
      <c r="AX81" s="1604"/>
      <c r="AY81" s="1604"/>
      <c r="AZ81" s="1604"/>
      <c r="BA81" s="1604"/>
      <c r="BB81" s="1604"/>
      <c r="BC81" s="1604"/>
      <c r="BD81" s="1604"/>
      <c r="BE81" s="1604"/>
      <c r="BF81" s="1604"/>
      <c r="BG81" s="1604"/>
      <c r="BH81" s="1604"/>
      <c r="BI81" s="1604"/>
      <c r="BJ81" s="1604"/>
      <c r="BK81" s="1604"/>
      <c r="BL81" s="1604"/>
      <c r="BM81" s="1604"/>
      <c r="BN81" s="1604"/>
      <c r="BO81" s="1604"/>
      <c r="BP81" s="1604"/>
      <c r="BQ81" s="1604"/>
      <c r="BR81" s="1604"/>
      <c r="BS81" s="1604"/>
      <c r="BT81" s="295"/>
      <c r="BU81" s="295"/>
      <c r="BV81" s="310"/>
      <c r="BW81" s="310"/>
      <c r="BX81" s="291"/>
      <c r="BY81" s="323"/>
      <c r="BZ81" s="279"/>
      <c r="CA81" s="279"/>
      <c r="CB81" s="280"/>
      <c r="CC81" s="280"/>
      <c r="CD81" s="280"/>
      <c r="CE81" s="280"/>
      <c r="CF81" s="280"/>
    </row>
    <row r="82" spans="1:84" s="326" customFormat="1" ht="15" customHeight="1" x14ac:dyDescent="0.25">
      <c r="A82" s="322"/>
      <c r="B82" s="312"/>
      <c r="C82" s="1617" t="s">
        <v>402</v>
      </c>
      <c r="D82" s="1617"/>
      <c r="E82" s="1617"/>
      <c r="F82" s="1617"/>
      <c r="G82" s="1617"/>
      <c r="H82" s="1617"/>
      <c r="I82" s="1617"/>
      <c r="J82" s="1617"/>
      <c r="K82" s="1617"/>
      <c r="L82" s="1617"/>
      <c r="M82" s="1617"/>
      <c r="N82" s="1617"/>
      <c r="O82" s="1617"/>
      <c r="P82" s="1617"/>
      <c r="Q82" s="1617"/>
      <c r="R82" s="1617"/>
      <c r="S82" s="1617"/>
      <c r="T82" s="1617"/>
      <c r="U82" s="1617"/>
      <c r="V82" s="1617"/>
      <c r="W82" s="1617"/>
      <c r="X82" s="1617"/>
      <c r="Y82" s="1617"/>
      <c r="Z82" s="1617"/>
      <c r="AA82" s="1617"/>
      <c r="AB82" s="1617"/>
      <c r="AC82" s="1617"/>
      <c r="AD82" s="1617"/>
      <c r="AE82" s="1617"/>
      <c r="AF82" s="1617"/>
      <c r="AG82" s="1617"/>
      <c r="AH82" s="1617"/>
      <c r="AI82" s="1617"/>
      <c r="AJ82" s="323"/>
      <c r="AK82" s="287"/>
      <c r="AL82" s="312"/>
      <c r="AM82" s="1617" t="s">
        <v>403</v>
      </c>
      <c r="AN82" s="1617"/>
      <c r="AO82" s="1617"/>
      <c r="AP82" s="1617"/>
      <c r="AQ82" s="1617"/>
      <c r="AR82" s="1617"/>
      <c r="AS82" s="1617"/>
      <c r="AT82" s="1617"/>
      <c r="AU82" s="1617"/>
      <c r="AV82" s="1617"/>
      <c r="AW82" s="1617"/>
      <c r="AX82" s="1617"/>
      <c r="AY82" s="1617"/>
      <c r="AZ82" s="1617"/>
      <c r="BA82" s="1617"/>
      <c r="BB82" s="1617"/>
      <c r="BC82" s="1617"/>
      <c r="BD82" s="1617"/>
      <c r="BE82" s="1617"/>
      <c r="BF82" s="1617"/>
      <c r="BG82" s="1617"/>
      <c r="BH82" s="1617"/>
      <c r="BI82" s="1617"/>
      <c r="BJ82" s="1617"/>
      <c r="BK82" s="1617"/>
      <c r="BL82" s="1617"/>
      <c r="BM82" s="1617"/>
      <c r="BN82" s="1617"/>
      <c r="BO82" s="1617"/>
      <c r="BP82" s="1617"/>
      <c r="BQ82" s="1617"/>
      <c r="BR82" s="1617"/>
      <c r="BS82" s="1617"/>
      <c r="BT82" s="295"/>
      <c r="BU82" s="295"/>
      <c r="BV82" s="310"/>
      <c r="BW82" s="310"/>
      <c r="BX82" s="291"/>
      <c r="BY82" s="323"/>
      <c r="BZ82" s="279"/>
      <c r="CA82" s="279"/>
      <c r="CB82" s="280"/>
      <c r="CC82" s="280"/>
      <c r="CD82" s="280"/>
      <c r="CE82" s="280"/>
      <c r="CF82" s="280"/>
    </row>
    <row r="83" spans="1:84" s="326" customFormat="1" ht="15" customHeight="1" x14ac:dyDescent="0.25">
      <c r="A83" s="322"/>
      <c r="B83" s="312"/>
      <c r="C83" s="1604" t="s">
        <v>404</v>
      </c>
      <c r="D83" s="1604"/>
      <c r="E83" s="1604"/>
      <c r="F83" s="1604"/>
      <c r="G83" s="1604"/>
      <c r="H83" s="1604"/>
      <c r="I83" s="1604"/>
      <c r="J83" s="1604"/>
      <c r="K83" s="1604"/>
      <c r="L83" s="1604"/>
      <c r="M83" s="1604"/>
      <c r="N83" s="1604"/>
      <c r="O83" s="1604"/>
      <c r="P83" s="1604"/>
      <c r="Q83" s="1604"/>
      <c r="R83" s="1604"/>
      <c r="S83" s="1604"/>
      <c r="T83" s="1604"/>
      <c r="U83" s="1604"/>
      <c r="V83" s="1604"/>
      <c r="W83" s="1604"/>
      <c r="X83" s="1604"/>
      <c r="Y83" s="1604"/>
      <c r="Z83" s="1604"/>
      <c r="AA83" s="1604"/>
      <c r="AB83" s="1604"/>
      <c r="AC83" s="1604"/>
      <c r="AD83" s="1604"/>
      <c r="AE83" s="1604"/>
      <c r="AF83" s="1604"/>
      <c r="AG83" s="1604"/>
      <c r="AH83" s="1604"/>
      <c r="AI83" s="1604"/>
      <c r="AJ83" s="323"/>
      <c r="AK83" s="287"/>
      <c r="AL83" s="312"/>
      <c r="AM83" s="1604" t="s">
        <v>405</v>
      </c>
      <c r="AN83" s="1604"/>
      <c r="AO83" s="1604"/>
      <c r="AP83" s="1604"/>
      <c r="AQ83" s="1604"/>
      <c r="AR83" s="1604"/>
      <c r="AS83" s="1604"/>
      <c r="AT83" s="1604"/>
      <c r="AU83" s="1604"/>
      <c r="AV83" s="1604"/>
      <c r="AW83" s="1604"/>
      <c r="AX83" s="1604"/>
      <c r="AY83" s="1604"/>
      <c r="AZ83" s="1604"/>
      <c r="BA83" s="1604"/>
      <c r="BB83" s="1604"/>
      <c r="BC83" s="1604"/>
      <c r="BD83" s="1604"/>
      <c r="BE83" s="1604"/>
      <c r="BF83" s="1604"/>
      <c r="BG83" s="1604"/>
      <c r="BH83" s="1604"/>
      <c r="BI83" s="1604"/>
      <c r="BJ83" s="1604"/>
      <c r="BK83" s="1604"/>
      <c r="BL83" s="1604"/>
      <c r="BM83" s="1604"/>
      <c r="BN83" s="1604"/>
      <c r="BO83" s="1604"/>
      <c r="BP83" s="1604"/>
      <c r="BQ83" s="1604"/>
      <c r="BR83" s="1604"/>
      <c r="BS83" s="1604"/>
      <c r="BT83" s="295"/>
      <c r="BU83" s="295"/>
      <c r="BV83" s="310"/>
      <c r="BW83" s="310"/>
      <c r="BX83" s="291"/>
      <c r="BY83" s="323"/>
      <c r="BZ83" s="279"/>
      <c r="CA83" s="279"/>
      <c r="CB83" s="280"/>
      <c r="CC83" s="280"/>
      <c r="CD83" s="280"/>
      <c r="CE83" s="280"/>
      <c r="CF83" s="280"/>
    </row>
    <row r="84" spans="1:84" s="326" customFormat="1" ht="2.1" customHeight="1" x14ac:dyDescent="0.25">
      <c r="A84" s="322"/>
      <c r="B84" s="312"/>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23"/>
      <c r="AK84" s="287"/>
      <c r="AL84" s="312"/>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4"/>
      <c r="BK84" s="314"/>
      <c r="BL84" s="314"/>
      <c r="BM84" s="314"/>
      <c r="BN84" s="314"/>
      <c r="BO84" s="314"/>
      <c r="BP84" s="314"/>
      <c r="BQ84" s="314"/>
      <c r="BR84" s="314"/>
      <c r="BS84" s="314"/>
      <c r="BT84" s="295"/>
      <c r="BU84" s="295"/>
      <c r="BV84" s="310"/>
      <c r="BW84" s="310"/>
      <c r="BX84" s="291"/>
      <c r="BY84" s="323"/>
      <c r="BZ84" s="279"/>
      <c r="CA84" s="279"/>
      <c r="CB84" s="280"/>
      <c r="CC84" s="280"/>
      <c r="CD84" s="280"/>
      <c r="CE84" s="280"/>
      <c r="CF84" s="280"/>
    </row>
    <row r="85" spans="1:84" s="326" customFormat="1" ht="12.95" hidden="1" customHeight="1" x14ac:dyDescent="0.25">
      <c r="A85" s="322"/>
      <c r="B85" s="312"/>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323"/>
      <c r="AK85" s="287"/>
      <c r="AL85" s="312"/>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c r="BM85" s="295"/>
      <c r="BN85" s="295"/>
      <c r="BO85" s="295"/>
      <c r="BP85" s="295"/>
      <c r="BQ85" s="295"/>
      <c r="BR85" s="295"/>
      <c r="BS85" s="295"/>
      <c r="BT85" s="295"/>
      <c r="BU85" s="295"/>
      <c r="BV85" s="310"/>
      <c r="BW85" s="310"/>
      <c r="BX85" s="291"/>
      <c r="BY85" s="323"/>
      <c r="BZ85" s="279"/>
      <c r="CA85" s="279"/>
      <c r="CB85" s="280"/>
      <c r="CC85" s="280"/>
      <c r="CD85" s="280"/>
      <c r="CE85" s="280"/>
      <c r="CF85" s="280"/>
    </row>
    <row r="86" spans="1:84" s="326" customFormat="1" ht="15" hidden="1" customHeight="1" x14ac:dyDescent="0.25">
      <c r="A86" s="322" t="str">
        <f>subSTT</f>
        <v>2.4</v>
      </c>
      <c r="B86" s="312" t="s">
        <v>345</v>
      </c>
      <c r="C86" s="312" t="str">
        <f>CONCATENATE("Chuyển đổi ",Loai_BC_V," lập bằng ngoại tệ sang Đồng Việt Nam")</f>
        <v>Chuyển đổi Báo cáo tài chính lập bằng ngoại tệ sang Đồng Việt Nam</v>
      </c>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323"/>
      <c r="AK86" s="287" t="str">
        <f>A86</f>
        <v>2.4</v>
      </c>
      <c r="AL86" s="312" t="s">
        <v>345</v>
      </c>
      <c r="AM86" s="312" t="s">
        <v>406</v>
      </c>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95"/>
      <c r="BL86" s="295"/>
      <c r="BM86" s="295"/>
      <c r="BN86" s="295"/>
      <c r="BO86" s="295"/>
      <c r="BP86" s="295"/>
      <c r="BQ86" s="295"/>
      <c r="BR86" s="295"/>
      <c r="BS86" s="295"/>
      <c r="BT86" s="295"/>
      <c r="BU86" s="295"/>
      <c r="BV86" s="310"/>
      <c r="BW86" s="310"/>
      <c r="BX86" s="291"/>
      <c r="BY86" s="323"/>
      <c r="BZ86" s="279"/>
      <c r="CA86" s="279"/>
      <c r="CB86" s="280"/>
      <c r="CC86" s="280"/>
      <c r="CD86" s="280"/>
      <c r="CE86" s="280"/>
      <c r="CF86" s="280"/>
    </row>
    <row r="87" spans="1:84" s="326" customFormat="1" ht="12.95" hidden="1" customHeight="1" x14ac:dyDescent="0.25">
      <c r="A87" s="322"/>
      <c r="B87" s="312"/>
      <c r="C87" s="324" t="s">
        <v>407</v>
      </c>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323"/>
      <c r="AK87" s="287"/>
      <c r="AL87" s="312"/>
      <c r="AM87" s="324" t="s">
        <v>408</v>
      </c>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310"/>
      <c r="BW87" s="310"/>
      <c r="BX87" s="291"/>
      <c r="BY87" s="323"/>
      <c r="BZ87" s="279"/>
      <c r="CA87" s="279"/>
      <c r="CB87" s="280"/>
      <c r="CC87" s="280"/>
      <c r="CD87" s="280"/>
      <c r="CE87" s="280"/>
      <c r="CF87" s="280"/>
    </row>
    <row r="88" spans="1:84" s="326" customFormat="1" ht="54.95" hidden="1" customHeight="1" x14ac:dyDescent="0.25">
      <c r="A88" s="322"/>
      <c r="B88" s="312"/>
      <c r="C88" s="1604" t="str">
        <f>CONCATENATE(Loai_BC_V," lập bằng ngoại tệ được chuyển đổi sang ",Loai_BC_V," lập bằng đồng Việt Nam theo các tỷ giá sau: tài sản và nợ phải trả theo tỷ giá cuối năm, vốn đầu tư của chủ sở hữu theo tỷ giá tại ngày góp vốn, Báo cáo kết quả hoạt động kinh doanh ",Loai_Baocao," và Báo cáo lưu chuyển tiền tệ",Loai_Baocao," theo tỷ giá thực tế hoặc tỷ giá bình quân năm tài chính. (nếu chênh lệch không vượt quá 3%)")</f>
        <v>Báo cáo tài chính lập bằng ngoại tệ được chuyển đổi sang Báo cáo tài chính lập bằng đồng Việt Nam theo các tỷ giá sau: tài sản và nợ phải trả theo tỷ giá cuối năm, vốn đầu tư của chủ sở hữu theo tỷ giá tại ngày góp vốn, Báo cáo kết quả hoạt động kinh doanh  và Báo cáo lưu chuyển tiền tệ theo tỷ giá thực tế hoặc tỷ giá bình quân năm tài chính. (nếu chênh lệch không vượt quá 3%)</v>
      </c>
      <c r="D88" s="1604"/>
      <c r="E88" s="1604"/>
      <c r="F88" s="1604"/>
      <c r="G88" s="1604"/>
      <c r="H88" s="1604"/>
      <c r="I88" s="1604"/>
      <c r="J88" s="1604"/>
      <c r="K88" s="1604"/>
      <c r="L88" s="1604"/>
      <c r="M88" s="1604"/>
      <c r="N88" s="1604"/>
      <c r="O88" s="1604"/>
      <c r="P88" s="1604"/>
      <c r="Q88" s="1604"/>
      <c r="R88" s="1604"/>
      <c r="S88" s="1604"/>
      <c r="T88" s="1604"/>
      <c r="U88" s="1604"/>
      <c r="V88" s="1604"/>
      <c r="W88" s="1604"/>
      <c r="X88" s="1604"/>
      <c r="Y88" s="1604"/>
      <c r="Z88" s="1604"/>
      <c r="AA88" s="1604"/>
      <c r="AB88" s="1604"/>
      <c r="AC88" s="1604"/>
      <c r="AD88" s="1604"/>
      <c r="AE88" s="1604"/>
      <c r="AF88" s="1604"/>
      <c r="AG88" s="1604"/>
      <c r="AH88" s="1604"/>
      <c r="AI88" s="1604"/>
      <c r="AJ88" s="323"/>
      <c r="AK88" s="287"/>
      <c r="AL88" s="312"/>
      <c r="AM88" s="1604" t="s">
        <v>409</v>
      </c>
      <c r="AN88" s="1604"/>
      <c r="AO88" s="1604"/>
      <c r="AP88" s="1604"/>
      <c r="AQ88" s="1604"/>
      <c r="AR88" s="1604"/>
      <c r="AS88" s="1604"/>
      <c r="AT88" s="1604"/>
      <c r="AU88" s="1604"/>
      <c r="AV88" s="1604"/>
      <c r="AW88" s="1604"/>
      <c r="AX88" s="1604"/>
      <c r="AY88" s="1604"/>
      <c r="AZ88" s="1604"/>
      <c r="BA88" s="1604"/>
      <c r="BB88" s="1604"/>
      <c r="BC88" s="1604"/>
      <c r="BD88" s="1604"/>
      <c r="BE88" s="1604"/>
      <c r="BF88" s="1604"/>
      <c r="BG88" s="1604"/>
      <c r="BH88" s="1604"/>
      <c r="BI88" s="1604"/>
      <c r="BJ88" s="1604"/>
      <c r="BK88" s="1604"/>
      <c r="BL88" s="1604"/>
      <c r="BM88" s="1604"/>
      <c r="BN88" s="1604"/>
      <c r="BO88" s="1604"/>
      <c r="BP88" s="1604"/>
      <c r="BQ88" s="1604"/>
      <c r="BR88" s="1604"/>
      <c r="BS88" s="1604"/>
      <c r="BT88" s="295"/>
      <c r="BU88" s="295"/>
      <c r="BV88" s="310"/>
      <c r="BW88" s="310"/>
      <c r="BX88" s="291"/>
      <c r="BY88" s="323"/>
      <c r="BZ88" s="279"/>
      <c r="CA88" s="279"/>
      <c r="CB88" s="280"/>
      <c r="CC88" s="280"/>
      <c r="CD88" s="280"/>
      <c r="CE88" s="280"/>
      <c r="CF88" s="280"/>
    </row>
    <row r="89" spans="1:84" s="326" customFormat="1" ht="2.1" hidden="1" customHeight="1" x14ac:dyDescent="0.25">
      <c r="A89" s="322"/>
      <c r="B89" s="312"/>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c r="AG89" s="314"/>
      <c r="AH89" s="314"/>
      <c r="AI89" s="314"/>
      <c r="AJ89" s="323"/>
      <c r="AK89" s="287"/>
      <c r="AL89" s="312"/>
      <c r="AM89" s="314"/>
      <c r="AN89" s="314"/>
      <c r="AO89" s="314"/>
      <c r="AP89" s="314"/>
      <c r="AQ89" s="314"/>
      <c r="AR89" s="314"/>
      <c r="AS89" s="314"/>
      <c r="AT89" s="314"/>
      <c r="AU89" s="314"/>
      <c r="AV89" s="314"/>
      <c r="AW89" s="314"/>
      <c r="AX89" s="314"/>
      <c r="AY89" s="314"/>
      <c r="AZ89" s="314"/>
      <c r="BA89" s="314"/>
      <c r="BB89" s="314"/>
      <c r="BC89" s="314"/>
      <c r="BD89" s="314"/>
      <c r="BE89" s="314"/>
      <c r="BF89" s="314"/>
      <c r="BG89" s="314"/>
      <c r="BH89" s="314"/>
      <c r="BI89" s="314"/>
      <c r="BJ89" s="314"/>
      <c r="BK89" s="314"/>
      <c r="BL89" s="314"/>
      <c r="BM89" s="314"/>
      <c r="BN89" s="314"/>
      <c r="BO89" s="314"/>
      <c r="BP89" s="314"/>
      <c r="BQ89" s="314"/>
      <c r="BR89" s="314"/>
      <c r="BS89" s="314"/>
      <c r="BT89" s="295"/>
      <c r="BU89" s="295"/>
      <c r="BV89" s="310"/>
      <c r="BW89" s="310"/>
      <c r="BX89" s="291"/>
      <c r="BY89" s="323"/>
      <c r="BZ89" s="279"/>
      <c r="CA89" s="279"/>
      <c r="CB89" s="280"/>
      <c r="CC89" s="280"/>
      <c r="CD89" s="280"/>
      <c r="CE89" s="280"/>
      <c r="CF89" s="280"/>
    </row>
    <row r="90" spans="1:84" s="326" customFormat="1" ht="12.95" customHeight="1" x14ac:dyDescent="0.25">
      <c r="A90" s="322"/>
      <c r="B90" s="312"/>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323"/>
      <c r="AK90" s="287"/>
      <c r="AL90" s="312"/>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310"/>
      <c r="BW90" s="310"/>
      <c r="BX90" s="291"/>
      <c r="BY90" s="323"/>
      <c r="BZ90" s="279"/>
      <c r="CA90" s="279"/>
      <c r="CB90" s="280"/>
      <c r="CC90" s="280"/>
      <c r="CD90" s="280"/>
      <c r="CE90" s="280"/>
      <c r="CF90" s="280"/>
    </row>
    <row r="91" spans="1:84" s="326" customFormat="1" ht="15" customHeight="1" x14ac:dyDescent="0.25">
      <c r="A91" s="322" t="str">
        <f>subSTT</f>
        <v>2.5</v>
      </c>
      <c r="B91" s="312" t="s">
        <v>345</v>
      </c>
      <c r="C91" s="312" t="s">
        <v>410</v>
      </c>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323"/>
      <c r="AK91" s="287" t="str">
        <f>A91</f>
        <v>2.5</v>
      </c>
      <c r="AL91" s="312" t="s">
        <v>345</v>
      </c>
      <c r="AM91" s="312" t="s">
        <v>411</v>
      </c>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310"/>
      <c r="BW91" s="310"/>
      <c r="BX91" s="291"/>
      <c r="BY91" s="323"/>
      <c r="BZ91" s="279"/>
      <c r="CA91" s="279"/>
      <c r="CB91" s="280"/>
      <c r="CC91" s="280"/>
      <c r="CD91" s="280"/>
      <c r="CE91" s="280"/>
      <c r="CF91" s="280"/>
    </row>
    <row r="92" spans="1:84" s="326" customFormat="1" ht="12.95" hidden="1" customHeight="1" x14ac:dyDescent="0.25">
      <c r="A92" s="322"/>
      <c r="B92" s="312"/>
      <c r="C92" s="324" t="s">
        <v>407</v>
      </c>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323"/>
      <c r="AK92" s="287"/>
      <c r="AL92" s="312"/>
      <c r="AM92" s="324" t="s">
        <v>408</v>
      </c>
      <c r="AN92" s="295"/>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310"/>
      <c r="BW92" s="310"/>
      <c r="BX92" s="291"/>
      <c r="BY92" s="323"/>
      <c r="BZ92" s="279"/>
      <c r="CA92" s="279"/>
      <c r="CB92" s="280"/>
      <c r="CC92" s="280"/>
      <c r="CD92" s="280"/>
      <c r="CE92" s="280"/>
      <c r="CF92" s="280"/>
    </row>
    <row r="93" spans="1:84" s="326" customFormat="1" ht="27.95" hidden="1" customHeight="1" x14ac:dyDescent="0.25">
      <c r="A93" s="322"/>
      <c r="B93" s="312"/>
      <c r="C93" s="1604" t="s">
        <v>412</v>
      </c>
      <c r="D93" s="1604"/>
      <c r="E93" s="1604"/>
      <c r="F93" s="1604"/>
      <c r="G93" s="1604"/>
      <c r="H93" s="1604"/>
      <c r="I93" s="1604"/>
      <c r="J93" s="1604"/>
      <c r="K93" s="1604"/>
      <c r="L93" s="1604"/>
      <c r="M93" s="1604"/>
      <c r="N93" s="1604"/>
      <c r="O93" s="1604"/>
      <c r="P93" s="1604"/>
      <c r="Q93" s="1604"/>
      <c r="R93" s="1604"/>
      <c r="S93" s="1604"/>
      <c r="T93" s="1604"/>
      <c r="U93" s="1604"/>
      <c r="V93" s="1604"/>
      <c r="W93" s="1604"/>
      <c r="X93" s="1604"/>
      <c r="Y93" s="1604"/>
      <c r="Z93" s="1604"/>
      <c r="AA93" s="1604"/>
      <c r="AB93" s="1604"/>
      <c r="AC93" s="1604"/>
      <c r="AD93" s="1604"/>
      <c r="AE93" s="1604"/>
      <c r="AF93" s="1604"/>
      <c r="AG93" s="1604"/>
      <c r="AH93" s="1604"/>
      <c r="AI93" s="1604"/>
      <c r="AJ93" s="323"/>
      <c r="AK93" s="287"/>
      <c r="AL93" s="312"/>
      <c r="AM93" s="1604" t="s">
        <v>413</v>
      </c>
      <c r="AN93" s="1604"/>
      <c r="AO93" s="1604"/>
      <c r="AP93" s="1604"/>
      <c r="AQ93" s="1604"/>
      <c r="AR93" s="1604"/>
      <c r="AS93" s="1604"/>
      <c r="AT93" s="1604"/>
      <c r="AU93" s="1604"/>
      <c r="AV93" s="1604"/>
      <c r="AW93" s="1604"/>
      <c r="AX93" s="1604"/>
      <c r="AY93" s="1604"/>
      <c r="AZ93" s="1604"/>
      <c r="BA93" s="1604"/>
      <c r="BB93" s="1604"/>
      <c r="BC93" s="1604"/>
      <c r="BD93" s="1604"/>
      <c r="BE93" s="1604"/>
      <c r="BF93" s="1604"/>
      <c r="BG93" s="1604"/>
      <c r="BH93" s="1604"/>
      <c r="BI93" s="1604"/>
      <c r="BJ93" s="1604"/>
      <c r="BK93" s="1604"/>
      <c r="BL93" s="1604"/>
      <c r="BM93" s="1604"/>
      <c r="BN93" s="1604"/>
      <c r="BO93" s="1604"/>
      <c r="BP93" s="1604"/>
      <c r="BQ93" s="1604"/>
      <c r="BR93" s="1604"/>
      <c r="BS93" s="1604"/>
      <c r="BT93" s="295"/>
      <c r="BU93" s="295"/>
      <c r="BV93" s="310"/>
      <c r="BW93" s="310"/>
      <c r="BX93" s="291"/>
      <c r="BY93" s="323"/>
      <c r="BZ93" s="279"/>
      <c r="CA93" s="279"/>
      <c r="CB93" s="280"/>
      <c r="CC93" s="280"/>
      <c r="CD93" s="280"/>
      <c r="CE93" s="280"/>
      <c r="CF93" s="280"/>
    </row>
    <row r="94" spans="1:84" s="329" customFormat="1" ht="27.95" hidden="1" customHeight="1" x14ac:dyDescent="0.25">
      <c r="A94" s="322"/>
      <c r="B94" s="312"/>
      <c r="C94" s="330" t="s">
        <v>355</v>
      </c>
      <c r="D94" s="1604" t="str">
        <f>CONCATENATE("Khi mua bán ngoại tệ: là tỷ giá được quy định trong hợp đồng mua, bán ngoại tệ giữa ",LoaiCT_V," và ngân hàng thương mại;")</f>
        <v>Khi mua bán ngoại tệ: là tỷ giá được quy định trong hợp đồng mua, bán ngoại tệ giữa Công ty và ngân hàng thương mại;</v>
      </c>
      <c r="E94" s="1604"/>
      <c r="F94" s="1604"/>
      <c r="G94" s="1604"/>
      <c r="H94" s="1604"/>
      <c r="I94" s="1604"/>
      <c r="J94" s="1604"/>
      <c r="K94" s="1604"/>
      <c r="L94" s="1604"/>
      <c r="M94" s="1604"/>
      <c r="N94" s="1604"/>
      <c r="O94" s="1604"/>
      <c r="P94" s="1604"/>
      <c r="Q94" s="1604"/>
      <c r="R94" s="1604"/>
      <c r="S94" s="1604"/>
      <c r="T94" s="1604"/>
      <c r="U94" s="1604"/>
      <c r="V94" s="1604"/>
      <c r="W94" s="1604"/>
      <c r="X94" s="1604"/>
      <c r="Y94" s="1604"/>
      <c r="Z94" s="1604"/>
      <c r="AA94" s="1604"/>
      <c r="AB94" s="1604"/>
      <c r="AC94" s="1604"/>
      <c r="AD94" s="1604"/>
      <c r="AE94" s="1604"/>
      <c r="AF94" s="1604"/>
      <c r="AG94" s="1604"/>
      <c r="AH94" s="1604"/>
      <c r="AI94" s="1604"/>
      <c r="AJ94" s="295"/>
      <c r="AK94" s="287"/>
      <c r="AL94" s="312"/>
      <c r="AM94" s="330" t="s">
        <v>355</v>
      </c>
      <c r="AN94" s="1604" t="str">
        <f>CONCATENATE("When buying or selling foreign currency: are exchange rates concluded in contracts of foreign exchange sale between the ",LoaiCT_E," and commercial banks;")</f>
        <v>When buying or selling foreign currency: are exchange rates concluded in contracts of foreign exchange sale between the Corporation and commercial banks;</v>
      </c>
      <c r="AO94" s="1604"/>
      <c r="AP94" s="1604"/>
      <c r="AQ94" s="1604"/>
      <c r="AR94" s="1604"/>
      <c r="AS94" s="1604"/>
      <c r="AT94" s="1604"/>
      <c r="AU94" s="1604"/>
      <c r="AV94" s="1604"/>
      <c r="AW94" s="1604"/>
      <c r="AX94" s="1604"/>
      <c r="AY94" s="1604"/>
      <c r="AZ94" s="1604"/>
      <c r="BA94" s="1604"/>
      <c r="BB94" s="1604"/>
      <c r="BC94" s="1604"/>
      <c r="BD94" s="1604"/>
      <c r="BE94" s="1604"/>
      <c r="BF94" s="1604"/>
      <c r="BG94" s="1604"/>
      <c r="BH94" s="1604"/>
      <c r="BI94" s="1604"/>
      <c r="BJ94" s="1604"/>
      <c r="BK94" s="1604"/>
      <c r="BL94" s="1604"/>
      <c r="BM94" s="1604"/>
      <c r="BN94" s="1604"/>
      <c r="BO94" s="1604"/>
      <c r="BP94" s="1604"/>
      <c r="BQ94" s="1604"/>
      <c r="BR94" s="1604"/>
      <c r="BS94" s="1604"/>
      <c r="BT94" s="295"/>
      <c r="BU94" s="295"/>
      <c r="BV94" s="299"/>
      <c r="BW94" s="299"/>
      <c r="BX94" s="300"/>
      <c r="BY94" s="295"/>
      <c r="BZ94" s="273"/>
      <c r="CA94" s="273"/>
      <c r="CB94" s="301"/>
      <c r="CC94" s="301"/>
      <c r="CD94" s="301"/>
      <c r="CE94" s="301"/>
      <c r="CF94" s="301"/>
    </row>
    <row r="95" spans="1:84" s="329" customFormat="1" ht="15" hidden="1" customHeight="1" x14ac:dyDescent="0.25">
      <c r="A95" s="322"/>
      <c r="B95" s="312"/>
      <c r="C95" s="330" t="s">
        <v>355</v>
      </c>
      <c r="D95" s="1604" t="s">
        <v>414</v>
      </c>
      <c r="E95" s="1604"/>
      <c r="F95" s="1604"/>
      <c r="G95" s="1604"/>
      <c r="H95" s="1604"/>
      <c r="I95" s="1604"/>
      <c r="J95" s="1604"/>
      <c r="K95" s="1604"/>
      <c r="L95" s="1604"/>
      <c r="M95" s="1604"/>
      <c r="N95" s="1604"/>
      <c r="O95" s="1604"/>
      <c r="P95" s="1604"/>
      <c r="Q95" s="1604"/>
      <c r="R95" s="1604"/>
      <c r="S95" s="1604"/>
      <c r="T95" s="1604"/>
      <c r="U95" s="1604"/>
      <c r="V95" s="1604"/>
      <c r="W95" s="1604"/>
      <c r="X95" s="1604"/>
      <c r="Y95" s="1604"/>
      <c r="Z95" s="1604"/>
      <c r="AA95" s="1604"/>
      <c r="AB95" s="1604"/>
      <c r="AC95" s="1604"/>
      <c r="AD95" s="1604"/>
      <c r="AE95" s="1604"/>
      <c r="AF95" s="1604"/>
      <c r="AG95" s="1604"/>
      <c r="AH95" s="1604"/>
      <c r="AI95" s="1604"/>
      <c r="AJ95" s="295"/>
      <c r="AK95" s="287"/>
      <c r="AL95" s="312"/>
      <c r="AM95" s="330" t="s">
        <v>355</v>
      </c>
      <c r="AN95" s="1604" t="str">
        <f>CONCATENATE("When capital contribution or receipt of contributed capital: are exchange rate of purchase of foreign currency of the bank where the ",LoaiCT_E," opens the account to receive capital from investors at the date of the contribution of capital;")</f>
        <v>When capital contribution or receipt of contributed capital: are exchange rate of purchase of foreign currency of the bank where the Corporation opens the account to receive capital from investors at the date of the contribution of capital;</v>
      </c>
      <c r="AO95" s="1604"/>
      <c r="AP95" s="1604"/>
      <c r="AQ95" s="1604"/>
      <c r="AR95" s="1604"/>
      <c r="AS95" s="1604"/>
      <c r="AT95" s="1604"/>
      <c r="AU95" s="1604"/>
      <c r="AV95" s="1604"/>
      <c r="AW95" s="1604"/>
      <c r="AX95" s="1604"/>
      <c r="AY95" s="1604"/>
      <c r="AZ95" s="1604"/>
      <c r="BA95" s="1604"/>
      <c r="BB95" s="1604"/>
      <c r="BC95" s="1604"/>
      <c r="BD95" s="1604"/>
      <c r="BE95" s="1604"/>
      <c r="BF95" s="1604"/>
      <c r="BG95" s="1604"/>
      <c r="BH95" s="1604"/>
      <c r="BI95" s="1604"/>
      <c r="BJ95" s="1604"/>
      <c r="BK95" s="1604"/>
      <c r="BL95" s="1604"/>
      <c r="BM95" s="1604"/>
      <c r="BN95" s="1604"/>
      <c r="BO95" s="1604"/>
      <c r="BP95" s="1604"/>
      <c r="BQ95" s="1604"/>
      <c r="BR95" s="1604"/>
      <c r="BS95" s="1604"/>
      <c r="BT95" s="295"/>
      <c r="BU95" s="295"/>
      <c r="BV95" s="299"/>
      <c r="BW95" s="299"/>
      <c r="BX95" s="300"/>
      <c r="BY95" s="295"/>
      <c r="BZ95" s="273"/>
      <c r="CA95" s="273"/>
      <c r="CB95" s="301"/>
      <c r="CC95" s="301"/>
      <c r="CD95" s="301"/>
      <c r="CE95" s="301"/>
      <c r="CF95" s="301"/>
    </row>
    <row r="96" spans="1:84" s="329" customFormat="1" ht="27.95" hidden="1" customHeight="1" x14ac:dyDescent="0.25">
      <c r="A96" s="322"/>
      <c r="B96" s="312"/>
      <c r="C96" s="330" t="s">
        <v>355</v>
      </c>
      <c r="D96" s="1606" t="s">
        <v>415</v>
      </c>
      <c r="E96" s="1604"/>
      <c r="F96" s="1604"/>
      <c r="G96" s="1604"/>
      <c r="H96" s="1604"/>
      <c r="I96" s="1604"/>
      <c r="J96" s="1604"/>
      <c r="K96" s="1604"/>
      <c r="L96" s="1604"/>
      <c r="M96" s="1604"/>
      <c r="N96" s="1604"/>
      <c r="O96" s="1604"/>
      <c r="P96" s="1604"/>
      <c r="Q96" s="1604"/>
      <c r="R96" s="1604"/>
      <c r="S96" s="1604"/>
      <c r="T96" s="1604"/>
      <c r="U96" s="1604"/>
      <c r="V96" s="1604"/>
      <c r="W96" s="1604"/>
      <c r="X96" s="1604"/>
      <c r="Y96" s="1604"/>
      <c r="Z96" s="1604"/>
      <c r="AA96" s="1604"/>
      <c r="AB96" s="1604"/>
      <c r="AC96" s="1604"/>
      <c r="AD96" s="1604"/>
      <c r="AE96" s="1604"/>
      <c r="AF96" s="1604"/>
      <c r="AG96" s="1604"/>
      <c r="AH96" s="1604"/>
      <c r="AI96" s="1604"/>
      <c r="AJ96" s="295"/>
      <c r="AK96" s="287"/>
      <c r="AL96" s="312"/>
      <c r="AM96" s="330" t="s">
        <v>355</v>
      </c>
      <c r="AN96" s="1604" t="str">
        <f>CONCATENATE("When recording receivables: are exchange rates of purchase of commercial banks where the ",LoaiCT_E," assigned customers to make payment at the time of incurred transactions;")</f>
        <v>When recording receivables: are exchange rates of purchase of commercial banks where the Corporation assigned customers to make payment at the time of incurred transactions;</v>
      </c>
      <c r="AO96" s="1604"/>
      <c r="AP96" s="1604"/>
      <c r="AQ96" s="1604"/>
      <c r="AR96" s="1604"/>
      <c r="AS96" s="1604"/>
      <c r="AT96" s="1604"/>
      <c r="AU96" s="1604"/>
      <c r="AV96" s="1604"/>
      <c r="AW96" s="1604"/>
      <c r="AX96" s="1604"/>
      <c r="AY96" s="1604"/>
      <c r="AZ96" s="1604"/>
      <c r="BA96" s="1604"/>
      <c r="BB96" s="1604"/>
      <c r="BC96" s="1604"/>
      <c r="BD96" s="1604"/>
      <c r="BE96" s="1604"/>
      <c r="BF96" s="1604"/>
      <c r="BG96" s="1604"/>
      <c r="BH96" s="1604"/>
      <c r="BI96" s="1604"/>
      <c r="BJ96" s="1604"/>
      <c r="BK96" s="1604"/>
      <c r="BL96" s="1604"/>
      <c r="BM96" s="1604"/>
      <c r="BN96" s="1604"/>
      <c r="BO96" s="1604"/>
      <c r="BP96" s="1604"/>
      <c r="BQ96" s="1604"/>
      <c r="BR96" s="1604"/>
      <c r="BS96" s="1604"/>
      <c r="BT96" s="295"/>
      <c r="BU96" s="295"/>
      <c r="BV96" s="299"/>
      <c r="BW96" s="299"/>
      <c r="BX96" s="300"/>
      <c r="BY96" s="295"/>
      <c r="BZ96" s="273"/>
      <c r="CA96" s="273"/>
      <c r="CB96" s="301"/>
      <c r="CC96" s="301"/>
      <c r="CD96" s="301"/>
      <c r="CE96" s="301"/>
      <c r="CF96" s="301"/>
    </row>
    <row r="97" spans="1:84" s="329" customFormat="1" ht="27.95" hidden="1" customHeight="1" x14ac:dyDescent="0.25">
      <c r="A97" s="322"/>
      <c r="B97" s="312"/>
      <c r="C97" s="330" t="s">
        <v>355</v>
      </c>
      <c r="D97" s="1604" t="str">
        <f>CONCATENATE("Khi ghi nhận nợ phải thu: là tỷ giá mua của ngân hàng thương mại nơi ",LoaiCT_V," chỉ định khách hàng thanh toán tại thời điểm giao dịch phát sinh;")</f>
        <v>Khi ghi nhận nợ phải thu: là tỷ giá mua của ngân hàng thương mại nơi Công ty chỉ định khách hàng thanh toán tại thời điểm giao dịch phát sinh;</v>
      </c>
      <c r="E97" s="1604"/>
      <c r="F97" s="1604"/>
      <c r="G97" s="1604"/>
      <c r="H97" s="1604"/>
      <c r="I97" s="1604"/>
      <c r="J97" s="1604"/>
      <c r="K97" s="1604"/>
      <c r="L97" s="1604"/>
      <c r="M97" s="1604"/>
      <c r="N97" s="1604"/>
      <c r="O97" s="1604"/>
      <c r="P97" s="1604"/>
      <c r="Q97" s="1604"/>
      <c r="R97" s="1604"/>
      <c r="S97" s="1604"/>
      <c r="T97" s="1604"/>
      <c r="U97" s="1604"/>
      <c r="V97" s="1604"/>
      <c r="W97" s="1604"/>
      <c r="X97" s="1604"/>
      <c r="Y97" s="1604"/>
      <c r="Z97" s="1604"/>
      <c r="AA97" s="1604"/>
      <c r="AB97" s="1604"/>
      <c r="AC97" s="1604"/>
      <c r="AD97" s="1604"/>
      <c r="AE97" s="1604"/>
      <c r="AF97" s="1604"/>
      <c r="AG97" s="1604"/>
      <c r="AH97" s="1604"/>
      <c r="AI97" s="1604"/>
      <c r="AJ97" s="295"/>
      <c r="AK97" s="287"/>
      <c r="AL97" s="312"/>
      <c r="AM97" s="330" t="s">
        <v>355</v>
      </c>
      <c r="AN97" s="1604" t="str">
        <f>CONCATENATE("When recording receivables: are exchange rates of purchase of commercial banks where the ",LoaiCT_E," assigned customers to make payment at the time of incurred transactions;")</f>
        <v>When recording receivables: are exchange rates of purchase of commercial banks where the Corporation assigned customers to make payment at the time of incurred transactions;</v>
      </c>
      <c r="AO97" s="1604"/>
      <c r="AP97" s="1604"/>
      <c r="AQ97" s="1604"/>
      <c r="AR97" s="1604"/>
      <c r="AS97" s="1604"/>
      <c r="AT97" s="1604"/>
      <c r="AU97" s="1604"/>
      <c r="AV97" s="1604"/>
      <c r="AW97" s="1604"/>
      <c r="AX97" s="1604"/>
      <c r="AY97" s="1604"/>
      <c r="AZ97" s="1604"/>
      <c r="BA97" s="1604"/>
      <c r="BB97" s="1604"/>
      <c r="BC97" s="1604"/>
      <c r="BD97" s="1604"/>
      <c r="BE97" s="1604"/>
      <c r="BF97" s="1604"/>
      <c r="BG97" s="1604"/>
      <c r="BH97" s="1604"/>
      <c r="BI97" s="1604"/>
      <c r="BJ97" s="1604"/>
      <c r="BK97" s="1604"/>
      <c r="BL97" s="1604"/>
      <c r="BM97" s="1604"/>
      <c r="BN97" s="1604"/>
      <c r="BO97" s="1604"/>
      <c r="BP97" s="1604"/>
      <c r="BQ97" s="1604"/>
      <c r="BR97" s="1604"/>
      <c r="BS97" s="1604"/>
      <c r="BT97" s="295"/>
      <c r="BU97" s="295"/>
      <c r="BV97" s="299"/>
      <c r="BW97" s="299"/>
      <c r="BX97" s="300"/>
      <c r="BY97" s="295"/>
      <c r="BZ97" s="273"/>
      <c r="CA97" s="273"/>
      <c r="CB97" s="301"/>
      <c r="CC97" s="301"/>
      <c r="CD97" s="301"/>
      <c r="CE97" s="301"/>
      <c r="CF97" s="301"/>
    </row>
    <row r="98" spans="1:84" s="329" customFormat="1" ht="27.95" hidden="1" customHeight="1" x14ac:dyDescent="0.25">
      <c r="A98" s="322"/>
      <c r="B98" s="312"/>
      <c r="C98" s="330" t="s">
        <v>355</v>
      </c>
      <c r="D98" s="1604" t="str">
        <f>CONCATENATE("Khi ghi nhận nợ phải trả là: tỷ giá bán của ngân hàng thương mại nơi ",LoaiCT_V," dự kiến giao dịch tại thời điểm giao dịch phát sinh;")</f>
        <v>Khi ghi nhận nợ phải trả là: tỷ giá bán của ngân hàng thương mại nơi Công ty dự kiến giao dịch tại thời điểm giao dịch phát sinh;</v>
      </c>
      <c r="E98" s="1604"/>
      <c r="F98" s="1604"/>
      <c r="G98" s="1604"/>
      <c r="H98" s="1604"/>
      <c r="I98" s="1604"/>
      <c r="J98" s="1604"/>
      <c r="K98" s="1604"/>
      <c r="L98" s="1604"/>
      <c r="M98" s="1604"/>
      <c r="N98" s="1604"/>
      <c r="O98" s="1604"/>
      <c r="P98" s="1604"/>
      <c r="Q98" s="1604"/>
      <c r="R98" s="1604"/>
      <c r="S98" s="1604"/>
      <c r="T98" s="1604"/>
      <c r="U98" s="1604"/>
      <c r="V98" s="1604"/>
      <c r="W98" s="1604"/>
      <c r="X98" s="1604"/>
      <c r="Y98" s="1604"/>
      <c r="Z98" s="1604"/>
      <c r="AA98" s="1604"/>
      <c r="AB98" s="1604"/>
      <c r="AC98" s="1604"/>
      <c r="AD98" s="1604"/>
      <c r="AE98" s="1604"/>
      <c r="AF98" s="1604"/>
      <c r="AG98" s="1604"/>
      <c r="AH98" s="1604"/>
      <c r="AI98" s="1604"/>
      <c r="AJ98" s="295"/>
      <c r="AK98" s="287"/>
      <c r="AL98" s="312"/>
      <c r="AM98" s="330" t="s">
        <v>355</v>
      </c>
      <c r="AN98" s="1604" t="str">
        <f>CONCATENATE("When recording liabilities: are exchange rates of purchase of commercial banks where the ",LoaiCT_E," expects to conduct transactions at the time of incurred transactions;")</f>
        <v>When recording liabilities: are exchange rates of purchase of commercial banks where the Corporation expects to conduct transactions at the time of incurred transactions;</v>
      </c>
      <c r="AO98" s="1604"/>
      <c r="AP98" s="1604"/>
      <c r="AQ98" s="1604"/>
      <c r="AR98" s="1604"/>
      <c r="AS98" s="1604"/>
      <c r="AT98" s="1604"/>
      <c r="AU98" s="1604"/>
      <c r="AV98" s="1604"/>
      <c r="AW98" s="1604"/>
      <c r="AX98" s="1604"/>
      <c r="AY98" s="1604"/>
      <c r="AZ98" s="1604"/>
      <c r="BA98" s="1604"/>
      <c r="BB98" s="1604"/>
      <c r="BC98" s="1604"/>
      <c r="BD98" s="1604"/>
      <c r="BE98" s="1604"/>
      <c r="BF98" s="1604"/>
      <c r="BG98" s="1604"/>
      <c r="BH98" s="1604"/>
      <c r="BI98" s="1604"/>
      <c r="BJ98" s="1604"/>
      <c r="BK98" s="1604"/>
      <c r="BL98" s="1604"/>
      <c r="BM98" s="1604"/>
      <c r="BN98" s="1604"/>
      <c r="BO98" s="1604"/>
      <c r="BP98" s="1604"/>
      <c r="BQ98" s="1604"/>
      <c r="BR98" s="1604"/>
      <c r="BS98" s="1604"/>
      <c r="BT98" s="295"/>
      <c r="BU98" s="295"/>
      <c r="BV98" s="299"/>
      <c r="BW98" s="299"/>
      <c r="BX98" s="300"/>
      <c r="BY98" s="295"/>
      <c r="BZ98" s="273"/>
      <c r="CA98" s="273"/>
      <c r="CB98" s="301"/>
      <c r="CC98" s="301"/>
      <c r="CD98" s="301"/>
      <c r="CE98" s="301"/>
      <c r="CF98" s="301"/>
    </row>
    <row r="99" spans="1:84" s="329" customFormat="1" ht="27.75" hidden="1" customHeight="1" x14ac:dyDescent="0.25">
      <c r="A99" s="322"/>
      <c r="B99" s="312"/>
      <c r="C99" s="330" t="s">
        <v>355</v>
      </c>
      <c r="D99" s="1604" t="str">
        <f>CONCATENATE("Khi mua sắm tài sản hoặc thanh toán ngay bằng ngoại tệ: là tỷ giá mua của ngân hàng thương mại nơi ",LoaiCT_V," thực hiện thanh toán.")</f>
        <v>Khi mua sắm tài sản hoặc thanh toán ngay bằng ngoại tệ: là tỷ giá mua của ngân hàng thương mại nơi Công ty thực hiện thanh toán.</v>
      </c>
      <c r="E99" s="1604"/>
      <c r="F99" s="1604"/>
      <c r="G99" s="1604"/>
      <c r="H99" s="1604"/>
      <c r="I99" s="1604"/>
      <c r="J99" s="1604"/>
      <c r="K99" s="1604"/>
      <c r="L99" s="1604"/>
      <c r="M99" s="1604"/>
      <c r="N99" s="1604"/>
      <c r="O99" s="1604"/>
      <c r="P99" s="1604"/>
      <c r="Q99" s="1604"/>
      <c r="R99" s="1604"/>
      <c r="S99" s="1604"/>
      <c r="T99" s="1604"/>
      <c r="U99" s="1604"/>
      <c r="V99" s="1604"/>
      <c r="W99" s="1604"/>
      <c r="X99" s="1604"/>
      <c r="Y99" s="1604"/>
      <c r="Z99" s="1604"/>
      <c r="AA99" s="1604"/>
      <c r="AB99" s="1604"/>
      <c r="AC99" s="1604"/>
      <c r="AD99" s="1604"/>
      <c r="AE99" s="1604"/>
      <c r="AF99" s="1604"/>
      <c r="AG99" s="1604"/>
      <c r="AH99" s="1604"/>
      <c r="AI99" s="1604"/>
      <c r="AJ99" s="295"/>
      <c r="AK99" s="287"/>
      <c r="AL99" s="312"/>
      <c r="AM99" s="330" t="s">
        <v>355</v>
      </c>
      <c r="AN99" s="1604" t="str">
        <f>CONCATENATE("When purchases of assets or expenses paid immediately in foreign currency: are the rate of purchase of commercial banks where the ",LoaiCT_E," makes payments.")</f>
        <v>When purchases of assets or expenses paid immediately in foreign currency: are the rate of purchase of commercial banks where the Corporation makes payments.</v>
      </c>
      <c r="AO99" s="1604"/>
      <c r="AP99" s="1604"/>
      <c r="AQ99" s="1604"/>
      <c r="AR99" s="1604"/>
      <c r="AS99" s="1604"/>
      <c r="AT99" s="1604"/>
      <c r="AU99" s="1604"/>
      <c r="AV99" s="1604"/>
      <c r="AW99" s="1604"/>
      <c r="AX99" s="1604"/>
      <c r="AY99" s="1604"/>
      <c r="AZ99" s="1604"/>
      <c r="BA99" s="1604"/>
      <c r="BB99" s="1604"/>
      <c r="BC99" s="1604"/>
      <c r="BD99" s="1604"/>
      <c r="BE99" s="1604"/>
      <c r="BF99" s="1604"/>
      <c r="BG99" s="1604"/>
      <c r="BH99" s="1604"/>
      <c r="BI99" s="1604"/>
      <c r="BJ99" s="1604"/>
      <c r="BK99" s="1604"/>
      <c r="BL99" s="1604"/>
      <c r="BM99" s="1604"/>
      <c r="BN99" s="1604"/>
      <c r="BO99" s="1604"/>
      <c r="BP99" s="1604"/>
      <c r="BQ99" s="1604"/>
      <c r="BR99" s="1604"/>
      <c r="BS99" s="1604"/>
      <c r="BT99" s="295"/>
      <c r="BU99" s="295"/>
      <c r="BV99" s="299"/>
      <c r="BW99" s="299"/>
      <c r="BX99" s="300"/>
      <c r="BY99" s="295"/>
      <c r="BZ99" s="273"/>
      <c r="CA99" s="273"/>
      <c r="CB99" s="301"/>
      <c r="CC99" s="301"/>
      <c r="CD99" s="301"/>
      <c r="CE99" s="301"/>
      <c r="CF99" s="301"/>
    </row>
    <row r="100" spans="1:84" s="329" customFormat="1" ht="12.95" customHeight="1" x14ac:dyDescent="0.25">
      <c r="A100" s="322"/>
      <c r="B100" s="312"/>
      <c r="C100" s="330"/>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4"/>
      <c r="AJ100" s="295"/>
      <c r="AK100" s="287"/>
      <c r="AL100" s="312"/>
      <c r="AM100" s="330"/>
      <c r="AN100" s="314"/>
      <c r="AO100" s="314"/>
      <c r="AP100" s="314"/>
      <c r="AQ100" s="314"/>
      <c r="AR100" s="314"/>
      <c r="AS100" s="314"/>
      <c r="AT100" s="314"/>
      <c r="AU100" s="314"/>
      <c r="AV100" s="314"/>
      <c r="AW100" s="314"/>
      <c r="AX100" s="314"/>
      <c r="AY100" s="314"/>
      <c r="AZ100" s="314"/>
      <c r="BA100" s="314"/>
      <c r="BB100" s="314"/>
      <c r="BC100" s="314"/>
      <c r="BD100" s="314"/>
      <c r="BE100" s="314"/>
      <c r="BF100" s="314"/>
      <c r="BG100" s="314"/>
      <c r="BH100" s="314"/>
      <c r="BI100" s="314"/>
      <c r="BJ100" s="314"/>
      <c r="BK100" s="314"/>
      <c r="BL100" s="314"/>
      <c r="BM100" s="314"/>
      <c r="BN100" s="314"/>
      <c r="BO100" s="314"/>
      <c r="BP100" s="314"/>
      <c r="BQ100" s="314"/>
      <c r="BR100" s="314"/>
      <c r="BS100" s="314"/>
      <c r="BT100" s="295"/>
      <c r="BU100" s="295"/>
      <c r="BV100" s="299"/>
      <c r="BW100" s="299"/>
      <c r="BX100" s="300"/>
      <c r="BY100" s="295"/>
      <c r="BZ100" s="273"/>
      <c r="CA100" s="273"/>
      <c r="CB100" s="301"/>
      <c r="CC100" s="301"/>
      <c r="CD100" s="301"/>
      <c r="CE100" s="301"/>
      <c r="CF100" s="301"/>
    </row>
    <row r="101" spans="1:84" s="329" customFormat="1" ht="27.95" customHeight="1" x14ac:dyDescent="0.25">
      <c r="A101" s="322"/>
      <c r="B101" s="312"/>
      <c r="C101" s="1604" t="s">
        <v>416</v>
      </c>
      <c r="D101" s="1604"/>
      <c r="E101" s="1604"/>
      <c r="F101" s="1604"/>
      <c r="G101" s="1604"/>
      <c r="H101" s="1604"/>
      <c r="I101" s="1604"/>
      <c r="J101" s="1604"/>
      <c r="K101" s="1604"/>
      <c r="L101" s="1604"/>
      <c r="M101" s="1604"/>
      <c r="N101" s="1604"/>
      <c r="O101" s="1604"/>
      <c r="P101" s="1604"/>
      <c r="Q101" s="1604"/>
      <c r="R101" s="1604"/>
      <c r="S101" s="1604"/>
      <c r="T101" s="1604"/>
      <c r="U101" s="1604"/>
      <c r="V101" s="1604"/>
      <c r="W101" s="1604"/>
      <c r="X101" s="1604"/>
      <c r="Y101" s="1604"/>
      <c r="Z101" s="1604"/>
      <c r="AA101" s="1604"/>
      <c r="AB101" s="1604"/>
      <c r="AC101" s="1604"/>
      <c r="AD101" s="1604"/>
      <c r="AE101" s="1604"/>
      <c r="AF101" s="1604"/>
      <c r="AG101" s="1604"/>
      <c r="AH101" s="1604"/>
      <c r="AI101" s="1604"/>
      <c r="AJ101" s="295"/>
      <c r="AK101" s="287"/>
      <c r="AL101" s="312"/>
      <c r="AM101" s="330" t="s">
        <v>355</v>
      </c>
      <c r="AN101" s="1604" t="str">
        <f>CONCATENATE("When purchases of assets or expenses paid immediately in foreign currency: are the rate of purchase of commercial banks where the ",LoaiCT_E," makes payments.")</f>
        <v>When purchases of assets or expenses paid immediately in foreign currency: are the rate of purchase of commercial banks where the Corporation makes payments.</v>
      </c>
      <c r="AO101" s="1604"/>
      <c r="AP101" s="1604"/>
      <c r="AQ101" s="1604"/>
      <c r="AR101" s="1604"/>
      <c r="AS101" s="1604"/>
      <c r="AT101" s="1604"/>
      <c r="AU101" s="1604"/>
      <c r="AV101" s="1604"/>
      <c r="AW101" s="1604"/>
      <c r="AX101" s="1604"/>
      <c r="AY101" s="1604"/>
      <c r="AZ101" s="1604"/>
      <c r="BA101" s="1604"/>
      <c r="BB101" s="1604"/>
      <c r="BC101" s="1604"/>
      <c r="BD101" s="1604"/>
      <c r="BE101" s="1604"/>
      <c r="BF101" s="1604"/>
      <c r="BG101" s="1604"/>
      <c r="BH101" s="1604"/>
      <c r="BI101" s="1604"/>
      <c r="BJ101" s="1604"/>
      <c r="BK101" s="1604"/>
      <c r="BL101" s="1604"/>
      <c r="BM101" s="1604"/>
      <c r="BN101" s="1604"/>
      <c r="BO101" s="1604"/>
      <c r="BP101" s="1604"/>
      <c r="BQ101" s="1604"/>
      <c r="BR101" s="1604"/>
      <c r="BS101" s="1604"/>
      <c r="BT101" s="295"/>
      <c r="BU101" s="295"/>
      <c r="BV101" s="299"/>
      <c r="BW101" s="299"/>
      <c r="BX101" s="300"/>
      <c r="BY101" s="295"/>
      <c r="BZ101" s="273"/>
      <c r="CA101" s="273"/>
      <c r="CB101" s="301"/>
      <c r="CC101" s="301"/>
      <c r="CD101" s="301"/>
      <c r="CE101" s="301"/>
      <c r="CF101" s="301"/>
    </row>
    <row r="102" spans="1:84" s="326" customFormat="1" ht="12.95" customHeight="1" x14ac:dyDescent="0.25">
      <c r="A102" s="322"/>
      <c r="B102" s="312"/>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325"/>
      <c r="AE102" s="325"/>
      <c r="AF102" s="325"/>
      <c r="AG102" s="325"/>
      <c r="AH102" s="325"/>
      <c r="AI102" s="325"/>
      <c r="AJ102" s="323"/>
      <c r="AK102" s="287"/>
      <c r="AL102" s="312"/>
      <c r="AM102" s="1604"/>
      <c r="AN102" s="1604"/>
      <c r="AO102" s="1604"/>
      <c r="AP102" s="1604"/>
      <c r="AQ102" s="1604"/>
      <c r="AR102" s="1604"/>
      <c r="AS102" s="1604"/>
      <c r="AT102" s="1604"/>
      <c r="AU102" s="1604"/>
      <c r="AV102" s="1604"/>
      <c r="AW102" s="1604"/>
      <c r="AX102" s="1604"/>
      <c r="AY102" s="1604"/>
      <c r="AZ102" s="1604"/>
      <c r="BA102" s="1604"/>
      <c r="BB102" s="1604"/>
      <c r="BC102" s="1604"/>
      <c r="BD102" s="1604"/>
      <c r="BE102" s="1604"/>
      <c r="BF102" s="1604"/>
      <c r="BG102" s="1604"/>
      <c r="BH102" s="1604"/>
      <c r="BI102" s="1604"/>
      <c r="BJ102" s="1604"/>
      <c r="BK102" s="1604"/>
      <c r="BL102" s="1604"/>
      <c r="BM102" s="1604"/>
      <c r="BN102" s="1604"/>
      <c r="BO102" s="1604"/>
      <c r="BP102" s="1604"/>
      <c r="BQ102" s="1604"/>
      <c r="BR102" s="1604"/>
      <c r="BS102" s="1604"/>
      <c r="BT102" s="295"/>
      <c r="BU102" s="295"/>
      <c r="BV102" s="310"/>
      <c r="BW102" s="310"/>
      <c r="BX102" s="291"/>
      <c r="BY102" s="323"/>
      <c r="BZ102" s="279"/>
      <c r="CA102" s="279"/>
      <c r="CB102" s="280"/>
      <c r="CC102" s="280"/>
      <c r="CD102" s="280"/>
      <c r="CE102" s="280"/>
      <c r="CF102" s="280"/>
    </row>
    <row r="103" spans="1:84" s="326" customFormat="1" ht="27.95" hidden="1" customHeight="1" x14ac:dyDescent="0.25">
      <c r="A103" s="322"/>
      <c r="B103" s="312"/>
      <c r="C103" s="1604" t="str">
        <f>"Tỷ giá giao dịch thực tế khi đánh giá lại các khoản mục tiền tệ có gốc ngoại tệ tại thời điểm lập "&amp;Loai_BC_V&amp;" được xác định theo nguyên tắc:"</f>
        <v>Tỷ giá giao dịch thực tế khi đánh giá lại các khoản mục tiền tệ có gốc ngoại tệ tại thời điểm lập Báo cáo tài chính được xác định theo nguyên tắc:</v>
      </c>
      <c r="D103" s="1604"/>
      <c r="E103" s="1604"/>
      <c r="F103" s="1604"/>
      <c r="G103" s="1604"/>
      <c r="H103" s="1604"/>
      <c r="I103" s="1604"/>
      <c r="J103" s="1604"/>
      <c r="K103" s="1604"/>
      <c r="L103" s="1604"/>
      <c r="M103" s="1604"/>
      <c r="N103" s="1604"/>
      <c r="O103" s="1604"/>
      <c r="P103" s="1604"/>
      <c r="Q103" s="1604"/>
      <c r="R103" s="1604"/>
      <c r="S103" s="1604"/>
      <c r="T103" s="1604"/>
      <c r="U103" s="1604"/>
      <c r="V103" s="1604"/>
      <c r="W103" s="1604"/>
      <c r="X103" s="1604"/>
      <c r="Y103" s="1604"/>
      <c r="Z103" s="1604"/>
      <c r="AA103" s="1604"/>
      <c r="AB103" s="1604"/>
      <c r="AC103" s="1604"/>
      <c r="AD103" s="1604"/>
      <c r="AE103" s="1604"/>
      <c r="AF103" s="1604"/>
      <c r="AG103" s="1604"/>
      <c r="AH103" s="1604"/>
      <c r="AI103" s="1604"/>
      <c r="AJ103" s="323"/>
      <c r="AK103" s="287"/>
      <c r="AL103" s="312"/>
      <c r="AM103" s="1604" t="str">
        <f>CONCATENATE("Real exchange rate upon re-determining accounts derived from foreign currencies at the date of the ",Loai_BC_E," is determined on the following principles:")</f>
        <v>Real exchange rate upon re-determining accounts derived from foreign currencies at the date of the Separate Financial Statements is determined on the following principles:</v>
      </c>
      <c r="AN103" s="1604"/>
      <c r="AO103" s="1604"/>
      <c r="AP103" s="1604"/>
      <c r="AQ103" s="1604"/>
      <c r="AR103" s="1604"/>
      <c r="AS103" s="1604"/>
      <c r="AT103" s="1604"/>
      <c r="AU103" s="1604"/>
      <c r="AV103" s="1604"/>
      <c r="AW103" s="1604"/>
      <c r="AX103" s="1604"/>
      <c r="AY103" s="1604"/>
      <c r="AZ103" s="1604"/>
      <c r="BA103" s="1604"/>
      <c r="BB103" s="1604"/>
      <c r="BC103" s="1604"/>
      <c r="BD103" s="1604"/>
      <c r="BE103" s="1604"/>
      <c r="BF103" s="1604"/>
      <c r="BG103" s="1604"/>
      <c r="BH103" s="1604"/>
      <c r="BI103" s="1604"/>
      <c r="BJ103" s="1604"/>
      <c r="BK103" s="1604"/>
      <c r="BL103" s="1604"/>
      <c r="BM103" s="1604"/>
      <c r="BN103" s="1604"/>
      <c r="BO103" s="1604"/>
      <c r="BP103" s="1604"/>
      <c r="BQ103" s="1604"/>
      <c r="BR103" s="1604"/>
      <c r="BS103" s="1604"/>
      <c r="BT103" s="295"/>
      <c r="BU103" s="295"/>
      <c r="BV103" s="310"/>
      <c r="BW103" s="310"/>
      <c r="BX103" s="291"/>
      <c r="BY103" s="323"/>
      <c r="BZ103" s="279"/>
      <c r="CA103" s="279"/>
      <c r="CB103" s="280"/>
      <c r="CC103" s="280"/>
      <c r="CD103" s="280"/>
      <c r="CE103" s="280"/>
      <c r="CF103" s="280"/>
    </row>
    <row r="104" spans="1:84" s="329" customFormat="1" ht="27.95" hidden="1" customHeight="1" x14ac:dyDescent="0.25">
      <c r="A104" s="322"/>
      <c r="B104" s="312"/>
      <c r="C104" s="330" t="s">
        <v>355</v>
      </c>
      <c r="D104" s="1606" t="str">
        <f>CONCATENATE("Đối với khoản mục phân loại là tài sản: áp dụng tỷ giá mua ngoại tệ của ngân hàng thương mại nơi ",LoaiCT_V," thường xuyên có giao dịch;")</f>
        <v>Đối với khoản mục phân loại là tài sản: áp dụng tỷ giá mua ngoại tệ của ngân hàng thương mại nơi Công ty thường xuyên có giao dịch;</v>
      </c>
      <c r="E104" s="1604"/>
      <c r="F104" s="1604"/>
      <c r="G104" s="1604"/>
      <c r="H104" s="1604"/>
      <c r="I104" s="1604"/>
      <c r="J104" s="1604"/>
      <c r="K104" s="1604"/>
      <c r="L104" s="1604"/>
      <c r="M104" s="1604"/>
      <c r="N104" s="1604"/>
      <c r="O104" s="1604"/>
      <c r="P104" s="1604"/>
      <c r="Q104" s="1604"/>
      <c r="R104" s="1604"/>
      <c r="S104" s="1604"/>
      <c r="T104" s="1604"/>
      <c r="U104" s="1604"/>
      <c r="V104" s="1604"/>
      <c r="W104" s="1604"/>
      <c r="X104" s="1604"/>
      <c r="Y104" s="1604"/>
      <c r="Z104" s="1604"/>
      <c r="AA104" s="1604"/>
      <c r="AB104" s="1604"/>
      <c r="AC104" s="1604"/>
      <c r="AD104" s="1604"/>
      <c r="AE104" s="1604"/>
      <c r="AF104" s="1604"/>
      <c r="AG104" s="1604"/>
      <c r="AH104" s="1604"/>
      <c r="AI104" s="1604"/>
      <c r="AJ104" s="295"/>
      <c r="AK104" s="287"/>
      <c r="AL104" s="312"/>
      <c r="AM104" s="330" t="s">
        <v>355</v>
      </c>
      <c r="AN104" s="1604" t="str">
        <f>CONCATENATE("For accounts classifies as asset: applies exchange  rates  of  purchase of commercial banks where the ",LoaiCT_E," regularly conducts transaction;")</f>
        <v>For accounts classifies as asset: applies exchange  rates  of  purchase of commercial banks where the Corporation regularly conducts transaction;</v>
      </c>
      <c r="AO104" s="1604"/>
      <c r="AP104" s="1604"/>
      <c r="AQ104" s="1604"/>
      <c r="AR104" s="1604"/>
      <c r="AS104" s="1604"/>
      <c r="AT104" s="1604"/>
      <c r="AU104" s="1604"/>
      <c r="AV104" s="1604"/>
      <c r="AW104" s="1604"/>
      <c r="AX104" s="1604"/>
      <c r="AY104" s="1604"/>
      <c r="AZ104" s="1604"/>
      <c r="BA104" s="1604"/>
      <c r="BB104" s="1604"/>
      <c r="BC104" s="1604"/>
      <c r="BD104" s="1604"/>
      <c r="BE104" s="1604"/>
      <c r="BF104" s="1604"/>
      <c r="BG104" s="1604"/>
      <c r="BH104" s="1604"/>
      <c r="BI104" s="1604"/>
      <c r="BJ104" s="1604"/>
      <c r="BK104" s="1604"/>
      <c r="BL104" s="1604"/>
      <c r="BM104" s="1604"/>
      <c r="BN104" s="1604"/>
      <c r="BO104" s="1604"/>
      <c r="BP104" s="1604"/>
      <c r="BQ104" s="1604"/>
      <c r="BR104" s="1604"/>
      <c r="BS104" s="1604"/>
      <c r="BT104" s="295"/>
      <c r="BU104" s="295"/>
      <c r="BV104" s="299"/>
      <c r="BW104" s="299"/>
      <c r="BX104" s="300"/>
      <c r="BY104" s="295"/>
      <c r="BZ104" s="273"/>
      <c r="CA104" s="273"/>
      <c r="CB104" s="301"/>
      <c r="CC104" s="301"/>
      <c r="CD104" s="301"/>
      <c r="CE104" s="301"/>
      <c r="CF104" s="301"/>
    </row>
    <row r="105" spans="1:84" s="329" customFormat="1" ht="15" hidden="1" customHeight="1" x14ac:dyDescent="0.25">
      <c r="A105" s="322"/>
      <c r="B105" s="312"/>
      <c r="C105" s="330" t="s">
        <v>355</v>
      </c>
      <c r="D105" s="1606" t="str">
        <f>CONCATENATE("Đối với tiền gửi ngoại tệ: áp dụng tỷ giá mua của chính ngân hàng nơi ",LoaiCT_V," mở tài khoản ngoại tệ;")</f>
        <v>Đối với tiền gửi ngoại tệ: áp dụng tỷ giá mua của chính ngân hàng nơi Công ty mở tài khoản ngoại tệ;</v>
      </c>
      <c r="E105" s="1604"/>
      <c r="F105" s="1604"/>
      <c r="G105" s="1604"/>
      <c r="H105" s="1604"/>
      <c r="I105" s="1604"/>
      <c r="J105" s="1604"/>
      <c r="K105" s="1604"/>
      <c r="L105" s="1604"/>
      <c r="M105" s="1604"/>
      <c r="N105" s="1604"/>
      <c r="O105" s="1604"/>
      <c r="P105" s="1604"/>
      <c r="Q105" s="1604"/>
      <c r="R105" s="1604"/>
      <c r="S105" s="1604"/>
      <c r="T105" s="1604"/>
      <c r="U105" s="1604"/>
      <c r="V105" s="1604"/>
      <c r="W105" s="1604"/>
      <c r="X105" s="1604"/>
      <c r="Y105" s="1604"/>
      <c r="Z105" s="1604"/>
      <c r="AA105" s="1604"/>
      <c r="AB105" s="1604"/>
      <c r="AC105" s="1604"/>
      <c r="AD105" s="1604"/>
      <c r="AE105" s="1604"/>
      <c r="AF105" s="1604"/>
      <c r="AG105" s="1604"/>
      <c r="AH105" s="1604"/>
      <c r="AI105" s="1604"/>
      <c r="AJ105" s="295"/>
      <c r="AK105" s="287"/>
      <c r="AL105" s="312"/>
      <c r="AM105" s="330" t="s">
        <v>355</v>
      </c>
      <c r="AN105" s="1604" t="str">
        <f>CONCATENATE("For foreign currency deposited in bank: applies exchange rate of purchase of the bank where the ",LoaiCT_E," open foreign currency accounts;")</f>
        <v>For foreign currency deposited in bank: applies exchange rate of purchase of the bank where the Corporation open foreign currency accounts;</v>
      </c>
      <c r="AO105" s="1604"/>
      <c r="AP105" s="1604"/>
      <c r="AQ105" s="1604"/>
      <c r="AR105" s="1604"/>
      <c r="AS105" s="1604"/>
      <c r="AT105" s="1604"/>
      <c r="AU105" s="1604"/>
      <c r="AV105" s="1604"/>
      <c r="AW105" s="1604"/>
      <c r="AX105" s="1604"/>
      <c r="AY105" s="1604"/>
      <c r="AZ105" s="1604"/>
      <c r="BA105" s="1604"/>
      <c r="BB105" s="1604"/>
      <c r="BC105" s="1604"/>
      <c r="BD105" s="1604"/>
      <c r="BE105" s="1604"/>
      <c r="BF105" s="1604"/>
      <c r="BG105" s="1604"/>
      <c r="BH105" s="1604"/>
      <c r="BI105" s="1604"/>
      <c r="BJ105" s="1604"/>
      <c r="BK105" s="1604"/>
      <c r="BL105" s="1604"/>
      <c r="BM105" s="1604"/>
      <c r="BN105" s="1604"/>
      <c r="BO105" s="1604"/>
      <c r="BP105" s="1604"/>
      <c r="BQ105" s="1604"/>
      <c r="BR105" s="1604"/>
      <c r="BS105" s="1604"/>
      <c r="BT105" s="295"/>
      <c r="BU105" s="295"/>
      <c r="BV105" s="299"/>
      <c r="BW105" s="299"/>
      <c r="BX105" s="300"/>
      <c r="BY105" s="295"/>
      <c r="BZ105" s="273"/>
      <c r="CA105" s="273"/>
      <c r="CB105" s="301"/>
      <c r="CC105" s="301"/>
      <c r="CD105" s="301"/>
      <c r="CE105" s="301"/>
      <c r="CF105" s="301"/>
    </row>
    <row r="106" spans="1:84" s="329" customFormat="1" ht="27.95" hidden="1" customHeight="1" x14ac:dyDescent="0.25">
      <c r="A106" s="322"/>
      <c r="B106" s="312"/>
      <c r="C106" s="330" t="s">
        <v>355</v>
      </c>
      <c r="D106" s="1606" t="str">
        <f>CONCATENATE("Đối với khoản mục phân loại là nợ phải trả: áp dụng tỷ giá bán ngoại tệ của ngân hàng thương mại nơi ",LoaiCT_V," thường xuyên có giao dịch.")</f>
        <v>Đối với khoản mục phân loại là nợ phải trả: áp dụng tỷ giá bán ngoại tệ của ngân hàng thương mại nơi Công ty thường xuyên có giao dịch.</v>
      </c>
      <c r="E106" s="1604"/>
      <c r="F106" s="1604"/>
      <c r="G106" s="1604"/>
      <c r="H106" s="1604"/>
      <c r="I106" s="1604"/>
      <c r="J106" s="1604"/>
      <c r="K106" s="1604"/>
      <c r="L106" s="1604"/>
      <c r="M106" s="1604"/>
      <c r="N106" s="1604"/>
      <c r="O106" s="1604"/>
      <c r="P106" s="1604"/>
      <c r="Q106" s="1604"/>
      <c r="R106" s="1604"/>
      <c r="S106" s="1604"/>
      <c r="T106" s="1604"/>
      <c r="U106" s="1604"/>
      <c r="V106" s="1604"/>
      <c r="W106" s="1604"/>
      <c r="X106" s="1604"/>
      <c r="Y106" s="1604"/>
      <c r="Z106" s="1604"/>
      <c r="AA106" s="1604"/>
      <c r="AB106" s="1604"/>
      <c r="AC106" s="1604"/>
      <c r="AD106" s="1604"/>
      <c r="AE106" s="1604"/>
      <c r="AF106" s="1604"/>
      <c r="AG106" s="1604"/>
      <c r="AH106" s="1604"/>
      <c r="AI106" s="1604"/>
      <c r="AJ106" s="295"/>
      <c r="AK106" s="287"/>
      <c r="AL106" s="312"/>
      <c r="AM106" s="330" t="s">
        <v>355</v>
      </c>
      <c r="AN106" s="1604" t="str">
        <f>CONCATENATE("For accounts classified as liabilities: applies exchange rates of selling foreign currency of commercial banks where the ",LoaiCT_E," regularly conducts transaction.")</f>
        <v>For accounts classified as liabilities: applies exchange rates of selling foreign currency of commercial banks where the Corporation regularly conducts transaction.</v>
      </c>
      <c r="AO106" s="1604"/>
      <c r="AP106" s="1604"/>
      <c r="AQ106" s="1604"/>
      <c r="AR106" s="1604"/>
      <c r="AS106" s="1604"/>
      <c r="AT106" s="1604"/>
      <c r="AU106" s="1604"/>
      <c r="AV106" s="1604"/>
      <c r="AW106" s="1604"/>
      <c r="AX106" s="1604"/>
      <c r="AY106" s="1604"/>
      <c r="AZ106" s="1604"/>
      <c r="BA106" s="1604"/>
      <c r="BB106" s="1604"/>
      <c r="BC106" s="1604"/>
      <c r="BD106" s="1604"/>
      <c r="BE106" s="1604"/>
      <c r="BF106" s="1604"/>
      <c r="BG106" s="1604"/>
      <c r="BH106" s="1604"/>
      <c r="BI106" s="1604"/>
      <c r="BJ106" s="1604"/>
      <c r="BK106" s="1604"/>
      <c r="BL106" s="1604"/>
      <c r="BM106" s="1604"/>
      <c r="BN106" s="1604"/>
      <c r="BO106" s="1604"/>
      <c r="BP106" s="1604"/>
      <c r="BQ106" s="1604"/>
      <c r="BR106" s="1604"/>
      <c r="BS106" s="1604"/>
      <c r="BT106" s="295"/>
      <c r="BU106" s="295"/>
      <c r="BV106" s="299"/>
      <c r="BW106" s="299"/>
      <c r="BX106" s="300"/>
      <c r="BY106" s="295"/>
      <c r="BZ106" s="273"/>
      <c r="CA106" s="273"/>
      <c r="CB106" s="301"/>
      <c r="CC106" s="301"/>
      <c r="CD106" s="301"/>
      <c r="CE106" s="301"/>
      <c r="CF106" s="301"/>
    </row>
    <row r="107" spans="1:84" s="326" customFormat="1" ht="12.95" hidden="1" customHeight="1" x14ac:dyDescent="0.25">
      <c r="A107" s="322"/>
      <c r="B107" s="312"/>
      <c r="C107" s="330"/>
      <c r="D107" s="331"/>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4"/>
      <c r="AJ107" s="323"/>
      <c r="AK107" s="287"/>
      <c r="AL107" s="312"/>
      <c r="AM107" s="314"/>
      <c r="AN107" s="314"/>
      <c r="AO107" s="314"/>
      <c r="AP107" s="314"/>
      <c r="AQ107" s="314"/>
      <c r="AR107" s="314"/>
      <c r="AS107" s="314"/>
      <c r="AT107" s="314"/>
      <c r="AU107" s="314"/>
      <c r="AV107" s="314"/>
      <c r="AW107" s="314"/>
      <c r="AX107" s="314"/>
      <c r="AY107" s="314"/>
      <c r="AZ107" s="314"/>
      <c r="BA107" s="314"/>
      <c r="BB107" s="314"/>
      <c r="BC107" s="314"/>
      <c r="BD107" s="314"/>
      <c r="BE107" s="314"/>
      <c r="BF107" s="314"/>
      <c r="BG107" s="314"/>
      <c r="BH107" s="314"/>
      <c r="BI107" s="314"/>
      <c r="BJ107" s="314"/>
      <c r="BK107" s="314"/>
      <c r="BL107" s="314"/>
      <c r="BM107" s="314"/>
      <c r="BN107" s="314"/>
      <c r="BO107" s="314"/>
      <c r="BP107" s="314"/>
      <c r="BQ107" s="314"/>
      <c r="BR107" s="314"/>
      <c r="BS107" s="314"/>
      <c r="BT107" s="295"/>
      <c r="BU107" s="295"/>
      <c r="BV107" s="310"/>
      <c r="BW107" s="310"/>
      <c r="BX107" s="291"/>
      <c r="BY107" s="323"/>
      <c r="BZ107" s="279"/>
      <c r="CA107" s="279"/>
      <c r="CB107" s="280"/>
      <c r="CC107" s="280"/>
      <c r="CD107" s="280"/>
      <c r="CE107" s="280"/>
      <c r="CF107" s="280"/>
    </row>
    <row r="108" spans="1:84" s="326" customFormat="1" ht="54" hidden="1" customHeight="1" x14ac:dyDescent="0.25">
      <c r="A108" s="322"/>
      <c r="B108" s="312"/>
      <c r="C108" s="1604" t="s">
        <v>417</v>
      </c>
      <c r="D108" s="1604"/>
      <c r="E108" s="1604"/>
      <c r="F108" s="1604"/>
      <c r="G108" s="1604"/>
      <c r="H108" s="1604"/>
      <c r="I108" s="1604"/>
      <c r="J108" s="1604"/>
      <c r="K108" s="1604"/>
      <c r="L108" s="1604"/>
      <c r="M108" s="1604"/>
      <c r="N108" s="1604"/>
      <c r="O108" s="1604"/>
      <c r="P108" s="1604"/>
      <c r="Q108" s="1604"/>
      <c r="R108" s="1604"/>
      <c r="S108" s="1604"/>
      <c r="T108" s="1604"/>
      <c r="U108" s="1604"/>
      <c r="V108" s="1604"/>
      <c r="W108" s="1604"/>
      <c r="X108" s="1604"/>
      <c r="Y108" s="1604"/>
      <c r="Z108" s="1604"/>
      <c r="AA108" s="1604"/>
      <c r="AB108" s="1604"/>
      <c r="AC108" s="1604"/>
      <c r="AD108" s="1604"/>
      <c r="AE108" s="1604"/>
      <c r="AF108" s="1604"/>
      <c r="AG108" s="1604"/>
      <c r="AH108" s="1604"/>
      <c r="AI108" s="1604"/>
      <c r="AJ108" s="323"/>
      <c r="AK108" s="287"/>
      <c r="AL108" s="312"/>
      <c r="AM108" s="1604" t="s">
        <v>418</v>
      </c>
      <c r="AN108" s="1604"/>
      <c r="AO108" s="1604"/>
      <c r="AP108" s="1604"/>
      <c r="AQ108" s="1604"/>
      <c r="AR108" s="1604"/>
      <c r="AS108" s="1604"/>
      <c r="AT108" s="1604"/>
      <c r="AU108" s="1604"/>
      <c r="AV108" s="1604"/>
      <c r="AW108" s="1604"/>
      <c r="AX108" s="1604"/>
      <c r="AY108" s="1604"/>
      <c r="AZ108" s="1604"/>
      <c r="BA108" s="1604"/>
      <c r="BB108" s="1604"/>
      <c r="BC108" s="1604"/>
      <c r="BD108" s="1604"/>
      <c r="BE108" s="1604"/>
      <c r="BF108" s="1604"/>
      <c r="BG108" s="1604"/>
      <c r="BH108" s="1604"/>
      <c r="BI108" s="1604"/>
      <c r="BJ108" s="1604"/>
      <c r="BK108" s="1604"/>
      <c r="BL108" s="1604"/>
      <c r="BM108" s="1604"/>
      <c r="BN108" s="1604"/>
      <c r="BO108" s="1604"/>
      <c r="BP108" s="1604"/>
      <c r="BQ108" s="1604"/>
      <c r="BR108" s="1604"/>
      <c r="BS108" s="1604"/>
      <c r="BT108" s="295"/>
      <c r="BU108" s="295"/>
      <c r="BV108" s="310"/>
      <c r="BW108" s="310"/>
      <c r="BX108" s="291"/>
      <c r="BY108" s="323"/>
      <c r="BZ108" s="279"/>
      <c r="CA108" s="279"/>
      <c r="CB108" s="280"/>
      <c r="CC108" s="280"/>
      <c r="CD108" s="280"/>
      <c r="CE108" s="280"/>
      <c r="CF108" s="280"/>
    </row>
    <row r="109" spans="1:84" s="326" customFormat="1" ht="43.5" hidden="1" customHeight="1" x14ac:dyDescent="0.25">
      <c r="A109" s="322"/>
      <c r="B109" s="312"/>
      <c r="C109" s="1616" t="s">
        <v>419</v>
      </c>
      <c r="D109" s="1616"/>
      <c r="E109" s="1616"/>
      <c r="F109" s="1616"/>
      <c r="G109" s="1616"/>
      <c r="H109" s="1616"/>
      <c r="I109" s="1616"/>
      <c r="J109" s="1616"/>
      <c r="K109" s="1616"/>
      <c r="L109" s="1616"/>
      <c r="M109" s="1616"/>
      <c r="N109" s="1616"/>
      <c r="O109" s="1616"/>
      <c r="P109" s="1616"/>
      <c r="Q109" s="1616"/>
      <c r="R109" s="1616"/>
      <c r="S109" s="1616"/>
      <c r="T109" s="1616"/>
      <c r="U109" s="1616"/>
      <c r="V109" s="1616"/>
      <c r="W109" s="1616"/>
      <c r="X109" s="1616"/>
      <c r="Y109" s="1616"/>
      <c r="Z109" s="1616"/>
      <c r="AA109" s="1616"/>
      <c r="AB109" s="1616"/>
      <c r="AC109" s="1616"/>
      <c r="AD109" s="1616"/>
      <c r="AE109" s="1616"/>
      <c r="AF109" s="1616"/>
      <c r="AG109" s="1616"/>
      <c r="AH109" s="1616"/>
      <c r="AI109" s="1616"/>
      <c r="AJ109" s="323"/>
      <c r="AK109" s="287"/>
      <c r="AL109" s="312"/>
      <c r="AM109" s="1616" t="s">
        <v>419</v>
      </c>
      <c r="AN109" s="1616"/>
      <c r="AO109" s="1616"/>
      <c r="AP109" s="1616"/>
      <c r="AQ109" s="1616"/>
      <c r="AR109" s="1616"/>
      <c r="AS109" s="1616"/>
      <c r="AT109" s="1616"/>
      <c r="AU109" s="1616"/>
      <c r="AV109" s="1616"/>
      <c r="AW109" s="1616"/>
      <c r="AX109" s="1616"/>
      <c r="AY109" s="1616"/>
      <c r="AZ109" s="1616"/>
      <c r="BA109" s="1616"/>
      <c r="BB109" s="1616"/>
      <c r="BC109" s="1616"/>
      <c r="BD109" s="1616"/>
      <c r="BE109" s="1616"/>
      <c r="BF109" s="1616"/>
      <c r="BG109" s="1616"/>
      <c r="BH109" s="1616"/>
      <c r="BI109" s="1616"/>
      <c r="BJ109" s="1616"/>
      <c r="BK109" s="1616"/>
      <c r="BL109" s="1616"/>
      <c r="BM109" s="1616"/>
      <c r="BN109" s="1616"/>
      <c r="BO109" s="1616"/>
      <c r="BP109" s="1616"/>
      <c r="BQ109" s="1616"/>
      <c r="BR109" s="1616"/>
      <c r="BS109" s="1616"/>
      <c r="BT109" s="295"/>
      <c r="BU109" s="295"/>
      <c r="BV109" s="310"/>
      <c r="BW109" s="310"/>
      <c r="BX109" s="291"/>
      <c r="BY109" s="323"/>
      <c r="BZ109" s="279"/>
      <c r="CA109" s="279"/>
      <c r="CB109" s="280"/>
      <c r="CC109" s="280"/>
      <c r="CD109" s="280"/>
      <c r="CE109" s="280"/>
      <c r="CF109" s="280"/>
    </row>
    <row r="110" spans="1:84" s="326" customFormat="1" ht="70.5" hidden="1" customHeight="1" x14ac:dyDescent="0.25">
      <c r="A110" s="322"/>
      <c r="B110" s="312"/>
      <c r="C110" s="1604" t="str">
        <f>CONCATENATE("Chênh lệch tỷ giá thực tế phát sinh trong năm và chênh lệch do đánh giá lại số dư các khoản mục tiền tệ có gốc ngoại tệ cuối năm được phản ánh lũy kế trên Bảng cân đối kế toán",Loai_Baocao," và phân bổ dần vào chi phí tài chính hoặc doanh thu hoạt động tài chính khi ",LoaiCT_V," đi vào hoạt động. Số phân bổ khoản lỗ tỷ giá tối thiểu trong từng kỳ không nhỏ hơn mức lợi nhuận trước thuế trước khi phân bổ khoản lỗ tỷ giá (sau khi phân bổ lỗ tỷ giá, lợi nhuận trước thuế của báo cáo kết quả hoạt động kinh doanh bằng không).")</f>
        <v>Chênh lệch tỷ giá thực tế phát sinh trong năm và chênh lệch do đánh giá lại số dư các khoản mục tiền tệ có gốc ngoại tệ cuối năm được phản ánh lũy kế trên Bảng cân đối kế toán và phân bổ dần vào chi phí tài chính hoặc doanh thu hoạt động tài chính khi Công ty đi vào hoạt động. Số phân bổ khoản lỗ tỷ giá tối thiểu trong từng kỳ không nhỏ hơn mức lợi nhuận trước thuế trước khi phân bổ khoản lỗ tỷ giá (sau khi phân bổ lỗ tỷ giá, lợi nhuận trước thuế của báo cáo kết quả hoạt động kinh doanh bằng không).</v>
      </c>
      <c r="D110" s="1604"/>
      <c r="E110" s="1604"/>
      <c r="F110" s="1604"/>
      <c r="G110" s="1604"/>
      <c r="H110" s="1604"/>
      <c r="I110" s="1604"/>
      <c r="J110" s="1604"/>
      <c r="K110" s="1604"/>
      <c r="L110" s="1604"/>
      <c r="M110" s="1604"/>
      <c r="N110" s="1604"/>
      <c r="O110" s="1604"/>
      <c r="P110" s="1604"/>
      <c r="Q110" s="1604"/>
      <c r="R110" s="1604"/>
      <c r="S110" s="1604"/>
      <c r="T110" s="1604"/>
      <c r="U110" s="1604"/>
      <c r="V110" s="1604"/>
      <c r="W110" s="1604"/>
      <c r="X110" s="1604"/>
      <c r="Y110" s="1604"/>
      <c r="Z110" s="1604"/>
      <c r="AA110" s="1604"/>
      <c r="AB110" s="1604"/>
      <c r="AC110" s="1604"/>
      <c r="AD110" s="1604"/>
      <c r="AE110" s="1604"/>
      <c r="AF110" s="1604"/>
      <c r="AG110" s="1604"/>
      <c r="AH110" s="1604"/>
      <c r="AI110" s="1604"/>
      <c r="AJ110" s="323"/>
      <c r="AK110" s="287"/>
      <c r="AL110" s="312"/>
      <c r="AM110" s="1604" t="str">
        <f>CONCATENATE("Real exchange rates for foreign currency transactions in year and real exchange rate upon re-determining accounts derived from foreign currencies at the end of the year recorded accumulated on the Statement of Financial position ","and are gradually allocate into financial expense or financial income as the ",LoaiCT_E," operate. Allocation of minimum loss on foreign exchange in each period must ensure that it is not less than the pre-tax profit before allocation of loss on foreign exchange ","(after allocation of loss on foreign exchange, pre-tax profit of Statement of Comprehensive income shall be zero).")</f>
        <v>Real exchange rates for foreign currency transactions in year and real exchange rate upon re-determining accounts derived from foreign currencies at the end of the year recorded accumulated on the Statement of Financial position and are gradually allocate into financial expense or financial income as the Corporation operate. Allocation of minimum loss on foreign exchange in each period must ensure that it is not less than the pre-tax profit before allocation of loss on foreign exchange (after allocation of loss on foreign exchange, pre-tax profit of Statement of Comprehensive income shall be zero).</v>
      </c>
      <c r="AN110" s="1604"/>
      <c r="AO110" s="1604"/>
      <c r="AP110" s="1604"/>
      <c r="AQ110" s="1604"/>
      <c r="AR110" s="1604"/>
      <c r="AS110" s="1604"/>
      <c r="AT110" s="1604"/>
      <c r="AU110" s="1604"/>
      <c r="AV110" s="1604"/>
      <c r="AW110" s="1604"/>
      <c r="AX110" s="1604"/>
      <c r="AY110" s="1604"/>
      <c r="AZ110" s="1604"/>
      <c r="BA110" s="1604"/>
      <c r="BB110" s="1604"/>
      <c r="BC110" s="1604"/>
      <c r="BD110" s="1604"/>
      <c r="BE110" s="1604"/>
      <c r="BF110" s="1604"/>
      <c r="BG110" s="1604"/>
      <c r="BH110" s="1604"/>
      <c r="BI110" s="1604"/>
      <c r="BJ110" s="1604"/>
      <c r="BK110" s="1604"/>
      <c r="BL110" s="1604"/>
      <c r="BM110" s="1604"/>
      <c r="BN110" s="1604"/>
      <c r="BO110" s="1604"/>
      <c r="BP110" s="1604"/>
      <c r="BQ110" s="1604"/>
      <c r="BR110" s="1604"/>
      <c r="BS110" s="1604"/>
      <c r="BT110" s="295"/>
      <c r="BU110" s="295"/>
      <c r="BV110" s="310"/>
      <c r="BW110" s="310"/>
      <c r="BX110" s="291"/>
      <c r="BY110" s="323"/>
      <c r="BZ110" s="279"/>
      <c r="CA110" s="279"/>
      <c r="CB110" s="280"/>
      <c r="CC110" s="280"/>
      <c r="CD110" s="280"/>
      <c r="CE110" s="280"/>
      <c r="CF110" s="280"/>
    </row>
    <row r="111" spans="1:84" s="326" customFormat="1" ht="2.1" hidden="1" customHeight="1" x14ac:dyDescent="0.25">
      <c r="A111" s="322"/>
      <c r="B111" s="312"/>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23"/>
      <c r="AK111" s="287"/>
      <c r="AL111" s="312"/>
      <c r="AM111" s="314"/>
      <c r="AN111" s="314"/>
      <c r="AO111" s="314"/>
      <c r="AP111" s="314"/>
      <c r="AQ111" s="314"/>
      <c r="AR111" s="314"/>
      <c r="AS111" s="314"/>
      <c r="AT111" s="314"/>
      <c r="AU111" s="314"/>
      <c r="AV111" s="314"/>
      <c r="AW111" s="314"/>
      <c r="AX111" s="314"/>
      <c r="AY111" s="314"/>
      <c r="AZ111" s="314"/>
      <c r="BA111" s="314"/>
      <c r="BB111" s="314"/>
      <c r="BC111" s="314"/>
      <c r="BD111" s="314"/>
      <c r="BE111" s="314"/>
      <c r="BF111" s="314"/>
      <c r="BG111" s="314"/>
      <c r="BH111" s="314"/>
      <c r="BI111" s="314"/>
      <c r="BJ111" s="314"/>
      <c r="BK111" s="314"/>
      <c r="BL111" s="314"/>
      <c r="BM111" s="314"/>
      <c r="BN111" s="314"/>
      <c r="BO111" s="314"/>
      <c r="BP111" s="314"/>
      <c r="BQ111" s="314"/>
      <c r="BR111" s="314"/>
      <c r="BS111" s="314"/>
      <c r="BT111" s="295"/>
      <c r="BU111" s="295"/>
      <c r="BV111" s="310"/>
      <c r="BW111" s="310"/>
      <c r="BX111" s="291"/>
      <c r="BY111" s="323"/>
      <c r="BZ111" s="279"/>
      <c r="CA111" s="279"/>
      <c r="CB111" s="280"/>
      <c r="CC111" s="280"/>
      <c r="CD111" s="280"/>
      <c r="CE111" s="280"/>
      <c r="CF111" s="280"/>
    </row>
    <row r="112" spans="1:84" s="326" customFormat="1" ht="12.95" customHeight="1" x14ac:dyDescent="0.25">
      <c r="A112" s="322"/>
      <c r="B112" s="312"/>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323"/>
      <c r="AK112" s="287"/>
      <c r="AL112" s="312"/>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c r="BR112" s="295"/>
      <c r="BS112" s="295"/>
      <c r="BT112" s="295"/>
      <c r="BU112" s="295"/>
      <c r="BV112" s="310"/>
      <c r="BW112" s="310"/>
      <c r="BX112" s="291"/>
      <c r="BY112" s="323"/>
      <c r="BZ112" s="279"/>
      <c r="CA112" s="279"/>
      <c r="CB112" s="280"/>
      <c r="CC112" s="280"/>
      <c r="CD112" s="280"/>
      <c r="CE112" s="280"/>
      <c r="CF112" s="280"/>
    </row>
    <row r="113" spans="1:84" s="326" customFormat="1" ht="15" customHeight="1" x14ac:dyDescent="0.25">
      <c r="A113" s="322" t="str">
        <f>subSTT</f>
        <v>2.6</v>
      </c>
      <c r="B113" s="312" t="s">
        <v>345</v>
      </c>
      <c r="C113" s="312" t="s">
        <v>420</v>
      </c>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323"/>
      <c r="AK113" s="287" t="str">
        <f>A113</f>
        <v>2.6</v>
      </c>
      <c r="AL113" s="312" t="s">
        <v>345</v>
      </c>
      <c r="AM113" s="312" t="s">
        <v>421</v>
      </c>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c r="BR113" s="295"/>
      <c r="BS113" s="295"/>
      <c r="BT113" s="295"/>
      <c r="BU113" s="295"/>
      <c r="BV113" s="310"/>
      <c r="BW113" s="310"/>
      <c r="BX113" s="291"/>
      <c r="BY113" s="323"/>
      <c r="BZ113" s="279"/>
      <c r="CA113" s="279"/>
      <c r="CB113" s="280"/>
      <c r="CC113" s="280"/>
      <c r="CD113" s="280"/>
      <c r="CE113" s="280"/>
      <c r="CF113" s="280"/>
    </row>
    <row r="114" spans="1:84" s="326" customFormat="1" ht="14.25" customHeight="1" x14ac:dyDescent="0.25">
      <c r="A114" s="322"/>
      <c r="B114" s="312"/>
      <c r="C114" s="324"/>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323"/>
      <c r="AK114" s="287"/>
      <c r="AL114" s="312"/>
      <c r="AM114" s="324" t="s">
        <v>407</v>
      </c>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c r="BR114" s="295"/>
      <c r="BS114" s="295"/>
      <c r="BT114" s="295"/>
      <c r="BU114" s="295"/>
      <c r="BV114" s="310"/>
      <c r="BW114" s="310"/>
      <c r="BX114" s="291"/>
      <c r="BY114" s="323"/>
      <c r="BZ114" s="279"/>
      <c r="CA114" s="279"/>
      <c r="CB114" s="280"/>
      <c r="CC114" s="280"/>
      <c r="CD114" s="280"/>
      <c r="CE114" s="280"/>
      <c r="CF114" s="280"/>
    </row>
    <row r="115" spans="1:84" s="326" customFormat="1" ht="15" customHeight="1" x14ac:dyDescent="0.25">
      <c r="A115" s="322"/>
      <c r="B115" s="312"/>
      <c r="C115" s="1604" t="s">
        <v>422</v>
      </c>
      <c r="D115" s="1604"/>
      <c r="E115" s="1604"/>
      <c r="F115" s="1604"/>
      <c r="G115" s="1604"/>
      <c r="H115" s="1604"/>
      <c r="I115" s="1604"/>
      <c r="J115" s="1604"/>
      <c r="K115" s="1604"/>
      <c r="L115" s="1604"/>
      <c r="M115" s="1604"/>
      <c r="N115" s="1604"/>
      <c r="O115" s="1604"/>
      <c r="P115" s="1604"/>
      <c r="Q115" s="1604"/>
      <c r="R115" s="1604"/>
      <c r="S115" s="1604"/>
      <c r="T115" s="1604"/>
      <c r="U115" s="1604"/>
      <c r="V115" s="1604"/>
      <c r="W115" s="1604"/>
      <c r="X115" s="1604"/>
      <c r="Y115" s="1604"/>
      <c r="Z115" s="1604"/>
      <c r="AA115" s="1604"/>
      <c r="AB115" s="1604"/>
      <c r="AC115" s="1604"/>
      <c r="AD115" s="1604"/>
      <c r="AE115" s="1604"/>
      <c r="AF115" s="1604"/>
      <c r="AG115" s="1604"/>
      <c r="AH115" s="1604"/>
      <c r="AI115" s="1604"/>
      <c r="AJ115" s="323"/>
      <c r="AK115" s="287"/>
      <c r="AL115" s="312"/>
      <c r="AM115" s="1604" t="s">
        <v>423</v>
      </c>
      <c r="AN115" s="1604"/>
      <c r="AO115" s="1604"/>
      <c r="AP115" s="1604"/>
      <c r="AQ115" s="1604"/>
      <c r="AR115" s="1604"/>
      <c r="AS115" s="1604"/>
      <c r="AT115" s="1604"/>
      <c r="AU115" s="1604"/>
      <c r="AV115" s="1604"/>
      <c r="AW115" s="1604"/>
      <c r="AX115" s="1604"/>
      <c r="AY115" s="1604"/>
      <c r="AZ115" s="1604"/>
      <c r="BA115" s="1604"/>
      <c r="BB115" s="1604"/>
      <c r="BC115" s="1604"/>
      <c r="BD115" s="1604"/>
      <c r="BE115" s="1604"/>
      <c r="BF115" s="1604"/>
      <c r="BG115" s="1604"/>
      <c r="BH115" s="1604"/>
      <c r="BI115" s="1604"/>
      <c r="BJ115" s="1604"/>
      <c r="BK115" s="1604"/>
      <c r="BL115" s="1604"/>
      <c r="BM115" s="1604"/>
      <c r="BN115" s="1604"/>
      <c r="BO115" s="1604"/>
      <c r="BP115" s="1604"/>
      <c r="BQ115" s="1604"/>
      <c r="BR115" s="1604"/>
      <c r="BS115" s="1604"/>
      <c r="BT115" s="295"/>
      <c r="BU115" s="295"/>
      <c r="BV115" s="310"/>
      <c r="BW115" s="310"/>
      <c r="BX115" s="291"/>
      <c r="BY115" s="323"/>
      <c r="BZ115" s="279"/>
      <c r="CA115" s="279"/>
      <c r="CB115" s="280"/>
      <c r="CC115" s="280"/>
      <c r="CD115" s="280"/>
      <c r="CE115" s="280"/>
      <c r="CF115" s="280"/>
    </row>
    <row r="116" spans="1:84" s="326" customFormat="1" ht="12.95" customHeight="1" x14ac:dyDescent="0.25">
      <c r="A116" s="322"/>
      <c r="B116" s="312"/>
      <c r="C116" s="324"/>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323"/>
      <c r="AK116" s="287"/>
      <c r="AL116" s="312"/>
      <c r="AM116" s="324"/>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c r="BR116" s="295"/>
      <c r="BS116" s="295"/>
      <c r="BT116" s="295"/>
      <c r="BU116" s="295"/>
      <c r="BV116" s="310"/>
      <c r="BW116" s="310"/>
      <c r="BX116" s="291"/>
      <c r="BY116" s="323"/>
      <c r="BZ116" s="279"/>
      <c r="CA116" s="279"/>
      <c r="CB116" s="280"/>
      <c r="CC116" s="280"/>
      <c r="CD116" s="280"/>
      <c r="CE116" s="280"/>
      <c r="CF116" s="280"/>
    </row>
    <row r="117" spans="1:84" s="326" customFormat="1" ht="42" customHeight="1" x14ac:dyDescent="0.25">
      <c r="A117" s="322"/>
      <c r="B117" s="312"/>
      <c r="C117" s="1604" t="s">
        <v>424</v>
      </c>
      <c r="D117" s="1604"/>
      <c r="E117" s="1604"/>
      <c r="F117" s="1604"/>
      <c r="G117" s="1604"/>
      <c r="H117" s="1604"/>
      <c r="I117" s="1604"/>
      <c r="J117" s="1604"/>
      <c r="K117" s="1604"/>
      <c r="L117" s="1604"/>
      <c r="M117" s="1604"/>
      <c r="N117" s="1604"/>
      <c r="O117" s="1604"/>
      <c r="P117" s="1604"/>
      <c r="Q117" s="1604"/>
      <c r="R117" s="1604"/>
      <c r="S117" s="1604"/>
      <c r="T117" s="1604"/>
      <c r="U117" s="1604"/>
      <c r="V117" s="1604"/>
      <c r="W117" s="1604"/>
      <c r="X117" s="1604"/>
      <c r="Y117" s="1604"/>
      <c r="Z117" s="1604"/>
      <c r="AA117" s="1604"/>
      <c r="AB117" s="1604"/>
      <c r="AC117" s="1604"/>
      <c r="AD117" s="1604"/>
      <c r="AE117" s="1604"/>
      <c r="AF117" s="1604"/>
      <c r="AG117" s="1604"/>
      <c r="AH117" s="1604"/>
      <c r="AI117" s="1604"/>
      <c r="AJ117" s="323"/>
      <c r="AK117" s="287"/>
      <c r="AL117" s="312"/>
      <c r="AM117" s="1604" t="s">
        <v>425</v>
      </c>
      <c r="AN117" s="1604"/>
      <c r="AO117" s="1604"/>
      <c r="AP117" s="1604"/>
      <c r="AQ117" s="1604"/>
      <c r="AR117" s="1604"/>
      <c r="AS117" s="1604"/>
      <c r="AT117" s="1604"/>
      <c r="AU117" s="1604"/>
      <c r="AV117" s="1604"/>
      <c r="AW117" s="1604"/>
      <c r="AX117" s="1604"/>
      <c r="AY117" s="1604"/>
      <c r="AZ117" s="1604"/>
      <c r="BA117" s="1604"/>
      <c r="BB117" s="1604"/>
      <c r="BC117" s="1604"/>
      <c r="BD117" s="1604"/>
      <c r="BE117" s="1604"/>
      <c r="BF117" s="1604"/>
      <c r="BG117" s="1604"/>
      <c r="BH117" s="1604"/>
      <c r="BI117" s="1604"/>
      <c r="BJ117" s="1604"/>
      <c r="BK117" s="1604"/>
      <c r="BL117" s="1604"/>
      <c r="BM117" s="1604"/>
      <c r="BN117" s="1604"/>
      <c r="BO117" s="1604"/>
      <c r="BP117" s="1604"/>
      <c r="BQ117" s="1604"/>
      <c r="BR117" s="1604"/>
      <c r="BS117" s="1604"/>
      <c r="BT117" s="295"/>
      <c r="BU117" s="295"/>
      <c r="BV117" s="310"/>
      <c r="BW117" s="310"/>
      <c r="BX117" s="291"/>
      <c r="BY117" s="323"/>
      <c r="BZ117" s="279"/>
      <c r="CA117" s="279"/>
      <c r="CB117" s="280"/>
      <c r="CC117" s="280"/>
      <c r="CD117" s="280"/>
      <c r="CE117" s="280"/>
      <c r="CF117" s="280"/>
    </row>
    <row r="118" spans="1:84" s="326" customFormat="1" ht="2.1" customHeight="1" x14ac:dyDescent="0.25">
      <c r="A118" s="322"/>
      <c r="B118" s="312"/>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314"/>
      <c r="AE118" s="314"/>
      <c r="AF118" s="314"/>
      <c r="AG118" s="314"/>
      <c r="AH118" s="314"/>
      <c r="AI118" s="314"/>
      <c r="AJ118" s="323"/>
      <c r="AK118" s="287"/>
      <c r="AL118" s="312"/>
      <c r="AM118" s="314"/>
      <c r="AN118" s="314"/>
      <c r="AO118" s="314"/>
      <c r="AP118" s="314"/>
      <c r="AQ118" s="314"/>
      <c r="AR118" s="314"/>
      <c r="AS118" s="314"/>
      <c r="AT118" s="314"/>
      <c r="AU118" s="314"/>
      <c r="AV118" s="314"/>
      <c r="AW118" s="314"/>
      <c r="AX118" s="314"/>
      <c r="AY118" s="314"/>
      <c r="AZ118" s="314"/>
      <c r="BA118" s="314"/>
      <c r="BB118" s="314"/>
      <c r="BC118" s="314"/>
      <c r="BD118" s="314"/>
      <c r="BE118" s="314"/>
      <c r="BF118" s="314"/>
      <c r="BG118" s="314"/>
      <c r="BH118" s="314"/>
      <c r="BI118" s="314"/>
      <c r="BJ118" s="314"/>
      <c r="BK118" s="314"/>
      <c r="BL118" s="314"/>
      <c r="BM118" s="314"/>
      <c r="BN118" s="314"/>
      <c r="BO118" s="314"/>
      <c r="BP118" s="314"/>
      <c r="BQ118" s="314"/>
      <c r="BR118" s="314"/>
      <c r="BS118" s="314"/>
      <c r="BT118" s="295"/>
      <c r="BU118" s="295"/>
      <c r="BV118" s="310"/>
      <c r="BW118" s="310"/>
      <c r="BX118" s="291"/>
      <c r="BY118" s="323"/>
      <c r="BZ118" s="279"/>
      <c r="CA118" s="279"/>
      <c r="CB118" s="280"/>
      <c r="CC118" s="280"/>
      <c r="CD118" s="280"/>
      <c r="CE118" s="280"/>
      <c r="CF118" s="280"/>
    </row>
    <row r="119" spans="1:84" s="326" customFormat="1" ht="12.95" customHeight="1" x14ac:dyDescent="0.25">
      <c r="A119" s="322"/>
      <c r="B119" s="312"/>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323"/>
      <c r="AK119" s="287"/>
      <c r="AL119" s="312"/>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c r="BR119" s="295"/>
      <c r="BS119" s="295"/>
      <c r="BT119" s="295"/>
      <c r="BU119" s="295"/>
      <c r="BV119" s="310"/>
      <c r="BW119" s="310"/>
      <c r="BX119" s="291"/>
      <c r="BY119" s="323"/>
      <c r="BZ119" s="279"/>
      <c r="CA119" s="279"/>
      <c r="CB119" s="280"/>
      <c r="CC119" s="280"/>
      <c r="CD119" s="280"/>
      <c r="CE119" s="280"/>
      <c r="CF119" s="280"/>
    </row>
    <row r="120" spans="1:84" s="326" customFormat="1" ht="15" customHeight="1" x14ac:dyDescent="0.25">
      <c r="A120" s="322" t="str">
        <f>subSTT</f>
        <v>2.7</v>
      </c>
      <c r="B120" s="312" t="s">
        <v>345</v>
      </c>
      <c r="C120" s="312" t="s">
        <v>426</v>
      </c>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c r="AI120" s="318"/>
      <c r="AJ120" s="323"/>
      <c r="AK120" s="287" t="str">
        <f>A120</f>
        <v>2.7</v>
      </c>
      <c r="AL120" s="312" t="s">
        <v>345</v>
      </c>
      <c r="AM120" s="312" t="s">
        <v>427</v>
      </c>
      <c r="AN120" s="318"/>
      <c r="AO120" s="318"/>
      <c r="AP120" s="318"/>
      <c r="AQ120" s="318"/>
      <c r="AR120" s="318"/>
      <c r="AS120" s="318"/>
      <c r="AT120" s="318"/>
      <c r="AU120" s="318"/>
      <c r="AV120" s="318"/>
      <c r="AW120" s="318"/>
      <c r="AX120" s="318"/>
      <c r="AY120" s="318"/>
      <c r="AZ120" s="318"/>
      <c r="BA120" s="318"/>
      <c r="BB120" s="318"/>
      <c r="BC120" s="318"/>
      <c r="BD120" s="318"/>
      <c r="BE120" s="318"/>
      <c r="BF120" s="318"/>
      <c r="BG120" s="318"/>
      <c r="BH120" s="318"/>
      <c r="BI120" s="318"/>
      <c r="BJ120" s="318"/>
      <c r="BK120" s="318"/>
      <c r="BL120" s="318"/>
      <c r="BM120" s="318"/>
      <c r="BN120" s="318"/>
      <c r="BO120" s="318"/>
      <c r="BP120" s="318"/>
      <c r="BQ120" s="318"/>
      <c r="BR120" s="318"/>
      <c r="BS120" s="318"/>
      <c r="BT120" s="295"/>
      <c r="BU120" s="295"/>
      <c r="BV120" s="310"/>
      <c r="BW120" s="310"/>
      <c r="BX120" s="291"/>
      <c r="BY120" s="323"/>
      <c r="BZ120" s="279"/>
      <c r="CA120" s="279"/>
      <c r="CB120" s="280"/>
      <c r="CC120" s="280"/>
      <c r="CD120" s="280"/>
      <c r="CE120" s="280"/>
      <c r="CF120" s="280"/>
    </row>
    <row r="121" spans="1:84" s="326" customFormat="1" ht="12.95" customHeight="1" x14ac:dyDescent="0.25">
      <c r="A121" s="332"/>
      <c r="B121" s="295"/>
      <c r="C121" s="1605"/>
      <c r="D121" s="1605"/>
      <c r="E121" s="1605"/>
      <c r="F121" s="1605"/>
      <c r="G121" s="1605"/>
      <c r="H121" s="1605"/>
      <c r="I121" s="1605"/>
      <c r="J121" s="1605"/>
      <c r="K121" s="1605"/>
      <c r="L121" s="1605"/>
      <c r="M121" s="1605"/>
      <c r="N121" s="1605"/>
      <c r="O121" s="1605"/>
      <c r="P121" s="1605"/>
      <c r="Q121" s="1605"/>
      <c r="R121" s="1605"/>
      <c r="S121" s="1605"/>
      <c r="T121" s="1605"/>
      <c r="U121" s="1605"/>
      <c r="V121" s="1605"/>
      <c r="W121" s="1605"/>
      <c r="X121" s="1605"/>
      <c r="Y121" s="1605"/>
      <c r="Z121" s="1605"/>
      <c r="AA121" s="1605"/>
      <c r="AB121" s="1605"/>
      <c r="AC121" s="1605"/>
      <c r="AD121" s="1605"/>
      <c r="AE121" s="1605"/>
      <c r="AF121" s="1605"/>
      <c r="AG121" s="1605"/>
      <c r="AH121" s="1605"/>
      <c r="AI121" s="1605"/>
      <c r="AJ121" s="323"/>
      <c r="AK121" s="276"/>
      <c r="AL121" s="312"/>
      <c r="AM121" s="1605" t="s">
        <v>407</v>
      </c>
      <c r="AN121" s="1605"/>
      <c r="AO121" s="1605"/>
      <c r="AP121" s="1605"/>
      <c r="AQ121" s="1605"/>
      <c r="AR121" s="1605"/>
      <c r="AS121" s="1605"/>
      <c r="AT121" s="1605"/>
      <c r="AU121" s="1605"/>
      <c r="AV121" s="1605"/>
      <c r="AW121" s="1605"/>
      <c r="AX121" s="1605"/>
      <c r="AY121" s="1605"/>
      <c r="AZ121" s="1605"/>
      <c r="BA121" s="1605"/>
      <c r="BB121" s="1605"/>
      <c r="BC121" s="1605"/>
      <c r="BD121" s="1605"/>
      <c r="BE121" s="1605"/>
      <c r="BF121" s="1605"/>
      <c r="BG121" s="1605"/>
      <c r="BH121" s="1605"/>
      <c r="BI121" s="1605"/>
      <c r="BJ121" s="1605"/>
      <c r="BK121" s="1605"/>
      <c r="BL121" s="1605"/>
      <c r="BM121" s="1605"/>
      <c r="BN121" s="1605"/>
      <c r="BO121" s="1605"/>
      <c r="BP121" s="1605"/>
      <c r="BQ121" s="1605"/>
      <c r="BR121" s="1605"/>
      <c r="BS121" s="1605"/>
      <c r="BT121" s="295"/>
      <c r="BU121" s="295"/>
      <c r="BV121" s="310"/>
      <c r="BW121" s="310"/>
      <c r="BX121" s="291"/>
      <c r="BY121" s="323"/>
      <c r="BZ121" s="279"/>
      <c r="CA121" s="279"/>
      <c r="CB121" s="280"/>
      <c r="CC121" s="280"/>
      <c r="CD121" s="280"/>
      <c r="CE121" s="280"/>
      <c r="CF121" s="280"/>
    </row>
    <row r="122" spans="1:84" s="326" customFormat="1" ht="67.5" hidden="1" customHeight="1" x14ac:dyDescent="0.25">
      <c r="A122" s="332"/>
      <c r="B122" s="295"/>
      <c r="C122" s="1603" t="s">
        <v>428</v>
      </c>
      <c r="D122" s="1603"/>
      <c r="E122" s="1603"/>
      <c r="F122" s="1603"/>
      <c r="G122" s="1603"/>
      <c r="H122" s="1603"/>
      <c r="I122" s="1603"/>
      <c r="J122" s="1603"/>
      <c r="K122" s="1603"/>
      <c r="L122" s="1603"/>
      <c r="M122" s="1603"/>
      <c r="N122" s="1603"/>
      <c r="O122" s="1603"/>
      <c r="P122" s="1603"/>
      <c r="Q122" s="1603"/>
      <c r="R122" s="1603"/>
      <c r="S122" s="1603"/>
      <c r="T122" s="1603"/>
      <c r="U122" s="1603"/>
      <c r="V122" s="1603"/>
      <c r="W122" s="1603"/>
      <c r="X122" s="1603"/>
      <c r="Y122" s="1603"/>
      <c r="Z122" s="1603"/>
      <c r="AA122" s="1603"/>
      <c r="AB122" s="1603"/>
      <c r="AC122" s="1603"/>
      <c r="AD122" s="1603"/>
      <c r="AE122" s="1603"/>
      <c r="AF122" s="1603"/>
      <c r="AG122" s="1603"/>
      <c r="AH122" s="1603"/>
      <c r="AI122" s="1603"/>
      <c r="AJ122" s="323"/>
      <c r="AK122" s="276"/>
      <c r="AL122" s="312"/>
      <c r="AM122" s="1603" t="s">
        <v>429</v>
      </c>
      <c r="AN122" s="1603"/>
      <c r="AO122" s="1603"/>
      <c r="AP122" s="1603"/>
      <c r="AQ122" s="1603"/>
      <c r="AR122" s="1603"/>
      <c r="AS122" s="1603"/>
      <c r="AT122" s="1603"/>
      <c r="AU122" s="1603"/>
      <c r="AV122" s="1603"/>
      <c r="AW122" s="1603"/>
      <c r="AX122" s="1603"/>
      <c r="AY122" s="1603"/>
      <c r="AZ122" s="1603"/>
      <c r="BA122" s="1603"/>
      <c r="BB122" s="1603"/>
      <c r="BC122" s="1603"/>
      <c r="BD122" s="1603"/>
      <c r="BE122" s="1603"/>
      <c r="BF122" s="1603"/>
      <c r="BG122" s="1603"/>
      <c r="BH122" s="1603"/>
      <c r="BI122" s="1603"/>
      <c r="BJ122" s="1603"/>
      <c r="BK122" s="1603"/>
      <c r="BL122" s="1603"/>
      <c r="BM122" s="1603"/>
      <c r="BN122" s="1603"/>
      <c r="BO122" s="1603"/>
      <c r="BP122" s="1603"/>
      <c r="BQ122" s="1603"/>
      <c r="BR122" s="1603"/>
      <c r="BS122" s="1603"/>
      <c r="BT122" s="295"/>
      <c r="BU122" s="295"/>
      <c r="BV122" s="310"/>
      <c r="BW122" s="310"/>
      <c r="BX122" s="291"/>
      <c r="BY122" s="323"/>
      <c r="BZ122" s="279"/>
      <c r="CA122" s="279"/>
      <c r="CB122" s="280"/>
      <c r="CC122" s="280"/>
      <c r="CD122" s="280"/>
      <c r="CE122" s="280"/>
      <c r="CF122" s="280"/>
    </row>
    <row r="123" spans="1:84" s="326" customFormat="1" ht="12.95" hidden="1" customHeight="1" x14ac:dyDescent="0.25">
      <c r="A123" s="332"/>
      <c r="B123" s="295"/>
      <c r="C123" s="1603"/>
      <c r="D123" s="1603"/>
      <c r="E123" s="1603"/>
      <c r="F123" s="1603"/>
      <c r="G123" s="1603"/>
      <c r="H123" s="1603"/>
      <c r="I123" s="1603"/>
      <c r="J123" s="1603"/>
      <c r="K123" s="1603"/>
      <c r="L123" s="1603"/>
      <c r="M123" s="1603"/>
      <c r="N123" s="1603"/>
      <c r="O123" s="1603"/>
      <c r="P123" s="1603"/>
      <c r="Q123" s="1603"/>
      <c r="R123" s="1603"/>
      <c r="S123" s="1603"/>
      <c r="T123" s="1603"/>
      <c r="U123" s="1603"/>
      <c r="V123" s="1603"/>
      <c r="W123" s="1603"/>
      <c r="X123" s="1603"/>
      <c r="Y123" s="1603"/>
      <c r="Z123" s="1603"/>
      <c r="AA123" s="1603"/>
      <c r="AB123" s="1603"/>
      <c r="AC123" s="1603"/>
      <c r="AD123" s="1603"/>
      <c r="AE123" s="1603"/>
      <c r="AF123" s="1603"/>
      <c r="AG123" s="1603"/>
      <c r="AH123" s="1603"/>
      <c r="AI123" s="1603"/>
      <c r="AJ123" s="323"/>
      <c r="AK123" s="276"/>
      <c r="AL123" s="312"/>
      <c r="AM123" s="1603"/>
      <c r="AN123" s="1603"/>
      <c r="AO123" s="1603"/>
      <c r="AP123" s="1603"/>
      <c r="AQ123" s="1603"/>
      <c r="AR123" s="1603"/>
      <c r="AS123" s="1603"/>
      <c r="AT123" s="1603"/>
      <c r="AU123" s="1603"/>
      <c r="AV123" s="1603"/>
      <c r="AW123" s="1603"/>
      <c r="AX123" s="1603"/>
      <c r="AY123" s="1603"/>
      <c r="AZ123" s="1603"/>
      <c r="BA123" s="1603"/>
      <c r="BB123" s="1603"/>
      <c r="BC123" s="1603"/>
      <c r="BD123" s="1603"/>
      <c r="BE123" s="1603"/>
      <c r="BF123" s="1603"/>
      <c r="BG123" s="1603"/>
      <c r="BH123" s="1603"/>
      <c r="BI123" s="1603"/>
      <c r="BJ123" s="1603"/>
      <c r="BK123" s="1603"/>
      <c r="BL123" s="1603"/>
      <c r="BM123" s="1603"/>
      <c r="BN123" s="1603"/>
      <c r="BO123" s="1603"/>
      <c r="BP123" s="1603"/>
      <c r="BQ123" s="1603"/>
      <c r="BR123" s="1603"/>
      <c r="BS123" s="1603"/>
      <c r="BT123" s="295"/>
      <c r="BU123" s="295"/>
      <c r="BV123" s="310"/>
      <c r="BW123" s="310"/>
      <c r="BX123" s="291"/>
      <c r="BY123" s="323"/>
      <c r="BZ123" s="279"/>
      <c r="CA123" s="279"/>
      <c r="CB123" s="280"/>
      <c r="CC123" s="280"/>
      <c r="CD123" s="280"/>
      <c r="CE123" s="280"/>
      <c r="CF123" s="280"/>
    </row>
    <row r="124" spans="1:84" s="326" customFormat="1" ht="29.1" customHeight="1" x14ac:dyDescent="0.25">
      <c r="A124" s="332"/>
      <c r="B124" s="295"/>
      <c r="C124" s="1603" t="s">
        <v>430</v>
      </c>
      <c r="D124" s="1603"/>
      <c r="E124" s="1603"/>
      <c r="F124" s="1603"/>
      <c r="G124" s="1603"/>
      <c r="H124" s="1603"/>
      <c r="I124" s="1603"/>
      <c r="J124" s="1603"/>
      <c r="K124" s="1603"/>
      <c r="L124" s="1603"/>
      <c r="M124" s="1603"/>
      <c r="N124" s="1603"/>
      <c r="O124" s="1603"/>
      <c r="P124" s="1603"/>
      <c r="Q124" s="1603"/>
      <c r="R124" s="1603"/>
      <c r="S124" s="1603"/>
      <c r="T124" s="1603"/>
      <c r="U124" s="1603"/>
      <c r="V124" s="1603"/>
      <c r="W124" s="1603"/>
      <c r="X124" s="1603"/>
      <c r="Y124" s="1603"/>
      <c r="Z124" s="1603"/>
      <c r="AA124" s="1603"/>
      <c r="AB124" s="1603"/>
      <c r="AC124" s="1603"/>
      <c r="AD124" s="1603"/>
      <c r="AE124" s="1603"/>
      <c r="AF124" s="1603"/>
      <c r="AG124" s="1603"/>
      <c r="AH124" s="1603"/>
      <c r="AI124" s="1603"/>
      <c r="AJ124" s="323"/>
      <c r="AK124" s="276"/>
      <c r="AL124" s="312"/>
      <c r="AM124" s="1603" t="s">
        <v>431</v>
      </c>
      <c r="AN124" s="1603"/>
      <c r="AO124" s="1603"/>
      <c r="AP124" s="1603"/>
      <c r="AQ124" s="1603"/>
      <c r="AR124" s="1603"/>
      <c r="AS124" s="1603"/>
      <c r="AT124" s="1603"/>
      <c r="AU124" s="1603"/>
      <c r="AV124" s="1603"/>
      <c r="AW124" s="1603"/>
      <c r="AX124" s="1603"/>
      <c r="AY124" s="1603"/>
      <c r="AZ124" s="1603"/>
      <c r="BA124" s="1603"/>
      <c r="BB124" s="1603"/>
      <c r="BC124" s="1603"/>
      <c r="BD124" s="1603"/>
      <c r="BE124" s="1603"/>
      <c r="BF124" s="1603"/>
      <c r="BG124" s="1603"/>
      <c r="BH124" s="1603"/>
      <c r="BI124" s="1603"/>
      <c r="BJ124" s="1603"/>
      <c r="BK124" s="1603"/>
      <c r="BL124" s="1603"/>
      <c r="BM124" s="1603"/>
      <c r="BN124" s="1603"/>
      <c r="BO124" s="1603"/>
      <c r="BP124" s="1603"/>
      <c r="BQ124" s="1603"/>
      <c r="BR124" s="1603"/>
      <c r="BS124" s="1603"/>
      <c r="BT124" s="295"/>
      <c r="BU124" s="295"/>
      <c r="BV124" s="310"/>
      <c r="BW124" s="310"/>
      <c r="BX124" s="291"/>
      <c r="BY124" s="323"/>
      <c r="BZ124" s="279"/>
      <c r="CA124" s="279"/>
      <c r="CB124" s="280"/>
      <c r="CC124" s="280"/>
      <c r="CD124" s="280"/>
      <c r="CE124" s="280"/>
      <c r="CF124" s="280"/>
    </row>
    <row r="125" spans="1:84" s="326" customFormat="1" ht="12.95" hidden="1" customHeight="1" x14ac:dyDescent="0.25">
      <c r="A125" s="332"/>
      <c r="B125" s="295"/>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c r="AI125" s="318"/>
      <c r="AJ125" s="323"/>
      <c r="AK125" s="276"/>
      <c r="AL125" s="312"/>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c r="BR125" s="318"/>
      <c r="BS125" s="318"/>
      <c r="BT125" s="295"/>
      <c r="BU125" s="295"/>
      <c r="BV125" s="310"/>
      <c r="BW125" s="310"/>
      <c r="BX125" s="291"/>
      <c r="BY125" s="323"/>
      <c r="BZ125" s="279"/>
      <c r="CA125" s="279"/>
      <c r="CB125" s="280"/>
      <c r="CC125" s="280"/>
      <c r="CD125" s="280"/>
      <c r="CE125" s="280"/>
      <c r="CF125" s="280"/>
    </row>
    <row r="126" spans="1:84" s="326" customFormat="1" ht="42" hidden="1" customHeight="1" x14ac:dyDescent="0.25">
      <c r="A126" s="332"/>
      <c r="B126" s="295"/>
      <c r="C126" s="1603" t="s">
        <v>432</v>
      </c>
      <c r="D126" s="1603"/>
      <c r="E126" s="1603"/>
      <c r="F126" s="1603"/>
      <c r="G126" s="1603"/>
      <c r="H126" s="1603"/>
      <c r="I126" s="1603"/>
      <c r="J126" s="1603"/>
      <c r="K126" s="1603"/>
      <c r="L126" s="1603"/>
      <c r="M126" s="1603"/>
      <c r="N126" s="1603"/>
      <c r="O126" s="1603"/>
      <c r="P126" s="1603"/>
      <c r="Q126" s="1603"/>
      <c r="R126" s="1603"/>
      <c r="S126" s="1603"/>
      <c r="T126" s="1603"/>
      <c r="U126" s="1603"/>
      <c r="V126" s="1603"/>
      <c r="W126" s="1603"/>
      <c r="X126" s="1603"/>
      <c r="Y126" s="1603"/>
      <c r="Z126" s="1603"/>
      <c r="AA126" s="1603"/>
      <c r="AB126" s="1603"/>
      <c r="AC126" s="1603"/>
      <c r="AD126" s="1603"/>
      <c r="AE126" s="1603"/>
      <c r="AF126" s="1603"/>
      <c r="AG126" s="1603"/>
      <c r="AH126" s="1603"/>
      <c r="AI126" s="1603"/>
      <c r="AJ126" s="323"/>
      <c r="AK126" s="276"/>
      <c r="AL126" s="312"/>
      <c r="AM126" s="1603" t="s">
        <v>433</v>
      </c>
      <c r="AN126" s="1603"/>
      <c r="AO126" s="1603"/>
      <c r="AP126" s="1603"/>
      <c r="AQ126" s="1603"/>
      <c r="AR126" s="1603"/>
      <c r="AS126" s="1603"/>
      <c r="AT126" s="1603"/>
      <c r="AU126" s="1603"/>
      <c r="AV126" s="1603"/>
      <c r="AW126" s="1603"/>
      <c r="AX126" s="1603"/>
      <c r="AY126" s="1603"/>
      <c r="AZ126" s="1603"/>
      <c r="BA126" s="1603"/>
      <c r="BB126" s="1603"/>
      <c r="BC126" s="1603"/>
      <c r="BD126" s="1603"/>
      <c r="BE126" s="1603"/>
      <c r="BF126" s="1603"/>
      <c r="BG126" s="1603"/>
      <c r="BH126" s="1603"/>
      <c r="BI126" s="1603"/>
      <c r="BJ126" s="1603"/>
      <c r="BK126" s="1603"/>
      <c r="BL126" s="1603"/>
      <c r="BM126" s="1603"/>
      <c r="BN126" s="1603"/>
      <c r="BO126" s="1603"/>
      <c r="BP126" s="1603"/>
      <c r="BQ126" s="1603"/>
      <c r="BR126" s="1603"/>
      <c r="BS126" s="1603"/>
      <c r="BT126" s="295"/>
      <c r="BU126" s="295"/>
      <c r="BV126" s="310"/>
      <c r="BW126" s="310"/>
      <c r="BX126" s="291"/>
      <c r="BY126" s="323"/>
      <c r="BZ126" s="279"/>
      <c r="CA126" s="279"/>
      <c r="CB126" s="280"/>
      <c r="CC126" s="280"/>
      <c r="CD126" s="280"/>
      <c r="CE126" s="280"/>
      <c r="CF126" s="280"/>
    </row>
    <row r="127" spans="1:84" s="326" customFormat="1" ht="12.95" customHeight="1" x14ac:dyDescent="0.25">
      <c r="A127" s="332"/>
      <c r="B127" s="295"/>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c r="AI127" s="318"/>
      <c r="AJ127" s="323"/>
      <c r="AK127" s="276"/>
      <c r="AL127" s="312"/>
      <c r="AM127" s="318"/>
      <c r="AN127" s="318"/>
      <c r="AO127" s="318"/>
      <c r="AP127" s="318"/>
      <c r="AQ127" s="318"/>
      <c r="AR127" s="318"/>
      <c r="AS127" s="318"/>
      <c r="AT127" s="318"/>
      <c r="AU127" s="318"/>
      <c r="AV127" s="318"/>
      <c r="AW127" s="318"/>
      <c r="AX127" s="318"/>
      <c r="AY127" s="318"/>
      <c r="AZ127" s="318"/>
      <c r="BA127" s="318"/>
      <c r="BB127" s="318"/>
      <c r="BC127" s="318"/>
      <c r="BD127" s="318"/>
      <c r="BE127" s="318"/>
      <c r="BF127" s="318"/>
      <c r="BG127" s="318"/>
      <c r="BH127" s="318"/>
      <c r="BI127" s="318"/>
      <c r="BJ127" s="318"/>
      <c r="BK127" s="318"/>
      <c r="BL127" s="318"/>
      <c r="BM127" s="318"/>
      <c r="BN127" s="318"/>
      <c r="BO127" s="318"/>
      <c r="BP127" s="318"/>
      <c r="BQ127" s="318"/>
      <c r="BR127" s="318"/>
      <c r="BS127" s="318"/>
      <c r="BT127" s="295"/>
      <c r="BU127" s="295"/>
      <c r="BV127" s="310"/>
      <c r="BW127" s="310"/>
      <c r="BX127" s="291"/>
      <c r="BY127" s="323"/>
      <c r="BZ127" s="279"/>
      <c r="CA127" s="279"/>
      <c r="CB127" s="280"/>
      <c r="CC127" s="280"/>
      <c r="CD127" s="280"/>
      <c r="CE127" s="280"/>
      <c r="CF127" s="280"/>
    </row>
    <row r="128" spans="1:84" s="326" customFormat="1" ht="56.1" customHeight="1" x14ac:dyDescent="0.25">
      <c r="A128" s="332"/>
      <c r="B128" s="295"/>
      <c r="C128" s="1604" t="s">
        <v>434</v>
      </c>
      <c r="D128" s="1603"/>
      <c r="E128" s="1603"/>
      <c r="F128" s="1603"/>
      <c r="G128" s="1603"/>
      <c r="H128" s="1603"/>
      <c r="I128" s="1603"/>
      <c r="J128" s="1603"/>
      <c r="K128" s="1603"/>
      <c r="L128" s="1603"/>
      <c r="M128" s="1603"/>
      <c r="N128" s="1603"/>
      <c r="O128" s="1603"/>
      <c r="P128" s="1603"/>
      <c r="Q128" s="1603"/>
      <c r="R128" s="1603"/>
      <c r="S128" s="1603"/>
      <c r="T128" s="1603"/>
      <c r="U128" s="1603"/>
      <c r="V128" s="1603"/>
      <c r="W128" s="1603"/>
      <c r="X128" s="1603"/>
      <c r="Y128" s="1603"/>
      <c r="Z128" s="1603"/>
      <c r="AA128" s="1603"/>
      <c r="AB128" s="1603"/>
      <c r="AC128" s="1603"/>
      <c r="AD128" s="1603"/>
      <c r="AE128" s="1603"/>
      <c r="AF128" s="1603"/>
      <c r="AG128" s="1603"/>
      <c r="AH128" s="1603"/>
      <c r="AI128" s="1603"/>
      <c r="AJ128" s="323"/>
      <c r="AK128" s="276"/>
      <c r="AL128" s="312"/>
      <c r="AM128" s="1604" t="s">
        <v>435</v>
      </c>
      <c r="AN128" s="1603"/>
      <c r="AO128" s="1603"/>
      <c r="AP128" s="1603"/>
      <c r="AQ128" s="1603"/>
      <c r="AR128" s="1603"/>
      <c r="AS128" s="1603"/>
      <c r="AT128" s="1603"/>
      <c r="AU128" s="1603"/>
      <c r="AV128" s="1603"/>
      <c r="AW128" s="1603"/>
      <c r="AX128" s="1603"/>
      <c r="AY128" s="1603"/>
      <c r="AZ128" s="1603"/>
      <c r="BA128" s="1603"/>
      <c r="BB128" s="1603"/>
      <c r="BC128" s="1603"/>
      <c r="BD128" s="1603"/>
      <c r="BE128" s="1603"/>
      <c r="BF128" s="1603"/>
      <c r="BG128" s="1603"/>
      <c r="BH128" s="1603"/>
      <c r="BI128" s="1603"/>
      <c r="BJ128" s="1603"/>
      <c r="BK128" s="1603"/>
      <c r="BL128" s="1603"/>
      <c r="BM128" s="1603"/>
      <c r="BN128" s="1603"/>
      <c r="BO128" s="1603"/>
      <c r="BP128" s="1603"/>
      <c r="BQ128" s="1603"/>
      <c r="BR128" s="1603"/>
      <c r="BS128" s="1603"/>
      <c r="BT128" s="295"/>
      <c r="BU128" s="295"/>
      <c r="BV128" s="310"/>
      <c r="BW128" s="310"/>
      <c r="BX128" s="291"/>
      <c r="BY128" s="323"/>
      <c r="BZ128" s="279"/>
      <c r="CA128" s="279"/>
      <c r="CB128" s="280"/>
      <c r="CC128" s="280"/>
      <c r="CD128" s="280"/>
      <c r="CE128" s="280"/>
      <c r="CF128" s="280"/>
    </row>
    <row r="129" spans="1:84" s="326" customFormat="1" ht="12.95" customHeight="1" x14ac:dyDescent="0.25">
      <c r="A129" s="332"/>
      <c r="B129" s="295"/>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c r="AH129" s="318"/>
      <c r="AI129" s="318"/>
      <c r="AJ129" s="323"/>
      <c r="AK129" s="276"/>
      <c r="AL129" s="312"/>
      <c r="AM129" s="318"/>
      <c r="AN129" s="318"/>
      <c r="AO129" s="318"/>
      <c r="AP129" s="318"/>
      <c r="AQ129" s="318"/>
      <c r="AR129" s="318"/>
      <c r="AS129" s="318"/>
      <c r="AT129" s="318"/>
      <c r="AU129" s="318"/>
      <c r="AV129" s="318"/>
      <c r="AW129" s="318"/>
      <c r="AX129" s="318"/>
      <c r="AY129" s="318"/>
      <c r="AZ129" s="318"/>
      <c r="BA129" s="318"/>
      <c r="BB129" s="318"/>
      <c r="BC129" s="318"/>
      <c r="BD129" s="318"/>
      <c r="BE129" s="318"/>
      <c r="BF129" s="318"/>
      <c r="BG129" s="318"/>
      <c r="BH129" s="318"/>
      <c r="BI129" s="318"/>
      <c r="BJ129" s="318"/>
      <c r="BK129" s="318"/>
      <c r="BL129" s="318"/>
      <c r="BM129" s="318"/>
      <c r="BN129" s="318"/>
      <c r="BO129" s="318"/>
      <c r="BP129" s="318"/>
      <c r="BQ129" s="318"/>
      <c r="BR129" s="318"/>
      <c r="BS129" s="318"/>
      <c r="BT129" s="295"/>
      <c r="BU129" s="295"/>
      <c r="BV129" s="310"/>
      <c r="BW129" s="310"/>
      <c r="BX129" s="291"/>
      <c r="BY129" s="323"/>
      <c r="BZ129" s="279"/>
      <c r="CA129" s="279"/>
      <c r="CB129" s="280"/>
      <c r="CC129" s="280"/>
      <c r="CD129" s="280"/>
      <c r="CE129" s="280"/>
      <c r="CF129" s="280"/>
    </row>
    <row r="130" spans="1:84" s="326" customFormat="1" ht="27.95" customHeight="1" x14ac:dyDescent="0.25">
      <c r="A130" s="332"/>
      <c r="B130" s="295"/>
      <c r="C130" s="1604" t="s">
        <v>436</v>
      </c>
      <c r="D130" s="1603"/>
      <c r="E130" s="1603"/>
      <c r="F130" s="1603"/>
      <c r="G130" s="1603"/>
      <c r="H130" s="1603"/>
      <c r="I130" s="1603"/>
      <c r="J130" s="1603"/>
      <c r="K130" s="1603"/>
      <c r="L130" s="1603"/>
      <c r="M130" s="1603"/>
      <c r="N130" s="1603"/>
      <c r="O130" s="1603"/>
      <c r="P130" s="1603"/>
      <c r="Q130" s="1603"/>
      <c r="R130" s="1603"/>
      <c r="S130" s="1603"/>
      <c r="T130" s="1603"/>
      <c r="U130" s="1603"/>
      <c r="V130" s="1603"/>
      <c r="W130" s="1603"/>
      <c r="X130" s="1603"/>
      <c r="Y130" s="1603"/>
      <c r="Z130" s="1603"/>
      <c r="AA130" s="1603"/>
      <c r="AB130" s="1603"/>
      <c r="AC130" s="1603"/>
      <c r="AD130" s="1603"/>
      <c r="AE130" s="1603"/>
      <c r="AF130" s="1603"/>
      <c r="AG130" s="1603"/>
      <c r="AH130" s="1603"/>
      <c r="AI130" s="1603"/>
      <c r="AJ130" s="323"/>
      <c r="AK130" s="276"/>
      <c r="AL130" s="312"/>
      <c r="AM130" s="1604" t="s">
        <v>437</v>
      </c>
      <c r="AN130" s="1603"/>
      <c r="AO130" s="1603"/>
      <c r="AP130" s="1603"/>
      <c r="AQ130" s="1603"/>
      <c r="AR130" s="1603"/>
      <c r="AS130" s="1603"/>
      <c r="AT130" s="1603"/>
      <c r="AU130" s="1603"/>
      <c r="AV130" s="1603"/>
      <c r="AW130" s="1603"/>
      <c r="AX130" s="1603"/>
      <c r="AY130" s="1603"/>
      <c r="AZ130" s="1603"/>
      <c r="BA130" s="1603"/>
      <c r="BB130" s="1603"/>
      <c r="BC130" s="1603"/>
      <c r="BD130" s="1603"/>
      <c r="BE130" s="1603"/>
      <c r="BF130" s="1603"/>
      <c r="BG130" s="1603"/>
      <c r="BH130" s="1603"/>
      <c r="BI130" s="1603"/>
      <c r="BJ130" s="1603"/>
      <c r="BK130" s="1603"/>
      <c r="BL130" s="1603"/>
      <c r="BM130" s="1603"/>
      <c r="BN130" s="1603"/>
      <c r="BO130" s="1603"/>
      <c r="BP130" s="1603"/>
      <c r="BQ130" s="1603"/>
      <c r="BR130" s="1603"/>
      <c r="BS130" s="1603"/>
      <c r="BT130" s="295"/>
      <c r="BU130" s="295"/>
      <c r="BV130" s="310"/>
      <c r="BW130" s="310"/>
      <c r="BX130" s="291"/>
      <c r="BY130" s="323"/>
      <c r="BZ130" s="279"/>
      <c r="CA130" s="279"/>
      <c r="CB130" s="280"/>
      <c r="CC130" s="280"/>
      <c r="CD130" s="280"/>
      <c r="CE130" s="280"/>
      <c r="CF130" s="280"/>
    </row>
    <row r="131" spans="1:84" s="326" customFormat="1" ht="12.95" hidden="1" customHeight="1" x14ac:dyDescent="0.25">
      <c r="A131" s="332"/>
      <c r="B131" s="295"/>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23"/>
      <c r="AK131" s="276"/>
      <c r="AL131" s="312"/>
      <c r="AM131" s="318"/>
      <c r="AN131" s="318"/>
      <c r="AO131" s="318"/>
      <c r="AP131" s="318"/>
      <c r="AQ131" s="318"/>
      <c r="AR131" s="318"/>
      <c r="AS131" s="318"/>
      <c r="AT131" s="318"/>
      <c r="AU131" s="318"/>
      <c r="AV131" s="318"/>
      <c r="AW131" s="318"/>
      <c r="AX131" s="318"/>
      <c r="AY131" s="318"/>
      <c r="AZ131" s="318"/>
      <c r="BA131" s="318"/>
      <c r="BB131" s="318"/>
      <c r="BC131" s="318"/>
      <c r="BD131" s="318"/>
      <c r="BE131" s="318"/>
      <c r="BF131" s="318"/>
      <c r="BG131" s="318"/>
      <c r="BH131" s="318"/>
      <c r="BI131" s="318"/>
      <c r="BJ131" s="318"/>
      <c r="BK131" s="318"/>
      <c r="BL131" s="318"/>
      <c r="BM131" s="318"/>
      <c r="BN131" s="318"/>
      <c r="BO131" s="318"/>
      <c r="BP131" s="318"/>
      <c r="BQ131" s="318"/>
      <c r="BR131" s="318"/>
      <c r="BS131" s="318"/>
      <c r="BT131" s="295"/>
      <c r="BU131" s="295"/>
      <c r="BV131" s="310"/>
      <c r="BW131" s="310"/>
      <c r="BX131" s="291"/>
      <c r="BY131" s="323"/>
      <c r="BZ131" s="279"/>
      <c r="CA131" s="279"/>
      <c r="CB131" s="280"/>
      <c r="CC131" s="280"/>
      <c r="CD131" s="280"/>
      <c r="CE131" s="280"/>
      <c r="CF131" s="280"/>
    </row>
    <row r="132" spans="1:84" s="326" customFormat="1" ht="54.95" hidden="1" customHeight="1" x14ac:dyDescent="0.25">
      <c r="A132" s="332"/>
      <c r="B132" s="295"/>
      <c r="C132" s="1604" t="s">
        <v>438</v>
      </c>
      <c r="D132" s="1603"/>
      <c r="E132" s="1603"/>
      <c r="F132" s="1603"/>
      <c r="G132" s="1603"/>
      <c r="H132" s="1603"/>
      <c r="I132" s="1603"/>
      <c r="J132" s="1603"/>
      <c r="K132" s="1603"/>
      <c r="L132" s="1603"/>
      <c r="M132" s="1603"/>
      <c r="N132" s="1603"/>
      <c r="O132" s="1603"/>
      <c r="P132" s="1603"/>
      <c r="Q132" s="1603"/>
      <c r="R132" s="1603"/>
      <c r="S132" s="1603"/>
      <c r="T132" s="1603"/>
      <c r="U132" s="1603"/>
      <c r="V132" s="1603"/>
      <c r="W132" s="1603"/>
      <c r="X132" s="1603"/>
      <c r="Y132" s="1603"/>
      <c r="Z132" s="1603"/>
      <c r="AA132" s="1603"/>
      <c r="AB132" s="1603"/>
      <c r="AC132" s="1603"/>
      <c r="AD132" s="1603"/>
      <c r="AE132" s="1603"/>
      <c r="AF132" s="1603"/>
      <c r="AG132" s="1603"/>
      <c r="AH132" s="1603"/>
      <c r="AI132" s="1603"/>
      <c r="AJ132" s="323"/>
      <c r="AK132" s="276"/>
      <c r="AL132" s="312"/>
      <c r="AM132" s="1604" t="s">
        <v>439</v>
      </c>
      <c r="AN132" s="1603"/>
      <c r="AO132" s="1603"/>
      <c r="AP132" s="1603"/>
      <c r="AQ132" s="1603"/>
      <c r="AR132" s="1603"/>
      <c r="AS132" s="1603"/>
      <c r="AT132" s="1603"/>
      <c r="AU132" s="1603"/>
      <c r="AV132" s="1603"/>
      <c r="AW132" s="1603"/>
      <c r="AX132" s="1603"/>
      <c r="AY132" s="1603"/>
      <c r="AZ132" s="1603"/>
      <c r="BA132" s="1603"/>
      <c r="BB132" s="1603"/>
      <c r="BC132" s="1603"/>
      <c r="BD132" s="1603"/>
      <c r="BE132" s="1603"/>
      <c r="BF132" s="1603"/>
      <c r="BG132" s="1603"/>
      <c r="BH132" s="1603"/>
      <c r="BI132" s="1603"/>
      <c r="BJ132" s="1603"/>
      <c r="BK132" s="1603"/>
      <c r="BL132" s="1603"/>
      <c r="BM132" s="1603"/>
      <c r="BN132" s="1603"/>
      <c r="BO132" s="1603"/>
      <c r="BP132" s="1603"/>
      <c r="BQ132" s="1603"/>
      <c r="BR132" s="1603"/>
      <c r="BS132" s="1603"/>
      <c r="BT132" s="295"/>
      <c r="BU132" s="295"/>
      <c r="BV132" s="310"/>
      <c r="BW132" s="310"/>
      <c r="BX132" s="291"/>
      <c r="BY132" s="323"/>
      <c r="BZ132" s="279"/>
      <c r="CA132" s="279"/>
      <c r="CB132" s="280"/>
      <c r="CC132" s="280"/>
      <c r="CD132" s="280"/>
      <c r="CE132" s="280"/>
      <c r="CF132" s="280"/>
    </row>
    <row r="133" spans="1:84" s="326" customFormat="1" ht="12.95" customHeight="1" x14ac:dyDescent="0.25">
      <c r="A133" s="332"/>
      <c r="B133" s="295"/>
      <c r="C133" s="1611"/>
      <c r="D133" s="1605"/>
      <c r="E133" s="1605"/>
      <c r="F133" s="1605"/>
      <c r="G133" s="1605"/>
      <c r="H133" s="1605"/>
      <c r="I133" s="1605"/>
      <c r="J133" s="1605"/>
      <c r="K133" s="1605"/>
      <c r="L133" s="1605"/>
      <c r="M133" s="1605"/>
      <c r="N133" s="1605"/>
      <c r="O133" s="1605"/>
      <c r="P133" s="1605"/>
      <c r="Q133" s="1605"/>
      <c r="R133" s="1605"/>
      <c r="S133" s="1605"/>
      <c r="T133" s="1605"/>
      <c r="U133" s="1605"/>
      <c r="V133" s="1605"/>
      <c r="W133" s="1605"/>
      <c r="X133" s="1605"/>
      <c r="Y133" s="1605"/>
      <c r="Z133" s="1605"/>
      <c r="AA133" s="1605"/>
      <c r="AB133" s="1605"/>
      <c r="AC133" s="1605"/>
      <c r="AD133" s="1605"/>
      <c r="AE133" s="1605"/>
      <c r="AF133" s="1605"/>
      <c r="AG133" s="1605"/>
      <c r="AH133" s="1605"/>
      <c r="AI133" s="1605"/>
      <c r="AJ133" s="323"/>
      <c r="AK133" s="276"/>
      <c r="AL133" s="312"/>
      <c r="AM133" s="318"/>
      <c r="AN133" s="318"/>
      <c r="AO133" s="318"/>
      <c r="AP133" s="318"/>
      <c r="AQ133" s="318"/>
      <c r="AR133" s="318"/>
      <c r="AS133" s="318"/>
      <c r="AT133" s="318"/>
      <c r="AU133" s="318"/>
      <c r="AV133" s="318"/>
      <c r="AW133" s="318"/>
      <c r="AX133" s="318"/>
      <c r="AY133" s="318"/>
      <c r="AZ133" s="318"/>
      <c r="BA133" s="318"/>
      <c r="BB133" s="318"/>
      <c r="BC133" s="318"/>
      <c r="BD133" s="318"/>
      <c r="BE133" s="318"/>
      <c r="BF133" s="318"/>
      <c r="BG133" s="318"/>
      <c r="BH133" s="318"/>
      <c r="BI133" s="318"/>
      <c r="BJ133" s="318"/>
      <c r="BK133" s="318"/>
      <c r="BL133" s="318"/>
      <c r="BM133" s="318"/>
      <c r="BN133" s="318"/>
      <c r="BO133" s="318"/>
      <c r="BP133" s="318"/>
      <c r="BQ133" s="318"/>
      <c r="BR133" s="318"/>
      <c r="BS133" s="318"/>
      <c r="BT133" s="295"/>
      <c r="BU133" s="295"/>
      <c r="BV133" s="310"/>
      <c r="BW133" s="310"/>
      <c r="BX133" s="291"/>
      <c r="BY133" s="323"/>
      <c r="BZ133" s="279"/>
      <c r="CA133" s="279"/>
      <c r="CB133" s="280"/>
      <c r="CC133" s="280"/>
      <c r="CD133" s="280"/>
      <c r="CE133" s="280"/>
      <c r="CF133" s="280"/>
    </row>
    <row r="134" spans="1:84" s="326" customFormat="1" ht="15" customHeight="1" x14ac:dyDescent="0.25">
      <c r="A134" s="332"/>
      <c r="B134" s="295"/>
      <c r="C134" s="1604" t="s">
        <v>440</v>
      </c>
      <c r="D134" s="1603"/>
      <c r="E134" s="1603"/>
      <c r="F134" s="1603"/>
      <c r="G134" s="1603"/>
      <c r="H134" s="1603"/>
      <c r="I134" s="1603"/>
      <c r="J134" s="1603"/>
      <c r="K134" s="1603"/>
      <c r="L134" s="1603"/>
      <c r="M134" s="1603"/>
      <c r="N134" s="1603"/>
      <c r="O134" s="1603"/>
      <c r="P134" s="1603"/>
      <c r="Q134" s="1603"/>
      <c r="R134" s="1603"/>
      <c r="S134" s="1603"/>
      <c r="T134" s="1603"/>
      <c r="U134" s="1603"/>
      <c r="V134" s="1603"/>
      <c r="W134" s="1603"/>
      <c r="X134" s="1603"/>
      <c r="Y134" s="1603"/>
      <c r="Z134" s="1603"/>
      <c r="AA134" s="1603"/>
      <c r="AB134" s="1603"/>
      <c r="AC134" s="1603"/>
      <c r="AD134" s="1603"/>
      <c r="AE134" s="1603"/>
      <c r="AF134" s="1603"/>
      <c r="AG134" s="1603"/>
      <c r="AH134" s="1603"/>
      <c r="AI134" s="1603"/>
      <c r="AJ134" s="323"/>
      <c r="AK134" s="276"/>
      <c r="AL134" s="312"/>
      <c r="AM134" s="1604" t="s">
        <v>441</v>
      </c>
      <c r="AN134" s="1603"/>
      <c r="AO134" s="1603"/>
      <c r="AP134" s="1603"/>
      <c r="AQ134" s="1603"/>
      <c r="AR134" s="1603"/>
      <c r="AS134" s="1603"/>
      <c r="AT134" s="1603"/>
      <c r="AU134" s="1603"/>
      <c r="AV134" s="1603"/>
      <c r="AW134" s="1603"/>
      <c r="AX134" s="1603"/>
      <c r="AY134" s="1603"/>
      <c r="AZ134" s="1603"/>
      <c r="BA134" s="1603"/>
      <c r="BB134" s="1603"/>
      <c r="BC134" s="1603"/>
      <c r="BD134" s="1603"/>
      <c r="BE134" s="1603"/>
      <c r="BF134" s="1603"/>
      <c r="BG134" s="1603"/>
      <c r="BH134" s="1603"/>
      <c r="BI134" s="1603"/>
      <c r="BJ134" s="1603"/>
      <c r="BK134" s="1603"/>
      <c r="BL134" s="1603"/>
      <c r="BM134" s="1603"/>
      <c r="BN134" s="1603"/>
      <c r="BO134" s="1603"/>
      <c r="BP134" s="1603"/>
      <c r="BQ134" s="1603"/>
      <c r="BR134" s="1603"/>
      <c r="BS134" s="1603"/>
      <c r="BT134" s="295"/>
      <c r="BU134" s="295"/>
      <c r="BV134" s="310"/>
      <c r="BW134" s="310"/>
      <c r="BX134" s="291"/>
      <c r="BY134" s="323"/>
      <c r="BZ134" s="279"/>
      <c r="CA134" s="279"/>
      <c r="CB134" s="280"/>
      <c r="CC134" s="280"/>
      <c r="CD134" s="280"/>
      <c r="CE134" s="280"/>
      <c r="CF134" s="280"/>
    </row>
    <row r="135" spans="1:84" s="326" customFormat="1" ht="42" hidden="1" customHeight="1" x14ac:dyDescent="0.25">
      <c r="A135" s="332"/>
      <c r="B135" s="295"/>
      <c r="C135" s="333" t="s">
        <v>355</v>
      </c>
      <c r="D135" s="1604" t="s">
        <v>442</v>
      </c>
      <c r="E135" s="1604"/>
      <c r="F135" s="1604"/>
      <c r="G135" s="1604"/>
      <c r="H135" s="1604"/>
      <c r="I135" s="1604"/>
      <c r="J135" s="1604"/>
      <c r="K135" s="1604"/>
      <c r="L135" s="1604"/>
      <c r="M135" s="1604"/>
      <c r="N135" s="1604"/>
      <c r="O135" s="1604"/>
      <c r="P135" s="1604"/>
      <c r="Q135" s="1604"/>
      <c r="R135" s="1604"/>
      <c r="S135" s="1604"/>
      <c r="T135" s="1604"/>
      <c r="U135" s="1604"/>
      <c r="V135" s="1604"/>
      <c r="W135" s="1604"/>
      <c r="X135" s="1604"/>
      <c r="Y135" s="1604"/>
      <c r="Z135" s="1604"/>
      <c r="AA135" s="1604"/>
      <c r="AB135" s="1604"/>
      <c r="AC135" s="1604"/>
      <c r="AD135" s="1604"/>
      <c r="AE135" s="1604"/>
      <c r="AF135" s="1604"/>
      <c r="AG135" s="1604"/>
      <c r="AH135" s="1604"/>
      <c r="AI135" s="1604"/>
      <c r="AJ135" s="327"/>
      <c r="AK135" s="318"/>
      <c r="AL135" s="328"/>
      <c r="AM135" s="333" t="s">
        <v>355</v>
      </c>
      <c r="AN135" s="1604" t="s">
        <v>443</v>
      </c>
      <c r="AO135" s="1604"/>
      <c r="AP135" s="1604"/>
      <c r="AQ135" s="1604"/>
      <c r="AR135" s="1604"/>
      <c r="AS135" s="1604"/>
      <c r="AT135" s="1604"/>
      <c r="AU135" s="1604"/>
      <c r="AV135" s="1604"/>
      <c r="AW135" s="1604"/>
      <c r="AX135" s="1604"/>
      <c r="AY135" s="1604"/>
      <c r="AZ135" s="1604"/>
      <c r="BA135" s="1604"/>
      <c r="BB135" s="1604"/>
      <c r="BC135" s="1604"/>
      <c r="BD135" s="1604"/>
      <c r="BE135" s="1604"/>
      <c r="BF135" s="1604"/>
      <c r="BG135" s="1604"/>
      <c r="BH135" s="1604"/>
      <c r="BI135" s="1604"/>
      <c r="BJ135" s="1604"/>
      <c r="BK135" s="1604"/>
      <c r="BL135" s="1604"/>
      <c r="BM135" s="1604"/>
      <c r="BN135" s="1604"/>
      <c r="BO135" s="1604"/>
      <c r="BP135" s="1604"/>
      <c r="BQ135" s="1604"/>
      <c r="BR135" s="1604"/>
      <c r="BS135" s="1604"/>
      <c r="BT135" s="295"/>
      <c r="BU135" s="295"/>
      <c r="BV135" s="310"/>
      <c r="BW135" s="310"/>
      <c r="BX135" s="291"/>
      <c r="BY135" s="323"/>
      <c r="BZ135" s="279"/>
      <c r="CA135" s="279"/>
      <c r="CB135" s="280"/>
      <c r="CC135" s="280"/>
      <c r="CD135" s="280"/>
      <c r="CE135" s="280"/>
      <c r="CF135" s="280"/>
    </row>
    <row r="136" spans="1:84" s="326" customFormat="1" ht="56.1" hidden="1" customHeight="1" x14ac:dyDescent="0.25">
      <c r="A136" s="332"/>
      <c r="B136" s="295"/>
      <c r="C136" s="317" t="s">
        <v>355</v>
      </c>
      <c r="D136" s="1604" t="s">
        <v>444</v>
      </c>
      <c r="E136" s="1604"/>
      <c r="F136" s="1604"/>
      <c r="G136" s="1604"/>
      <c r="H136" s="1604"/>
      <c r="I136" s="1604"/>
      <c r="J136" s="1604"/>
      <c r="K136" s="1604"/>
      <c r="L136" s="1604"/>
      <c r="M136" s="1604"/>
      <c r="N136" s="1604"/>
      <c r="O136" s="1604"/>
      <c r="P136" s="1604"/>
      <c r="Q136" s="1604"/>
      <c r="R136" s="1604"/>
      <c r="S136" s="1604"/>
      <c r="T136" s="1604"/>
      <c r="U136" s="1604"/>
      <c r="V136" s="1604"/>
      <c r="W136" s="1604"/>
      <c r="X136" s="1604"/>
      <c r="Y136" s="1604"/>
      <c r="Z136" s="1604"/>
      <c r="AA136" s="1604"/>
      <c r="AB136" s="1604"/>
      <c r="AC136" s="1604"/>
      <c r="AD136" s="1604"/>
      <c r="AE136" s="1604"/>
      <c r="AF136" s="1604"/>
      <c r="AG136" s="1604"/>
      <c r="AH136" s="1604"/>
      <c r="AI136" s="1604"/>
      <c r="AJ136" s="327"/>
      <c r="AK136" s="318"/>
      <c r="AL136" s="328"/>
      <c r="AM136" s="333" t="s">
        <v>355</v>
      </c>
      <c r="AN136" s="1604" t="s">
        <v>445</v>
      </c>
      <c r="AO136" s="1604"/>
      <c r="AP136" s="1604"/>
      <c r="AQ136" s="1604"/>
      <c r="AR136" s="1604"/>
      <c r="AS136" s="1604"/>
      <c r="AT136" s="1604"/>
      <c r="AU136" s="1604"/>
      <c r="AV136" s="1604"/>
      <c r="AW136" s="1604"/>
      <c r="AX136" s="1604"/>
      <c r="AY136" s="1604"/>
      <c r="AZ136" s="1604"/>
      <c r="BA136" s="1604"/>
      <c r="BB136" s="1604"/>
      <c r="BC136" s="1604"/>
      <c r="BD136" s="1604"/>
      <c r="BE136" s="1604"/>
      <c r="BF136" s="1604"/>
      <c r="BG136" s="1604"/>
      <c r="BH136" s="1604"/>
      <c r="BI136" s="1604"/>
      <c r="BJ136" s="1604"/>
      <c r="BK136" s="1604"/>
      <c r="BL136" s="1604"/>
      <c r="BM136" s="1604"/>
      <c r="BN136" s="1604"/>
      <c r="BO136" s="1604"/>
      <c r="BP136" s="1604"/>
      <c r="BQ136" s="1604"/>
      <c r="BR136" s="1604"/>
      <c r="BS136" s="1604"/>
      <c r="BT136" s="295"/>
      <c r="BU136" s="295"/>
      <c r="BV136" s="310"/>
      <c r="BW136" s="310"/>
      <c r="BX136" s="291"/>
      <c r="BY136" s="323"/>
      <c r="BZ136" s="279"/>
      <c r="CA136" s="279"/>
      <c r="CB136" s="280"/>
      <c r="CC136" s="280"/>
      <c r="CD136" s="280"/>
      <c r="CE136" s="280"/>
      <c r="CF136" s="280"/>
    </row>
    <row r="137" spans="1:84" s="326" customFormat="1" ht="58.5" customHeight="1" x14ac:dyDescent="0.25">
      <c r="A137" s="332"/>
      <c r="B137" s="295"/>
      <c r="C137" s="333" t="s">
        <v>355</v>
      </c>
      <c r="D137" s="1604" t="s">
        <v>446</v>
      </c>
      <c r="E137" s="1604"/>
      <c r="F137" s="1604"/>
      <c r="G137" s="1604"/>
      <c r="H137" s="1604"/>
      <c r="I137" s="1604"/>
      <c r="J137" s="1604"/>
      <c r="K137" s="1604"/>
      <c r="L137" s="1604"/>
      <c r="M137" s="1604"/>
      <c r="N137" s="1604"/>
      <c r="O137" s="1604"/>
      <c r="P137" s="1604"/>
      <c r="Q137" s="1604"/>
      <c r="R137" s="1604"/>
      <c r="S137" s="1604"/>
      <c r="T137" s="1604"/>
      <c r="U137" s="1604"/>
      <c r="V137" s="1604"/>
      <c r="W137" s="1604"/>
      <c r="X137" s="1604"/>
      <c r="Y137" s="1604"/>
      <c r="Z137" s="1604"/>
      <c r="AA137" s="1604"/>
      <c r="AB137" s="1604"/>
      <c r="AC137" s="1604"/>
      <c r="AD137" s="1604"/>
      <c r="AE137" s="1604"/>
      <c r="AF137" s="1604"/>
      <c r="AG137" s="1604"/>
      <c r="AH137" s="1604"/>
      <c r="AI137" s="1604"/>
      <c r="AJ137" s="327"/>
      <c r="AK137" s="318"/>
      <c r="AL137" s="328"/>
      <c r="AM137" s="333" t="s">
        <v>355</v>
      </c>
      <c r="AN137" s="1604" t="s">
        <v>447</v>
      </c>
      <c r="AO137" s="1604"/>
      <c r="AP137" s="1604"/>
      <c r="AQ137" s="1604"/>
      <c r="AR137" s="1604"/>
      <c r="AS137" s="1604"/>
      <c r="AT137" s="1604"/>
      <c r="AU137" s="1604"/>
      <c r="AV137" s="1604"/>
      <c r="AW137" s="1604"/>
      <c r="AX137" s="1604"/>
      <c r="AY137" s="1604"/>
      <c r="AZ137" s="1604"/>
      <c r="BA137" s="1604"/>
      <c r="BB137" s="1604"/>
      <c r="BC137" s="1604"/>
      <c r="BD137" s="1604"/>
      <c r="BE137" s="1604"/>
      <c r="BF137" s="1604"/>
      <c r="BG137" s="1604"/>
      <c r="BH137" s="1604"/>
      <c r="BI137" s="1604"/>
      <c r="BJ137" s="1604"/>
      <c r="BK137" s="1604"/>
      <c r="BL137" s="1604"/>
      <c r="BM137" s="1604"/>
      <c r="BN137" s="1604"/>
      <c r="BO137" s="1604"/>
      <c r="BP137" s="1604"/>
      <c r="BQ137" s="1604"/>
      <c r="BR137" s="1604"/>
      <c r="BS137" s="1604"/>
      <c r="BT137" s="295"/>
      <c r="BU137" s="295"/>
      <c r="BV137" s="310"/>
      <c r="BW137" s="310"/>
      <c r="BX137" s="291"/>
      <c r="BY137" s="323"/>
      <c r="BZ137" s="279"/>
      <c r="CA137" s="279"/>
      <c r="CB137" s="280"/>
      <c r="CC137" s="280"/>
      <c r="CD137" s="280"/>
      <c r="CE137" s="280"/>
      <c r="CF137" s="280"/>
    </row>
    <row r="138" spans="1:84" s="326" customFormat="1" ht="27.95" customHeight="1" x14ac:dyDescent="0.25">
      <c r="A138" s="332"/>
      <c r="B138" s="295"/>
      <c r="C138" s="317" t="s">
        <v>355</v>
      </c>
      <c r="D138" s="1604" t="s">
        <v>448</v>
      </c>
      <c r="E138" s="1604"/>
      <c r="F138" s="1604"/>
      <c r="G138" s="1604"/>
      <c r="H138" s="1604"/>
      <c r="I138" s="1604"/>
      <c r="J138" s="1604"/>
      <c r="K138" s="1604"/>
      <c r="L138" s="1604"/>
      <c r="M138" s="1604"/>
      <c r="N138" s="1604"/>
      <c r="O138" s="1604"/>
      <c r="P138" s="1604"/>
      <c r="Q138" s="1604"/>
      <c r="R138" s="1604"/>
      <c r="S138" s="1604"/>
      <c r="T138" s="1604"/>
      <c r="U138" s="1604"/>
      <c r="V138" s="1604"/>
      <c r="W138" s="1604"/>
      <c r="X138" s="1604"/>
      <c r="Y138" s="1604"/>
      <c r="Z138" s="1604"/>
      <c r="AA138" s="1604"/>
      <c r="AB138" s="1604"/>
      <c r="AC138" s="1604"/>
      <c r="AD138" s="1604"/>
      <c r="AE138" s="1604"/>
      <c r="AF138" s="1604"/>
      <c r="AG138" s="1604"/>
      <c r="AH138" s="1604"/>
      <c r="AI138" s="1604"/>
      <c r="AJ138" s="327"/>
      <c r="AK138" s="318"/>
      <c r="AL138" s="328"/>
      <c r="AM138" s="333" t="s">
        <v>355</v>
      </c>
      <c r="AN138" s="1604" t="s">
        <v>449</v>
      </c>
      <c r="AO138" s="1604"/>
      <c r="AP138" s="1604"/>
      <c r="AQ138" s="1604"/>
      <c r="AR138" s="1604"/>
      <c r="AS138" s="1604"/>
      <c r="AT138" s="1604"/>
      <c r="AU138" s="1604"/>
      <c r="AV138" s="1604"/>
      <c r="AW138" s="1604"/>
      <c r="AX138" s="1604"/>
      <c r="AY138" s="1604"/>
      <c r="AZ138" s="1604"/>
      <c r="BA138" s="1604"/>
      <c r="BB138" s="1604"/>
      <c r="BC138" s="1604"/>
      <c r="BD138" s="1604"/>
      <c r="BE138" s="1604"/>
      <c r="BF138" s="1604"/>
      <c r="BG138" s="1604"/>
      <c r="BH138" s="1604"/>
      <c r="BI138" s="1604"/>
      <c r="BJ138" s="1604"/>
      <c r="BK138" s="1604"/>
      <c r="BL138" s="1604"/>
      <c r="BM138" s="1604"/>
      <c r="BN138" s="1604"/>
      <c r="BO138" s="1604"/>
      <c r="BP138" s="1604"/>
      <c r="BQ138" s="1604"/>
      <c r="BR138" s="1604"/>
      <c r="BS138" s="1604"/>
      <c r="BT138" s="295"/>
      <c r="BU138" s="295"/>
      <c r="BV138" s="310"/>
      <c r="BW138" s="310"/>
      <c r="BX138" s="291"/>
      <c r="BY138" s="323"/>
      <c r="BZ138" s="279"/>
      <c r="CA138" s="279"/>
      <c r="CB138" s="280"/>
      <c r="CC138" s="280"/>
      <c r="CD138" s="280"/>
      <c r="CE138" s="280"/>
      <c r="CF138" s="280"/>
    </row>
    <row r="139" spans="1:84" s="326" customFormat="1" ht="2.1" customHeight="1" x14ac:dyDescent="0.25">
      <c r="A139" s="332"/>
      <c r="B139" s="295"/>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c r="AH139" s="318"/>
      <c r="AI139" s="318"/>
      <c r="AJ139" s="323"/>
      <c r="AK139" s="276"/>
      <c r="AL139" s="312"/>
      <c r="AM139" s="318"/>
      <c r="AN139" s="318"/>
      <c r="AO139" s="318"/>
      <c r="AP139" s="318"/>
      <c r="AQ139" s="318"/>
      <c r="AR139" s="318"/>
      <c r="AS139" s="318"/>
      <c r="AT139" s="318"/>
      <c r="AU139" s="318"/>
      <c r="AV139" s="318"/>
      <c r="AW139" s="318"/>
      <c r="AX139" s="318"/>
      <c r="AY139" s="318"/>
      <c r="AZ139" s="318"/>
      <c r="BA139" s="318"/>
      <c r="BB139" s="318"/>
      <c r="BC139" s="318"/>
      <c r="BD139" s="318"/>
      <c r="BE139" s="318"/>
      <c r="BF139" s="318"/>
      <c r="BG139" s="318"/>
      <c r="BH139" s="318"/>
      <c r="BI139" s="318"/>
      <c r="BJ139" s="318"/>
      <c r="BK139" s="318"/>
      <c r="BL139" s="318"/>
      <c r="BM139" s="318"/>
      <c r="BN139" s="318"/>
      <c r="BO139" s="318"/>
      <c r="BP139" s="318"/>
      <c r="BQ139" s="318"/>
      <c r="BR139" s="318"/>
      <c r="BS139" s="318"/>
      <c r="BT139" s="295"/>
      <c r="BU139" s="295"/>
      <c r="BV139" s="310"/>
      <c r="BW139" s="310"/>
      <c r="BX139" s="291"/>
      <c r="BY139" s="323"/>
      <c r="BZ139" s="279"/>
      <c r="CA139" s="279"/>
      <c r="CB139" s="280"/>
      <c r="CC139" s="280"/>
      <c r="CD139" s="280"/>
      <c r="CE139" s="280"/>
      <c r="CF139" s="280"/>
    </row>
    <row r="140" spans="1:84" s="326" customFormat="1" ht="12.95" customHeight="1" x14ac:dyDescent="0.25">
      <c r="A140" s="332"/>
      <c r="B140" s="295"/>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c r="AI140" s="318"/>
      <c r="AJ140" s="323"/>
      <c r="AK140" s="276"/>
      <c r="AL140" s="312"/>
      <c r="AM140" s="318"/>
      <c r="AN140" s="318"/>
      <c r="AO140" s="318"/>
      <c r="AP140" s="318"/>
      <c r="AQ140" s="318"/>
      <c r="AR140" s="318"/>
      <c r="AS140" s="318"/>
      <c r="AT140" s="318"/>
      <c r="AU140" s="318"/>
      <c r="AV140" s="318"/>
      <c r="AW140" s="318"/>
      <c r="AX140" s="318"/>
      <c r="AY140" s="318"/>
      <c r="AZ140" s="318"/>
      <c r="BA140" s="318"/>
      <c r="BB140" s="318"/>
      <c r="BC140" s="318"/>
      <c r="BD140" s="318"/>
      <c r="BE140" s="318"/>
      <c r="BF140" s="318"/>
      <c r="BG140" s="318"/>
      <c r="BH140" s="318"/>
      <c r="BI140" s="318"/>
      <c r="BJ140" s="318"/>
      <c r="BK140" s="318"/>
      <c r="BL140" s="318"/>
      <c r="BM140" s="318"/>
      <c r="BN140" s="318"/>
      <c r="BO140" s="318"/>
      <c r="BP140" s="318"/>
      <c r="BQ140" s="318"/>
      <c r="BR140" s="318"/>
      <c r="BS140" s="318"/>
      <c r="BT140" s="295"/>
      <c r="BU140" s="295"/>
      <c r="BV140" s="310"/>
      <c r="BW140" s="310"/>
      <c r="BX140" s="291"/>
      <c r="BY140" s="323"/>
      <c r="BZ140" s="279"/>
      <c r="CA140" s="279"/>
      <c r="CB140" s="280"/>
      <c r="CC140" s="280"/>
      <c r="CD140" s="280"/>
      <c r="CE140" s="280"/>
      <c r="CF140" s="280"/>
    </row>
    <row r="141" spans="1:84" s="326" customFormat="1" ht="15" customHeight="1" x14ac:dyDescent="0.25">
      <c r="A141" s="322" t="str">
        <f>subSTT</f>
        <v>2.8</v>
      </c>
      <c r="B141" s="312" t="s">
        <v>345</v>
      </c>
      <c r="C141" s="312" t="s">
        <v>450</v>
      </c>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c r="AI141" s="295"/>
      <c r="AJ141" s="323"/>
      <c r="AK141" s="287" t="str">
        <f>A141</f>
        <v>2.8</v>
      </c>
      <c r="AL141" s="312" t="s">
        <v>345</v>
      </c>
      <c r="AM141" s="312" t="s">
        <v>451</v>
      </c>
      <c r="AN141" s="295"/>
      <c r="AO141" s="295"/>
      <c r="AP141" s="295"/>
      <c r="AQ141" s="295"/>
      <c r="AR141" s="295"/>
      <c r="AS141" s="295"/>
      <c r="AT141" s="295"/>
      <c r="AU141" s="295"/>
      <c r="AV141" s="295"/>
      <c r="AW141" s="295"/>
      <c r="AX141" s="295"/>
      <c r="AY141" s="295"/>
      <c r="AZ141" s="295"/>
      <c r="BA141" s="295"/>
      <c r="BB141" s="295"/>
      <c r="BC141" s="295"/>
      <c r="BD141" s="295"/>
      <c r="BE141" s="295"/>
      <c r="BF141" s="295"/>
      <c r="BG141" s="295"/>
      <c r="BH141" s="295"/>
      <c r="BI141" s="295"/>
      <c r="BJ141" s="295"/>
      <c r="BK141" s="295"/>
      <c r="BL141" s="295"/>
      <c r="BM141" s="295"/>
      <c r="BN141" s="295"/>
      <c r="BO141" s="295"/>
      <c r="BP141" s="295"/>
      <c r="BQ141" s="295"/>
      <c r="BR141" s="295"/>
      <c r="BS141" s="295"/>
      <c r="BT141" s="295"/>
      <c r="BU141" s="295"/>
      <c r="BV141" s="310"/>
      <c r="BW141" s="310"/>
      <c r="BX141" s="291"/>
      <c r="BY141" s="323"/>
      <c r="BZ141" s="279"/>
      <c r="CA141" s="279"/>
      <c r="CB141" s="280"/>
      <c r="CC141" s="280"/>
      <c r="CD141" s="280"/>
      <c r="CE141" s="280"/>
      <c r="CF141" s="280"/>
    </row>
    <row r="142" spans="1:84" s="326" customFormat="1" ht="12.95" customHeight="1" x14ac:dyDescent="0.25">
      <c r="A142" s="322"/>
      <c r="B142" s="312"/>
      <c r="C142" s="324"/>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c r="AI142" s="295"/>
      <c r="AJ142" s="323"/>
      <c r="AK142" s="287"/>
      <c r="AL142" s="312"/>
      <c r="AM142" s="324"/>
      <c r="AN142" s="295"/>
      <c r="AO142" s="295"/>
      <c r="AP142" s="295"/>
      <c r="AQ142" s="295"/>
      <c r="AR142" s="295"/>
      <c r="AS142" s="295"/>
      <c r="AT142" s="295"/>
      <c r="AU142" s="295"/>
      <c r="AV142" s="295"/>
      <c r="AW142" s="295"/>
      <c r="AX142" s="295"/>
      <c r="AY142" s="295"/>
      <c r="AZ142" s="295"/>
      <c r="BA142" s="295"/>
      <c r="BB142" s="295"/>
      <c r="BC142" s="295"/>
      <c r="BD142" s="295"/>
      <c r="BE142" s="295"/>
      <c r="BF142" s="295"/>
      <c r="BG142" s="295"/>
      <c r="BH142" s="295"/>
      <c r="BI142" s="295"/>
      <c r="BJ142" s="295"/>
      <c r="BK142" s="295"/>
      <c r="BL142" s="295"/>
      <c r="BM142" s="295"/>
      <c r="BN142" s="295"/>
      <c r="BO142" s="295"/>
      <c r="BP142" s="295"/>
      <c r="BQ142" s="295"/>
      <c r="BR142" s="295"/>
      <c r="BS142" s="295"/>
      <c r="BT142" s="295"/>
      <c r="BU142" s="295"/>
      <c r="BV142" s="310"/>
      <c r="BW142" s="310"/>
      <c r="BX142" s="291"/>
      <c r="BY142" s="323"/>
      <c r="BZ142" s="279"/>
      <c r="CA142" s="279"/>
      <c r="CB142" s="280"/>
      <c r="CC142" s="280"/>
      <c r="CD142" s="280"/>
      <c r="CE142" s="280"/>
      <c r="CF142" s="280"/>
    </row>
    <row r="143" spans="1:84" s="329" customFormat="1" ht="29.25" customHeight="1" x14ac:dyDescent="0.25">
      <c r="A143" s="322"/>
      <c r="B143" s="312"/>
      <c r="C143" s="1604" t="str">
        <f>CONCATENATE("Các khoản phải thu được theo dõi chi tiết theo kỳ hạn phải thu, đối tượng phải thu, loại nguyên tệ phải thu, và các yếu tố khác theo nhu cầu quản lý của ",LoaiCT_V,".")</f>
        <v>Các khoản phải thu được theo dõi chi tiết theo kỳ hạn phải thu, đối tượng phải thu, loại nguyên tệ phải thu, và các yếu tố khác theo nhu cầu quản lý của Công ty.</v>
      </c>
      <c r="D143" s="1604"/>
      <c r="E143" s="1604"/>
      <c r="F143" s="1604"/>
      <c r="G143" s="1604"/>
      <c r="H143" s="1604"/>
      <c r="I143" s="1604"/>
      <c r="J143" s="1604"/>
      <c r="K143" s="1604"/>
      <c r="L143" s="1604"/>
      <c r="M143" s="1604"/>
      <c r="N143" s="1604"/>
      <c r="O143" s="1604"/>
      <c r="P143" s="1604"/>
      <c r="Q143" s="1604"/>
      <c r="R143" s="1604"/>
      <c r="S143" s="1604"/>
      <c r="T143" s="1604"/>
      <c r="U143" s="1604"/>
      <c r="V143" s="1604"/>
      <c r="W143" s="1604"/>
      <c r="X143" s="1604"/>
      <c r="Y143" s="1604"/>
      <c r="Z143" s="1604"/>
      <c r="AA143" s="1604"/>
      <c r="AB143" s="1604"/>
      <c r="AC143" s="1604"/>
      <c r="AD143" s="1604"/>
      <c r="AE143" s="1604"/>
      <c r="AF143" s="1604"/>
      <c r="AG143" s="1604"/>
      <c r="AH143" s="1604"/>
      <c r="AI143" s="1604"/>
      <c r="AJ143" s="295"/>
      <c r="AK143" s="287"/>
      <c r="AL143" s="312"/>
      <c r="AM143" s="1604" t="str">
        <f>CONCATENATE("The  receivables  shall  be  kept  records  in  details  according  to  period  receivables,  entities receivables,  types  of  currency  receivable  and  other  factors  according  to  requirements  for management of the ",LoaiCT_E,".")</f>
        <v>The  receivables  shall  be  kept  records  in  details  according  to  period  receivables,  entities receivables,  types  of  currency  receivable  and  other  factors  according  to  requirements  for management of the Corporation.</v>
      </c>
      <c r="AN143" s="1604"/>
      <c r="AO143" s="1604"/>
      <c r="AP143" s="1604"/>
      <c r="AQ143" s="1604"/>
      <c r="AR143" s="1604"/>
      <c r="AS143" s="1604"/>
      <c r="AT143" s="1604"/>
      <c r="AU143" s="1604"/>
      <c r="AV143" s="1604"/>
      <c r="AW143" s="1604"/>
      <c r="AX143" s="1604"/>
      <c r="AY143" s="1604"/>
      <c r="AZ143" s="1604"/>
      <c r="BA143" s="1604"/>
      <c r="BB143" s="1604"/>
      <c r="BC143" s="1604"/>
      <c r="BD143" s="1604"/>
      <c r="BE143" s="1604"/>
      <c r="BF143" s="1604"/>
      <c r="BG143" s="1604"/>
      <c r="BH143" s="1604"/>
      <c r="BI143" s="1604"/>
      <c r="BJ143" s="1604"/>
      <c r="BK143" s="1604"/>
      <c r="BL143" s="1604"/>
      <c r="BM143" s="1604"/>
      <c r="BN143" s="1604"/>
      <c r="BO143" s="1604"/>
      <c r="BP143" s="1604"/>
      <c r="BQ143" s="1604"/>
      <c r="BR143" s="1604"/>
      <c r="BS143" s="1604"/>
      <c r="BT143" s="295"/>
      <c r="BU143" s="295"/>
      <c r="BV143" s="310"/>
      <c r="BW143" s="310"/>
      <c r="BX143" s="300"/>
      <c r="BY143" s="295"/>
      <c r="BZ143" s="273"/>
      <c r="CA143" s="273"/>
      <c r="CB143" s="301"/>
      <c r="CC143" s="301"/>
      <c r="CD143" s="301"/>
      <c r="CE143" s="301"/>
      <c r="CF143" s="301"/>
    </row>
    <row r="144" spans="1:84" s="326" customFormat="1" ht="12.95" customHeight="1" x14ac:dyDescent="0.25">
      <c r="A144" s="322"/>
      <c r="B144" s="312"/>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c r="AI144" s="295"/>
      <c r="AJ144" s="323"/>
      <c r="AK144" s="287"/>
      <c r="AL144" s="312"/>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310"/>
      <c r="BW144" s="310"/>
      <c r="BX144" s="291"/>
      <c r="BY144" s="323"/>
      <c r="BZ144" s="279"/>
      <c r="CA144" s="279"/>
      <c r="CB144" s="280"/>
      <c r="CC144" s="280"/>
      <c r="CD144" s="280"/>
      <c r="CE144" s="280"/>
      <c r="CF144" s="280"/>
    </row>
    <row r="145" spans="1:84" s="326" customFormat="1" ht="83.25" customHeight="1" x14ac:dyDescent="0.25">
      <c r="A145" s="322"/>
      <c r="B145" s="312"/>
      <c r="C145" s="1604" t="s">
        <v>452</v>
      </c>
      <c r="D145" s="1604"/>
      <c r="E145" s="1604"/>
      <c r="F145" s="1604"/>
      <c r="G145" s="1604"/>
      <c r="H145" s="1604"/>
      <c r="I145" s="1604"/>
      <c r="J145" s="1604"/>
      <c r="K145" s="1604"/>
      <c r="L145" s="1604"/>
      <c r="M145" s="1604"/>
      <c r="N145" s="1604"/>
      <c r="O145" s="1604"/>
      <c r="P145" s="1604"/>
      <c r="Q145" s="1604"/>
      <c r="R145" s="1604"/>
      <c r="S145" s="1604"/>
      <c r="T145" s="1604"/>
      <c r="U145" s="1604"/>
      <c r="V145" s="1604"/>
      <c r="W145" s="1604"/>
      <c r="X145" s="1604"/>
      <c r="Y145" s="1604"/>
      <c r="Z145" s="1604"/>
      <c r="AA145" s="1604"/>
      <c r="AB145" s="1604"/>
      <c r="AC145" s="1604"/>
      <c r="AD145" s="1604"/>
      <c r="AE145" s="1604"/>
      <c r="AF145" s="1604"/>
      <c r="AG145" s="1604"/>
      <c r="AH145" s="1604"/>
      <c r="AI145" s="1604"/>
      <c r="AJ145" s="323"/>
      <c r="AK145" s="287"/>
      <c r="AL145" s="312"/>
      <c r="AM145" s="1604" t="s">
        <v>453</v>
      </c>
      <c r="AN145" s="1604"/>
      <c r="AO145" s="1604"/>
      <c r="AP145" s="1604"/>
      <c r="AQ145" s="1604"/>
      <c r="AR145" s="1604"/>
      <c r="AS145" s="1604"/>
      <c r="AT145" s="1604"/>
      <c r="AU145" s="1604"/>
      <c r="AV145" s="1604"/>
      <c r="AW145" s="1604"/>
      <c r="AX145" s="1604"/>
      <c r="AY145" s="1604"/>
      <c r="AZ145" s="1604"/>
      <c r="BA145" s="1604"/>
      <c r="BB145" s="1604"/>
      <c r="BC145" s="1604"/>
      <c r="BD145" s="1604"/>
      <c r="BE145" s="1604"/>
      <c r="BF145" s="1604"/>
      <c r="BG145" s="1604"/>
      <c r="BH145" s="1604"/>
      <c r="BI145" s="1604"/>
      <c r="BJ145" s="1604"/>
      <c r="BK145" s="1604"/>
      <c r="BL145" s="1604"/>
      <c r="BM145" s="1604"/>
      <c r="BN145" s="1604"/>
      <c r="BO145" s="1604"/>
      <c r="BP145" s="1604"/>
      <c r="BQ145" s="1604"/>
      <c r="BR145" s="1604"/>
      <c r="BS145" s="1604"/>
      <c r="BT145" s="295"/>
      <c r="BU145" s="295"/>
      <c r="BV145" s="310"/>
      <c r="BW145" s="310"/>
      <c r="BX145" s="291"/>
      <c r="BY145" s="323"/>
      <c r="BZ145" s="279"/>
      <c r="CA145" s="279"/>
      <c r="CB145" s="280"/>
      <c r="CC145" s="280"/>
      <c r="CD145" s="280"/>
      <c r="CE145" s="280"/>
      <c r="CF145" s="280"/>
    </row>
    <row r="146" spans="1:84" s="326" customFormat="1" ht="2.1" customHeight="1" x14ac:dyDescent="0.25">
      <c r="A146" s="322"/>
      <c r="B146" s="312"/>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23"/>
      <c r="AK146" s="287"/>
      <c r="AL146" s="312"/>
      <c r="AM146" s="314"/>
      <c r="AN146" s="314"/>
      <c r="AO146" s="314"/>
      <c r="AP146" s="314"/>
      <c r="AQ146" s="314"/>
      <c r="AR146" s="314"/>
      <c r="AS146" s="314"/>
      <c r="AT146" s="314"/>
      <c r="AU146" s="314"/>
      <c r="AV146" s="314"/>
      <c r="AW146" s="314"/>
      <c r="AX146" s="314"/>
      <c r="AY146" s="314"/>
      <c r="AZ146" s="314"/>
      <c r="BA146" s="314"/>
      <c r="BB146" s="314"/>
      <c r="BC146" s="314"/>
      <c r="BD146" s="314"/>
      <c r="BE146" s="314"/>
      <c r="BF146" s="314"/>
      <c r="BG146" s="314"/>
      <c r="BH146" s="314"/>
      <c r="BI146" s="314"/>
      <c r="BJ146" s="314"/>
      <c r="BK146" s="314"/>
      <c r="BL146" s="314"/>
      <c r="BM146" s="314"/>
      <c r="BN146" s="314"/>
      <c r="BO146" s="314"/>
      <c r="BP146" s="314"/>
      <c r="BQ146" s="314"/>
      <c r="BR146" s="314"/>
      <c r="BS146" s="314"/>
      <c r="BT146" s="295"/>
      <c r="BU146" s="295"/>
      <c r="BV146" s="310"/>
      <c r="BW146" s="310"/>
      <c r="BX146" s="291"/>
      <c r="BY146" s="323"/>
      <c r="BZ146" s="279"/>
      <c r="CA146" s="279"/>
      <c r="CB146" s="280"/>
      <c r="CC146" s="280"/>
      <c r="CD146" s="280"/>
      <c r="CE146" s="280"/>
      <c r="CF146" s="280"/>
    </row>
    <row r="147" spans="1:84" s="326" customFormat="1" ht="12.95" customHeight="1" x14ac:dyDescent="0.25">
      <c r="A147" s="322"/>
      <c r="B147" s="312"/>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323"/>
      <c r="AK147" s="287"/>
      <c r="AL147" s="312"/>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310"/>
      <c r="BW147" s="310"/>
      <c r="BX147" s="291"/>
      <c r="BY147" s="323"/>
      <c r="BZ147" s="279"/>
      <c r="CA147" s="279"/>
      <c r="CB147" s="280"/>
      <c r="CC147" s="280"/>
      <c r="CD147" s="280"/>
      <c r="CE147" s="280"/>
      <c r="CF147" s="280"/>
    </row>
    <row r="148" spans="1:84" s="326" customFormat="1" ht="15" customHeight="1" x14ac:dyDescent="0.25">
      <c r="A148" s="322" t="str">
        <f>subSTT</f>
        <v>2.9</v>
      </c>
      <c r="B148" s="312" t="s">
        <v>345</v>
      </c>
      <c r="C148" s="312" t="s">
        <v>454</v>
      </c>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314"/>
      <c r="AF148" s="314"/>
      <c r="AG148" s="314"/>
      <c r="AH148" s="314"/>
      <c r="AI148" s="314"/>
      <c r="AJ148" s="323"/>
      <c r="AK148" s="287" t="str">
        <f>A148</f>
        <v>2.9</v>
      </c>
      <c r="AL148" s="312" t="s">
        <v>345</v>
      </c>
      <c r="AM148" s="312" t="s">
        <v>455</v>
      </c>
      <c r="AN148" s="314"/>
      <c r="AO148" s="314"/>
      <c r="AP148" s="314"/>
      <c r="AQ148" s="314"/>
      <c r="AR148" s="314"/>
      <c r="AS148" s="314"/>
      <c r="AT148" s="314"/>
      <c r="AU148" s="314"/>
      <c r="AV148" s="314"/>
      <c r="AW148" s="314"/>
      <c r="AX148" s="314"/>
      <c r="AY148" s="314"/>
      <c r="AZ148" s="314"/>
      <c r="BA148" s="314"/>
      <c r="BB148" s="314"/>
      <c r="BC148" s="314"/>
      <c r="BD148" s="314"/>
      <c r="BE148" s="314"/>
      <c r="BF148" s="314"/>
      <c r="BG148" s="314"/>
      <c r="BH148" s="314"/>
      <c r="BI148" s="314"/>
      <c r="BJ148" s="314"/>
      <c r="BK148" s="314"/>
      <c r="BL148" s="314"/>
      <c r="BM148" s="314"/>
      <c r="BN148" s="314"/>
      <c r="BO148" s="314"/>
      <c r="BP148" s="314"/>
      <c r="BQ148" s="314"/>
      <c r="BR148" s="314"/>
      <c r="BS148" s="314"/>
      <c r="BT148" s="295"/>
      <c r="BU148" s="295"/>
      <c r="BV148" s="310"/>
      <c r="BW148" s="310"/>
      <c r="BX148" s="291"/>
      <c r="BY148" s="323"/>
      <c r="BZ148" s="279"/>
      <c r="CA148" s="279"/>
      <c r="CB148" s="280"/>
      <c r="CC148" s="280"/>
      <c r="CD148" s="280"/>
      <c r="CE148" s="280"/>
      <c r="CF148" s="280"/>
    </row>
    <row r="149" spans="1:84" s="326" customFormat="1" ht="12.95" customHeight="1" x14ac:dyDescent="0.25">
      <c r="A149" s="322"/>
      <c r="B149" s="312"/>
      <c r="C149" s="324"/>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323"/>
      <c r="AK149" s="287"/>
      <c r="AL149" s="312"/>
      <c r="AM149" s="324"/>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310"/>
      <c r="BW149" s="310"/>
      <c r="BX149" s="291"/>
      <c r="BY149" s="323"/>
      <c r="BZ149" s="279"/>
      <c r="CA149" s="279"/>
      <c r="CB149" s="280"/>
      <c r="CC149" s="280"/>
      <c r="CD149" s="280"/>
      <c r="CE149" s="280"/>
      <c r="CF149" s="280"/>
    </row>
    <row r="150" spans="1:84" s="326" customFormat="1" ht="54.95" customHeight="1" x14ac:dyDescent="0.25">
      <c r="A150" s="322"/>
      <c r="B150" s="312"/>
      <c r="C150" s="1604" t="str">
        <f>CONCATENATE("Hàng tồn kho được ghi nhận ban đầu theo giá gốc bao gồm: chi phí mua, chi phí chế biến và các chi phí liên quan trực tiếp khác phát sinh để có được hàng tồn kho ở địa điểm và trạng thái tại thời điểm ghi nhận ban đầu. ","Sau ghi nhận ban đầu, tại thời điểm lập ",Loai_BC_V," nếu giá trị thuần có thể thực hiện được của hàng tồn kho thấp hơn giá gốc thì hàng tồn kho được ghi nhận theo giá trị thuần có thể thực hiện được. ")</f>
        <v xml:space="preserve">Hàng tồn kho được ghi nhận ban đầu theo giá gốc bao gồm: chi phí mua, chi phí chế biến và các chi phí liên quan trực tiếp khác phát sinh để có được hàng tồn kho ở địa điểm và trạng thái tại thời điểm ghi nhận ban đầu. Sau ghi nhận ban đầu, tại thời điểm lập Báo cáo tài chính nếu giá trị thuần có thể thực hiện được của hàng tồn kho thấp hơn giá gốc thì hàng tồn kho được ghi nhận theo giá trị thuần có thể thực hiện được. </v>
      </c>
      <c r="D150" s="1604"/>
      <c r="E150" s="1604"/>
      <c r="F150" s="1604"/>
      <c r="G150" s="1604"/>
      <c r="H150" s="1604"/>
      <c r="I150" s="1604"/>
      <c r="J150" s="1604"/>
      <c r="K150" s="1604"/>
      <c r="L150" s="1604"/>
      <c r="M150" s="1604"/>
      <c r="N150" s="1604"/>
      <c r="O150" s="1604"/>
      <c r="P150" s="1604"/>
      <c r="Q150" s="1604"/>
      <c r="R150" s="1604"/>
      <c r="S150" s="1604"/>
      <c r="T150" s="1604"/>
      <c r="U150" s="1604"/>
      <c r="V150" s="1604"/>
      <c r="W150" s="1604"/>
      <c r="X150" s="1604"/>
      <c r="Y150" s="1604"/>
      <c r="Z150" s="1604"/>
      <c r="AA150" s="1604"/>
      <c r="AB150" s="1604"/>
      <c r="AC150" s="1604"/>
      <c r="AD150" s="1604"/>
      <c r="AE150" s="1604"/>
      <c r="AF150" s="1604"/>
      <c r="AG150" s="1604"/>
      <c r="AH150" s="1604"/>
      <c r="AI150" s="1604"/>
      <c r="AJ150" s="323"/>
      <c r="AK150" s="287"/>
      <c r="AL150" s="312"/>
      <c r="AM150" s="1604" t="s">
        <v>456</v>
      </c>
      <c r="AN150" s="1604"/>
      <c r="AO150" s="1604"/>
      <c r="AP150" s="1604"/>
      <c r="AQ150" s="1604"/>
      <c r="AR150" s="1604"/>
      <c r="AS150" s="1604"/>
      <c r="AT150" s="1604"/>
      <c r="AU150" s="1604"/>
      <c r="AV150" s="1604"/>
      <c r="AW150" s="1604"/>
      <c r="AX150" s="1604"/>
      <c r="AY150" s="1604"/>
      <c r="AZ150" s="1604"/>
      <c r="BA150" s="1604"/>
      <c r="BB150" s="1604"/>
      <c r="BC150" s="1604"/>
      <c r="BD150" s="1604"/>
      <c r="BE150" s="1604"/>
      <c r="BF150" s="1604"/>
      <c r="BG150" s="1604"/>
      <c r="BH150" s="1604"/>
      <c r="BI150" s="1604"/>
      <c r="BJ150" s="1604"/>
      <c r="BK150" s="1604"/>
      <c r="BL150" s="1604"/>
      <c r="BM150" s="1604"/>
      <c r="BN150" s="1604"/>
      <c r="BO150" s="1604"/>
      <c r="BP150" s="1604"/>
      <c r="BQ150" s="1604"/>
      <c r="BR150" s="1604"/>
      <c r="BS150" s="1604"/>
      <c r="BT150" s="295"/>
      <c r="BU150" s="295"/>
      <c r="BV150" s="310"/>
      <c r="BW150" s="310"/>
      <c r="BX150" s="291"/>
      <c r="BY150" s="323"/>
      <c r="BZ150" s="279"/>
      <c r="CA150" s="279"/>
      <c r="CB150" s="280"/>
      <c r="CC150" s="280"/>
      <c r="CD150" s="280"/>
      <c r="CE150" s="280"/>
      <c r="CF150" s="280"/>
    </row>
    <row r="151" spans="1:84" s="326" customFormat="1" ht="12.95" customHeight="1" x14ac:dyDescent="0.25">
      <c r="A151" s="322"/>
      <c r="B151" s="312"/>
      <c r="C151" s="1602"/>
      <c r="D151" s="1602"/>
      <c r="E151" s="1602"/>
      <c r="F151" s="1602"/>
      <c r="G151" s="1602"/>
      <c r="H151" s="1602"/>
      <c r="I151" s="1602"/>
      <c r="J151" s="1602"/>
      <c r="K151" s="1602"/>
      <c r="L151" s="1602"/>
      <c r="M151" s="1602"/>
      <c r="N151" s="1602"/>
      <c r="O151" s="1602"/>
      <c r="P151" s="1602"/>
      <c r="Q151" s="1602"/>
      <c r="R151" s="1602"/>
      <c r="S151" s="1602"/>
      <c r="T151" s="1602"/>
      <c r="U151" s="1602"/>
      <c r="V151" s="1602"/>
      <c r="W151" s="1602"/>
      <c r="X151" s="1602"/>
      <c r="Y151" s="1602"/>
      <c r="Z151" s="1602"/>
      <c r="AA151" s="1602"/>
      <c r="AB151" s="1602"/>
      <c r="AC151" s="1602"/>
      <c r="AD151" s="1602"/>
      <c r="AE151" s="1602"/>
      <c r="AF151" s="1602"/>
      <c r="AG151" s="1602"/>
      <c r="AH151" s="1602"/>
      <c r="AI151" s="1602"/>
      <c r="AJ151" s="323"/>
      <c r="AK151" s="287"/>
      <c r="AL151" s="312"/>
      <c r="AM151" s="1602"/>
      <c r="AN151" s="1602"/>
      <c r="AO151" s="1602"/>
      <c r="AP151" s="1602"/>
      <c r="AQ151" s="1602"/>
      <c r="AR151" s="1602"/>
      <c r="AS151" s="1602"/>
      <c r="AT151" s="1602"/>
      <c r="AU151" s="1602"/>
      <c r="AV151" s="1602"/>
      <c r="AW151" s="1602"/>
      <c r="AX151" s="1602"/>
      <c r="AY151" s="1602"/>
      <c r="AZ151" s="1602"/>
      <c r="BA151" s="1602"/>
      <c r="BB151" s="1602"/>
      <c r="BC151" s="1602"/>
      <c r="BD151" s="1602"/>
      <c r="BE151" s="1602"/>
      <c r="BF151" s="1602"/>
      <c r="BG151" s="1602"/>
      <c r="BH151" s="1602"/>
      <c r="BI151" s="1602"/>
      <c r="BJ151" s="1602"/>
      <c r="BK151" s="1602"/>
      <c r="BL151" s="1602"/>
      <c r="BM151" s="1602"/>
      <c r="BN151" s="1602"/>
      <c r="BO151" s="1602"/>
      <c r="BP151" s="1602"/>
      <c r="BQ151" s="1602"/>
      <c r="BR151" s="1602"/>
      <c r="BS151" s="1602"/>
      <c r="BT151" s="295"/>
      <c r="BU151" s="295"/>
      <c r="BV151" s="310"/>
      <c r="BW151" s="310"/>
      <c r="BX151" s="291"/>
      <c r="BY151" s="323"/>
      <c r="BZ151" s="279"/>
      <c r="CA151" s="279"/>
      <c r="CB151" s="280"/>
      <c r="CC151" s="280"/>
      <c r="CD151" s="280"/>
      <c r="CE151" s="280"/>
      <c r="CF151" s="280"/>
    </row>
    <row r="152" spans="1:84" s="326" customFormat="1" ht="15" customHeight="1" x14ac:dyDescent="0.25">
      <c r="A152" s="322"/>
      <c r="B152" s="312"/>
      <c r="C152" s="1604" t="s">
        <v>457</v>
      </c>
      <c r="D152" s="1604"/>
      <c r="E152" s="1604"/>
      <c r="F152" s="1604"/>
      <c r="G152" s="1604"/>
      <c r="H152" s="1604"/>
      <c r="I152" s="1604"/>
      <c r="J152" s="1604"/>
      <c r="K152" s="1604"/>
      <c r="L152" s="1604"/>
      <c r="M152" s="1604"/>
      <c r="N152" s="1604"/>
      <c r="O152" s="1604"/>
      <c r="P152" s="1604"/>
      <c r="Q152" s="1604"/>
      <c r="R152" s="1604"/>
      <c r="S152" s="1604"/>
      <c r="T152" s="1604"/>
      <c r="U152" s="1604"/>
      <c r="V152" s="1604"/>
      <c r="W152" s="1604"/>
      <c r="X152" s="1604"/>
      <c r="Y152" s="1604"/>
      <c r="Z152" s="1604"/>
      <c r="AA152" s="1604"/>
      <c r="AB152" s="1604"/>
      <c r="AC152" s="1604"/>
      <c r="AD152" s="1604"/>
      <c r="AE152" s="1604"/>
      <c r="AF152" s="1604"/>
      <c r="AG152" s="1604"/>
      <c r="AH152" s="1604"/>
      <c r="AI152" s="1604"/>
      <c r="AJ152" s="323"/>
      <c r="AK152" s="287"/>
      <c r="AL152" s="312"/>
      <c r="AM152" s="1604" t="s">
        <v>458</v>
      </c>
      <c r="AN152" s="1604"/>
      <c r="AO152" s="1604"/>
      <c r="AP152" s="1604"/>
      <c r="AQ152" s="1604"/>
      <c r="AR152" s="1604"/>
      <c r="AS152" s="1604"/>
      <c r="AT152" s="1604"/>
      <c r="AU152" s="1604"/>
      <c r="AV152" s="1604"/>
      <c r="AW152" s="1604"/>
      <c r="AX152" s="1604"/>
      <c r="AY152" s="1604"/>
      <c r="AZ152" s="1604"/>
      <c r="BA152" s="1604"/>
      <c r="BB152" s="1604"/>
      <c r="BC152" s="1604"/>
      <c r="BD152" s="1604"/>
      <c r="BE152" s="1604"/>
      <c r="BF152" s="1604"/>
      <c r="BG152" s="1604"/>
      <c r="BH152" s="1604"/>
      <c r="BI152" s="1604"/>
      <c r="BJ152" s="1604"/>
      <c r="BK152" s="1604"/>
      <c r="BL152" s="1604"/>
      <c r="BM152" s="1604"/>
      <c r="BN152" s="1604"/>
      <c r="BO152" s="1604"/>
      <c r="BP152" s="1604"/>
      <c r="BQ152" s="1604"/>
      <c r="BR152" s="1604"/>
      <c r="BS152" s="1604"/>
      <c r="BT152" s="295"/>
      <c r="BU152" s="295"/>
      <c r="BV152" s="310"/>
      <c r="BW152" s="310"/>
      <c r="BX152" s="291"/>
      <c r="BY152" s="323"/>
      <c r="BZ152" s="279"/>
      <c r="CA152" s="279"/>
      <c r="CB152" s="280"/>
      <c r="CC152" s="280"/>
      <c r="CD152" s="280"/>
      <c r="CE152" s="280"/>
      <c r="CF152" s="280"/>
    </row>
    <row r="153" spans="1:84" s="326" customFormat="1" ht="12.95" customHeight="1" x14ac:dyDescent="0.25">
      <c r="A153" s="322"/>
      <c r="B153" s="312"/>
      <c r="C153" s="1602"/>
      <c r="D153" s="1602"/>
      <c r="E153" s="1602"/>
      <c r="F153" s="1602"/>
      <c r="G153" s="1602"/>
      <c r="H153" s="1602"/>
      <c r="I153" s="1602"/>
      <c r="J153" s="1602"/>
      <c r="K153" s="1602"/>
      <c r="L153" s="1602"/>
      <c r="M153" s="1602"/>
      <c r="N153" s="1602"/>
      <c r="O153" s="1602"/>
      <c r="P153" s="1602"/>
      <c r="Q153" s="1602"/>
      <c r="R153" s="1602"/>
      <c r="S153" s="1602"/>
      <c r="T153" s="1602"/>
      <c r="U153" s="1602"/>
      <c r="V153" s="1602"/>
      <c r="W153" s="1602"/>
      <c r="X153" s="1602"/>
      <c r="Y153" s="1602"/>
      <c r="Z153" s="1602"/>
      <c r="AA153" s="1602"/>
      <c r="AB153" s="1602"/>
      <c r="AC153" s="1602"/>
      <c r="AD153" s="1602"/>
      <c r="AE153" s="1602"/>
      <c r="AF153" s="1602"/>
      <c r="AG153" s="1602"/>
      <c r="AH153" s="1602"/>
      <c r="AI153" s="1602"/>
      <c r="AJ153" s="323"/>
      <c r="AK153" s="287"/>
      <c r="AL153" s="312"/>
      <c r="AM153" s="1602"/>
      <c r="AN153" s="1602"/>
      <c r="AO153" s="1602"/>
      <c r="AP153" s="1602"/>
      <c r="AQ153" s="1602"/>
      <c r="AR153" s="1602"/>
      <c r="AS153" s="1602"/>
      <c r="AT153" s="1602"/>
      <c r="AU153" s="1602"/>
      <c r="AV153" s="1602"/>
      <c r="AW153" s="1602"/>
      <c r="AX153" s="1602"/>
      <c r="AY153" s="1602"/>
      <c r="AZ153" s="1602"/>
      <c r="BA153" s="1602"/>
      <c r="BB153" s="1602"/>
      <c r="BC153" s="1602"/>
      <c r="BD153" s="1602"/>
      <c r="BE153" s="1602"/>
      <c r="BF153" s="1602"/>
      <c r="BG153" s="1602"/>
      <c r="BH153" s="1602"/>
      <c r="BI153" s="1602"/>
      <c r="BJ153" s="1602"/>
      <c r="BK153" s="1602"/>
      <c r="BL153" s="1602"/>
      <c r="BM153" s="1602"/>
      <c r="BN153" s="1602"/>
      <c r="BO153" s="1602"/>
      <c r="BP153" s="1602"/>
      <c r="BQ153" s="1602"/>
      <c r="BR153" s="1602"/>
      <c r="BS153" s="1602"/>
      <c r="BT153" s="295"/>
      <c r="BU153" s="295"/>
      <c r="BV153" s="310"/>
      <c r="BW153" s="310"/>
      <c r="BX153" s="291"/>
      <c r="BY153" s="323"/>
      <c r="BZ153" s="279"/>
      <c r="CA153" s="279"/>
      <c r="CB153" s="280"/>
      <c r="CC153" s="280"/>
      <c r="CD153" s="280"/>
      <c r="CE153" s="280"/>
      <c r="CF153" s="280"/>
    </row>
    <row r="154" spans="1:84" s="326" customFormat="1" ht="15" customHeight="1" x14ac:dyDescent="0.25">
      <c r="A154" s="322"/>
      <c r="B154" s="312"/>
      <c r="C154" s="1604" t="s">
        <v>459</v>
      </c>
      <c r="D154" s="1604"/>
      <c r="E154" s="1604"/>
      <c r="F154" s="1604"/>
      <c r="G154" s="1604"/>
      <c r="H154" s="1604"/>
      <c r="I154" s="1604"/>
      <c r="J154" s="1604"/>
      <c r="K154" s="1604"/>
      <c r="L154" s="1604"/>
      <c r="M154" s="1604"/>
      <c r="N154" s="1604"/>
      <c r="O154" s="1604"/>
      <c r="P154" s="1604"/>
      <c r="Q154" s="1604"/>
      <c r="R154" s="1604"/>
      <c r="S154" s="1604"/>
      <c r="T154" s="1604"/>
      <c r="U154" s="1604"/>
      <c r="V154" s="1604"/>
      <c r="W154" s="1604"/>
      <c r="X154" s="1604"/>
      <c r="Y154" s="1604"/>
      <c r="Z154" s="1604"/>
      <c r="AA154" s="1604"/>
      <c r="AB154" s="1604"/>
      <c r="AC154" s="1604"/>
      <c r="AD154" s="1604"/>
      <c r="AE154" s="1604"/>
      <c r="AF154" s="1604"/>
      <c r="AG154" s="1604"/>
      <c r="AH154" s="1604"/>
      <c r="AI154" s="1604"/>
      <c r="AJ154" s="323"/>
      <c r="AK154" s="287"/>
      <c r="AL154" s="312"/>
      <c r="AM154" s="1604" t="s">
        <v>460</v>
      </c>
      <c r="AN154" s="1604"/>
      <c r="AO154" s="1604"/>
      <c r="AP154" s="1604"/>
      <c r="AQ154" s="1604"/>
      <c r="AR154" s="1604"/>
      <c r="AS154" s="1604"/>
      <c r="AT154" s="1604"/>
      <c r="AU154" s="1604"/>
      <c r="AV154" s="1604"/>
      <c r="AW154" s="1604"/>
      <c r="AX154" s="1604"/>
      <c r="AY154" s="1604"/>
      <c r="AZ154" s="1604"/>
      <c r="BA154" s="1604"/>
      <c r="BB154" s="1604"/>
      <c r="BC154" s="1604"/>
      <c r="BD154" s="1604"/>
      <c r="BE154" s="1604"/>
      <c r="BF154" s="1604"/>
      <c r="BG154" s="1604"/>
      <c r="BH154" s="1604"/>
      <c r="BI154" s="1604"/>
      <c r="BJ154" s="1604"/>
      <c r="BK154" s="1604"/>
      <c r="BL154" s="1604"/>
      <c r="BM154" s="1604"/>
      <c r="BN154" s="1604"/>
      <c r="BO154" s="1604"/>
      <c r="BP154" s="1604"/>
      <c r="BQ154" s="1604"/>
      <c r="BR154" s="1604"/>
      <c r="BS154" s="1604"/>
      <c r="BT154" s="295"/>
      <c r="BU154" s="295"/>
      <c r="BV154" s="310"/>
      <c r="BW154" s="310"/>
      <c r="BX154" s="291"/>
      <c r="BY154" s="323"/>
      <c r="BZ154" s="279"/>
      <c r="CA154" s="279"/>
      <c r="CB154" s="280"/>
      <c r="CC154" s="280"/>
      <c r="CD154" s="280"/>
      <c r="CE154" s="280"/>
      <c r="CF154" s="280"/>
    </row>
    <row r="155" spans="1:84" s="326" customFormat="1" ht="15" customHeight="1" x14ac:dyDescent="0.25">
      <c r="A155" s="322"/>
      <c r="B155" s="312"/>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c r="AG155" s="314"/>
      <c r="AH155" s="314"/>
      <c r="AI155" s="314"/>
      <c r="AJ155" s="323"/>
      <c r="AK155" s="287"/>
      <c r="AL155" s="312"/>
      <c r="AM155" s="314"/>
      <c r="AN155" s="314"/>
      <c r="AO155" s="314"/>
      <c r="AP155" s="314"/>
      <c r="AQ155" s="314"/>
      <c r="AR155" s="314"/>
      <c r="AS155" s="314"/>
      <c r="AT155" s="314"/>
      <c r="AU155" s="314"/>
      <c r="AV155" s="314"/>
      <c r="AW155" s="314"/>
      <c r="AX155" s="314"/>
      <c r="AY155" s="314"/>
      <c r="AZ155" s="314"/>
      <c r="BA155" s="314"/>
      <c r="BB155" s="314"/>
      <c r="BC155" s="314"/>
      <c r="BD155" s="314"/>
      <c r="BE155" s="314"/>
      <c r="BF155" s="314"/>
      <c r="BG155" s="314"/>
      <c r="BH155" s="314"/>
      <c r="BI155" s="314"/>
      <c r="BJ155" s="314"/>
      <c r="BK155" s="314"/>
      <c r="BL155" s="314"/>
      <c r="BM155" s="314"/>
      <c r="BN155" s="314"/>
      <c r="BO155" s="314"/>
      <c r="BP155" s="314"/>
      <c r="BQ155" s="314"/>
      <c r="BR155" s="314"/>
      <c r="BS155" s="314"/>
      <c r="BT155" s="295"/>
      <c r="BU155" s="295"/>
      <c r="BV155" s="310"/>
      <c r="BW155" s="310"/>
      <c r="BX155" s="291"/>
      <c r="BY155" s="323"/>
      <c r="BZ155" s="279"/>
      <c r="CA155" s="279"/>
      <c r="CB155" s="280"/>
      <c r="CC155" s="280"/>
      <c r="CD155" s="280"/>
      <c r="CE155" s="280"/>
      <c r="CF155" s="280"/>
    </row>
    <row r="156" spans="1:84" s="326" customFormat="1" ht="29.1" customHeight="1" x14ac:dyDescent="0.25">
      <c r="A156" s="322"/>
      <c r="B156" s="312"/>
      <c r="C156" s="1615" t="s">
        <v>461</v>
      </c>
      <c r="D156" s="1615"/>
      <c r="E156" s="1615"/>
      <c r="F156" s="1615"/>
      <c r="G156" s="1615"/>
      <c r="H156" s="1615"/>
      <c r="I156" s="1615"/>
      <c r="J156" s="1615"/>
      <c r="K156" s="1615"/>
      <c r="L156" s="1615"/>
      <c r="M156" s="1615"/>
      <c r="N156" s="1615"/>
      <c r="O156" s="1615"/>
      <c r="P156" s="1615"/>
      <c r="Q156" s="1615"/>
      <c r="R156" s="1615"/>
      <c r="S156" s="1615"/>
      <c r="T156" s="1615"/>
      <c r="U156" s="1615"/>
      <c r="V156" s="1615"/>
      <c r="W156" s="1615"/>
      <c r="X156" s="1615"/>
      <c r="Y156" s="1615"/>
      <c r="Z156" s="1615"/>
      <c r="AA156" s="1615"/>
      <c r="AB156" s="1615"/>
      <c r="AC156" s="1615"/>
      <c r="AD156" s="1615"/>
      <c r="AE156" s="1615"/>
      <c r="AF156" s="1615"/>
      <c r="AG156" s="1615"/>
      <c r="AH156" s="1615"/>
      <c r="AI156" s="1615"/>
      <c r="AJ156" s="323"/>
      <c r="AK156" s="287"/>
      <c r="AL156" s="312"/>
      <c r="AM156" s="1602"/>
      <c r="AN156" s="1602"/>
      <c r="AO156" s="1602"/>
      <c r="AP156" s="1602"/>
      <c r="AQ156" s="1602"/>
      <c r="AR156" s="1602"/>
      <c r="AS156" s="1602"/>
      <c r="AT156" s="1602"/>
      <c r="AU156" s="1602"/>
      <c r="AV156" s="1602"/>
      <c r="AW156" s="1602"/>
      <c r="AX156" s="1602"/>
      <c r="AY156" s="1602"/>
      <c r="AZ156" s="1602"/>
      <c r="BA156" s="1602"/>
      <c r="BB156" s="1602"/>
      <c r="BC156" s="1602"/>
      <c r="BD156" s="1602"/>
      <c r="BE156" s="1602"/>
      <c r="BF156" s="1602"/>
      <c r="BG156" s="1602"/>
      <c r="BH156" s="1602"/>
      <c r="BI156" s="1602"/>
      <c r="BJ156" s="1602"/>
      <c r="BK156" s="1602"/>
      <c r="BL156" s="1602"/>
      <c r="BM156" s="1602"/>
      <c r="BN156" s="1602"/>
      <c r="BO156" s="1602"/>
      <c r="BP156" s="1602"/>
      <c r="BQ156" s="1602"/>
      <c r="BR156" s="1602"/>
      <c r="BS156" s="1602"/>
      <c r="BT156" s="295"/>
      <c r="BU156" s="295"/>
      <c r="BV156" s="310"/>
      <c r="BW156" s="310"/>
      <c r="BX156" s="291"/>
      <c r="BY156" s="323"/>
      <c r="BZ156" s="279"/>
      <c r="CA156" s="279"/>
      <c r="CB156" s="280"/>
      <c r="CC156" s="280"/>
      <c r="CD156" s="280"/>
      <c r="CE156" s="280"/>
      <c r="CF156" s="280"/>
    </row>
    <row r="157" spans="1:84" s="326" customFormat="1" ht="15" hidden="1" customHeight="1" x14ac:dyDescent="0.25">
      <c r="A157" s="322"/>
      <c r="B157" s="312"/>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23"/>
      <c r="AK157" s="287"/>
      <c r="AL157" s="312"/>
      <c r="AM157" s="1604" t="s">
        <v>462</v>
      </c>
      <c r="AN157" s="1604"/>
      <c r="AO157" s="1604"/>
      <c r="AP157" s="1604"/>
      <c r="AQ157" s="1604"/>
      <c r="AR157" s="1604"/>
      <c r="AS157" s="1604"/>
      <c r="AT157" s="1604"/>
      <c r="AU157" s="1604"/>
      <c r="AV157" s="1604"/>
      <c r="AW157" s="1604"/>
      <c r="AX157" s="1604"/>
      <c r="AY157" s="1604"/>
      <c r="AZ157" s="1604"/>
      <c r="BA157" s="1604"/>
      <c r="BB157" s="1604"/>
      <c r="BC157" s="1604"/>
      <c r="BD157" s="1604"/>
      <c r="BE157" s="1604"/>
      <c r="BF157" s="1604"/>
      <c r="BG157" s="1604"/>
      <c r="BH157" s="1604"/>
      <c r="BI157" s="1604"/>
      <c r="BJ157" s="1604"/>
      <c r="BK157" s="1604"/>
      <c r="BL157" s="1604"/>
      <c r="BM157" s="1604"/>
      <c r="BN157" s="1604"/>
      <c r="BO157" s="1604"/>
      <c r="BP157" s="1604"/>
      <c r="BQ157" s="1604"/>
      <c r="BR157" s="1604"/>
      <c r="BS157" s="1604"/>
      <c r="BT157" s="295"/>
      <c r="BU157" s="295"/>
      <c r="BV157" s="310"/>
      <c r="BW157" s="310"/>
      <c r="BX157" s="291"/>
      <c r="BY157" s="323"/>
      <c r="BZ157" s="279"/>
      <c r="CA157" s="279"/>
      <c r="CB157" s="280"/>
      <c r="CC157" s="280"/>
      <c r="CD157" s="280"/>
      <c r="CE157" s="280"/>
      <c r="CF157" s="280"/>
    </row>
    <row r="158" spans="1:84" s="326" customFormat="1" ht="42" hidden="1" customHeight="1" x14ac:dyDescent="0.25">
      <c r="A158" s="322"/>
      <c r="B158" s="312"/>
      <c r="C158" s="331" t="s">
        <v>355</v>
      </c>
      <c r="D158" s="1604" t="s">
        <v>463</v>
      </c>
      <c r="E158" s="1604"/>
      <c r="F158" s="1604"/>
      <c r="G158" s="1604"/>
      <c r="H158" s="1604"/>
      <c r="I158" s="1604"/>
      <c r="J158" s="1604"/>
      <c r="K158" s="1604"/>
      <c r="L158" s="1604"/>
      <c r="M158" s="1604"/>
      <c r="N158" s="1604"/>
      <c r="O158" s="1604"/>
      <c r="P158" s="1604"/>
      <c r="Q158" s="1604"/>
      <c r="R158" s="1604"/>
      <c r="S158" s="1604"/>
      <c r="T158" s="1604"/>
      <c r="U158" s="1604"/>
      <c r="V158" s="1604"/>
      <c r="W158" s="1604"/>
      <c r="X158" s="1604"/>
      <c r="Y158" s="1604"/>
      <c r="Z158" s="1604"/>
      <c r="AA158" s="1604"/>
      <c r="AB158" s="1604"/>
      <c r="AC158" s="1604"/>
      <c r="AD158" s="1604"/>
      <c r="AE158" s="1604"/>
      <c r="AF158" s="1604"/>
      <c r="AG158" s="1604"/>
      <c r="AH158" s="1604"/>
      <c r="AI158" s="1604"/>
      <c r="AJ158" s="323"/>
      <c r="AK158" s="287"/>
      <c r="AL158" s="312"/>
      <c r="AM158" s="331" t="s">
        <v>355</v>
      </c>
      <c r="AN158" s="1604" t="s">
        <v>464</v>
      </c>
      <c r="AO158" s="1604"/>
      <c r="AP158" s="1604"/>
      <c r="AQ158" s="1604"/>
      <c r="AR158" s="1604"/>
      <c r="AS158" s="1604"/>
      <c r="AT158" s="1604"/>
      <c r="AU158" s="1604"/>
      <c r="AV158" s="1604"/>
      <c r="AW158" s="1604"/>
      <c r="AX158" s="1604"/>
      <c r="AY158" s="1604"/>
      <c r="AZ158" s="1604"/>
      <c r="BA158" s="1604"/>
      <c r="BB158" s="1604"/>
      <c r="BC158" s="1604"/>
      <c r="BD158" s="1604"/>
      <c r="BE158" s="1604"/>
      <c r="BF158" s="1604"/>
      <c r="BG158" s="1604"/>
      <c r="BH158" s="1604"/>
      <c r="BI158" s="1604"/>
      <c r="BJ158" s="1604"/>
      <c r="BK158" s="1604"/>
      <c r="BL158" s="1604"/>
      <c r="BM158" s="1604"/>
      <c r="BN158" s="1604"/>
      <c r="BO158" s="1604"/>
      <c r="BP158" s="1604"/>
      <c r="BQ158" s="1604"/>
      <c r="BR158" s="1604"/>
      <c r="BS158" s="1604"/>
      <c r="BT158" s="295"/>
      <c r="BU158" s="295"/>
      <c r="BV158" s="310"/>
      <c r="BW158" s="310"/>
      <c r="BX158" s="291"/>
      <c r="BY158" s="323"/>
      <c r="BZ158" s="279"/>
      <c r="CA158" s="279"/>
      <c r="CB158" s="280"/>
      <c r="CC158" s="280"/>
      <c r="CD158" s="280"/>
      <c r="CE158" s="280"/>
      <c r="CF158" s="280"/>
    </row>
    <row r="159" spans="1:84" s="326" customFormat="1" ht="56.1" hidden="1" customHeight="1" x14ac:dyDescent="0.25">
      <c r="A159" s="322"/>
      <c r="B159" s="312"/>
      <c r="C159" s="331" t="s">
        <v>355</v>
      </c>
      <c r="D159" s="1604" t="s">
        <v>465</v>
      </c>
      <c r="E159" s="1604"/>
      <c r="F159" s="1604"/>
      <c r="G159" s="1604"/>
      <c r="H159" s="1604"/>
      <c r="I159" s="1604"/>
      <c r="J159" s="1604"/>
      <c r="K159" s="1604"/>
      <c r="L159" s="1604"/>
      <c r="M159" s="1604"/>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4"/>
      <c r="AJ159" s="323"/>
      <c r="AK159" s="287"/>
      <c r="AL159" s="312"/>
      <c r="AM159" s="331" t="s">
        <v>355</v>
      </c>
      <c r="AN159" s="1604" t="s">
        <v>466</v>
      </c>
      <c r="AO159" s="1604"/>
      <c r="AP159" s="1604"/>
      <c r="AQ159" s="1604"/>
      <c r="AR159" s="1604"/>
      <c r="AS159" s="1604"/>
      <c r="AT159" s="1604"/>
      <c r="AU159" s="1604"/>
      <c r="AV159" s="1604"/>
      <c r="AW159" s="1604"/>
      <c r="AX159" s="1604"/>
      <c r="AY159" s="1604"/>
      <c r="AZ159" s="1604"/>
      <c r="BA159" s="1604"/>
      <c r="BB159" s="1604"/>
      <c r="BC159" s="1604"/>
      <c r="BD159" s="1604"/>
      <c r="BE159" s="1604"/>
      <c r="BF159" s="1604"/>
      <c r="BG159" s="1604"/>
      <c r="BH159" s="1604"/>
      <c r="BI159" s="1604"/>
      <c r="BJ159" s="1604"/>
      <c r="BK159" s="1604"/>
      <c r="BL159" s="1604"/>
      <c r="BM159" s="1604"/>
      <c r="BN159" s="1604"/>
      <c r="BO159" s="1604"/>
      <c r="BP159" s="1604"/>
      <c r="BQ159" s="1604"/>
      <c r="BR159" s="1604"/>
      <c r="BS159" s="1604"/>
      <c r="BT159" s="295"/>
      <c r="BU159" s="295"/>
      <c r="BV159" s="310"/>
      <c r="BW159" s="310"/>
      <c r="BX159" s="291"/>
      <c r="BY159" s="323"/>
      <c r="BZ159" s="279"/>
      <c r="CA159" s="279"/>
      <c r="CB159" s="280"/>
      <c r="CC159" s="280"/>
      <c r="CD159" s="280"/>
      <c r="CE159" s="280"/>
      <c r="CF159" s="280"/>
    </row>
    <row r="160" spans="1:84" s="326" customFormat="1" ht="12.95" customHeight="1" x14ac:dyDescent="0.25">
      <c r="A160" s="322"/>
      <c r="B160" s="312"/>
      <c r="C160" s="1602"/>
      <c r="D160" s="1602"/>
      <c r="E160" s="1602"/>
      <c r="F160" s="1602"/>
      <c r="G160" s="1602"/>
      <c r="H160" s="1602"/>
      <c r="I160" s="1602"/>
      <c r="J160" s="1602"/>
      <c r="K160" s="1602"/>
      <c r="L160" s="1602"/>
      <c r="M160" s="1602"/>
      <c r="N160" s="1602"/>
      <c r="O160" s="1602"/>
      <c r="P160" s="1602"/>
      <c r="Q160" s="1602"/>
      <c r="R160" s="1602"/>
      <c r="S160" s="1602"/>
      <c r="T160" s="1602"/>
      <c r="U160" s="1602"/>
      <c r="V160" s="1602"/>
      <c r="W160" s="1602"/>
      <c r="X160" s="1602"/>
      <c r="Y160" s="1602"/>
      <c r="Z160" s="1602"/>
      <c r="AA160" s="1602"/>
      <c r="AB160" s="1602"/>
      <c r="AC160" s="1602"/>
      <c r="AD160" s="1602"/>
      <c r="AE160" s="1602"/>
      <c r="AF160" s="1602"/>
      <c r="AG160" s="1602"/>
      <c r="AH160" s="1602"/>
      <c r="AI160" s="1602"/>
      <c r="AJ160" s="323"/>
      <c r="AK160" s="287"/>
      <c r="AL160" s="312"/>
      <c r="AM160" s="1602"/>
      <c r="AN160" s="1602"/>
      <c r="AO160" s="1602"/>
      <c r="AP160" s="1602"/>
      <c r="AQ160" s="1602"/>
      <c r="AR160" s="1602"/>
      <c r="AS160" s="1602"/>
      <c r="AT160" s="1602"/>
      <c r="AU160" s="1602"/>
      <c r="AV160" s="1602"/>
      <c r="AW160" s="1602"/>
      <c r="AX160" s="1602"/>
      <c r="AY160" s="1602"/>
      <c r="AZ160" s="1602"/>
      <c r="BA160" s="1602"/>
      <c r="BB160" s="1602"/>
      <c r="BC160" s="1602"/>
      <c r="BD160" s="1602"/>
      <c r="BE160" s="1602"/>
      <c r="BF160" s="1602"/>
      <c r="BG160" s="1602"/>
      <c r="BH160" s="1602"/>
      <c r="BI160" s="1602"/>
      <c r="BJ160" s="1602"/>
      <c r="BK160" s="1602"/>
      <c r="BL160" s="1602"/>
      <c r="BM160" s="1602"/>
      <c r="BN160" s="1602"/>
      <c r="BO160" s="1602"/>
      <c r="BP160" s="1602"/>
      <c r="BQ160" s="1602"/>
      <c r="BR160" s="1602"/>
      <c r="BS160" s="1602"/>
      <c r="BT160" s="295"/>
      <c r="BU160" s="295"/>
      <c r="BV160" s="310"/>
      <c r="BW160" s="310"/>
      <c r="BX160" s="291"/>
      <c r="BY160" s="323"/>
      <c r="BZ160" s="279"/>
      <c r="CA160" s="279"/>
      <c r="CB160" s="280"/>
      <c r="CC160" s="280"/>
      <c r="CD160" s="280"/>
      <c r="CE160" s="280"/>
      <c r="CF160" s="280"/>
    </row>
    <row r="161" spans="1:84" s="281" customFormat="1" ht="27.95" customHeight="1" x14ac:dyDescent="0.25">
      <c r="A161" s="322"/>
      <c r="B161" s="312"/>
      <c r="C161" s="1604" t="s">
        <v>467</v>
      </c>
      <c r="D161" s="1604"/>
      <c r="E161" s="1604"/>
      <c r="F161" s="1604"/>
      <c r="G161" s="1604"/>
      <c r="H161" s="1604"/>
      <c r="I161" s="1604"/>
      <c r="J161" s="1604"/>
      <c r="K161" s="1604"/>
      <c r="L161" s="1604"/>
      <c r="M161" s="1604"/>
      <c r="N161" s="1604"/>
      <c r="O161" s="1604"/>
      <c r="P161" s="1604"/>
      <c r="Q161" s="1604"/>
      <c r="R161" s="1604"/>
      <c r="S161" s="1604"/>
      <c r="T161" s="1604"/>
      <c r="U161" s="1604"/>
      <c r="V161" s="1604"/>
      <c r="W161" s="1604"/>
      <c r="X161" s="1604"/>
      <c r="Y161" s="1604"/>
      <c r="Z161" s="1604"/>
      <c r="AA161" s="1604"/>
      <c r="AB161" s="1604"/>
      <c r="AC161" s="1604"/>
      <c r="AD161" s="1604"/>
      <c r="AE161" s="1604"/>
      <c r="AF161" s="1604"/>
      <c r="AG161" s="1604"/>
      <c r="AH161" s="1604"/>
      <c r="AI161" s="1604"/>
      <c r="AJ161" s="323"/>
      <c r="AK161" s="287"/>
      <c r="AL161" s="312"/>
      <c r="AM161" s="1604" t="s">
        <v>468</v>
      </c>
      <c r="AN161" s="1604"/>
      <c r="AO161" s="1604"/>
      <c r="AP161" s="1604"/>
      <c r="AQ161" s="1604"/>
      <c r="AR161" s="1604"/>
      <c r="AS161" s="1604"/>
      <c r="AT161" s="1604"/>
      <c r="AU161" s="1604"/>
      <c r="AV161" s="1604"/>
      <c r="AW161" s="1604"/>
      <c r="AX161" s="1604"/>
      <c r="AY161" s="1604"/>
      <c r="AZ161" s="1604"/>
      <c r="BA161" s="1604"/>
      <c r="BB161" s="1604"/>
      <c r="BC161" s="1604"/>
      <c r="BD161" s="1604"/>
      <c r="BE161" s="1604"/>
      <c r="BF161" s="1604"/>
      <c r="BG161" s="1604"/>
      <c r="BH161" s="1604"/>
      <c r="BI161" s="1604"/>
      <c r="BJ161" s="1604"/>
      <c r="BK161" s="1604"/>
      <c r="BL161" s="1604"/>
      <c r="BM161" s="1604"/>
      <c r="BN161" s="1604"/>
      <c r="BO161" s="1604"/>
      <c r="BP161" s="1604"/>
      <c r="BQ161" s="1604"/>
      <c r="BR161" s="1604"/>
      <c r="BS161" s="1604"/>
      <c r="BT161" s="82"/>
      <c r="BU161" s="295"/>
      <c r="BV161" s="310"/>
      <c r="BW161" s="310"/>
      <c r="BX161" s="291"/>
      <c r="BY161" s="272"/>
      <c r="BZ161" s="279"/>
      <c r="CA161" s="279"/>
      <c r="CB161" s="280"/>
      <c r="CC161" s="280"/>
      <c r="CD161" s="280"/>
      <c r="CE161" s="280"/>
      <c r="CF161" s="280"/>
    </row>
    <row r="162" spans="1:84" s="281" customFormat="1" ht="2.1" customHeight="1" x14ac:dyDescent="0.25">
      <c r="A162" s="322"/>
      <c r="B162" s="312"/>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3"/>
      <c r="AK162" s="287"/>
      <c r="AL162" s="312"/>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82"/>
      <c r="BU162" s="295"/>
      <c r="BV162" s="310"/>
      <c r="BW162" s="310"/>
      <c r="BX162" s="291"/>
      <c r="BY162" s="272"/>
      <c r="BZ162" s="279"/>
      <c r="CA162" s="279"/>
      <c r="CB162" s="280"/>
      <c r="CC162" s="280"/>
      <c r="CD162" s="280"/>
      <c r="CE162" s="280"/>
      <c r="CF162" s="280"/>
    </row>
    <row r="163" spans="1:84" s="281" customFormat="1" ht="12.95" customHeight="1" x14ac:dyDescent="0.25">
      <c r="A163" s="322"/>
      <c r="B163" s="312"/>
      <c r="C163" s="1602"/>
      <c r="D163" s="1602"/>
      <c r="E163" s="1602"/>
      <c r="F163" s="1602"/>
      <c r="G163" s="1602"/>
      <c r="H163" s="1602"/>
      <c r="I163" s="1602"/>
      <c r="J163" s="1602"/>
      <c r="K163" s="1602"/>
      <c r="L163" s="1602"/>
      <c r="M163" s="1602"/>
      <c r="N163" s="1602"/>
      <c r="O163" s="1602"/>
      <c r="P163" s="1602"/>
      <c r="Q163" s="1602"/>
      <c r="R163" s="1602"/>
      <c r="S163" s="1602"/>
      <c r="T163" s="1602"/>
      <c r="U163" s="1602"/>
      <c r="V163" s="1602"/>
      <c r="W163" s="1602"/>
      <c r="X163" s="1602"/>
      <c r="Y163" s="1602"/>
      <c r="Z163" s="1602"/>
      <c r="AA163" s="1602"/>
      <c r="AB163" s="1602"/>
      <c r="AC163" s="1602"/>
      <c r="AD163" s="1602"/>
      <c r="AE163" s="1602"/>
      <c r="AF163" s="1602"/>
      <c r="AG163" s="1602"/>
      <c r="AH163" s="1602"/>
      <c r="AI163" s="1602"/>
      <c r="AJ163" s="323"/>
      <c r="AK163" s="287"/>
      <c r="AL163" s="312"/>
      <c r="AM163" s="1602"/>
      <c r="AN163" s="1602"/>
      <c r="AO163" s="1602"/>
      <c r="AP163" s="1602"/>
      <c r="AQ163" s="1602"/>
      <c r="AR163" s="1602"/>
      <c r="AS163" s="1602"/>
      <c r="AT163" s="1602"/>
      <c r="AU163" s="1602"/>
      <c r="AV163" s="1602"/>
      <c r="AW163" s="1602"/>
      <c r="AX163" s="1602"/>
      <c r="AY163" s="1602"/>
      <c r="AZ163" s="1602"/>
      <c r="BA163" s="1602"/>
      <c r="BB163" s="1602"/>
      <c r="BC163" s="1602"/>
      <c r="BD163" s="1602"/>
      <c r="BE163" s="1602"/>
      <c r="BF163" s="1602"/>
      <c r="BG163" s="1602"/>
      <c r="BH163" s="1602"/>
      <c r="BI163" s="1602"/>
      <c r="BJ163" s="1602"/>
      <c r="BK163" s="1602"/>
      <c r="BL163" s="1602"/>
      <c r="BM163" s="1602"/>
      <c r="BN163" s="1602"/>
      <c r="BO163" s="1602"/>
      <c r="BP163" s="1602"/>
      <c r="BQ163" s="1602"/>
      <c r="BR163" s="1602"/>
      <c r="BS163" s="1602"/>
      <c r="BT163" s="82"/>
      <c r="BU163" s="295"/>
      <c r="BV163" s="310"/>
      <c r="BW163" s="310"/>
      <c r="BX163" s="291"/>
      <c r="BY163" s="272"/>
      <c r="BZ163" s="279"/>
      <c r="CA163" s="279"/>
      <c r="CB163" s="280"/>
      <c r="CC163" s="280"/>
      <c r="CD163" s="280"/>
      <c r="CE163" s="280"/>
      <c r="CF163" s="280"/>
    </row>
    <row r="164" spans="1:84" s="281" customFormat="1" ht="15" customHeight="1" x14ac:dyDescent="0.25">
      <c r="A164" s="322" t="str">
        <f>subSTT</f>
        <v>2.10</v>
      </c>
      <c r="B164" s="312" t="s">
        <v>345</v>
      </c>
      <c r="C164" s="312" t="s">
        <v>469</v>
      </c>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c r="AH164" s="295"/>
      <c r="AI164" s="295"/>
      <c r="AJ164" s="323"/>
      <c r="AK164" s="287" t="str">
        <f>A164</f>
        <v>2.10</v>
      </c>
      <c r="AL164" s="312" t="s">
        <v>345</v>
      </c>
      <c r="AM164" s="312" t="s">
        <v>470</v>
      </c>
      <c r="AN164" s="295"/>
      <c r="AO164" s="295"/>
      <c r="AP164" s="295"/>
      <c r="AQ164" s="295"/>
      <c r="AR164" s="295"/>
      <c r="AS164" s="295"/>
      <c r="AT164" s="295"/>
      <c r="AU164" s="295"/>
      <c r="AV164" s="295"/>
      <c r="AW164" s="295"/>
      <c r="AX164" s="295"/>
      <c r="AY164" s="295"/>
      <c r="AZ164" s="295"/>
      <c r="BA164" s="295"/>
      <c r="BB164" s="295"/>
      <c r="BC164" s="295"/>
      <c r="BD164" s="295"/>
      <c r="BE164" s="295"/>
      <c r="BF164" s="295"/>
      <c r="BG164" s="295"/>
      <c r="BH164" s="295"/>
      <c r="BI164" s="295"/>
      <c r="BJ164" s="295"/>
      <c r="BK164" s="295"/>
      <c r="BL164" s="295"/>
      <c r="BM164" s="295"/>
      <c r="BN164" s="295"/>
      <c r="BO164" s="295"/>
      <c r="BP164" s="295"/>
      <c r="BQ164" s="295"/>
      <c r="BR164" s="295"/>
      <c r="BS164" s="295"/>
      <c r="BT164" s="82"/>
      <c r="BU164" s="295"/>
      <c r="BV164" s="310"/>
      <c r="BW164" s="310"/>
      <c r="BX164" s="291"/>
      <c r="BY164" s="272"/>
      <c r="BZ164" s="279"/>
      <c r="CA164" s="279"/>
      <c r="CB164" s="280"/>
      <c r="CC164" s="280"/>
      <c r="CD164" s="280"/>
      <c r="CE164" s="280"/>
      <c r="CF164" s="280"/>
    </row>
    <row r="165" spans="1:84" s="326" customFormat="1" ht="12.95" customHeight="1" x14ac:dyDescent="0.25">
      <c r="A165" s="332"/>
      <c r="B165" s="295"/>
      <c r="C165" s="1614"/>
      <c r="D165" s="1614"/>
      <c r="E165" s="1614"/>
      <c r="F165" s="1614"/>
      <c r="G165" s="1614"/>
      <c r="H165" s="1614"/>
      <c r="I165" s="1614"/>
      <c r="J165" s="1614"/>
      <c r="K165" s="1614"/>
      <c r="L165" s="1614"/>
      <c r="M165" s="1614"/>
      <c r="N165" s="1614"/>
      <c r="O165" s="1614"/>
      <c r="P165" s="1614"/>
      <c r="Q165" s="1614"/>
      <c r="R165" s="1614"/>
      <c r="S165" s="1614"/>
      <c r="T165" s="1614"/>
      <c r="U165" s="1614"/>
      <c r="V165" s="1614"/>
      <c r="W165" s="1614"/>
      <c r="X165" s="1614"/>
      <c r="Y165" s="1614"/>
      <c r="Z165" s="1614"/>
      <c r="AA165" s="1614"/>
      <c r="AB165" s="1614"/>
      <c r="AC165" s="1614"/>
      <c r="AD165" s="1614"/>
      <c r="AE165" s="1614"/>
      <c r="AF165" s="1614"/>
      <c r="AG165" s="1614"/>
      <c r="AH165" s="1614"/>
      <c r="AI165" s="1614"/>
      <c r="AJ165" s="323"/>
      <c r="AK165" s="276"/>
      <c r="AL165" s="312"/>
      <c r="AM165" s="1614" t="s">
        <v>407</v>
      </c>
      <c r="AN165" s="1614"/>
      <c r="AO165" s="1614"/>
      <c r="AP165" s="1614"/>
      <c r="AQ165" s="1614"/>
      <c r="AR165" s="1614"/>
      <c r="AS165" s="1614"/>
      <c r="AT165" s="1614"/>
      <c r="AU165" s="1614"/>
      <c r="AV165" s="1614"/>
      <c r="AW165" s="1614"/>
      <c r="AX165" s="1614"/>
      <c r="AY165" s="1614"/>
      <c r="AZ165" s="1614"/>
      <c r="BA165" s="1614"/>
      <c r="BB165" s="1614"/>
      <c r="BC165" s="1614"/>
      <c r="BD165" s="1614"/>
      <c r="BE165" s="1614"/>
      <c r="BF165" s="1614"/>
      <c r="BG165" s="1614"/>
      <c r="BH165" s="1614"/>
      <c r="BI165" s="1614"/>
      <c r="BJ165" s="1614"/>
      <c r="BK165" s="1614"/>
      <c r="BL165" s="1614"/>
      <c r="BM165" s="1614"/>
      <c r="BN165" s="1614"/>
      <c r="BO165" s="1614"/>
      <c r="BP165" s="1614"/>
      <c r="BQ165" s="1614"/>
      <c r="BR165" s="1614"/>
      <c r="BS165" s="1614"/>
      <c r="BT165" s="295"/>
      <c r="BU165" s="295"/>
      <c r="BV165" s="310"/>
      <c r="BW165" s="310"/>
      <c r="BX165" s="291"/>
      <c r="BY165" s="323"/>
      <c r="BZ165" s="279"/>
      <c r="CA165" s="279"/>
      <c r="CB165" s="280"/>
      <c r="CC165" s="280"/>
      <c r="CD165" s="280"/>
      <c r="CE165" s="280"/>
      <c r="CF165" s="280"/>
    </row>
    <row r="166" spans="1:84" s="326" customFormat="1" ht="42" customHeight="1" x14ac:dyDescent="0.25">
      <c r="A166" s="332"/>
      <c r="B166" s="295"/>
      <c r="C166" s="1604" t="s">
        <v>471</v>
      </c>
      <c r="D166" s="1604"/>
      <c r="E166" s="1604"/>
      <c r="F166" s="1604"/>
      <c r="G166" s="1604"/>
      <c r="H166" s="1604"/>
      <c r="I166" s="1604"/>
      <c r="J166" s="1604"/>
      <c r="K166" s="1604"/>
      <c r="L166" s="1604"/>
      <c r="M166" s="1604"/>
      <c r="N166" s="1604"/>
      <c r="O166" s="1604"/>
      <c r="P166" s="1604"/>
      <c r="Q166" s="1604"/>
      <c r="R166" s="1604"/>
      <c r="S166" s="1604"/>
      <c r="T166" s="1604"/>
      <c r="U166" s="1604"/>
      <c r="V166" s="1604"/>
      <c r="W166" s="1604"/>
      <c r="X166" s="1604"/>
      <c r="Y166" s="1604"/>
      <c r="Z166" s="1604"/>
      <c r="AA166" s="1604"/>
      <c r="AB166" s="1604"/>
      <c r="AC166" s="1604"/>
      <c r="AD166" s="1604"/>
      <c r="AE166" s="1604"/>
      <c r="AF166" s="1604"/>
      <c r="AG166" s="1604"/>
      <c r="AH166" s="1604"/>
      <c r="AI166" s="1604"/>
      <c r="AJ166" s="323"/>
      <c r="AK166" s="276"/>
      <c r="AL166" s="312"/>
      <c r="AM166" s="1604" t="s">
        <v>472</v>
      </c>
      <c r="AN166" s="1604"/>
      <c r="AO166" s="1604"/>
      <c r="AP166" s="1604"/>
      <c r="AQ166" s="1604"/>
      <c r="AR166" s="1604"/>
      <c r="AS166" s="1604"/>
      <c r="AT166" s="1604"/>
      <c r="AU166" s="1604"/>
      <c r="AV166" s="1604"/>
      <c r="AW166" s="1604"/>
      <c r="AX166" s="1604"/>
      <c r="AY166" s="1604"/>
      <c r="AZ166" s="1604"/>
      <c r="BA166" s="1604"/>
      <c r="BB166" s="1604"/>
      <c r="BC166" s="1604"/>
      <c r="BD166" s="1604"/>
      <c r="BE166" s="1604"/>
      <c r="BF166" s="1604"/>
      <c r="BG166" s="1604"/>
      <c r="BH166" s="1604"/>
      <c r="BI166" s="1604"/>
      <c r="BJ166" s="1604"/>
      <c r="BK166" s="1604"/>
      <c r="BL166" s="1604"/>
      <c r="BM166" s="1604"/>
      <c r="BN166" s="1604"/>
      <c r="BO166" s="1604"/>
      <c r="BP166" s="1604"/>
      <c r="BQ166" s="1604"/>
      <c r="BR166" s="1604"/>
      <c r="BS166" s="1604"/>
      <c r="BT166" s="295"/>
      <c r="BU166" s="295"/>
      <c r="BV166" s="310"/>
      <c r="BW166" s="310"/>
      <c r="BX166" s="291"/>
      <c r="BY166" s="323"/>
      <c r="BZ166" s="279"/>
      <c r="CA166" s="279"/>
      <c r="CB166" s="280"/>
      <c r="CC166" s="280"/>
      <c r="CD166" s="280"/>
      <c r="CE166" s="280"/>
      <c r="CF166" s="280"/>
    </row>
    <row r="167" spans="1:84" s="326" customFormat="1" ht="12.95" hidden="1" customHeight="1" x14ac:dyDescent="0.25">
      <c r="A167" s="332"/>
      <c r="B167" s="295"/>
      <c r="C167" s="1604"/>
      <c r="D167" s="1604"/>
      <c r="E167" s="1604"/>
      <c r="F167" s="1604"/>
      <c r="G167" s="1604"/>
      <c r="H167" s="1604"/>
      <c r="I167" s="1604"/>
      <c r="J167" s="1604"/>
      <c r="K167" s="1604"/>
      <c r="L167" s="1604"/>
      <c r="M167" s="1604"/>
      <c r="N167" s="1604"/>
      <c r="O167" s="1604"/>
      <c r="P167" s="1604"/>
      <c r="Q167" s="1604"/>
      <c r="R167" s="1604"/>
      <c r="S167" s="1604"/>
      <c r="T167" s="1604"/>
      <c r="U167" s="1604"/>
      <c r="V167" s="1604"/>
      <c r="W167" s="1604"/>
      <c r="X167" s="1604"/>
      <c r="Y167" s="1604"/>
      <c r="Z167" s="1604"/>
      <c r="AA167" s="1604"/>
      <c r="AB167" s="1604"/>
      <c r="AC167" s="1604"/>
      <c r="AD167" s="1604"/>
      <c r="AE167" s="1604"/>
      <c r="AF167" s="1604"/>
      <c r="AG167" s="1604"/>
      <c r="AH167" s="1604"/>
      <c r="AI167" s="1604"/>
      <c r="AJ167" s="323"/>
      <c r="AK167" s="276"/>
      <c r="AL167" s="312"/>
      <c r="AM167" s="1604"/>
      <c r="AN167" s="1604"/>
      <c r="AO167" s="1604"/>
      <c r="AP167" s="1604"/>
      <c r="AQ167" s="1604"/>
      <c r="AR167" s="1604"/>
      <c r="AS167" s="1604"/>
      <c r="AT167" s="1604"/>
      <c r="AU167" s="1604"/>
      <c r="AV167" s="1604"/>
      <c r="AW167" s="1604"/>
      <c r="AX167" s="1604"/>
      <c r="AY167" s="1604"/>
      <c r="AZ167" s="1604"/>
      <c r="BA167" s="1604"/>
      <c r="BB167" s="1604"/>
      <c r="BC167" s="1604"/>
      <c r="BD167" s="1604"/>
      <c r="BE167" s="1604"/>
      <c r="BF167" s="1604"/>
      <c r="BG167" s="1604"/>
      <c r="BH167" s="1604"/>
      <c r="BI167" s="1604"/>
      <c r="BJ167" s="1604"/>
      <c r="BK167" s="1604"/>
      <c r="BL167" s="1604"/>
      <c r="BM167" s="1604"/>
      <c r="BN167" s="1604"/>
      <c r="BO167" s="1604"/>
      <c r="BP167" s="1604"/>
      <c r="BQ167" s="1604"/>
      <c r="BR167" s="1604"/>
      <c r="BS167" s="1604"/>
      <c r="BT167" s="295"/>
      <c r="BU167" s="295"/>
      <c r="BV167" s="310"/>
      <c r="BW167" s="310"/>
      <c r="BX167" s="291"/>
      <c r="BY167" s="323"/>
      <c r="BZ167" s="279"/>
      <c r="CA167" s="279"/>
      <c r="CB167" s="280"/>
      <c r="CC167" s="280"/>
      <c r="CD167" s="280"/>
      <c r="CE167" s="280"/>
      <c r="CF167" s="280"/>
    </row>
    <row r="168" spans="1:84" s="326" customFormat="1" ht="81" hidden="1" customHeight="1" x14ac:dyDescent="0.25">
      <c r="A168" s="332"/>
      <c r="B168" s="295"/>
      <c r="C168" s="1604" t="s">
        <v>473</v>
      </c>
      <c r="D168" s="1604"/>
      <c r="E168" s="1604"/>
      <c r="F168" s="1604"/>
      <c r="G168" s="1604"/>
      <c r="H168" s="1604"/>
      <c r="I168" s="1604"/>
      <c r="J168" s="1604"/>
      <c r="K168" s="1604"/>
      <c r="L168" s="1604"/>
      <c r="M168" s="1604"/>
      <c r="N168" s="1604"/>
      <c r="O168" s="1604"/>
      <c r="P168" s="1604"/>
      <c r="Q168" s="1604"/>
      <c r="R168" s="1604"/>
      <c r="S168" s="1604"/>
      <c r="T168" s="1604"/>
      <c r="U168" s="1604"/>
      <c r="V168" s="1604"/>
      <c r="W168" s="1604"/>
      <c r="X168" s="1604"/>
      <c r="Y168" s="1604"/>
      <c r="Z168" s="1604"/>
      <c r="AA168" s="1604"/>
      <c r="AB168" s="1604"/>
      <c r="AC168" s="1604"/>
      <c r="AD168" s="1604"/>
      <c r="AE168" s="1604"/>
      <c r="AF168" s="1604"/>
      <c r="AG168" s="1604"/>
      <c r="AH168" s="1604"/>
      <c r="AI168" s="1604"/>
      <c r="AJ168" s="323"/>
      <c r="AK168" s="276"/>
      <c r="AL168" s="312"/>
      <c r="AM168" s="1604" t="s">
        <v>474</v>
      </c>
      <c r="AN168" s="1604"/>
      <c r="AO168" s="1604"/>
      <c r="AP168" s="1604"/>
      <c r="AQ168" s="1604"/>
      <c r="AR168" s="1604"/>
      <c r="AS168" s="1604"/>
      <c r="AT168" s="1604"/>
      <c r="AU168" s="1604"/>
      <c r="AV168" s="1604"/>
      <c r="AW168" s="1604"/>
      <c r="AX168" s="1604"/>
      <c r="AY168" s="1604"/>
      <c r="AZ168" s="1604"/>
      <c r="BA168" s="1604"/>
      <c r="BB168" s="1604"/>
      <c r="BC168" s="1604"/>
      <c r="BD168" s="1604"/>
      <c r="BE168" s="1604"/>
      <c r="BF168" s="1604"/>
      <c r="BG168" s="1604"/>
      <c r="BH168" s="1604"/>
      <c r="BI168" s="1604"/>
      <c r="BJ168" s="1604"/>
      <c r="BK168" s="1604"/>
      <c r="BL168" s="1604"/>
      <c r="BM168" s="1604"/>
      <c r="BN168" s="1604"/>
      <c r="BO168" s="1604"/>
      <c r="BP168" s="1604"/>
      <c r="BQ168" s="1604"/>
      <c r="BR168" s="1604"/>
      <c r="BS168" s="1604"/>
      <c r="BT168" s="295"/>
      <c r="BU168" s="295"/>
      <c r="BV168" s="310"/>
      <c r="BW168" s="310"/>
      <c r="BX168" s="291"/>
      <c r="BY168" s="323"/>
      <c r="BZ168" s="279"/>
      <c r="CA168" s="279"/>
      <c r="CB168" s="280"/>
      <c r="CC168" s="280"/>
      <c r="CD168" s="280"/>
      <c r="CE168" s="280"/>
      <c r="CF168" s="280"/>
    </row>
    <row r="169" spans="1:84" s="326" customFormat="1" ht="14.1" customHeight="1" x14ac:dyDescent="0.25">
      <c r="A169" s="332"/>
      <c r="B169" s="295"/>
      <c r="C169" s="317"/>
      <c r="D169" s="317"/>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c r="AH169" s="295"/>
      <c r="AI169" s="325"/>
      <c r="AJ169" s="323"/>
      <c r="AK169" s="276"/>
      <c r="AL169" s="312"/>
      <c r="AM169" s="1604"/>
      <c r="AN169" s="1604"/>
      <c r="AO169" s="1604"/>
      <c r="AP169" s="1604"/>
      <c r="AQ169" s="1604"/>
      <c r="AR169" s="1604"/>
      <c r="AS169" s="1604"/>
      <c r="AT169" s="1604"/>
      <c r="AU169" s="1604"/>
      <c r="AV169" s="1604"/>
      <c r="AW169" s="1604"/>
      <c r="AX169" s="1604"/>
      <c r="AY169" s="1604"/>
      <c r="AZ169" s="1604"/>
      <c r="BA169" s="1604"/>
      <c r="BB169" s="1604"/>
      <c r="BC169" s="1604"/>
      <c r="BD169" s="1604"/>
      <c r="BE169" s="1604"/>
      <c r="BF169" s="1604"/>
      <c r="BG169" s="1604"/>
      <c r="BH169" s="1604"/>
      <c r="BI169" s="1604"/>
      <c r="BJ169" s="1604"/>
      <c r="BK169" s="1604"/>
      <c r="BL169" s="1604"/>
      <c r="BM169" s="1604"/>
      <c r="BN169" s="1604"/>
      <c r="BO169" s="1604"/>
      <c r="BP169" s="1604"/>
      <c r="BQ169" s="1604"/>
      <c r="BR169" s="1604"/>
      <c r="BS169" s="1604"/>
      <c r="BT169" s="295"/>
      <c r="BU169" s="295"/>
      <c r="BV169" s="310"/>
      <c r="BW169" s="310"/>
      <c r="BX169" s="291"/>
      <c r="BY169" s="323"/>
      <c r="BZ169" s="279"/>
      <c r="CA169" s="279"/>
      <c r="CB169" s="280"/>
      <c r="CC169" s="280"/>
      <c r="CD169" s="280"/>
      <c r="CE169" s="280"/>
      <c r="CF169" s="280"/>
    </row>
    <row r="170" spans="1:84" s="326" customFormat="1" ht="27.95" customHeight="1" x14ac:dyDescent="0.25">
      <c r="A170" s="332"/>
      <c r="B170" s="295"/>
      <c r="C170" s="1613" t="s">
        <v>475</v>
      </c>
      <c r="D170" s="1613"/>
      <c r="E170" s="1613"/>
      <c r="F170" s="1613"/>
      <c r="G170" s="1613"/>
      <c r="H170" s="1613"/>
      <c r="I170" s="1613"/>
      <c r="J170" s="1613"/>
      <c r="K170" s="1613"/>
      <c r="L170" s="1613"/>
      <c r="M170" s="1613"/>
      <c r="N170" s="1613"/>
      <c r="O170" s="1613"/>
      <c r="P170" s="1613"/>
      <c r="Q170" s="1613"/>
      <c r="R170" s="1613"/>
      <c r="S170" s="1613"/>
      <c r="T170" s="1613"/>
      <c r="U170" s="1613"/>
      <c r="V170" s="1613"/>
      <c r="W170" s="1613"/>
      <c r="X170" s="1613"/>
      <c r="Y170" s="1613"/>
      <c r="Z170" s="1613"/>
      <c r="AA170" s="1613"/>
      <c r="AB170" s="1613"/>
      <c r="AC170" s="1613"/>
      <c r="AD170" s="1613"/>
      <c r="AE170" s="1613"/>
      <c r="AF170" s="1613"/>
      <c r="AG170" s="1613"/>
      <c r="AH170" s="1613"/>
      <c r="AI170" s="1613"/>
      <c r="AJ170" s="323"/>
      <c r="AK170" s="276"/>
      <c r="AL170" s="312"/>
      <c r="AM170" s="1604" t="s">
        <v>476</v>
      </c>
      <c r="AN170" s="1604"/>
      <c r="AO170" s="1604"/>
      <c r="AP170" s="1604"/>
      <c r="AQ170" s="1604"/>
      <c r="AR170" s="1604"/>
      <c r="AS170" s="1604"/>
      <c r="AT170" s="1604"/>
      <c r="AU170" s="1604"/>
      <c r="AV170" s="1604"/>
      <c r="AW170" s="1604"/>
      <c r="AX170" s="1604"/>
      <c r="AY170" s="1604"/>
      <c r="AZ170" s="1604"/>
      <c r="BA170" s="1604"/>
      <c r="BB170" s="1604"/>
      <c r="BC170" s="1604"/>
      <c r="BD170" s="1604"/>
      <c r="BE170" s="1604"/>
      <c r="BF170" s="1604"/>
      <c r="BG170" s="1604"/>
      <c r="BH170" s="1604"/>
      <c r="BI170" s="1604"/>
      <c r="BJ170" s="1604"/>
      <c r="BK170" s="1604"/>
      <c r="BL170" s="1604"/>
      <c r="BM170" s="1604"/>
      <c r="BN170" s="1604"/>
      <c r="BO170" s="1604"/>
      <c r="BP170" s="1604"/>
      <c r="BQ170" s="1604"/>
      <c r="BR170" s="1604"/>
      <c r="BS170" s="1604"/>
      <c r="BT170" s="295"/>
      <c r="BU170" s="295"/>
      <c r="BV170" s="310"/>
      <c r="BW170" s="310"/>
      <c r="BX170" s="291"/>
      <c r="BY170" s="323"/>
      <c r="BZ170" s="279"/>
      <c r="CA170" s="279"/>
      <c r="CB170" s="280"/>
      <c r="CC170" s="280"/>
      <c r="CD170" s="280"/>
      <c r="CE170" s="280"/>
      <c r="CF170" s="280"/>
    </row>
    <row r="171" spans="1:84" s="326" customFormat="1" ht="14.1" customHeight="1" x14ac:dyDescent="0.25">
      <c r="A171" s="332"/>
      <c r="B171" s="295"/>
      <c r="C171" s="317" t="s">
        <v>355</v>
      </c>
      <c r="D171" s="317" t="s">
        <v>477</v>
      </c>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c r="AA171" s="325"/>
      <c r="AB171" s="1612" t="s">
        <v>478</v>
      </c>
      <c r="AC171" s="1612"/>
      <c r="AD171" s="1612"/>
      <c r="AE171" s="1612"/>
      <c r="AF171" s="1602" t="s">
        <v>479</v>
      </c>
      <c r="AG171" s="1602"/>
      <c r="AH171" s="1602"/>
      <c r="AI171" s="325"/>
      <c r="AJ171" s="323"/>
      <c r="AK171" s="276"/>
      <c r="AL171" s="312"/>
      <c r="AM171" s="330" t="s">
        <v>355</v>
      </c>
      <c r="AN171" s="295" t="s">
        <v>480</v>
      </c>
      <c r="AO171" s="325"/>
      <c r="AP171" s="325"/>
      <c r="AQ171" s="325"/>
      <c r="AR171" s="325"/>
      <c r="AS171" s="325"/>
      <c r="AT171" s="325"/>
      <c r="AU171" s="325"/>
      <c r="AV171" s="325"/>
      <c r="AW171" s="325"/>
      <c r="AX171" s="325"/>
      <c r="AY171" s="325"/>
      <c r="AZ171" s="325"/>
      <c r="BA171" s="325"/>
      <c r="BB171" s="325"/>
      <c r="BC171" s="325"/>
      <c r="BD171" s="325"/>
      <c r="BE171" s="325"/>
      <c r="BF171" s="325"/>
      <c r="BG171" s="325"/>
      <c r="BH171" s="325"/>
      <c r="BI171" s="325"/>
      <c r="BJ171" s="325"/>
      <c r="BK171" s="325"/>
      <c r="BL171" s="1612" t="str">
        <f>AB171</f>
        <v>10 - 20</v>
      </c>
      <c r="BM171" s="1612"/>
      <c r="BN171" s="1612"/>
      <c r="BO171" s="1612"/>
      <c r="BP171" s="1602" t="s">
        <v>481</v>
      </c>
      <c r="BQ171" s="1602"/>
      <c r="BR171" s="1602"/>
      <c r="BS171" s="325"/>
      <c r="BT171" s="295"/>
      <c r="BU171" s="295"/>
      <c r="BV171" s="310"/>
      <c r="BW171" s="310"/>
      <c r="BX171" s="291"/>
      <c r="BY171" s="323"/>
      <c r="BZ171" s="279"/>
      <c r="CA171" s="279"/>
      <c r="CB171" s="280"/>
      <c r="CC171" s="280"/>
      <c r="CD171" s="280"/>
      <c r="CE171" s="280"/>
      <c r="CF171" s="280"/>
    </row>
    <row r="172" spans="1:84" s="326" customFormat="1" ht="14.1" customHeight="1" x14ac:dyDescent="0.25">
      <c r="A172" s="332"/>
      <c r="B172" s="295"/>
      <c r="C172" s="317" t="s">
        <v>355</v>
      </c>
      <c r="D172" s="317" t="s">
        <v>482</v>
      </c>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1612" t="s">
        <v>483</v>
      </c>
      <c r="AC172" s="1612"/>
      <c r="AD172" s="1612"/>
      <c r="AE172" s="1612"/>
      <c r="AF172" s="1602" t="s">
        <v>479</v>
      </c>
      <c r="AG172" s="1602"/>
      <c r="AH172" s="1602"/>
      <c r="AI172" s="325"/>
      <c r="AJ172" s="323"/>
      <c r="AK172" s="276"/>
      <c r="AL172" s="312"/>
      <c r="AM172" s="330" t="s">
        <v>355</v>
      </c>
      <c r="AN172" s="295" t="s">
        <v>484</v>
      </c>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1612" t="str">
        <f t="shared" ref="BL172:BL177" si="0">AB172</f>
        <v>07 - 15</v>
      </c>
      <c r="BM172" s="1612"/>
      <c r="BN172" s="1612"/>
      <c r="BO172" s="1612"/>
      <c r="BP172" s="1602" t="s">
        <v>481</v>
      </c>
      <c r="BQ172" s="1602"/>
      <c r="BR172" s="1602"/>
      <c r="BS172" s="325"/>
      <c r="BT172" s="295"/>
      <c r="BU172" s="295"/>
      <c r="BV172" s="310"/>
      <c r="BW172" s="310"/>
      <c r="BX172" s="291"/>
      <c r="BY172" s="323"/>
      <c r="BZ172" s="279"/>
      <c r="CA172" s="279"/>
      <c r="CB172" s="280"/>
      <c r="CC172" s="280"/>
      <c r="CD172" s="280"/>
      <c r="CE172" s="280"/>
      <c r="CF172" s="280"/>
    </row>
    <row r="173" spans="1:84" s="326" customFormat="1" ht="14.1" customHeight="1" x14ac:dyDescent="0.25">
      <c r="A173" s="332"/>
      <c r="B173" s="295"/>
      <c r="C173" s="317" t="s">
        <v>355</v>
      </c>
      <c r="D173" s="295" t="s">
        <v>485</v>
      </c>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c r="AA173" s="325"/>
      <c r="AB173" s="1612" t="s">
        <v>486</v>
      </c>
      <c r="AC173" s="1612"/>
      <c r="AD173" s="1612"/>
      <c r="AE173" s="1612"/>
      <c r="AF173" s="1602" t="s">
        <v>479</v>
      </c>
      <c r="AG173" s="1602"/>
      <c r="AH173" s="1602"/>
      <c r="AI173" s="325"/>
      <c r="AJ173" s="323"/>
      <c r="AK173" s="276"/>
      <c r="AL173" s="312"/>
      <c r="AM173" s="330" t="s">
        <v>355</v>
      </c>
      <c r="AN173" s="295" t="s">
        <v>487</v>
      </c>
      <c r="AO173" s="325"/>
      <c r="AP173" s="325"/>
      <c r="AQ173" s="325"/>
      <c r="AR173" s="325"/>
      <c r="AS173" s="325"/>
      <c r="AT173" s="325"/>
      <c r="AU173" s="325"/>
      <c r="AV173" s="325"/>
      <c r="AW173" s="325"/>
      <c r="AX173" s="325"/>
      <c r="AY173" s="325"/>
      <c r="AZ173" s="325"/>
      <c r="BA173" s="325"/>
      <c r="BB173" s="325"/>
      <c r="BC173" s="325"/>
      <c r="BD173" s="325"/>
      <c r="BE173" s="325"/>
      <c r="BF173" s="325"/>
      <c r="BG173" s="325"/>
      <c r="BH173" s="325"/>
      <c r="BI173" s="325"/>
      <c r="BJ173" s="325"/>
      <c r="BK173" s="325"/>
      <c r="BL173" s="1612" t="str">
        <f t="shared" si="0"/>
        <v>07 - 10</v>
      </c>
      <c r="BM173" s="1612"/>
      <c r="BN173" s="1612"/>
      <c r="BO173" s="1612"/>
      <c r="BP173" s="1602" t="s">
        <v>481</v>
      </c>
      <c r="BQ173" s="1602"/>
      <c r="BR173" s="1602"/>
      <c r="BS173" s="325"/>
      <c r="BT173" s="295"/>
      <c r="BU173" s="295"/>
      <c r="BV173" s="310"/>
      <c r="BW173" s="310"/>
      <c r="BX173" s="291"/>
      <c r="BY173" s="323"/>
      <c r="BZ173" s="279"/>
      <c r="CA173" s="279"/>
      <c r="CB173" s="280"/>
      <c r="CC173" s="280"/>
      <c r="CD173" s="280"/>
      <c r="CE173" s="280"/>
      <c r="CF173" s="280"/>
    </row>
    <row r="174" spans="1:84" s="326" customFormat="1" ht="14.1" customHeight="1" x14ac:dyDescent="0.25">
      <c r="A174" s="332"/>
      <c r="B174" s="295"/>
      <c r="C174" s="317" t="s">
        <v>355</v>
      </c>
      <c r="D174" s="295" t="s">
        <v>488</v>
      </c>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1612" t="s">
        <v>2</v>
      </c>
      <c r="AC174" s="1612"/>
      <c r="AD174" s="1612"/>
      <c r="AE174" s="1612"/>
      <c r="AF174" s="1602" t="s">
        <v>479</v>
      </c>
      <c r="AG174" s="1602"/>
      <c r="AH174" s="1602"/>
      <c r="AI174" s="325"/>
      <c r="AJ174" s="323"/>
      <c r="AK174" s="276"/>
      <c r="AL174" s="312"/>
      <c r="AM174" s="330" t="s">
        <v>355</v>
      </c>
      <c r="AN174" s="295" t="s">
        <v>489</v>
      </c>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1612" t="str">
        <f t="shared" si="0"/>
        <v>10</v>
      </c>
      <c r="BM174" s="1612"/>
      <c r="BN174" s="1612"/>
      <c r="BO174" s="1612"/>
      <c r="BP174" s="1602" t="s">
        <v>481</v>
      </c>
      <c r="BQ174" s="1602"/>
      <c r="BR174" s="1602"/>
      <c r="BS174" s="325"/>
      <c r="BT174" s="295"/>
      <c r="BU174" s="295"/>
      <c r="BV174" s="310"/>
      <c r="BW174" s="310"/>
      <c r="BX174" s="291"/>
      <c r="BY174" s="323"/>
      <c r="BZ174" s="279"/>
      <c r="CA174" s="279"/>
      <c r="CB174" s="280"/>
      <c r="CC174" s="280"/>
      <c r="CD174" s="280"/>
      <c r="CE174" s="280"/>
      <c r="CF174" s="280"/>
    </row>
    <row r="175" spans="1:84" s="326" customFormat="1" ht="14.1" hidden="1" customHeight="1" x14ac:dyDescent="0.25">
      <c r="A175" s="332"/>
      <c r="B175" s="295"/>
      <c r="C175" s="317" t="s">
        <v>355</v>
      </c>
      <c r="D175" s="295" t="s">
        <v>490</v>
      </c>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c r="AA175" s="325"/>
      <c r="AB175" s="1612" t="s">
        <v>491</v>
      </c>
      <c r="AC175" s="1612"/>
      <c r="AD175" s="1612"/>
      <c r="AE175" s="1612"/>
      <c r="AF175" s="1602" t="s">
        <v>479</v>
      </c>
      <c r="AG175" s="1602"/>
      <c r="AH175" s="1602"/>
      <c r="AI175" s="325"/>
      <c r="AJ175" s="323"/>
      <c r="AK175" s="276"/>
      <c r="AL175" s="312"/>
      <c r="AM175" s="330" t="s">
        <v>355</v>
      </c>
      <c r="AN175" s="295" t="s">
        <v>492</v>
      </c>
      <c r="AO175" s="325"/>
      <c r="AP175" s="325"/>
      <c r="AQ175" s="325"/>
      <c r="AR175" s="325"/>
      <c r="AS175" s="325"/>
      <c r="AT175" s="325"/>
      <c r="AU175" s="325"/>
      <c r="AV175" s="325"/>
      <c r="AW175" s="325"/>
      <c r="AX175" s="325"/>
      <c r="AY175" s="325"/>
      <c r="AZ175" s="325"/>
      <c r="BA175" s="325"/>
      <c r="BB175" s="325"/>
      <c r="BC175" s="325"/>
      <c r="BD175" s="325"/>
      <c r="BE175" s="325"/>
      <c r="BF175" s="325"/>
      <c r="BG175" s="325"/>
      <c r="BH175" s="325"/>
      <c r="BI175" s="325"/>
      <c r="BJ175" s="325"/>
      <c r="BK175" s="325"/>
      <c r="BL175" s="1612" t="str">
        <f t="shared" si="0"/>
        <v>X - Y</v>
      </c>
      <c r="BM175" s="1612"/>
      <c r="BN175" s="1612"/>
      <c r="BO175" s="1612"/>
      <c r="BP175" s="1602" t="s">
        <v>481</v>
      </c>
      <c r="BQ175" s="1602"/>
      <c r="BR175" s="1602"/>
      <c r="BS175" s="325"/>
      <c r="BT175" s="295"/>
      <c r="BU175" s="295"/>
      <c r="BV175" s="310"/>
      <c r="BW175" s="310"/>
      <c r="BX175" s="291"/>
      <c r="BY175" s="323"/>
      <c r="BZ175" s="279"/>
      <c r="CA175" s="279"/>
      <c r="CB175" s="280"/>
      <c r="CC175" s="280"/>
      <c r="CD175" s="280"/>
      <c r="CE175" s="280"/>
      <c r="CF175" s="280"/>
    </row>
    <row r="176" spans="1:84" s="326" customFormat="1" ht="14.1" hidden="1" customHeight="1" x14ac:dyDescent="0.25">
      <c r="A176" s="332"/>
      <c r="B176" s="295"/>
      <c r="C176" s="317" t="s">
        <v>355</v>
      </c>
      <c r="D176" s="295" t="s">
        <v>493</v>
      </c>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1612" t="s">
        <v>491</v>
      </c>
      <c r="AC176" s="1612"/>
      <c r="AD176" s="1612"/>
      <c r="AE176" s="1612"/>
      <c r="AF176" s="1602" t="s">
        <v>479</v>
      </c>
      <c r="AG176" s="1602"/>
      <c r="AH176" s="1602"/>
      <c r="AI176" s="325"/>
      <c r="AJ176" s="323"/>
      <c r="AK176" s="276"/>
      <c r="AL176" s="312"/>
      <c r="AM176" s="330" t="s">
        <v>355</v>
      </c>
      <c r="AN176" s="295" t="s">
        <v>494</v>
      </c>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1612" t="str">
        <f t="shared" si="0"/>
        <v>X - Y</v>
      </c>
      <c r="BM176" s="1612"/>
      <c r="BN176" s="1612"/>
      <c r="BO176" s="1612"/>
      <c r="BP176" s="1602" t="s">
        <v>481</v>
      </c>
      <c r="BQ176" s="1602"/>
      <c r="BR176" s="1602"/>
      <c r="BS176" s="325"/>
      <c r="BT176" s="295"/>
      <c r="BU176" s="295"/>
      <c r="BV176" s="310"/>
      <c r="BW176" s="310"/>
      <c r="BX176" s="291"/>
      <c r="BY176" s="323"/>
      <c r="BZ176" s="279"/>
      <c r="CA176" s="279"/>
      <c r="CB176" s="280"/>
      <c r="CC176" s="280"/>
      <c r="CD176" s="280"/>
      <c r="CE176" s="280"/>
      <c r="CF176" s="280"/>
    </row>
    <row r="177" spans="1:84" s="326" customFormat="1" ht="14.1" customHeight="1" x14ac:dyDescent="0.25">
      <c r="A177" s="332"/>
      <c r="B177" s="295"/>
      <c r="C177" s="317" t="s">
        <v>355</v>
      </c>
      <c r="D177" s="295" t="s">
        <v>495</v>
      </c>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1612" t="s">
        <v>276</v>
      </c>
      <c r="AC177" s="1612"/>
      <c r="AD177" s="1612"/>
      <c r="AE177" s="1612"/>
      <c r="AF177" s="1602" t="s">
        <v>479</v>
      </c>
      <c r="AG177" s="1602"/>
      <c r="AH177" s="1602"/>
      <c r="AI177" s="325"/>
      <c r="AJ177" s="323"/>
      <c r="AK177" s="276"/>
      <c r="AL177" s="312"/>
      <c r="AM177" s="330" t="s">
        <v>355</v>
      </c>
      <c r="AN177" s="295" t="s">
        <v>496</v>
      </c>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1612" t="str">
        <f t="shared" si="0"/>
        <v>04</v>
      </c>
      <c r="BM177" s="1612"/>
      <c r="BN177" s="1612"/>
      <c r="BO177" s="1612"/>
      <c r="BP177" s="1602" t="s">
        <v>481</v>
      </c>
      <c r="BQ177" s="1602"/>
      <c r="BR177" s="1602"/>
      <c r="BS177" s="325"/>
      <c r="BT177" s="295"/>
      <c r="BU177" s="295"/>
      <c r="BV177" s="310"/>
      <c r="BW177" s="310"/>
      <c r="BX177" s="291"/>
      <c r="BY177" s="323"/>
      <c r="BZ177" s="279"/>
      <c r="CA177" s="279"/>
      <c r="CB177" s="280"/>
      <c r="CC177" s="280"/>
      <c r="CD177" s="280"/>
      <c r="CE177" s="280"/>
      <c r="CF177" s="280"/>
    </row>
    <row r="178" spans="1:84" s="326" customFormat="1" ht="14.1" hidden="1" customHeight="1" x14ac:dyDescent="0.25">
      <c r="A178" s="332"/>
      <c r="B178" s="29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c r="AE178" s="325"/>
      <c r="AF178" s="325"/>
      <c r="AG178" s="325"/>
      <c r="AH178" s="325"/>
      <c r="AI178" s="325"/>
      <c r="AJ178" s="323"/>
      <c r="AK178" s="276"/>
      <c r="AL178" s="312"/>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25"/>
      <c r="BJ178" s="325"/>
      <c r="BK178" s="325"/>
      <c r="BL178" s="325"/>
      <c r="BM178" s="325"/>
      <c r="BN178" s="325"/>
      <c r="BO178" s="325"/>
      <c r="BP178" s="325"/>
      <c r="BQ178" s="325"/>
      <c r="BR178" s="325"/>
      <c r="BS178" s="325"/>
      <c r="BT178" s="295"/>
      <c r="BU178" s="295"/>
      <c r="BV178" s="310"/>
      <c r="BW178" s="310"/>
      <c r="BX178" s="291"/>
      <c r="BY178" s="323"/>
      <c r="BZ178" s="279"/>
      <c r="CA178" s="279"/>
      <c r="CB178" s="280"/>
      <c r="CC178" s="280"/>
      <c r="CD178" s="280"/>
      <c r="CE178" s="280"/>
      <c r="CF178" s="280"/>
    </row>
    <row r="179" spans="1:84" s="326" customFormat="1" ht="15" hidden="1" customHeight="1" x14ac:dyDescent="0.25">
      <c r="A179" s="332"/>
      <c r="B179" s="295"/>
      <c r="C179" s="1604" t="s">
        <v>497</v>
      </c>
      <c r="D179" s="1604"/>
      <c r="E179" s="1604"/>
      <c r="F179" s="1604"/>
      <c r="G179" s="1604"/>
      <c r="H179" s="1604"/>
      <c r="I179" s="1604"/>
      <c r="J179" s="1604"/>
      <c r="K179" s="1604"/>
      <c r="L179" s="1604"/>
      <c r="M179" s="1604"/>
      <c r="N179" s="1604"/>
      <c r="O179" s="1604"/>
      <c r="P179" s="1604"/>
      <c r="Q179" s="1604"/>
      <c r="R179" s="1604"/>
      <c r="S179" s="1604"/>
      <c r="T179" s="1604"/>
      <c r="U179" s="1604"/>
      <c r="V179" s="1604"/>
      <c r="W179" s="1604"/>
      <c r="X179" s="1604"/>
      <c r="Y179" s="1604"/>
      <c r="Z179" s="1604"/>
      <c r="AA179" s="1604"/>
      <c r="AB179" s="1604"/>
      <c r="AC179" s="1604"/>
      <c r="AD179" s="1604"/>
      <c r="AE179" s="1604"/>
      <c r="AF179" s="1604"/>
      <c r="AG179" s="1604"/>
      <c r="AH179" s="1604"/>
      <c r="AI179" s="1604"/>
      <c r="AJ179" s="323"/>
      <c r="AK179" s="276"/>
      <c r="AL179" s="312"/>
      <c r="AM179" s="1604" t="s">
        <v>498</v>
      </c>
      <c r="AN179" s="1604"/>
      <c r="AO179" s="1604"/>
      <c r="AP179" s="1604"/>
      <c r="AQ179" s="1604"/>
      <c r="AR179" s="1604"/>
      <c r="AS179" s="1604"/>
      <c r="AT179" s="1604"/>
      <c r="AU179" s="1604"/>
      <c r="AV179" s="1604"/>
      <c r="AW179" s="1604"/>
      <c r="AX179" s="1604"/>
      <c r="AY179" s="1604"/>
      <c r="AZ179" s="1604"/>
      <c r="BA179" s="1604"/>
      <c r="BB179" s="1604"/>
      <c r="BC179" s="1604"/>
      <c r="BD179" s="1604"/>
      <c r="BE179" s="1604"/>
      <c r="BF179" s="1604"/>
      <c r="BG179" s="1604"/>
      <c r="BH179" s="1604"/>
      <c r="BI179" s="1604"/>
      <c r="BJ179" s="1604"/>
      <c r="BK179" s="1604"/>
      <c r="BL179" s="1604"/>
      <c r="BM179" s="1604"/>
      <c r="BN179" s="1604"/>
      <c r="BO179" s="1604"/>
      <c r="BP179" s="1604"/>
      <c r="BQ179" s="1604"/>
      <c r="BR179" s="1604"/>
      <c r="BS179" s="1604"/>
      <c r="BT179" s="295"/>
      <c r="BU179" s="295"/>
      <c r="BV179" s="310"/>
      <c r="BW179" s="310"/>
      <c r="BX179" s="291"/>
      <c r="BY179" s="323"/>
      <c r="BZ179" s="279"/>
      <c r="CA179" s="279"/>
      <c r="CB179" s="280"/>
      <c r="CC179" s="280"/>
      <c r="CD179" s="280"/>
      <c r="CE179" s="280"/>
      <c r="CF179" s="280"/>
    </row>
    <row r="180" spans="1:84" s="326" customFormat="1" ht="12.95" hidden="1" customHeight="1" x14ac:dyDescent="0.25">
      <c r="A180" s="332"/>
      <c r="B180" s="295"/>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4"/>
      <c r="AJ180" s="323"/>
      <c r="AK180" s="276"/>
      <c r="AL180" s="312"/>
      <c r="AM180" s="314"/>
      <c r="AN180" s="314"/>
      <c r="AO180" s="314"/>
      <c r="AP180" s="314"/>
      <c r="AQ180" s="314"/>
      <c r="AR180" s="314"/>
      <c r="AS180" s="314"/>
      <c r="AT180" s="314"/>
      <c r="AU180" s="314"/>
      <c r="AV180" s="314"/>
      <c r="AW180" s="314"/>
      <c r="AX180" s="314"/>
      <c r="AY180" s="314"/>
      <c r="AZ180" s="314"/>
      <c r="BA180" s="314"/>
      <c r="BB180" s="314"/>
      <c r="BC180" s="314"/>
      <c r="BD180" s="314"/>
      <c r="BE180" s="314"/>
      <c r="BF180" s="314"/>
      <c r="BG180" s="314"/>
      <c r="BH180" s="314"/>
      <c r="BI180" s="314"/>
      <c r="BJ180" s="314"/>
      <c r="BK180" s="314"/>
      <c r="BL180" s="314"/>
      <c r="BM180" s="314"/>
      <c r="BN180" s="314"/>
      <c r="BO180" s="314"/>
      <c r="BP180" s="314"/>
      <c r="BQ180" s="314"/>
      <c r="BR180" s="314"/>
      <c r="BS180" s="314"/>
      <c r="BT180" s="295"/>
      <c r="BU180" s="295"/>
      <c r="BV180" s="310"/>
      <c r="BW180" s="310"/>
      <c r="BX180" s="291"/>
      <c r="BY180" s="323"/>
      <c r="BZ180" s="279"/>
      <c r="CA180" s="279"/>
      <c r="CB180" s="280"/>
      <c r="CC180" s="280"/>
      <c r="CD180" s="280"/>
      <c r="CE180" s="280"/>
      <c r="CF180" s="280"/>
    </row>
    <row r="181" spans="1:84" s="326" customFormat="1" ht="27.95" hidden="1" customHeight="1" x14ac:dyDescent="0.25">
      <c r="A181" s="332"/>
      <c r="B181" s="295"/>
      <c r="C181" s="1604" t="s">
        <v>499</v>
      </c>
      <c r="D181" s="1604"/>
      <c r="E181" s="1604"/>
      <c r="F181" s="1604"/>
      <c r="G181" s="1604"/>
      <c r="H181" s="1604"/>
      <c r="I181" s="1604"/>
      <c r="J181" s="1604"/>
      <c r="K181" s="1604"/>
      <c r="L181" s="1604"/>
      <c r="M181" s="1604"/>
      <c r="N181" s="1604"/>
      <c r="O181" s="1604"/>
      <c r="P181" s="1604"/>
      <c r="Q181" s="1604"/>
      <c r="R181" s="1604"/>
      <c r="S181" s="1604"/>
      <c r="T181" s="1604"/>
      <c r="U181" s="1604"/>
      <c r="V181" s="1604"/>
      <c r="W181" s="1604"/>
      <c r="X181" s="1604"/>
      <c r="Y181" s="1604"/>
      <c r="Z181" s="1604"/>
      <c r="AA181" s="1604"/>
      <c r="AB181" s="1604"/>
      <c r="AC181" s="1604"/>
      <c r="AD181" s="1604"/>
      <c r="AE181" s="1604"/>
      <c r="AF181" s="1604"/>
      <c r="AG181" s="1604"/>
      <c r="AH181" s="1604"/>
      <c r="AI181" s="1604"/>
      <c r="AJ181" s="323"/>
      <c r="AK181" s="276"/>
      <c r="AL181" s="312"/>
      <c r="AM181" s="1604" t="s">
        <v>500</v>
      </c>
      <c r="AN181" s="1604"/>
      <c r="AO181" s="1604"/>
      <c r="AP181" s="1604"/>
      <c r="AQ181" s="1604"/>
      <c r="AR181" s="1604"/>
      <c r="AS181" s="1604"/>
      <c r="AT181" s="1604"/>
      <c r="AU181" s="1604"/>
      <c r="AV181" s="1604"/>
      <c r="AW181" s="1604"/>
      <c r="AX181" s="1604"/>
      <c r="AY181" s="1604"/>
      <c r="AZ181" s="1604"/>
      <c r="BA181" s="1604"/>
      <c r="BB181" s="1604"/>
      <c r="BC181" s="1604"/>
      <c r="BD181" s="1604"/>
      <c r="BE181" s="1604"/>
      <c r="BF181" s="1604"/>
      <c r="BG181" s="1604"/>
      <c r="BH181" s="1604"/>
      <c r="BI181" s="1604"/>
      <c r="BJ181" s="1604"/>
      <c r="BK181" s="1604"/>
      <c r="BL181" s="1604"/>
      <c r="BM181" s="1604"/>
      <c r="BN181" s="1604"/>
      <c r="BO181" s="1604"/>
      <c r="BP181" s="1604"/>
      <c r="BQ181" s="1604"/>
      <c r="BR181" s="1604"/>
      <c r="BS181" s="1604"/>
      <c r="BT181" s="295"/>
      <c r="BU181" s="295"/>
      <c r="BV181" s="310"/>
      <c r="BW181" s="310"/>
      <c r="BX181" s="291"/>
      <c r="BY181" s="323"/>
      <c r="BZ181" s="279"/>
      <c r="CA181" s="279"/>
      <c r="CB181" s="280"/>
      <c r="CC181" s="280"/>
      <c r="CD181" s="280"/>
      <c r="CE181" s="280"/>
      <c r="CF181" s="280"/>
    </row>
    <row r="182" spans="1:84" s="326" customFormat="1" ht="12.95" hidden="1" customHeight="1" x14ac:dyDescent="0.25">
      <c r="A182" s="332"/>
      <c r="B182" s="295"/>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314"/>
      <c r="AE182" s="314"/>
      <c r="AF182" s="314"/>
      <c r="AG182" s="314"/>
      <c r="AH182" s="314"/>
      <c r="AI182" s="314"/>
      <c r="AJ182" s="323"/>
      <c r="AK182" s="276"/>
      <c r="AL182" s="312"/>
      <c r="AM182" s="314"/>
      <c r="AN182" s="314"/>
      <c r="AO182" s="314"/>
      <c r="AP182" s="314"/>
      <c r="AQ182" s="314"/>
      <c r="AR182" s="314"/>
      <c r="AS182" s="314"/>
      <c r="AT182" s="314"/>
      <c r="AU182" s="314"/>
      <c r="AV182" s="314"/>
      <c r="AW182" s="314"/>
      <c r="AX182" s="314"/>
      <c r="AY182" s="314"/>
      <c r="AZ182" s="314"/>
      <c r="BA182" s="314"/>
      <c r="BB182" s="314"/>
      <c r="BC182" s="314"/>
      <c r="BD182" s="314"/>
      <c r="BE182" s="314"/>
      <c r="BF182" s="314"/>
      <c r="BG182" s="314"/>
      <c r="BH182" s="314"/>
      <c r="BI182" s="314"/>
      <c r="BJ182" s="314"/>
      <c r="BK182" s="314"/>
      <c r="BL182" s="314"/>
      <c r="BM182" s="314"/>
      <c r="BN182" s="314"/>
      <c r="BO182" s="314"/>
      <c r="BP182" s="314"/>
      <c r="BQ182" s="314"/>
      <c r="BR182" s="314"/>
      <c r="BS182" s="314"/>
      <c r="BT182" s="295"/>
      <c r="BU182" s="295"/>
      <c r="BV182" s="310"/>
      <c r="BW182" s="310"/>
      <c r="BX182" s="291"/>
      <c r="BY182" s="323"/>
      <c r="BZ182" s="279"/>
      <c r="CA182" s="279"/>
      <c r="CB182" s="280"/>
      <c r="CC182" s="280"/>
      <c r="CD182" s="280"/>
      <c r="CE182" s="280"/>
      <c r="CF182" s="280"/>
    </row>
    <row r="183" spans="1:84" s="326" customFormat="1" ht="27.95" hidden="1" customHeight="1" x14ac:dyDescent="0.25">
      <c r="A183" s="332"/>
      <c r="B183" s="295"/>
      <c r="C183" s="1604" t="s">
        <v>501</v>
      </c>
      <c r="D183" s="1604"/>
      <c r="E183" s="1604"/>
      <c r="F183" s="1604"/>
      <c r="G183" s="1604"/>
      <c r="H183" s="1604"/>
      <c r="I183" s="1604"/>
      <c r="J183" s="1604"/>
      <c r="K183" s="1604"/>
      <c r="L183" s="1604"/>
      <c r="M183" s="1604"/>
      <c r="N183" s="1604"/>
      <c r="O183" s="1604"/>
      <c r="P183" s="1604"/>
      <c r="Q183" s="1604"/>
      <c r="R183" s="1604"/>
      <c r="S183" s="1604"/>
      <c r="T183" s="1604"/>
      <c r="U183" s="1604"/>
      <c r="V183" s="1604"/>
      <c r="W183" s="1604"/>
      <c r="X183" s="1604"/>
      <c r="Y183" s="1604"/>
      <c r="Z183" s="1604"/>
      <c r="AA183" s="1604"/>
      <c r="AB183" s="1604"/>
      <c r="AC183" s="1604"/>
      <c r="AD183" s="1604"/>
      <c r="AE183" s="1604"/>
      <c r="AF183" s="1604"/>
      <c r="AG183" s="1604"/>
      <c r="AH183" s="1604"/>
      <c r="AI183" s="1604"/>
      <c r="AJ183" s="323"/>
      <c r="AK183" s="276"/>
      <c r="AL183" s="312"/>
      <c r="AM183" s="1604" t="s">
        <v>502</v>
      </c>
      <c r="AN183" s="1604"/>
      <c r="AO183" s="1604"/>
      <c r="AP183" s="1604"/>
      <c r="AQ183" s="1604"/>
      <c r="AR183" s="1604"/>
      <c r="AS183" s="1604"/>
      <c r="AT183" s="1604"/>
      <c r="AU183" s="1604"/>
      <c r="AV183" s="1604"/>
      <c r="AW183" s="1604"/>
      <c r="AX183" s="1604"/>
      <c r="AY183" s="1604"/>
      <c r="AZ183" s="1604"/>
      <c r="BA183" s="1604"/>
      <c r="BB183" s="1604"/>
      <c r="BC183" s="1604"/>
      <c r="BD183" s="1604"/>
      <c r="BE183" s="1604"/>
      <c r="BF183" s="1604"/>
      <c r="BG183" s="1604"/>
      <c r="BH183" s="1604"/>
      <c r="BI183" s="1604"/>
      <c r="BJ183" s="1604"/>
      <c r="BK183" s="1604"/>
      <c r="BL183" s="1604"/>
      <c r="BM183" s="1604"/>
      <c r="BN183" s="1604"/>
      <c r="BO183" s="1604"/>
      <c r="BP183" s="1604"/>
      <c r="BQ183" s="1604"/>
      <c r="BR183" s="1604"/>
      <c r="BS183" s="1604"/>
      <c r="BT183" s="295"/>
      <c r="BU183" s="295"/>
      <c r="BV183" s="310"/>
      <c r="BW183" s="310"/>
      <c r="BX183" s="291"/>
      <c r="BY183" s="323"/>
      <c r="BZ183" s="279"/>
      <c r="CA183" s="279"/>
      <c r="CB183" s="280"/>
      <c r="CC183" s="280"/>
      <c r="CD183" s="280"/>
      <c r="CE183" s="280"/>
      <c r="CF183" s="280"/>
    </row>
    <row r="184" spans="1:84" s="326" customFormat="1" ht="15" hidden="1" customHeight="1" x14ac:dyDescent="0.25">
      <c r="A184" s="332"/>
      <c r="B184" s="295"/>
      <c r="C184" s="317" t="s">
        <v>355</v>
      </c>
      <c r="D184" s="317" t="s">
        <v>477</v>
      </c>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1612" t="s">
        <v>491</v>
      </c>
      <c r="AC184" s="1612"/>
      <c r="AD184" s="1612"/>
      <c r="AE184" s="1612"/>
      <c r="AF184" s="1602" t="s">
        <v>479</v>
      </c>
      <c r="AG184" s="1602"/>
      <c r="AH184" s="1602"/>
      <c r="AI184" s="295"/>
      <c r="AJ184" s="323"/>
      <c r="AK184" s="276"/>
      <c r="AL184" s="312"/>
      <c r="AM184" s="317"/>
      <c r="AN184" s="317" t="s">
        <v>355</v>
      </c>
      <c r="AO184" s="317" t="s">
        <v>480</v>
      </c>
      <c r="AP184" s="295"/>
      <c r="AQ184" s="295"/>
      <c r="AR184" s="295"/>
      <c r="AS184" s="295"/>
      <c r="AT184" s="295"/>
      <c r="AU184" s="295"/>
      <c r="AV184" s="295"/>
      <c r="AW184" s="295"/>
      <c r="AX184" s="295"/>
      <c r="AY184" s="295"/>
      <c r="AZ184" s="295"/>
      <c r="BA184" s="295"/>
      <c r="BB184" s="295"/>
      <c r="BC184" s="295"/>
      <c r="BD184" s="295"/>
      <c r="BE184" s="295"/>
      <c r="BF184" s="295"/>
      <c r="BG184" s="295"/>
      <c r="BH184" s="295"/>
      <c r="BI184" s="295"/>
      <c r="BJ184" s="295"/>
      <c r="BK184" s="295"/>
      <c r="BL184" s="1612" t="str">
        <f>AB184</f>
        <v>X - Y</v>
      </c>
      <c r="BM184" s="1612"/>
      <c r="BN184" s="1612"/>
      <c r="BO184" s="1612"/>
      <c r="BP184" s="1602" t="s">
        <v>481</v>
      </c>
      <c r="BQ184" s="1602"/>
      <c r="BR184" s="1602"/>
      <c r="BS184" s="295"/>
      <c r="BT184" s="295"/>
      <c r="BU184" s="295"/>
      <c r="BV184" s="310"/>
      <c r="BW184" s="310"/>
      <c r="BX184" s="291"/>
      <c r="BY184" s="323"/>
      <c r="BZ184" s="279"/>
      <c r="CA184" s="279"/>
      <c r="CB184" s="280"/>
      <c r="CC184" s="280"/>
      <c r="CD184" s="280"/>
      <c r="CE184" s="280"/>
      <c r="CF184" s="280"/>
    </row>
    <row r="185" spans="1:84" s="326" customFormat="1" ht="15" hidden="1" customHeight="1" x14ac:dyDescent="0.25">
      <c r="A185" s="332"/>
      <c r="B185" s="295"/>
      <c r="C185" s="317" t="s">
        <v>355</v>
      </c>
      <c r="D185" s="317" t="s">
        <v>493</v>
      </c>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1612" t="s">
        <v>491</v>
      </c>
      <c r="AC185" s="1612"/>
      <c r="AD185" s="1612"/>
      <c r="AE185" s="1612"/>
      <c r="AF185" s="1602" t="s">
        <v>479</v>
      </c>
      <c r="AG185" s="1602"/>
      <c r="AH185" s="1602"/>
      <c r="AI185" s="295"/>
      <c r="AJ185" s="323"/>
      <c r="AK185" s="276"/>
      <c r="AL185" s="312"/>
      <c r="AM185" s="295"/>
      <c r="AN185" s="317" t="s">
        <v>355</v>
      </c>
      <c r="AO185" s="317" t="s">
        <v>494</v>
      </c>
      <c r="AP185" s="295"/>
      <c r="AQ185" s="295"/>
      <c r="AR185" s="295"/>
      <c r="AS185" s="295"/>
      <c r="AT185" s="295"/>
      <c r="AU185" s="295"/>
      <c r="AV185" s="295"/>
      <c r="AW185" s="295"/>
      <c r="AX185" s="295"/>
      <c r="AY185" s="295"/>
      <c r="AZ185" s="295"/>
      <c r="BA185" s="295"/>
      <c r="BB185" s="295"/>
      <c r="BC185" s="295"/>
      <c r="BD185" s="295"/>
      <c r="BE185" s="295"/>
      <c r="BF185" s="295"/>
      <c r="BG185" s="295"/>
      <c r="BH185" s="295"/>
      <c r="BI185" s="295"/>
      <c r="BJ185" s="295"/>
      <c r="BK185" s="295"/>
      <c r="BL185" s="1612" t="str">
        <f>AB185</f>
        <v>X - Y</v>
      </c>
      <c r="BM185" s="1612"/>
      <c r="BN185" s="1612"/>
      <c r="BO185" s="1612"/>
      <c r="BP185" s="1602" t="s">
        <v>481</v>
      </c>
      <c r="BQ185" s="1602"/>
      <c r="BR185" s="1602"/>
      <c r="BS185" s="295"/>
      <c r="BT185" s="295"/>
      <c r="BU185" s="295"/>
      <c r="BV185" s="310"/>
      <c r="BW185" s="310"/>
      <c r="BX185" s="291"/>
      <c r="BY185" s="323"/>
      <c r="BZ185" s="279"/>
      <c r="CA185" s="279"/>
      <c r="CB185" s="280"/>
      <c r="CC185" s="280"/>
      <c r="CD185" s="280"/>
      <c r="CE185" s="280"/>
      <c r="CF185" s="280"/>
    </row>
    <row r="186" spans="1:84" s="326" customFormat="1" ht="2.1" hidden="1" customHeight="1" x14ac:dyDescent="0.25">
      <c r="A186" s="332"/>
      <c r="B186" s="295"/>
      <c r="C186" s="1603"/>
      <c r="D186" s="1603"/>
      <c r="E186" s="1603"/>
      <c r="F186" s="1603"/>
      <c r="G186" s="1603"/>
      <c r="H186" s="1603"/>
      <c r="I186" s="1603"/>
      <c r="J186" s="1603"/>
      <c r="K186" s="1603"/>
      <c r="L186" s="1603"/>
      <c r="M186" s="1603"/>
      <c r="N186" s="1603"/>
      <c r="O186" s="1603"/>
      <c r="P186" s="1603"/>
      <c r="Q186" s="1603"/>
      <c r="R186" s="1603"/>
      <c r="S186" s="1603"/>
      <c r="T186" s="1603"/>
      <c r="U186" s="1603"/>
      <c r="V186" s="1603"/>
      <c r="W186" s="1603"/>
      <c r="X186" s="1603"/>
      <c r="Y186" s="1603"/>
      <c r="Z186" s="1603"/>
      <c r="AA186" s="1603"/>
      <c r="AB186" s="1603"/>
      <c r="AC186" s="1603"/>
      <c r="AD186" s="1603"/>
      <c r="AE186" s="1603"/>
      <c r="AF186" s="1603"/>
      <c r="AG186" s="1603"/>
      <c r="AH186" s="1603"/>
      <c r="AI186" s="1603"/>
      <c r="AJ186" s="323"/>
      <c r="AK186" s="276"/>
      <c r="AL186" s="312"/>
      <c r="AM186" s="1603"/>
      <c r="AN186" s="1603"/>
      <c r="AO186" s="1603"/>
      <c r="AP186" s="1603"/>
      <c r="AQ186" s="1603"/>
      <c r="AR186" s="1603"/>
      <c r="AS186" s="1603"/>
      <c r="AT186" s="1603"/>
      <c r="AU186" s="1603"/>
      <c r="AV186" s="1603"/>
      <c r="AW186" s="1603"/>
      <c r="AX186" s="1603"/>
      <c r="AY186" s="1603"/>
      <c r="AZ186" s="1603"/>
      <c r="BA186" s="1603"/>
      <c r="BB186" s="1603"/>
      <c r="BC186" s="1603"/>
      <c r="BD186" s="1603"/>
      <c r="BE186" s="1603"/>
      <c r="BF186" s="1603"/>
      <c r="BG186" s="1603"/>
      <c r="BH186" s="1603"/>
      <c r="BI186" s="1603"/>
      <c r="BJ186" s="1603"/>
      <c r="BK186" s="1603"/>
      <c r="BL186" s="1603"/>
      <c r="BM186" s="1603"/>
      <c r="BN186" s="1603"/>
      <c r="BO186" s="1603"/>
      <c r="BP186" s="1603"/>
      <c r="BQ186" s="1603"/>
      <c r="BR186" s="1603"/>
      <c r="BS186" s="1603"/>
      <c r="BT186" s="295"/>
      <c r="BU186" s="295"/>
      <c r="BV186" s="310"/>
      <c r="BW186" s="310"/>
      <c r="BX186" s="291"/>
      <c r="BY186" s="323"/>
      <c r="BZ186" s="279"/>
      <c r="CA186" s="279"/>
      <c r="CB186" s="280"/>
      <c r="CC186" s="280"/>
      <c r="CD186" s="280"/>
      <c r="CE186" s="280"/>
      <c r="CF186" s="280"/>
    </row>
    <row r="187" spans="1:84" s="329" customFormat="1" ht="12.95" hidden="1" customHeight="1" x14ac:dyDescent="0.25">
      <c r="A187" s="332"/>
      <c r="B187" s="295"/>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c r="AH187" s="318"/>
      <c r="AI187" s="318"/>
      <c r="AJ187" s="295"/>
      <c r="AK187" s="276"/>
      <c r="AL187" s="312"/>
      <c r="AM187" s="318"/>
      <c r="AN187" s="318"/>
      <c r="AO187" s="318"/>
      <c r="AP187" s="318"/>
      <c r="AQ187" s="318"/>
      <c r="AR187" s="318"/>
      <c r="AS187" s="318"/>
      <c r="AT187" s="318"/>
      <c r="AU187" s="318"/>
      <c r="AV187" s="318"/>
      <c r="AW187" s="318"/>
      <c r="AX187" s="318"/>
      <c r="AY187" s="318"/>
      <c r="AZ187" s="318"/>
      <c r="BA187" s="318"/>
      <c r="BB187" s="318"/>
      <c r="BC187" s="318"/>
      <c r="BD187" s="318"/>
      <c r="BE187" s="318"/>
      <c r="BF187" s="318"/>
      <c r="BG187" s="318"/>
      <c r="BH187" s="318"/>
      <c r="BI187" s="318"/>
      <c r="BJ187" s="318"/>
      <c r="BK187" s="318"/>
      <c r="BL187" s="318"/>
      <c r="BM187" s="318"/>
      <c r="BN187" s="318"/>
      <c r="BO187" s="318"/>
      <c r="BP187" s="318"/>
      <c r="BQ187" s="318"/>
      <c r="BR187" s="318"/>
      <c r="BS187" s="318"/>
      <c r="BT187" s="295"/>
      <c r="BU187" s="295"/>
      <c r="BV187" s="310"/>
      <c r="BW187" s="310"/>
      <c r="BX187" s="300"/>
      <c r="BY187" s="295"/>
      <c r="BZ187" s="273"/>
      <c r="CA187" s="273"/>
      <c r="CB187" s="301"/>
      <c r="CC187" s="301"/>
      <c r="CD187" s="301"/>
      <c r="CE187" s="301"/>
      <c r="CF187" s="301"/>
    </row>
    <row r="188" spans="1:84" s="326" customFormat="1" ht="15" hidden="1" customHeight="1" x14ac:dyDescent="0.25">
      <c r="A188" s="322" t="str">
        <f>subSTT</f>
        <v>2.10</v>
      </c>
      <c r="B188" s="312" t="s">
        <v>345</v>
      </c>
      <c r="C188" s="312" t="s">
        <v>503</v>
      </c>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323"/>
      <c r="AK188" s="287" t="str">
        <f>A188</f>
        <v>2.10</v>
      </c>
      <c r="AL188" s="312" t="s">
        <v>345</v>
      </c>
      <c r="AM188" s="312" t="s">
        <v>504</v>
      </c>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310"/>
      <c r="BW188" s="310"/>
      <c r="BX188" s="291"/>
      <c r="BY188" s="323"/>
      <c r="BZ188" s="279"/>
      <c r="CA188" s="279"/>
      <c r="CB188" s="280"/>
      <c r="CC188" s="280"/>
      <c r="CD188" s="280"/>
      <c r="CE188" s="280"/>
      <c r="CF188" s="280"/>
    </row>
    <row r="189" spans="1:84" s="326" customFormat="1" ht="12.95" hidden="1" customHeight="1" x14ac:dyDescent="0.25">
      <c r="A189" s="332"/>
      <c r="B189" s="295"/>
      <c r="C189" s="334" t="s">
        <v>407</v>
      </c>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c r="AH189" s="318"/>
      <c r="AI189" s="318"/>
      <c r="AJ189" s="323"/>
      <c r="AK189" s="276"/>
      <c r="AL189" s="312"/>
      <c r="AM189" s="334" t="s">
        <v>505</v>
      </c>
      <c r="AN189" s="318"/>
      <c r="AO189" s="318"/>
      <c r="AP189" s="318"/>
      <c r="AQ189" s="318"/>
      <c r="AR189" s="318"/>
      <c r="AS189" s="318"/>
      <c r="AT189" s="318"/>
      <c r="AU189" s="318"/>
      <c r="AV189" s="318"/>
      <c r="AW189" s="318"/>
      <c r="AX189" s="318"/>
      <c r="AY189" s="318"/>
      <c r="AZ189" s="318"/>
      <c r="BA189" s="318"/>
      <c r="BB189" s="318"/>
      <c r="BC189" s="318"/>
      <c r="BD189" s="318"/>
      <c r="BE189" s="318"/>
      <c r="BF189" s="318"/>
      <c r="BG189" s="318"/>
      <c r="BH189" s="318"/>
      <c r="BI189" s="318"/>
      <c r="BJ189" s="318"/>
      <c r="BK189" s="318"/>
      <c r="BL189" s="318"/>
      <c r="BM189" s="318"/>
      <c r="BN189" s="318"/>
      <c r="BO189" s="318"/>
      <c r="BP189" s="318"/>
      <c r="BQ189" s="318"/>
      <c r="BR189" s="318"/>
      <c r="BS189" s="318"/>
      <c r="BT189" s="295"/>
      <c r="BU189" s="295"/>
      <c r="BV189" s="310"/>
      <c r="BW189" s="310"/>
      <c r="BX189" s="291"/>
      <c r="BY189" s="323"/>
      <c r="BZ189" s="279"/>
      <c r="CA189" s="279"/>
      <c r="CB189" s="280"/>
      <c r="CC189" s="280"/>
      <c r="CD189" s="280"/>
      <c r="CE189" s="280"/>
      <c r="CF189" s="280"/>
    </row>
    <row r="190" spans="1:84" s="326" customFormat="1" ht="42" hidden="1" customHeight="1" x14ac:dyDescent="0.25">
      <c r="A190" s="332"/>
      <c r="B190" s="295"/>
      <c r="C190" s="1604" t="s">
        <v>506</v>
      </c>
      <c r="D190" s="1603"/>
      <c r="E190" s="1603"/>
      <c r="F190" s="1603"/>
      <c r="G190" s="1603"/>
      <c r="H190" s="1603"/>
      <c r="I190" s="1603"/>
      <c r="J190" s="1603"/>
      <c r="K190" s="1603"/>
      <c r="L190" s="1603"/>
      <c r="M190" s="1603"/>
      <c r="N190" s="1603"/>
      <c r="O190" s="1603"/>
      <c r="P190" s="1603"/>
      <c r="Q190" s="1603"/>
      <c r="R190" s="1603"/>
      <c r="S190" s="1603"/>
      <c r="T190" s="1603"/>
      <c r="U190" s="1603"/>
      <c r="V190" s="1603"/>
      <c r="W190" s="1603"/>
      <c r="X190" s="1603"/>
      <c r="Y190" s="1603"/>
      <c r="Z190" s="1603"/>
      <c r="AA190" s="1603"/>
      <c r="AB190" s="1603"/>
      <c r="AC190" s="1603"/>
      <c r="AD190" s="1603"/>
      <c r="AE190" s="1603"/>
      <c r="AF190" s="1603"/>
      <c r="AG190" s="1603"/>
      <c r="AH190" s="1603"/>
      <c r="AI190" s="1603"/>
      <c r="AJ190" s="323"/>
      <c r="AK190" s="276"/>
      <c r="AL190" s="312"/>
      <c r="AM190" s="1604" t="s">
        <v>507</v>
      </c>
      <c r="AN190" s="1603"/>
      <c r="AO190" s="1603"/>
      <c r="AP190" s="1603"/>
      <c r="AQ190" s="1603"/>
      <c r="AR190" s="1603"/>
      <c r="AS190" s="1603"/>
      <c r="AT190" s="1603"/>
      <c r="AU190" s="1603"/>
      <c r="AV190" s="1603"/>
      <c r="AW190" s="1603"/>
      <c r="AX190" s="1603"/>
      <c r="AY190" s="1603"/>
      <c r="AZ190" s="1603"/>
      <c r="BA190" s="1603"/>
      <c r="BB190" s="1603"/>
      <c r="BC190" s="1603"/>
      <c r="BD190" s="1603"/>
      <c r="BE190" s="1603"/>
      <c r="BF190" s="1603"/>
      <c r="BG190" s="1603"/>
      <c r="BH190" s="1603"/>
      <c r="BI190" s="1603"/>
      <c r="BJ190" s="1603"/>
      <c r="BK190" s="1603"/>
      <c r="BL190" s="1603"/>
      <c r="BM190" s="1603"/>
      <c r="BN190" s="1603"/>
      <c r="BO190" s="1603"/>
      <c r="BP190" s="1603"/>
      <c r="BQ190" s="1603"/>
      <c r="BR190" s="1603"/>
      <c r="BS190" s="1603"/>
      <c r="BT190" s="295"/>
      <c r="BU190" s="295"/>
      <c r="BV190" s="310"/>
      <c r="BW190" s="310"/>
      <c r="BX190" s="291"/>
      <c r="BY190" s="323"/>
      <c r="BZ190" s="279"/>
      <c r="CA190" s="279"/>
      <c r="CB190" s="280"/>
      <c r="CC190" s="280"/>
      <c r="CD190" s="280"/>
      <c r="CE190" s="280"/>
      <c r="CF190" s="280"/>
    </row>
    <row r="191" spans="1:84" s="326" customFormat="1" ht="12.95" hidden="1" customHeight="1" x14ac:dyDescent="0.25">
      <c r="A191" s="332"/>
      <c r="B191" s="295"/>
      <c r="C191" s="334"/>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c r="AH191" s="318"/>
      <c r="AI191" s="318"/>
      <c r="AJ191" s="323"/>
      <c r="AK191" s="276"/>
      <c r="AL191" s="312"/>
      <c r="AM191" s="334"/>
      <c r="AN191" s="318"/>
      <c r="AO191" s="318"/>
      <c r="AP191" s="318"/>
      <c r="AQ191" s="318"/>
      <c r="AR191" s="318"/>
      <c r="AS191" s="318"/>
      <c r="AT191" s="318"/>
      <c r="AU191" s="318"/>
      <c r="AV191" s="318"/>
      <c r="AW191" s="318"/>
      <c r="AX191" s="318"/>
      <c r="AY191" s="318"/>
      <c r="AZ191" s="318"/>
      <c r="BA191" s="318"/>
      <c r="BB191" s="318"/>
      <c r="BC191" s="318"/>
      <c r="BD191" s="318"/>
      <c r="BE191" s="318"/>
      <c r="BF191" s="318"/>
      <c r="BG191" s="318"/>
      <c r="BH191" s="318"/>
      <c r="BI191" s="318"/>
      <c r="BJ191" s="318"/>
      <c r="BK191" s="318"/>
      <c r="BL191" s="318"/>
      <c r="BM191" s="318"/>
      <c r="BN191" s="318"/>
      <c r="BO191" s="318"/>
      <c r="BP191" s="318"/>
      <c r="BQ191" s="318"/>
      <c r="BR191" s="318"/>
      <c r="BS191" s="318"/>
      <c r="BT191" s="295"/>
      <c r="BU191" s="295"/>
      <c r="BV191" s="310"/>
      <c r="BW191" s="310"/>
      <c r="BX191" s="291"/>
      <c r="BY191" s="323"/>
      <c r="BZ191" s="279"/>
      <c r="CA191" s="279"/>
      <c r="CB191" s="280"/>
      <c r="CC191" s="280"/>
      <c r="CD191" s="280"/>
      <c r="CE191" s="280"/>
      <c r="CF191" s="280"/>
    </row>
    <row r="192" spans="1:84" s="326" customFormat="1" ht="54.95" hidden="1" customHeight="1" x14ac:dyDescent="0.25">
      <c r="A192" s="332"/>
      <c r="B192" s="295"/>
      <c r="C192" s="1604" t="s">
        <v>508</v>
      </c>
      <c r="D192" s="1603"/>
      <c r="E192" s="1603"/>
      <c r="F192" s="1603"/>
      <c r="G192" s="1603"/>
      <c r="H192" s="1603"/>
      <c r="I192" s="1603"/>
      <c r="J192" s="1603"/>
      <c r="K192" s="1603"/>
      <c r="L192" s="1603"/>
      <c r="M192" s="1603"/>
      <c r="N192" s="1603"/>
      <c r="O192" s="1603"/>
      <c r="P192" s="1603"/>
      <c r="Q192" s="1603"/>
      <c r="R192" s="1603"/>
      <c r="S192" s="1603"/>
      <c r="T192" s="1603"/>
      <c r="U192" s="1603"/>
      <c r="V192" s="1603"/>
      <c r="W192" s="1603"/>
      <c r="X192" s="1603"/>
      <c r="Y192" s="1603"/>
      <c r="Z192" s="1603"/>
      <c r="AA192" s="1603"/>
      <c r="AB192" s="1603"/>
      <c r="AC192" s="1603"/>
      <c r="AD192" s="1603"/>
      <c r="AE192" s="1603"/>
      <c r="AF192" s="1603"/>
      <c r="AG192" s="1603"/>
      <c r="AH192" s="1603"/>
      <c r="AI192" s="1603"/>
      <c r="AJ192" s="323"/>
      <c r="AK192" s="276"/>
      <c r="AL192" s="312"/>
      <c r="AM192" s="1604" t="s">
        <v>509</v>
      </c>
      <c r="AN192" s="1603"/>
      <c r="AO192" s="1603"/>
      <c r="AP192" s="1603"/>
      <c r="AQ192" s="1603"/>
      <c r="AR192" s="1603"/>
      <c r="AS192" s="1603"/>
      <c r="AT192" s="1603"/>
      <c r="AU192" s="1603"/>
      <c r="AV192" s="1603"/>
      <c r="AW192" s="1603"/>
      <c r="AX192" s="1603"/>
      <c r="AY192" s="1603"/>
      <c r="AZ192" s="1603"/>
      <c r="BA192" s="1603"/>
      <c r="BB192" s="1603"/>
      <c r="BC192" s="1603"/>
      <c r="BD192" s="1603"/>
      <c r="BE192" s="1603"/>
      <c r="BF192" s="1603"/>
      <c r="BG192" s="1603"/>
      <c r="BH192" s="1603"/>
      <c r="BI192" s="1603"/>
      <c r="BJ192" s="1603"/>
      <c r="BK192" s="1603"/>
      <c r="BL192" s="1603"/>
      <c r="BM192" s="1603"/>
      <c r="BN192" s="1603"/>
      <c r="BO192" s="1603"/>
      <c r="BP192" s="1603"/>
      <c r="BQ192" s="1603"/>
      <c r="BR192" s="1603"/>
      <c r="BS192" s="1603"/>
      <c r="BT192" s="295"/>
      <c r="BU192" s="295"/>
      <c r="BV192" s="310"/>
      <c r="BW192" s="310"/>
      <c r="BX192" s="291"/>
      <c r="BY192" s="323"/>
      <c r="BZ192" s="279"/>
      <c r="CA192" s="279"/>
      <c r="CB192" s="280"/>
      <c r="CC192" s="280"/>
      <c r="CD192" s="280"/>
      <c r="CE192" s="280"/>
      <c r="CF192" s="280"/>
    </row>
    <row r="193" spans="1:84" s="326" customFormat="1" ht="12.95" hidden="1" customHeight="1" x14ac:dyDescent="0.25">
      <c r="A193" s="332"/>
      <c r="B193" s="295"/>
      <c r="C193" s="334"/>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c r="AH193" s="318"/>
      <c r="AI193" s="318"/>
      <c r="AJ193" s="323"/>
      <c r="AK193" s="276"/>
      <c r="AL193" s="312"/>
      <c r="AM193" s="334"/>
      <c r="AN193" s="318"/>
      <c r="AO193" s="318"/>
      <c r="AP193" s="318"/>
      <c r="AQ193" s="318"/>
      <c r="AR193" s="318"/>
      <c r="AS193" s="318"/>
      <c r="AT193" s="318"/>
      <c r="AU193" s="318"/>
      <c r="AV193" s="318"/>
      <c r="AW193" s="318"/>
      <c r="AX193" s="318"/>
      <c r="AY193" s="318"/>
      <c r="AZ193" s="318"/>
      <c r="BA193" s="318"/>
      <c r="BB193" s="318"/>
      <c r="BC193" s="318"/>
      <c r="BD193" s="318"/>
      <c r="BE193" s="318"/>
      <c r="BF193" s="318"/>
      <c r="BG193" s="318"/>
      <c r="BH193" s="318"/>
      <c r="BI193" s="318"/>
      <c r="BJ193" s="318"/>
      <c r="BK193" s="318"/>
      <c r="BL193" s="318"/>
      <c r="BM193" s="318"/>
      <c r="BN193" s="318"/>
      <c r="BO193" s="318"/>
      <c r="BP193" s="318"/>
      <c r="BQ193" s="318"/>
      <c r="BR193" s="318"/>
      <c r="BS193" s="318"/>
      <c r="BT193" s="295"/>
      <c r="BU193" s="295"/>
      <c r="BV193" s="310"/>
      <c r="BW193" s="310"/>
      <c r="BX193" s="291"/>
      <c r="BY193" s="323"/>
      <c r="BZ193" s="279"/>
      <c r="CA193" s="279"/>
      <c r="CB193" s="280"/>
      <c r="CC193" s="280"/>
      <c r="CD193" s="280"/>
      <c r="CE193" s="280"/>
      <c r="CF193" s="280"/>
    </row>
    <row r="194" spans="1:84" s="326" customFormat="1" ht="15" hidden="1" customHeight="1" x14ac:dyDescent="0.25">
      <c r="A194" s="332"/>
      <c r="B194" s="295"/>
      <c r="C194" s="1604" t="s">
        <v>510</v>
      </c>
      <c r="D194" s="1603"/>
      <c r="E194" s="1603"/>
      <c r="F194" s="1603"/>
      <c r="G194" s="1603"/>
      <c r="H194" s="1603"/>
      <c r="I194" s="1603"/>
      <c r="J194" s="1603"/>
      <c r="K194" s="1603"/>
      <c r="L194" s="1603"/>
      <c r="M194" s="1603"/>
      <c r="N194" s="1603"/>
      <c r="O194" s="1603"/>
      <c r="P194" s="1603"/>
      <c r="Q194" s="1603"/>
      <c r="R194" s="1603"/>
      <c r="S194" s="1603"/>
      <c r="T194" s="1603"/>
      <c r="U194" s="1603"/>
      <c r="V194" s="1603"/>
      <c r="W194" s="1603"/>
      <c r="X194" s="1603"/>
      <c r="Y194" s="1603"/>
      <c r="Z194" s="1603"/>
      <c r="AA194" s="1603"/>
      <c r="AB194" s="1603"/>
      <c r="AC194" s="1603"/>
      <c r="AD194" s="1603"/>
      <c r="AE194" s="1603"/>
      <c r="AF194" s="1603"/>
      <c r="AG194" s="1603"/>
      <c r="AH194" s="1603"/>
      <c r="AI194" s="1603"/>
      <c r="AJ194" s="323"/>
      <c r="AK194" s="276"/>
      <c r="AL194" s="312"/>
      <c r="AM194" s="1604" t="s">
        <v>511</v>
      </c>
      <c r="AN194" s="1603"/>
      <c r="AO194" s="1603"/>
      <c r="AP194" s="1603"/>
      <c r="AQ194" s="1603"/>
      <c r="AR194" s="1603"/>
      <c r="AS194" s="1603"/>
      <c r="AT194" s="1603"/>
      <c r="AU194" s="1603"/>
      <c r="AV194" s="1603"/>
      <c r="AW194" s="1603"/>
      <c r="AX194" s="1603"/>
      <c r="AY194" s="1603"/>
      <c r="AZ194" s="1603"/>
      <c r="BA194" s="1603"/>
      <c r="BB194" s="1603"/>
      <c r="BC194" s="1603"/>
      <c r="BD194" s="1603"/>
      <c r="BE194" s="1603"/>
      <c r="BF194" s="1603"/>
      <c r="BG194" s="1603"/>
      <c r="BH194" s="1603"/>
      <c r="BI194" s="1603"/>
      <c r="BJ194" s="1603"/>
      <c r="BK194" s="1603"/>
      <c r="BL194" s="1603"/>
      <c r="BM194" s="1603"/>
      <c r="BN194" s="1603"/>
      <c r="BO194" s="1603"/>
      <c r="BP194" s="1603"/>
      <c r="BQ194" s="1603"/>
      <c r="BR194" s="1603"/>
      <c r="BS194" s="1603"/>
      <c r="BT194" s="295"/>
      <c r="BU194" s="295"/>
      <c r="BV194" s="310"/>
      <c r="BW194" s="310"/>
      <c r="BX194" s="291"/>
      <c r="BY194" s="323"/>
      <c r="BZ194" s="279"/>
      <c r="CA194" s="279"/>
      <c r="CB194" s="280"/>
      <c r="CC194" s="280"/>
      <c r="CD194" s="280"/>
      <c r="CE194" s="280"/>
      <c r="CF194" s="280"/>
    </row>
    <row r="195" spans="1:84" s="326" customFormat="1" ht="12.95" hidden="1" customHeight="1" x14ac:dyDescent="0.25">
      <c r="A195" s="332"/>
      <c r="B195" s="295"/>
      <c r="C195" s="334"/>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23"/>
      <c r="AK195" s="276"/>
      <c r="AL195" s="312"/>
      <c r="AM195" s="334"/>
      <c r="AN195" s="318"/>
      <c r="AO195" s="318"/>
      <c r="AP195" s="318"/>
      <c r="AQ195" s="318"/>
      <c r="AR195" s="318"/>
      <c r="AS195" s="318"/>
      <c r="AT195" s="318"/>
      <c r="AU195" s="318"/>
      <c r="AV195" s="318"/>
      <c r="AW195" s="318"/>
      <c r="AX195" s="318"/>
      <c r="AY195" s="318"/>
      <c r="AZ195" s="318"/>
      <c r="BA195" s="318"/>
      <c r="BB195" s="318"/>
      <c r="BC195" s="318"/>
      <c r="BD195" s="318"/>
      <c r="BE195" s="318"/>
      <c r="BF195" s="318"/>
      <c r="BG195" s="318"/>
      <c r="BH195" s="318"/>
      <c r="BI195" s="318"/>
      <c r="BJ195" s="318"/>
      <c r="BK195" s="318"/>
      <c r="BL195" s="318"/>
      <c r="BM195" s="318"/>
      <c r="BN195" s="318"/>
      <c r="BO195" s="318"/>
      <c r="BP195" s="318"/>
      <c r="BQ195" s="318"/>
      <c r="BR195" s="318"/>
      <c r="BS195" s="318"/>
      <c r="BT195" s="295"/>
      <c r="BU195" s="295"/>
      <c r="BV195" s="310"/>
      <c r="BW195" s="310"/>
      <c r="BX195" s="291"/>
      <c r="BY195" s="323"/>
      <c r="BZ195" s="279"/>
      <c r="CA195" s="279"/>
      <c r="CB195" s="280"/>
      <c r="CC195" s="280"/>
      <c r="CD195" s="280"/>
      <c r="CE195" s="280"/>
      <c r="CF195" s="280"/>
    </row>
    <row r="196" spans="1:84" s="326" customFormat="1" ht="27.95" hidden="1" customHeight="1" x14ac:dyDescent="0.25">
      <c r="A196" s="332"/>
      <c r="B196" s="295"/>
      <c r="C196" s="1604" t="s">
        <v>512</v>
      </c>
      <c r="D196" s="1603"/>
      <c r="E196" s="1603"/>
      <c r="F196" s="1603"/>
      <c r="G196" s="1603"/>
      <c r="H196" s="1603"/>
      <c r="I196" s="1603"/>
      <c r="J196" s="1603"/>
      <c r="K196" s="1603"/>
      <c r="L196" s="1603"/>
      <c r="M196" s="1603"/>
      <c r="N196" s="1603"/>
      <c r="O196" s="1603"/>
      <c r="P196" s="1603"/>
      <c r="Q196" s="1603"/>
      <c r="R196" s="1603"/>
      <c r="S196" s="1603"/>
      <c r="T196" s="1603"/>
      <c r="U196" s="1603"/>
      <c r="V196" s="1603"/>
      <c r="W196" s="1603"/>
      <c r="X196" s="1603"/>
      <c r="Y196" s="1603"/>
      <c r="Z196" s="1603"/>
      <c r="AA196" s="1603"/>
      <c r="AB196" s="1603"/>
      <c r="AC196" s="1603"/>
      <c r="AD196" s="1603"/>
      <c r="AE196" s="1603"/>
      <c r="AF196" s="1603"/>
      <c r="AG196" s="1603"/>
      <c r="AH196" s="1603"/>
      <c r="AI196" s="1603"/>
      <c r="AJ196" s="323"/>
      <c r="AK196" s="276"/>
      <c r="AL196" s="312"/>
      <c r="AM196" s="1604" t="s">
        <v>513</v>
      </c>
      <c r="AN196" s="1603"/>
      <c r="AO196" s="1603"/>
      <c r="AP196" s="1603"/>
      <c r="AQ196" s="1603"/>
      <c r="AR196" s="1603"/>
      <c r="AS196" s="1603"/>
      <c r="AT196" s="1603"/>
      <c r="AU196" s="1603"/>
      <c r="AV196" s="1603"/>
      <c r="AW196" s="1603"/>
      <c r="AX196" s="1603"/>
      <c r="AY196" s="1603"/>
      <c r="AZ196" s="1603"/>
      <c r="BA196" s="1603"/>
      <c r="BB196" s="1603"/>
      <c r="BC196" s="1603"/>
      <c r="BD196" s="1603"/>
      <c r="BE196" s="1603"/>
      <c r="BF196" s="1603"/>
      <c r="BG196" s="1603"/>
      <c r="BH196" s="1603"/>
      <c r="BI196" s="1603"/>
      <c r="BJ196" s="1603"/>
      <c r="BK196" s="1603"/>
      <c r="BL196" s="1603"/>
      <c r="BM196" s="1603"/>
      <c r="BN196" s="1603"/>
      <c r="BO196" s="1603"/>
      <c r="BP196" s="1603"/>
      <c r="BQ196" s="1603"/>
      <c r="BR196" s="1603"/>
      <c r="BS196" s="1603"/>
      <c r="BT196" s="295"/>
      <c r="BU196" s="295"/>
      <c r="BV196" s="310"/>
      <c r="BW196" s="310"/>
      <c r="BX196" s="291"/>
      <c r="BY196" s="323"/>
      <c r="BZ196" s="279"/>
      <c r="CA196" s="279"/>
      <c r="CB196" s="280"/>
      <c r="CC196" s="280"/>
      <c r="CD196" s="280"/>
      <c r="CE196" s="280"/>
      <c r="CF196" s="280"/>
    </row>
    <row r="197" spans="1:84" s="326" customFormat="1" ht="15" hidden="1" customHeight="1" x14ac:dyDescent="0.25">
      <c r="A197" s="332"/>
      <c r="B197" s="295"/>
      <c r="C197" s="331" t="s">
        <v>355</v>
      </c>
      <c r="D197" s="1603" t="s">
        <v>514</v>
      </c>
      <c r="E197" s="1603"/>
      <c r="F197" s="1603"/>
      <c r="G197" s="1603"/>
      <c r="H197" s="1603"/>
      <c r="I197" s="1603"/>
      <c r="J197" s="1603"/>
      <c r="K197" s="1603"/>
      <c r="L197" s="1603"/>
      <c r="M197" s="1603"/>
      <c r="N197" s="1603"/>
      <c r="O197" s="1603"/>
      <c r="P197" s="1603"/>
      <c r="Q197" s="1603"/>
      <c r="R197" s="1603"/>
      <c r="S197" s="1603"/>
      <c r="T197" s="1603"/>
      <c r="U197" s="1603"/>
      <c r="V197" s="1603"/>
      <c r="W197" s="1603"/>
      <c r="X197" s="1603"/>
      <c r="Y197" s="1603"/>
      <c r="Z197" s="1603"/>
      <c r="AA197" s="1603"/>
      <c r="AB197" s="1603"/>
      <c r="AC197" s="1603"/>
      <c r="AD197" s="1603"/>
      <c r="AE197" s="1603"/>
      <c r="AF197" s="1603"/>
      <c r="AG197" s="1603"/>
      <c r="AH197" s="1603"/>
      <c r="AI197" s="1603"/>
      <c r="AJ197" s="323"/>
      <c r="AK197" s="276"/>
      <c r="AL197" s="312"/>
      <c r="AM197" s="331" t="s">
        <v>355</v>
      </c>
      <c r="AN197" s="1603" t="s">
        <v>515</v>
      </c>
      <c r="AO197" s="1603"/>
      <c r="AP197" s="1603"/>
      <c r="AQ197" s="1603"/>
      <c r="AR197" s="1603"/>
      <c r="AS197" s="1603"/>
      <c r="AT197" s="1603"/>
      <c r="AU197" s="1603"/>
      <c r="AV197" s="1603"/>
      <c r="AW197" s="1603"/>
      <c r="AX197" s="1603"/>
      <c r="AY197" s="1603"/>
      <c r="AZ197" s="1603"/>
      <c r="BA197" s="1603"/>
      <c r="BB197" s="1603"/>
      <c r="BC197" s="1603"/>
      <c r="BD197" s="1603"/>
      <c r="BE197" s="1603"/>
      <c r="BF197" s="1603"/>
      <c r="BG197" s="1603"/>
      <c r="BH197" s="1603"/>
      <c r="BI197" s="1603"/>
      <c r="BJ197" s="1603"/>
      <c r="BK197" s="1603"/>
      <c r="BL197" s="1603"/>
      <c r="BM197" s="1603"/>
      <c r="BN197" s="1603"/>
      <c r="BO197" s="1603"/>
      <c r="BP197" s="1603"/>
      <c r="BQ197" s="1603"/>
      <c r="BR197" s="1603"/>
      <c r="BS197" s="1603"/>
      <c r="BT197" s="295"/>
      <c r="BU197" s="295"/>
      <c r="BV197" s="310"/>
      <c r="BW197" s="310"/>
      <c r="BX197" s="291"/>
      <c r="BY197" s="323"/>
      <c r="BZ197" s="279"/>
      <c r="CA197" s="279"/>
      <c r="CB197" s="280"/>
      <c r="CC197" s="280"/>
      <c r="CD197" s="280"/>
      <c r="CE197" s="280"/>
      <c r="CF197" s="280"/>
    </row>
    <row r="198" spans="1:84" s="326" customFormat="1" ht="15" hidden="1" customHeight="1" x14ac:dyDescent="0.25">
      <c r="A198" s="332"/>
      <c r="B198" s="295"/>
      <c r="C198" s="331" t="s">
        <v>355</v>
      </c>
      <c r="D198" s="1603" t="s">
        <v>516</v>
      </c>
      <c r="E198" s="1603"/>
      <c r="F198" s="1603"/>
      <c r="G198" s="1603"/>
      <c r="H198" s="1603"/>
      <c r="I198" s="1603"/>
      <c r="J198" s="1603"/>
      <c r="K198" s="1603"/>
      <c r="L198" s="1603"/>
      <c r="M198" s="1603"/>
      <c r="N198" s="1603"/>
      <c r="O198" s="1603"/>
      <c r="P198" s="1603"/>
      <c r="Q198" s="1603"/>
      <c r="R198" s="1603"/>
      <c r="S198" s="1603"/>
      <c r="T198" s="1603"/>
      <c r="U198" s="1603"/>
      <c r="V198" s="1603"/>
      <c r="W198" s="1603"/>
      <c r="X198" s="1603"/>
      <c r="Y198" s="1603"/>
      <c r="Z198" s="1603"/>
      <c r="AA198" s="1603"/>
      <c r="AB198" s="1603"/>
      <c r="AC198" s="1603"/>
      <c r="AD198" s="1603"/>
      <c r="AE198" s="1603"/>
      <c r="AF198" s="1603"/>
      <c r="AG198" s="1603"/>
      <c r="AH198" s="1603"/>
      <c r="AI198" s="1603"/>
      <c r="AJ198" s="323"/>
      <c r="AK198" s="276"/>
      <c r="AL198" s="312"/>
      <c r="AM198" s="331" t="s">
        <v>355</v>
      </c>
      <c r="AN198" s="1603" t="s">
        <v>517</v>
      </c>
      <c r="AO198" s="1603"/>
      <c r="AP198" s="1603"/>
      <c r="AQ198" s="1603"/>
      <c r="AR198" s="1603"/>
      <c r="AS198" s="1603"/>
      <c r="AT198" s="1603"/>
      <c r="AU198" s="1603"/>
      <c r="AV198" s="1603"/>
      <c r="AW198" s="1603"/>
      <c r="AX198" s="1603"/>
      <c r="AY198" s="1603"/>
      <c r="AZ198" s="1603"/>
      <c r="BA198" s="1603"/>
      <c r="BB198" s="1603"/>
      <c r="BC198" s="1603"/>
      <c r="BD198" s="1603"/>
      <c r="BE198" s="1603"/>
      <c r="BF198" s="1603"/>
      <c r="BG198" s="1603"/>
      <c r="BH198" s="1603"/>
      <c r="BI198" s="1603"/>
      <c r="BJ198" s="1603"/>
      <c r="BK198" s="1603"/>
      <c r="BL198" s="1603"/>
      <c r="BM198" s="1603"/>
      <c r="BN198" s="1603"/>
      <c r="BO198" s="1603"/>
      <c r="BP198" s="1603"/>
      <c r="BQ198" s="1603"/>
      <c r="BR198" s="1603"/>
      <c r="BS198" s="1603"/>
      <c r="BT198" s="295"/>
      <c r="BU198" s="295"/>
      <c r="BV198" s="310"/>
      <c r="BW198" s="310"/>
      <c r="BX198" s="291"/>
      <c r="BY198" s="323"/>
      <c r="BZ198" s="279"/>
      <c r="CA198" s="279"/>
      <c r="CB198" s="280"/>
      <c r="CC198" s="280"/>
      <c r="CD198" s="280"/>
      <c r="CE198" s="280"/>
      <c r="CF198" s="280"/>
    </row>
    <row r="199" spans="1:84" s="326" customFormat="1" ht="27.95" hidden="1" customHeight="1" x14ac:dyDescent="0.25">
      <c r="A199" s="332"/>
      <c r="B199" s="295"/>
      <c r="C199" s="331" t="s">
        <v>355</v>
      </c>
      <c r="D199" s="1603" t="s">
        <v>518</v>
      </c>
      <c r="E199" s="1603"/>
      <c r="F199" s="1603"/>
      <c r="G199" s="1603"/>
      <c r="H199" s="1603"/>
      <c r="I199" s="1603"/>
      <c r="J199" s="1603"/>
      <c r="K199" s="1603"/>
      <c r="L199" s="1603"/>
      <c r="M199" s="1603"/>
      <c r="N199" s="1603"/>
      <c r="O199" s="1603"/>
      <c r="P199" s="1603"/>
      <c r="Q199" s="1603"/>
      <c r="R199" s="1603"/>
      <c r="S199" s="1603"/>
      <c r="T199" s="1603"/>
      <c r="U199" s="1603"/>
      <c r="V199" s="1603"/>
      <c r="W199" s="1603"/>
      <c r="X199" s="1603"/>
      <c r="Y199" s="1603"/>
      <c r="Z199" s="1603"/>
      <c r="AA199" s="1603"/>
      <c r="AB199" s="1603"/>
      <c r="AC199" s="1603"/>
      <c r="AD199" s="1603"/>
      <c r="AE199" s="1603"/>
      <c r="AF199" s="1603"/>
      <c r="AG199" s="1603"/>
      <c r="AH199" s="1603"/>
      <c r="AI199" s="1603"/>
      <c r="AJ199" s="323"/>
      <c r="AK199" s="276"/>
      <c r="AL199" s="312"/>
      <c r="AM199" s="331" t="s">
        <v>355</v>
      </c>
      <c r="AN199" s="1603" t="s">
        <v>519</v>
      </c>
      <c r="AO199" s="1603"/>
      <c r="AP199" s="1603"/>
      <c r="AQ199" s="1603"/>
      <c r="AR199" s="1603"/>
      <c r="AS199" s="1603"/>
      <c r="AT199" s="1603"/>
      <c r="AU199" s="1603"/>
      <c r="AV199" s="1603"/>
      <c r="AW199" s="1603"/>
      <c r="AX199" s="1603"/>
      <c r="AY199" s="1603"/>
      <c r="AZ199" s="1603"/>
      <c r="BA199" s="1603"/>
      <c r="BB199" s="1603"/>
      <c r="BC199" s="1603"/>
      <c r="BD199" s="1603"/>
      <c r="BE199" s="1603"/>
      <c r="BF199" s="1603"/>
      <c r="BG199" s="1603"/>
      <c r="BH199" s="1603"/>
      <c r="BI199" s="1603"/>
      <c r="BJ199" s="1603"/>
      <c r="BK199" s="1603"/>
      <c r="BL199" s="1603"/>
      <c r="BM199" s="1603"/>
      <c r="BN199" s="1603"/>
      <c r="BO199" s="1603"/>
      <c r="BP199" s="1603"/>
      <c r="BQ199" s="1603"/>
      <c r="BR199" s="1603"/>
      <c r="BS199" s="1603"/>
      <c r="BT199" s="295"/>
      <c r="BU199" s="295"/>
      <c r="BV199" s="310"/>
      <c r="BW199" s="310"/>
      <c r="BX199" s="291"/>
      <c r="BY199" s="323"/>
      <c r="BZ199" s="279"/>
      <c r="CA199" s="279"/>
      <c r="CB199" s="280"/>
      <c r="CC199" s="280"/>
      <c r="CD199" s="280"/>
      <c r="CE199" s="280"/>
      <c r="CF199" s="280"/>
    </row>
    <row r="200" spans="1:84" s="326" customFormat="1" ht="27.95" hidden="1" customHeight="1" x14ac:dyDescent="0.25">
      <c r="A200" s="332"/>
      <c r="B200" s="295"/>
      <c r="C200" s="331" t="s">
        <v>355</v>
      </c>
      <c r="D200" s="1603" t="s">
        <v>520</v>
      </c>
      <c r="E200" s="1603"/>
      <c r="F200" s="1603"/>
      <c r="G200" s="1603"/>
      <c r="H200" s="1603"/>
      <c r="I200" s="1603"/>
      <c r="J200" s="1603"/>
      <c r="K200" s="1603"/>
      <c r="L200" s="1603"/>
      <c r="M200" s="1603"/>
      <c r="N200" s="1603"/>
      <c r="O200" s="1603"/>
      <c r="P200" s="1603"/>
      <c r="Q200" s="1603"/>
      <c r="R200" s="1603"/>
      <c r="S200" s="1603"/>
      <c r="T200" s="1603"/>
      <c r="U200" s="1603"/>
      <c r="V200" s="1603"/>
      <c r="W200" s="1603"/>
      <c r="X200" s="1603"/>
      <c r="Y200" s="1603"/>
      <c r="Z200" s="1603"/>
      <c r="AA200" s="1603"/>
      <c r="AB200" s="1603"/>
      <c r="AC200" s="1603"/>
      <c r="AD200" s="1603"/>
      <c r="AE200" s="1603"/>
      <c r="AF200" s="1603"/>
      <c r="AG200" s="1603"/>
      <c r="AH200" s="1603"/>
      <c r="AI200" s="1603"/>
      <c r="AJ200" s="323"/>
      <c r="AK200" s="276"/>
      <c r="AL200" s="312"/>
      <c r="AM200" s="331" t="s">
        <v>355</v>
      </c>
      <c r="AN200" s="1603" t="s">
        <v>521</v>
      </c>
      <c r="AO200" s="1603"/>
      <c r="AP200" s="1603"/>
      <c r="AQ200" s="1603"/>
      <c r="AR200" s="1603"/>
      <c r="AS200" s="1603"/>
      <c r="AT200" s="1603"/>
      <c r="AU200" s="1603"/>
      <c r="AV200" s="1603"/>
      <c r="AW200" s="1603"/>
      <c r="AX200" s="1603"/>
      <c r="AY200" s="1603"/>
      <c r="AZ200" s="1603"/>
      <c r="BA200" s="1603"/>
      <c r="BB200" s="1603"/>
      <c r="BC200" s="1603"/>
      <c r="BD200" s="1603"/>
      <c r="BE200" s="1603"/>
      <c r="BF200" s="1603"/>
      <c r="BG200" s="1603"/>
      <c r="BH200" s="1603"/>
      <c r="BI200" s="1603"/>
      <c r="BJ200" s="1603"/>
      <c r="BK200" s="1603"/>
      <c r="BL200" s="1603"/>
      <c r="BM200" s="1603"/>
      <c r="BN200" s="1603"/>
      <c r="BO200" s="1603"/>
      <c r="BP200" s="1603"/>
      <c r="BQ200" s="1603"/>
      <c r="BR200" s="1603"/>
      <c r="BS200" s="1603"/>
      <c r="BT200" s="295"/>
      <c r="BU200" s="295"/>
      <c r="BV200" s="310"/>
      <c r="BW200" s="310"/>
      <c r="BX200" s="291"/>
      <c r="BY200" s="323"/>
      <c r="BZ200" s="279"/>
      <c r="CA200" s="279"/>
      <c r="CB200" s="280"/>
      <c r="CC200" s="280"/>
      <c r="CD200" s="280"/>
      <c r="CE200" s="280"/>
      <c r="CF200" s="280"/>
    </row>
    <row r="201" spans="1:84" s="326" customFormat="1" ht="15" hidden="1" customHeight="1" x14ac:dyDescent="0.25">
      <c r="A201" s="332"/>
      <c r="B201" s="295"/>
      <c r="C201" s="331" t="s">
        <v>355</v>
      </c>
      <c r="D201" s="1603" t="s">
        <v>522</v>
      </c>
      <c r="E201" s="1603"/>
      <c r="F201" s="1603"/>
      <c r="G201" s="1603"/>
      <c r="H201" s="1603"/>
      <c r="I201" s="1603"/>
      <c r="J201" s="1603"/>
      <c r="K201" s="1603"/>
      <c r="L201" s="1603"/>
      <c r="M201" s="1603"/>
      <c r="N201" s="1603"/>
      <c r="O201" s="1603"/>
      <c r="P201" s="1603"/>
      <c r="Q201" s="1603"/>
      <c r="R201" s="1603"/>
      <c r="S201" s="1603"/>
      <c r="T201" s="1603"/>
      <c r="U201" s="1603"/>
      <c r="V201" s="1603"/>
      <c r="W201" s="1603"/>
      <c r="X201" s="1603"/>
      <c r="Y201" s="1603"/>
      <c r="Z201" s="1603"/>
      <c r="AA201" s="1603"/>
      <c r="AB201" s="1603"/>
      <c r="AC201" s="1603"/>
      <c r="AD201" s="1603"/>
      <c r="AE201" s="1603"/>
      <c r="AF201" s="1603"/>
      <c r="AG201" s="1603"/>
      <c r="AH201" s="1603"/>
      <c r="AI201" s="1603"/>
      <c r="AJ201" s="323"/>
      <c r="AK201" s="276"/>
      <c r="AL201" s="312"/>
      <c r="AM201" s="331" t="s">
        <v>355</v>
      </c>
      <c r="AN201" s="1603" t="s">
        <v>523</v>
      </c>
      <c r="AO201" s="1603"/>
      <c r="AP201" s="1603"/>
      <c r="AQ201" s="1603"/>
      <c r="AR201" s="1603"/>
      <c r="AS201" s="1603"/>
      <c r="AT201" s="1603"/>
      <c r="AU201" s="1603"/>
      <c r="AV201" s="1603"/>
      <c r="AW201" s="1603"/>
      <c r="AX201" s="1603"/>
      <c r="AY201" s="1603"/>
      <c r="AZ201" s="1603"/>
      <c r="BA201" s="1603"/>
      <c r="BB201" s="1603"/>
      <c r="BC201" s="1603"/>
      <c r="BD201" s="1603"/>
      <c r="BE201" s="1603"/>
      <c r="BF201" s="1603"/>
      <c r="BG201" s="1603"/>
      <c r="BH201" s="1603"/>
      <c r="BI201" s="1603"/>
      <c r="BJ201" s="1603"/>
      <c r="BK201" s="1603"/>
      <c r="BL201" s="1603"/>
      <c r="BM201" s="1603"/>
      <c r="BN201" s="1603"/>
      <c r="BO201" s="1603"/>
      <c r="BP201" s="1603"/>
      <c r="BQ201" s="1603"/>
      <c r="BR201" s="1603"/>
      <c r="BS201" s="1603"/>
      <c r="BT201" s="295"/>
      <c r="BU201" s="295"/>
      <c r="BV201" s="310"/>
      <c r="BW201" s="310"/>
      <c r="BX201" s="291"/>
      <c r="BY201" s="323"/>
      <c r="BZ201" s="279"/>
      <c r="CA201" s="279"/>
      <c r="CB201" s="280"/>
      <c r="CC201" s="280"/>
      <c r="CD201" s="280"/>
      <c r="CE201" s="280"/>
      <c r="CF201" s="280"/>
    </row>
    <row r="202" spans="1:84" s="326" customFormat="1" ht="12.95" hidden="1" customHeight="1" x14ac:dyDescent="0.25">
      <c r="A202" s="332"/>
      <c r="B202" s="295"/>
      <c r="C202" s="334"/>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c r="AH202" s="318"/>
      <c r="AI202" s="318"/>
      <c r="AJ202" s="323"/>
      <c r="AK202" s="276"/>
      <c r="AL202" s="312"/>
      <c r="AM202" s="334"/>
      <c r="AN202" s="318"/>
      <c r="AO202" s="318"/>
      <c r="AP202" s="318"/>
      <c r="AQ202" s="318"/>
      <c r="AR202" s="318"/>
      <c r="AS202" s="318"/>
      <c r="AT202" s="318"/>
      <c r="AU202" s="318"/>
      <c r="AV202" s="318"/>
      <c r="AW202" s="318"/>
      <c r="AX202" s="318"/>
      <c r="AY202" s="318"/>
      <c r="AZ202" s="318"/>
      <c r="BA202" s="318"/>
      <c r="BB202" s="318"/>
      <c r="BC202" s="318"/>
      <c r="BD202" s="318"/>
      <c r="BE202" s="318"/>
      <c r="BF202" s="318"/>
      <c r="BG202" s="318"/>
      <c r="BH202" s="318"/>
      <c r="BI202" s="318"/>
      <c r="BJ202" s="318"/>
      <c r="BK202" s="318"/>
      <c r="BL202" s="318"/>
      <c r="BM202" s="318"/>
      <c r="BN202" s="318"/>
      <c r="BO202" s="318"/>
      <c r="BP202" s="318"/>
      <c r="BQ202" s="318"/>
      <c r="BR202" s="318"/>
      <c r="BS202" s="318"/>
      <c r="BT202" s="295"/>
      <c r="BU202" s="295"/>
      <c r="BV202" s="310"/>
      <c r="BW202" s="310"/>
      <c r="BX202" s="291"/>
      <c r="BY202" s="323"/>
      <c r="BZ202" s="279"/>
      <c r="CA202" s="279"/>
      <c r="CB202" s="280"/>
      <c r="CC202" s="280"/>
      <c r="CD202" s="280"/>
      <c r="CE202" s="280"/>
      <c r="CF202" s="280"/>
    </row>
    <row r="203" spans="1:84" s="326" customFormat="1" ht="54.95" hidden="1" customHeight="1" x14ac:dyDescent="0.25">
      <c r="A203" s="332"/>
      <c r="B203" s="295"/>
      <c r="C203" s="1604" t="s">
        <v>524</v>
      </c>
      <c r="D203" s="1603"/>
      <c r="E203" s="1603"/>
      <c r="F203" s="1603"/>
      <c r="G203" s="1603"/>
      <c r="H203" s="1603"/>
      <c r="I203" s="1603"/>
      <c r="J203" s="1603"/>
      <c r="K203" s="1603"/>
      <c r="L203" s="1603"/>
      <c r="M203" s="1603"/>
      <c r="N203" s="1603"/>
      <c r="O203" s="1603"/>
      <c r="P203" s="1603"/>
      <c r="Q203" s="1603"/>
      <c r="R203" s="1603"/>
      <c r="S203" s="1603"/>
      <c r="T203" s="1603"/>
      <c r="U203" s="1603"/>
      <c r="V203" s="1603"/>
      <c r="W203" s="1603"/>
      <c r="X203" s="1603"/>
      <c r="Y203" s="1603"/>
      <c r="Z203" s="1603"/>
      <c r="AA203" s="1603"/>
      <c r="AB203" s="1603"/>
      <c r="AC203" s="1603"/>
      <c r="AD203" s="1603"/>
      <c r="AE203" s="1603"/>
      <c r="AF203" s="1603"/>
      <c r="AG203" s="1603"/>
      <c r="AH203" s="1603"/>
      <c r="AI203" s="1603"/>
      <c r="AJ203" s="323"/>
      <c r="AK203" s="276"/>
      <c r="AL203" s="312"/>
      <c r="AM203" s="1604" t="s">
        <v>525</v>
      </c>
      <c r="AN203" s="1603"/>
      <c r="AO203" s="1603"/>
      <c r="AP203" s="1603"/>
      <c r="AQ203" s="1603"/>
      <c r="AR203" s="1603"/>
      <c r="AS203" s="1603"/>
      <c r="AT203" s="1603"/>
      <c r="AU203" s="1603"/>
      <c r="AV203" s="1603"/>
      <c r="AW203" s="1603"/>
      <c r="AX203" s="1603"/>
      <c r="AY203" s="1603"/>
      <c r="AZ203" s="1603"/>
      <c r="BA203" s="1603"/>
      <c r="BB203" s="1603"/>
      <c r="BC203" s="1603"/>
      <c r="BD203" s="1603"/>
      <c r="BE203" s="1603"/>
      <c r="BF203" s="1603"/>
      <c r="BG203" s="1603"/>
      <c r="BH203" s="1603"/>
      <c r="BI203" s="1603"/>
      <c r="BJ203" s="1603"/>
      <c r="BK203" s="1603"/>
      <c r="BL203" s="1603"/>
      <c r="BM203" s="1603"/>
      <c r="BN203" s="1603"/>
      <c r="BO203" s="1603"/>
      <c r="BP203" s="1603"/>
      <c r="BQ203" s="1603"/>
      <c r="BR203" s="1603"/>
      <c r="BS203" s="1603"/>
      <c r="BT203" s="295"/>
      <c r="BU203" s="295"/>
      <c r="BV203" s="310"/>
      <c r="BW203" s="310"/>
      <c r="BX203" s="291"/>
      <c r="BY203" s="323"/>
      <c r="BZ203" s="279"/>
      <c r="CA203" s="279"/>
      <c r="CB203" s="280"/>
      <c r="CC203" s="280"/>
      <c r="CD203" s="280"/>
      <c r="CE203" s="280"/>
      <c r="CF203" s="280"/>
    </row>
    <row r="204" spans="1:84" s="326" customFormat="1" ht="12.95" hidden="1" customHeight="1" x14ac:dyDescent="0.25">
      <c r="A204" s="332"/>
      <c r="B204" s="295"/>
      <c r="C204" s="334"/>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c r="AH204" s="318"/>
      <c r="AI204" s="318"/>
      <c r="AJ204" s="323"/>
      <c r="AK204" s="276"/>
      <c r="AL204" s="312"/>
      <c r="AM204" s="334"/>
      <c r="AN204" s="318"/>
      <c r="AO204" s="318"/>
      <c r="AP204" s="318"/>
      <c r="AQ204" s="318"/>
      <c r="AR204" s="318"/>
      <c r="AS204" s="318"/>
      <c r="AT204" s="318"/>
      <c r="AU204" s="318"/>
      <c r="AV204" s="318"/>
      <c r="AW204" s="318"/>
      <c r="AX204" s="318"/>
      <c r="AY204" s="318"/>
      <c r="AZ204" s="318"/>
      <c r="BA204" s="318"/>
      <c r="BB204" s="318"/>
      <c r="BC204" s="318"/>
      <c r="BD204" s="318"/>
      <c r="BE204" s="318"/>
      <c r="BF204" s="318"/>
      <c r="BG204" s="318"/>
      <c r="BH204" s="318"/>
      <c r="BI204" s="318"/>
      <c r="BJ204" s="318"/>
      <c r="BK204" s="318"/>
      <c r="BL204" s="318"/>
      <c r="BM204" s="318"/>
      <c r="BN204" s="318"/>
      <c r="BO204" s="318"/>
      <c r="BP204" s="318"/>
      <c r="BQ204" s="318"/>
      <c r="BR204" s="318"/>
      <c r="BS204" s="318"/>
      <c r="BT204" s="295"/>
      <c r="BU204" s="295"/>
      <c r="BV204" s="310"/>
      <c r="BW204" s="310"/>
      <c r="BX204" s="291"/>
      <c r="BY204" s="323"/>
      <c r="BZ204" s="279"/>
      <c r="CA204" s="279"/>
      <c r="CB204" s="280"/>
      <c r="CC204" s="280"/>
      <c r="CD204" s="280"/>
      <c r="CE204" s="280"/>
      <c r="CF204" s="280"/>
    </row>
    <row r="205" spans="1:84" s="326" customFormat="1" ht="84" hidden="1" customHeight="1" x14ac:dyDescent="0.25">
      <c r="A205" s="332"/>
      <c r="B205" s="295"/>
      <c r="C205" s="1604" t="s">
        <v>526</v>
      </c>
      <c r="D205" s="1603"/>
      <c r="E205" s="1603"/>
      <c r="F205" s="1603"/>
      <c r="G205" s="1603"/>
      <c r="H205" s="1603"/>
      <c r="I205" s="1603"/>
      <c r="J205" s="1603"/>
      <c r="K205" s="1603"/>
      <c r="L205" s="1603"/>
      <c r="M205" s="1603"/>
      <c r="N205" s="1603"/>
      <c r="O205" s="1603"/>
      <c r="P205" s="1603"/>
      <c r="Q205" s="1603"/>
      <c r="R205" s="1603"/>
      <c r="S205" s="1603"/>
      <c r="T205" s="1603"/>
      <c r="U205" s="1603"/>
      <c r="V205" s="1603"/>
      <c r="W205" s="1603"/>
      <c r="X205" s="1603"/>
      <c r="Y205" s="1603"/>
      <c r="Z205" s="1603"/>
      <c r="AA205" s="1603"/>
      <c r="AB205" s="1603"/>
      <c r="AC205" s="1603"/>
      <c r="AD205" s="1603"/>
      <c r="AE205" s="1603"/>
      <c r="AF205" s="1603"/>
      <c r="AG205" s="1603"/>
      <c r="AH205" s="1603"/>
      <c r="AI205" s="1603"/>
      <c r="AJ205" s="323"/>
      <c r="AK205" s="276"/>
      <c r="AL205" s="312"/>
      <c r="AM205" s="1604" t="s">
        <v>527</v>
      </c>
      <c r="AN205" s="1603"/>
      <c r="AO205" s="1603"/>
      <c r="AP205" s="1603"/>
      <c r="AQ205" s="1603"/>
      <c r="AR205" s="1603"/>
      <c r="AS205" s="1603"/>
      <c r="AT205" s="1603"/>
      <c r="AU205" s="1603"/>
      <c r="AV205" s="1603"/>
      <c r="AW205" s="1603"/>
      <c r="AX205" s="1603"/>
      <c r="AY205" s="1603"/>
      <c r="AZ205" s="1603"/>
      <c r="BA205" s="1603"/>
      <c r="BB205" s="1603"/>
      <c r="BC205" s="1603"/>
      <c r="BD205" s="1603"/>
      <c r="BE205" s="1603"/>
      <c r="BF205" s="1603"/>
      <c r="BG205" s="1603"/>
      <c r="BH205" s="1603"/>
      <c r="BI205" s="1603"/>
      <c r="BJ205" s="1603"/>
      <c r="BK205" s="1603"/>
      <c r="BL205" s="1603"/>
      <c r="BM205" s="1603"/>
      <c r="BN205" s="1603"/>
      <c r="BO205" s="1603"/>
      <c r="BP205" s="1603"/>
      <c r="BQ205" s="1603"/>
      <c r="BR205" s="1603"/>
      <c r="BS205" s="1603"/>
      <c r="BT205" s="295"/>
      <c r="BU205" s="295"/>
      <c r="BV205" s="310"/>
      <c r="BW205" s="310"/>
      <c r="BX205" s="291"/>
      <c r="BY205" s="323"/>
      <c r="BZ205" s="279"/>
      <c r="CA205" s="279"/>
      <c r="CB205" s="280"/>
      <c r="CC205" s="280"/>
      <c r="CD205" s="280"/>
      <c r="CE205" s="280"/>
      <c r="CF205" s="280"/>
    </row>
    <row r="206" spans="1:84" s="326" customFormat="1" ht="12.95" hidden="1" customHeight="1" x14ac:dyDescent="0.25">
      <c r="A206" s="332"/>
      <c r="B206" s="295"/>
      <c r="C206" s="334"/>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8"/>
      <c r="AG206" s="318"/>
      <c r="AH206" s="318"/>
      <c r="AI206" s="318"/>
      <c r="AJ206" s="323"/>
      <c r="AK206" s="276"/>
      <c r="AL206" s="312"/>
      <c r="AM206" s="334"/>
      <c r="AN206" s="318"/>
      <c r="AO206" s="318"/>
      <c r="AP206" s="318"/>
      <c r="AQ206" s="318"/>
      <c r="AR206" s="318"/>
      <c r="AS206" s="318"/>
      <c r="AT206" s="318"/>
      <c r="AU206" s="318"/>
      <c r="AV206" s="318"/>
      <c r="AW206" s="318"/>
      <c r="AX206" s="318"/>
      <c r="AY206" s="318"/>
      <c r="AZ206" s="318"/>
      <c r="BA206" s="318"/>
      <c r="BB206" s="318"/>
      <c r="BC206" s="318"/>
      <c r="BD206" s="318"/>
      <c r="BE206" s="318"/>
      <c r="BF206" s="318"/>
      <c r="BG206" s="318"/>
      <c r="BH206" s="318"/>
      <c r="BI206" s="318"/>
      <c r="BJ206" s="318"/>
      <c r="BK206" s="318"/>
      <c r="BL206" s="318"/>
      <c r="BM206" s="318"/>
      <c r="BN206" s="318"/>
      <c r="BO206" s="318"/>
      <c r="BP206" s="318"/>
      <c r="BQ206" s="318"/>
      <c r="BR206" s="318"/>
      <c r="BS206" s="318"/>
      <c r="BT206" s="295"/>
      <c r="BU206" s="295"/>
      <c r="BV206" s="310"/>
      <c r="BW206" s="310"/>
      <c r="BX206" s="291"/>
      <c r="BY206" s="323"/>
      <c r="BZ206" s="279"/>
      <c r="CA206" s="279"/>
      <c r="CB206" s="280"/>
      <c r="CC206" s="280"/>
      <c r="CD206" s="280"/>
      <c r="CE206" s="280"/>
      <c r="CF206" s="280"/>
    </row>
    <row r="207" spans="1:84" s="326" customFormat="1" ht="42" hidden="1" customHeight="1" x14ac:dyDescent="0.25">
      <c r="A207" s="332"/>
      <c r="B207" s="295"/>
      <c r="C207" s="1604" t="s">
        <v>528</v>
      </c>
      <c r="D207" s="1603"/>
      <c r="E207" s="1603"/>
      <c r="F207" s="1603"/>
      <c r="G207" s="1603"/>
      <c r="H207" s="1603"/>
      <c r="I207" s="1603"/>
      <c r="J207" s="1603"/>
      <c r="K207" s="1603"/>
      <c r="L207" s="1603"/>
      <c r="M207" s="1603"/>
      <c r="N207" s="1603"/>
      <c r="O207" s="1603"/>
      <c r="P207" s="1603"/>
      <c r="Q207" s="1603"/>
      <c r="R207" s="1603"/>
      <c r="S207" s="1603"/>
      <c r="T207" s="1603"/>
      <c r="U207" s="1603"/>
      <c r="V207" s="1603"/>
      <c r="W207" s="1603"/>
      <c r="X207" s="1603"/>
      <c r="Y207" s="1603"/>
      <c r="Z207" s="1603"/>
      <c r="AA207" s="1603"/>
      <c r="AB207" s="1603"/>
      <c r="AC207" s="1603"/>
      <c r="AD207" s="1603"/>
      <c r="AE207" s="1603"/>
      <c r="AF207" s="1603"/>
      <c r="AG207" s="1603"/>
      <c r="AH207" s="1603"/>
      <c r="AI207" s="1603"/>
      <c r="AJ207" s="323"/>
      <c r="AK207" s="276"/>
      <c r="AL207" s="312"/>
      <c r="AM207" s="1604" t="s">
        <v>529</v>
      </c>
      <c r="AN207" s="1603"/>
      <c r="AO207" s="1603"/>
      <c r="AP207" s="1603"/>
      <c r="AQ207" s="1603"/>
      <c r="AR207" s="1603"/>
      <c r="AS207" s="1603"/>
      <c r="AT207" s="1603"/>
      <c r="AU207" s="1603"/>
      <c r="AV207" s="1603"/>
      <c r="AW207" s="1603"/>
      <c r="AX207" s="1603"/>
      <c r="AY207" s="1603"/>
      <c r="AZ207" s="1603"/>
      <c r="BA207" s="1603"/>
      <c r="BB207" s="1603"/>
      <c r="BC207" s="1603"/>
      <c r="BD207" s="1603"/>
      <c r="BE207" s="1603"/>
      <c r="BF207" s="1603"/>
      <c r="BG207" s="1603"/>
      <c r="BH207" s="1603"/>
      <c r="BI207" s="1603"/>
      <c r="BJ207" s="1603"/>
      <c r="BK207" s="1603"/>
      <c r="BL207" s="1603"/>
      <c r="BM207" s="1603"/>
      <c r="BN207" s="1603"/>
      <c r="BO207" s="1603"/>
      <c r="BP207" s="1603"/>
      <c r="BQ207" s="1603"/>
      <c r="BR207" s="1603"/>
      <c r="BS207" s="1603"/>
      <c r="BT207" s="295"/>
      <c r="BU207" s="295"/>
      <c r="BV207" s="310"/>
      <c r="BW207" s="310"/>
      <c r="BX207" s="291"/>
      <c r="BY207" s="323"/>
      <c r="BZ207" s="279"/>
      <c r="CA207" s="279"/>
      <c r="CB207" s="280"/>
      <c r="CC207" s="280"/>
      <c r="CD207" s="280"/>
      <c r="CE207" s="280"/>
      <c r="CF207" s="280"/>
    </row>
    <row r="208" spans="1:84" s="326" customFormat="1" ht="12.95" hidden="1" customHeight="1" x14ac:dyDescent="0.25">
      <c r="A208" s="332"/>
      <c r="B208" s="295"/>
      <c r="C208" s="334"/>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c r="AH208" s="318"/>
      <c r="AI208" s="318"/>
      <c r="AJ208" s="323"/>
      <c r="AK208" s="276"/>
      <c r="AL208" s="312"/>
      <c r="AM208" s="334"/>
      <c r="AN208" s="318"/>
      <c r="AO208" s="318"/>
      <c r="AP208" s="318"/>
      <c r="AQ208" s="318"/>
      <c r="AR208" s="318"/>
      <c r="AS208" s="318"/>
      <c r="AT208" s="318"/>
      <c r="AU208" s="318"/>
      <c r="AV208" s="318"/>
      <c r="AW208" s="318"/>
      <c r="AX208" s="318"/>
      <c r="AY208" s="318"/>
      <c r="AZ208" s="318"/>
      <c r="BA208" s="318"/>
      <c r="BB208" s="318"/>
      <c r="BC208" s="318"/>
      <c r="BD208" s="318"/>
      <c r="BE208" s="318"/>
      <c r="BF208" s="318"/>
      <c r="BG208" s="318"/>
      <c r="BH208" s="318"/>
      <c r="BI208" s="318"/>
      <c r="BJ208" s="318"/>
      <c r="BK208" s="318"/>
      <c r="BL208" s="318"/>
      <c r="BM208" s="318"/>
      <c r="BN208" s="318"/>
      <c r="BO208" s="318"/>
      <c r="BP208" s="318"/>
      <c r="BQ208" s="318"/>
      <c r="BR208" s="318"/>
      <c r="BS208" s="318"/>
      <c r="BT208" s="295"/>
      <c r="BU208" s="295"/>
      <c r="BV208" s="310"/>
      <c r="BW208" s="310"/>
      <c r="BX208" s="291"/>
      <c r="BY208" s="323"/>
      <c r="BZ208" s="279"/>
      <c r="CA208" s="279"/>
      <c r="CB208" s="280"/>
      <c r="CC208" s="280"/>
      <c r="CD208" s="280"/>
      <c r="CE208" s="280"/>
      <c r="CF208" s="280"/>
    </row>
    <row r="209" spans="1:84" s="326" customFormat="1" ht="15" hidden="1" customHeight="1" x14ac:dyDescent="0.25">
      <c r="A209" s="332"/>
      <c r="B209" s="295"/>
      <c r="C209" s="1604" t="s">
        <v>530</v>
      </c>
      <c r="D209" s="1603"/>
      <c r="E209" s="1603"/>
      <c r="F209" s="1603"/>
      <c r="G209" s="1603"/>
      <c r="H209" s="1603"/>
      <c r="I209" s="1603"/>
      <c r="J209" s="1603"/>
      <c r="K209" s="1603"/>
      <c r="L209" s="1603"/>
      <c r="M209" s="1603"/>
      <c r="N209" s="1603"/>
      <c r="O209" s="1603"/>
      <c r="P209" s="1603"/>
      <c r="Q209" s="1603"/>
      <c r="R209" s="1603"/>
      <c r="S209" s="1603"/>
      <c r="T209" s="1603"/>
      <c r="U209" s="1603"/>
      <c r="V209" s="1603"/>
      <c r="W209" s="1603"/>
      <c r="X209" s="1603"/>
      <c r="Y209" s="1603"/>
      <c r="Z209" s="1603"/>
      <c r="AA209" s="1603"/>
      <c r="AB209" s="1603"/>
      <c r="AC209" s="1603"/>
      <c r="AD209" s="1603"/>
      <c r="AE209" s="1603"/>
      <c r="AF209" s="1603"/>
      <c r="AG209" s="1603"/>
      <c r="AH209" s="1603"/>
      <c r="AI209" s="1603"/>
      <c r="AJ209" s="323"/>
      <c r="AK209" s="276"/>
      <c r="AL209" s="312"/>
      <c r="AM209" s="1604" t="s">
        <v>531</v>
      </c>
      <c r="AN209" s="1603"/>
      <c r="AO209" s="1603"/>
      <c r="AP209" s="1603"/>
      <c r="AQ209" s="1603"/>
      <c r="AR209" s="1603"/>
      <c r="AS209" s="1603"/>
      <c r="AT209" s="1603"/>
      <c r="AU209" s="1603"/>
      <c r="AV209" s="1603"/>
      <c r="AW209" s="1603"/>
      <c r="AX209" s="1603"/>
      <c r="AY209" s="1603"/>
      <c r="AZ209" s="1603"/>
      <c r="BA209" s="1603"/>
      <c r="BB209" s="1603"/>
      <c r="BC209" s="1603"/>
      <c r="BD209" s="1603"/>
      <c r="BE209" s="1603"/>
      <c r="BF209" s="1603"/>
      <c r="BG209" s="1603"/>
      <c r="BH209" s="1603"/>
      <c r="BI209" s="1603"/>
      <c r="BJ209" s="1603"/>
      <c r="BK209" s="1603"/>
      <c r="BL209" s="1603"/>
      <c r="BM209" s="1603"/>
      <c r="BN209" s="1603"/>
      <c r="BO209" s="1603"/>
      <c r="BP209" s="1603"/>
      <c r="BQ209" s="1603"/>
      <c r="BR209" s="1603"/>
      <c r="BS209" s="1603"/>
      <c r="BT209" s="295"/>
      <c r="BU209" s="295"/>
      <c r="BV209" s="310"/>
      <c r="BW209" s="310"/>
      <c r="BX209" s="291"/>
      <c r="BY209" s="323"/>
      <c r="BZ209" s="279"/>
      <c r="CA209" s="279"/>
      <c r="CB209" s="280"/>
      <c r="CC209" s="280"/>
      <c r="CD209" s="280"/>
      <c r="CE209" s="280"/>
      <c r="CF209" s="280"/>
    </row>
    <row r="210" spans="1:84" s="326" customFormat="1" ht="12.95" hidden="1" customHeight="1" x14ac:dyDescent="0.25">
      <c r="A210" s="332"/>
      <c r="B210" s="295"/>
      <c r="C210" s="334"/>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c r="AH210" s="318"/>
      <c r="AI210" s="318"/>
      <c r="AJ210" s="323"/>
      <c r="AK210" s="276"/>
      <c r="AL210" s="312"/>
      <c r="AM210" s="334"/>
      <c r="AN210" s="318"/>
      <c r="AO210" s="318"/>
      <c r="AP210" s="318"/>
      <c r="AQ210" s="318"/>
      <c r="AR210" s="318"/>
      <c r="AS210" s="318"/>
      <c r="AT210" s="318"/>
      <c r="AU210" s="318"/>
      <c r="AV210" s="318"/>
      <c r="AW210" s="318"/>
      <c r="AX210" s="318"/>
      <c r="AY210" s="318"/>
      <c r="AZ210" s="318"/>
      <c r="BA210" s="318"/>
      <c r="BB210" s="318"/>
      <c r="BC210" s="318"/>
      <c r="BD210" s="318"/>
      <c r="BE210" s="318"/>
      <c r="BF210" s="318"/>
      <c r="BG210" s="318"/>
      <c r="BH210" s="318"/>
      <c r="BI210" s="318"/>
      <c r="BJ210" s="318"/>
      <c r="BK210" s="318"/>
      <c r="BL210" s="318"/>
      <c r="BM210" s="318"/>
      <c r="BN210" s="318"/>
      <c r="BO210" s="318"/>
      <c r="BP210" s="318"/>
      <c r="BQ210" s="318"/>
      <c r="BR210" s="318"/>
      <c r="BS210" s="318"/>
      <c r="BT210" s="295"/>
      <c r="BU210" s="295"/>
      <c r="BV210" s="310"/>
      <c r="BW210" s="310"/>
      <c r="BX210" s="291"/>
      <c r="BY210" s="323"/>
      <c r="BZ210" s="279"/>
      <c r="CA210" s="279"/>
      <c r="CB210" s="280"/>
      <c r="CC210" s="280"/>
      <c r="CD210" s="280"/>
      <c r="CE210" s="280"/>
      <c r="CF210" s="280"/>
    </row>
    <row r="211" spans="1:84" s="326" customFormat="1" ht="27.95" hidden="1" customHeight="1" x14ac:dyDescent="0.25">
      <c r="A211" s="332"/>
      <c r="B211" s="295"/>
      <c r="C211" s="1604" t="s">
        <v>532</v>
      </c>
      <c r="D211" s="1603"/>
      <c r="E211" s="1603"/>
      <c r="F211" s="1603"/>
      <c r="G211" s="1603"/>
      <c r="H211" s="1603"/>
      <c r="I211" s="1603"/>
      <c r="J211" s="1603"/>
      <c r="K211" s="1603"/>
      <c r="L211" s="1603"/>
      <c r="M211" s="1603"/>
      <c r="N211" s="1603"/>
      <c r="O211" s="1603"/>
      <c r="P211" s="1603"/>
      <c r="Q211" s="1603"/>
      <c r="R211" s="1603"/>
      <c r="S211" s="1603"/>
      <c r="T211" s="1603"/>
      <c r="U211" s="1603"/>
      <c r="V211" s="1603"/>
      <c r="W211" s="1603"/>
      <c r="X211" s="1603"/>
      <c r="Y211" s="1603"/>
      <c r="Z211" s="1603"/>
      <c r="AA211" s="1603"/>
      <c r="AB211" s="1603"/>
      <c r="AC211" s="1603"/>
      <c r="AD211" s="1603"/>
      <c r="AE211" s="1603"/>
      <c r="AF211" s="1603"/>
      <c r="AG211" s="1603"/>
      <c r="AH211" s="1603"/>
      <c r="AI211" s="1603"/>
      <c r="AJ211" s="323"/>
      <c r="AK211" s="276"/>
      <c r="AL211" s="312"/>
      <c r="AM211" s="1604" t="s">
        <v>533</v>
      </c>
      <c r="AN211" s="1603"/>
      <c r="AO211" s="1603"/>
      <c r="AP211" s="1603"/>
      <c r="AQ211" s="1603"/>
      <c r="AR211" s="1603"/>
      <c r="AS211" s="1603"/>
      <c r="AT211" s="1603"/>
      <c r="AU211" s="1603"/>
      <c r="AV211" s="1603"/>
      <c r="AW211" s="1603"/>
      <c r="AX211" s="1603"/>
      <c r="AY211" s="1603"/>
      <c r="AZ211" s="1603"/>
      <c r="BA211" s="1603"/>
      <c r="BB211" s="1603"/>
      <c r="BC211" s="1603"/>
      <c r="BD211" s="1603"/>
      <c r="BE211" s="1603"/>
      <c r="BF211" s="1603"/>
      <c r="BG211" s="1603"/>
      <c r="BH211" s="1603"/>
      <c r="BI211" s="1603"/>
      <c r="BJ211" s="1603"/>
      <c r="BK211" s="1603"/>
      <c r="BL211" s="1603"/>
      <c r="BM211" s="1603"/>
      <c r="BN211" s="1603"/>
      <c r="BO211" s="1603"/>
      <c r="BP211" s="1603"/>
      <c r="BQ211" s="1603"/>
      <c r="BR211" s="1603"/>
      <c r="BS211" s="1603"/>
      <c r="BT211" s="295"/>
      <c r="BU211" s="295"/>
      <c r="BV211" s="310"/>
      <c r="BW211" s="310"/>
      <c r="BX211" s="291"/>
      <c r="BY211" s="323"/>
      <c r="BZ211" s="279"/>
      <c r="CA211" s="279"/>
      <c r="CB211" s="280"/>
      <c r="CC211" s="280"/>
      <c r="CD211" s="280"/>
      <c r="CE211" s="280"/>
      <c r="CF211" s="280"/>
    </row>
    <row r="212" spans="1:84" s="326" customFormat="1" ht="15" hidden="1" customHeight="1" x14ac:dyDescent="0.25">
      <c r="A212" s="332"/>
      <c r="B212" s="295"/>
      <c r="C212" s="331" t="s">
        <v>355</v>
      </c>
      <c r="D212" s="1603" t="s">
        <v>534</v>
      </c>
      <c r="E212" s="1603"/>
      <c r="F212" s="1603"/>
      <c r="G212" s="1603"/>
      <c r="H212" s="1603"/>
      <c r="I212" s="1603"/>
      <c r="J212" s="1603"/>
      <c r="K212" s="1603"/>
      <c r="L212" s="1603"/>
      <c r="M212" s="1603"/>
      <c r="N212" s="1603"/>
      <c r="O212" s="1603"/>
      <c r="P212" s="1603"/>
      <c r="Q212" s="1603"/>
      <c r="R212" s="1603"/>
      <c r="S212" s="1603"/>
      <c r="T212" s="1603"/>
      <c r="U212" s="1603"/>
      <c r="V212" s="1603"/>
      <c r="W212" s="1603"/>
      <c r="X212" s="1603"/>
      <c r="Y212" s="1603"/>
      <c r="Z212" s="1603"/>
      <c r="AA212" s="1603"/>
      <c r="AB212" s="1603"/>
      <c r="AC212" s="1603"/>
      <c r="AD212" s="1603"/>
      <c r="AE212" s="1603"/>
      <c r="AF212" s="1603"/>
      <c r="AG212" s="1603"/>
      <c r="AH212" s="1603"/>
      <c r="AI212" s="1603"/>
      <c r="AJ212" s="323"/>
      <c r="AK212" s="276"/>
      <c r="AL212" s="312"/>
      <c r="AM212" s="331" t="s">
        <v>355</v>
      </c>
      <c r="AN212" s="1603" t="s">
        <v>535</v>
      </c>
      <c r="AO212" s="1603"/>
      <c r="AP212" s="1603"/>
      <c r="AQ212" s="1603"/>
      <c r="AR212" s="1603"/>
      <c r="AS212" s="1603"/>
      <c r="AT212" s="1603"/>
      <c r="AU212" s="1603"/>
      <c r="AV212" s="1603"/>
      <c r="AW212" s="1603"/>
      <c r="AX212" s="1603"/>
      <c r="AY212" s="1603"/>
      <c r="AZ212" s="1603"/>
      <c r="BA212" s="1603"/>
      <c r="BB212" s="1603"/>
      <c r="BC212" s="1603"/>
      <c r="BD212" s="1603"/>
      <c r="BE212" s="1603"/>
      <c r="BF212" s="1603"/>
      <c r="BG212" s="1603"/>
      <c r="BH212" s="1603"/>
      <c r="BI212" s="1603"/>
      <c r="BJ212" s="1603"/>
      <c r="BK212" s="1603"/>
      <c r="BL212" s="1603"/>
      <c r="BM212" s="1603"/>
      <c r="BN212" s="1603"/>
      <c r="BO212" s="1603"/>
      <c r="BP212" s="1603"/>
      <c r="BQ212" s="1603"/>
      <c r="BR212" s="1603"/>
      <c r="BS212" s="1603"/>
      <c r="BT212" s="295"/>
      <c r="BU212" s="295"/>
      <c r="BV212" s="310"/>
      <c r="BW212" s="310"/>
      <c r="BX212" s="291"/>
      <c r="BY212" s="323"/>
      <c r="BZ212" s="279"/>
      <c r="CA212" s="279"/>
      <c r="CB212" s="280"/>
      <c r="CC212" s="280"/>
      <c r="CD212" s="280"/>
      <c r="CE212" s="280"/>
      <c r="CF212" s="280"/>
    </row>
    <row r="213" spans="1:84" s="326" customFormat="1" ht="15" hidden="1" customHeight="1" x14ac:dyDescent="0.25">
      <c r="A213" s="332"/>
      <c r="B213" s="295"/>
      <c r="C213" s="331" t="s">
        <v>355</v>
      </c>
      <c r="D213" s="1603" t="s">
        <v>536</v>
      </c>
      <c r="E213" s="1603"/>
      <c r="F213" s="1603"/>
      <c r="G213" s="1603"/>
      <c r="H213" s="1603"/>
      <c r="I213" s="1603"/>
      <c r="J213" s="1603"/>
      <c r="K213" s="1603"/>
      <c r="L213" s="1603"/>
      <c r="M213" s="1603"/>
      <c r="N213" s="1603"/>
      <c r="O213" s="1603"/>
      <c r="P213" s="1603"/>
      <c r="Q213" s="1603"/>
      <c r="R213" s="1603"/>
      <c r="S213" s="1603"/>
      <c r="T213" s="1603"/>
      <c r="U213" s="1603"/>
      <c r="V213" s="1603"/>
      <c r="W213" s="1603"/>
      <c r="X213" s="1603"/>
      <c r="Y213" s="1603"/>
      <c r="Z213" s="1603"/>
      <c r="AA213" s="1603"/>
      <c r="AB213" s="1603"/>
      <c r="AC213" s="1603"/>
      <c r="AD213" s="1603"/>
      <c r="AE213" s="1603"/>
      <c r="AF213" s="1603"/>
      <c r="AG213" s="1603"/>
      <c r="AH213" s="1603"/>
      <c r="AI213" s="1603"/>
      <c r="AJ213" s="323"/>
      <c r="AK213" s="276"/>
      <c r="AL213" s="312"/>
      <c r="AM213" s="331" t="s">
        <v>355</v>
      </c>
      <c r="AN213" s="1603" t="s">
        <v>537</v>
      </c>
      <c r="AO213" s="1603"/>
      <c r="AP213" s="1603"/>
      <c r="AQ213" s="1603"/>
      <c r="AR213" s="1603"/>
      <c r="AS213" s="1603"/>
      <c r="AT213" s="1603"/>
      <c r="AU213" s="1603"/>
      <c r="AV213" s="1603"/>
      <c r="AW213" s="1603"/>
      <c r="AX213" s="1603"/>
      <c r="AY213" s="1603"/>
      <c r="AZ213" s="1603"/>
      <c r="BA213" s="1603"/>
      <c r="BB213" s="1603"/>
      <c r="BC213" s="1603"/>
      <c r="BD213" s="1603"/>
      <c r="BE213" s="1603"/>
      <c r="BF213" s="1603"/>
      <c r="BG213" s="1603"/>
      <c r="BH213" s="1603"/>
      <c r="BI213" s="1603"/>
      <c r="BJ213" s="1603"/>
      <c r="BK213" s="1603"/>
      <c r="BL213" s="1603"/>
      <c r="BM213" s="1603"/>
      <c r="BN213" s="1603"/>
      <c r="BO213" s="1603"/>
      <c r="BP213" s="1603"/>
      <c r="BQ213" s="1603"/>
      <c r="BR213" s="1603"/>
      <c r="BS213" s="1603"/>
      <c r="BT213" s="295"/>
      <c r="BU213" s="295"/>
      <c r="BV213" s="310"/>
      <c r="BW213" s="310"/>
      <c r="BX213" s="291"/>
      <c r="BY213" s="323"/>
      <c r="BZ213" s="279"/>
      <c r="CA213" s="279"/>
      <c r="CB213" s="280"/>
      <c r="CC213" s="280"/>
      <c r="CD213" s="280"/>
      <c r="CE213" s="280"/>
      <c r="CF213" s="280"/>
    </row>
    <row r="214" spans="1:84" s="326" customFormat="1" ht="15" hidden="1" customHeight="1" x14ac:dyDescent="0.25">
      <c r="A214" s="332"/>
      <c r="B214" s="295"/>
      <c r="C214" s="331" t="s">
        <v>355</v>
      </c>
      <c r="D214" s="1603" t="s">
        <v>538</v>
      </c>
      <c r="E214" s="1603"/>
      <c r="F214" s="1603"/>
      <c r="G214" s="1603"/>
      <c r="H214" s="1603"/>
      <c r="I214" s="1603"/>
      <c r="J214" s="1603"/>
      <c r="K214" s="1603"/>
      <c r="L214" s="1603"/>
      <c r="M214" s="1603"/>
      <c r="N214" s="1603"/>
      <c r="O214" s="1603"/>
      <c r="P214" s="1603"/>
      <c r="Q214" s="1603"/>
      <c r="R214" s="1603"/>
      <c r="S214" s="1603"/>
      <c r="T214" s="1603"/>
      <c r="U214" s="1603"/>
      <c r="V214" s="1603"/>
      <c r="W214" s="1603"/>
      <c r="X214" s="1603"/>
      <c r="Y214" s="1603"/>
      <c r="Z214" s="1603"/>
      <c r="AA214" s="1603"/>
      <c r="AB214" s="1603"/>
      <c r="AC214" s="1603"/>
      <c r="AD214" s="1603"/>
      <c r="AE214" s="1603"/>
      <c r="AF214" s="1603"/>
      <c r="AG214" s="1603"/>
      <c r="AH214" s="1603"/>
      <c r="AI214" s="1603"/>
      <c r="AJ214" s="323"/>
      <c r="AK214" s="276"/>
      <c r="AL214" s="312"/>
      <c r="AM214" s="331" t="s">
        <v>355</v>
      </c>
      <c r="AN214" s="1603" t="s">
        <v>539</v>
      </c>
      <c r="AO214" s="1603"/>
      <c r="AP214" s="1603"/>
      <c r="AQ214" s="1603"/>
      <c r="AR214" s="1603"/>
      <c r="AS214" s="1603"/>
      <c r="AT214" s="1603"/>
      <c r="AU214" s="1603"/>
      <c r="AV214" s="1603"/>
      <c r="AW214" s="1603"/>
      <c r="AX214" s="1603"/>
      <c r="AY214" s="1603"/>
      <c r="AZ214" s="1603"/>
      <c r="BA214" s="1603"/>
      <c r="BB214" s="1603"/>
      <c r="BC214" s="1603"/>
      <c r="BD214" s="1603"/>
      <c r="BE214" s="1603"/>
      <c r="BF214" s="1603"/>
      <c r="BG214" s="1603"/>
      <c r="BH214" s="1603"/>
      <c r="BI214" s="1603"/>
      <c r="BJ214" s="1603"/>
      <c r="BK214" s="1603"/>
      <c r="BL214" s="1603"/>
      <c r="BM214" s="1603"/>
      <c r="BN214" s="1603"/>
      <c r="BO214" s="1603"/>
      <c r="BP214" s="1603"/>
      <c r="BQ214" s="1603"/>
      <c r="BR214" s="1603"/>
      <c r="BS214" s="1603"/>
      <c r="BT214" s="295"/>
      <c r="BU214" s="295"/>
      <c r="BV214" s="310"/>
      <c r="BW214" s="310"/>
      <c r="BX214" s="291"/>
      <c r="BY214" s="323"/>
      <c r="BZ214" s="279"/>
      <c r="CA214" s="279"/>
      <c r="CB214" s="280"/>
      <c r="CC214" s="280"/>
      <c r="CD214" s="280"/>
      <c r="CE214" s="280"/>
      <c r="CF214" s="280"/>
    </row>
    <row r="215" spans="1:84" s="326" customFormat="1" ht="15" hidden="1" customHeight="1" x14ac:dyDescent="0.25">
      <c r="A215" s="332"/>
      <c r="B215" s="295"/>
      <c r="C215" s="331" t="s">
        <v>355</v>
      </c>
      <c r="D215" s="1603" t="s">
        <v>540</v>
      </c>
      <c r="E215" s="1603"/>
      <c r="F215" s="1603"/>
      <c r="G215" s="1603"/>
      <c r="H215" s="1603"/>
      <c r="I215" s="1603"/>
      <c r="J215" s="1603"/>
      <c r="K215" s="1603"/>
      <c r="L215" s="1603"/>
      <c r="M215" s="1603"/>
      <c r="N215" s="1603"/>
      <c r="O215" s="1603"/>
      <c r="P215" s="1603"/>
      <c r="Q215" s="1603"/>
      <c r="R215" s="1603"/>
      <c r="S215" s="1603"/>
      <c r="T215" s="1603"/>
      <c r="U215" s="1603"/>
      <c r="V215" s="1603"/>
      <c r="W215" s="1603"/>
      <c r="X215" s="1603"/>
      <c r="Y215" s="1603"/>
      <c r="Z215" s="1603"/>
      <c r="AA215" s="1603"/>
      <c r="AB215" s="1603"/>
      <c r="AC215" s="1603"/>
      <c r="AD215" s="1603"/>
      <c r="AE215" s="1603"/>
      <c r="AF215" s="1603"/>
      <c r="AG215" s="1603"/>
      <c r="AH215" s="1603"/>
      <c r="AI215" s="1603"/>
      <c r="AJ215" s="323"/>
      <c r="AK215" s="276"/>
      <c r="AL215" s="312"/>
      <c r="AM215" s="331" t="s">
        <v>355</v>
      </c>
      <c r="AN215" s="1603" t="s">
        <v>541</v>
      </c>
      <c r="AO215" s="1603"/>
      <c r="AP215" s="1603"/>
      <c r="AQ215" s="1603"/>
      <c r="AR215" s="1603"/>
      <c r="AS215" s="1603"/>
      <c r="AT215" s="1603"/>
      <c r="AU215" s="1603"/>
      <c r="AV215" s="1603"/>
      <c r="AW215" s="1603"/>
      <c r="AX215" s="1603"/>
      <c r="AY215" s="1603"/>
      <c r="AZ215" s="1603"/>
      <c r="BA215" s="1603"/>
      <c r="BB215" s="1603"/>
      <c r="BC215" s="1603"/>
      <c r="BD215" s="1603"/>
      <c r="BE215" s="1603"/>
      <c r="BF215" s="1603"/>
      <c r="BG215" s="1603"/>
      <c r="BH215" s="1603"/>
      <c r="BI215" s="1603"/>
      <c r="BJ215" s="1603"/>
      <c r="BK215" s="1603"/>
      <c r="BL215" s="1603"/>
      <c r="BM215" s="1603"/>
      <c r="BN215" s="1603"/>
      <c r="BO215" s="1603"/>
      <c r="BP215" s="1603"/>
      <c r="BQ215" s="1603"/>
      <c r="BR215" s="1603"/>
      <c r="BS215" s="1603"/>
      <c r="BT215" s="295"/>
      <c r="BU215" s="295"/>
      <c r="BV215" s="310"/>
      <c r="BW215" s="310"/>
      <c r="BX215" s="291"/>
      <c r="BY215" s="323"/>
      <c r="BZ215" s="279"/>
      <c r="CA215" s="279"/>
      <c r="CB215" s="280"/>
      <c r="CC215" s="280"/>
      <c r="CD215" s="280"/>
      <c r="CE215" s="280"/>
      <c r="CF215" s="280"/>
    </row>
    <row r="216" spans="1:84" s="326" customFormat="1" ht="12.95" hidden="1" customHeight="1" x14ac:dyDescent="0.25">
      <c r="A216" s="332"/>
      <c r="B216" s="295"/>
      <c r="C216" s="334"/>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c r="AH216" s="318"/>
      <c r="AI216" s="318"/>
      <c r="AJ216" s="323"/>
      <c r="AK216" s="276"/>
      <c r="AL216" s="312"/>
      <c r="AM216" s="334"/>
      <c r="AN216" s="318"/>
      <c r="AO216" s="318"/>
      <c r="AP216" s="318"/>
      <c r="AQ216" s="318"/>
      <c r="AR216" s="318"/>
      <c r="AS216" s="318"/>
      <c r="AT216" s="318"/>
      <c r="AU216" s="318"/>
      <c r="AV216" s="318"/>
      <c r="AW216" s="318"/>
      <c r="AX216" s="318"/>
      <c r="AY216" s="318"/>
      <c r="AZ216" s="318"/>
      <c r="BA216" s="318"/>
      <c r="BB216" s="318"/>
      <c r="BC216" s="318"/>
      <c r="BD216" s="318"/>
      <c r="BE216" s="318"/>
      <c r="BF216" s="318"/>
      <c r="BG216" s="318"/>
      <c r="BH216" s="318"/>
      <c r="BI216" s="318"/>
      <c r="BJ216" s="318"/>
      <c r="BK216" s="318"/>
      <c r="BL216" s="318"/>
      <c r="BM216" s="318"/>
      <c r="BN216" s="318"/>
      <c r="BO216" s="318"/>
      <c r="BP216" s="318"/>
      <c r="BQ216" s="318"/>
      <c r="BR216" s="318"/>
      <c r="BS216" s="318"/>
      <c r="BT216" s="295"/>
      <c r="BU216" s="295"/>
      <c r="BV216" s="310"/>
      <c r="BW216" s="310"/>
      <c r="BX216" s="291"/>
      <c r="BY216" s="323"/>
      <c r="BZ216" s="279"/>
      <c r="CA216" s="279"/>
      <c r="CB216" s="280"/>
      <c r="CC216" s="280"/>
      <c r="CD216" s="280"/>
      <c r="CE216" s="280"/>
      <c r="CF216" s="280"/>
    </row>
    <row r="217" spans="1:84" s="326" customFormat="1" ht="27.95" hidden="1" customHeight="1" x14ac:dyDescent="0.25">
      <c r="A217" s="332"/>
      <c r="B217" s="295"/>
      <c r="C217" s="1604" t="s">
        <v>542</v>
      </c>
      <c r="D217" s="1603"/>
      <c r="E217" s="1603"/>
      <c r="F217" s="1603"/>
      <c r="G217" s="1603"/>
      <c r="H217" s="1603"/>
      <c r="I217" s="1603"/>
      <c r="J217" s="1603"/>
      <c r="K217" s="1603"/>
      <c r="L217" s="1603"/>
      <c r="M217" s="1603"/>
      <c r="N217" s="1603"/>
      <c r="O217" s="1603"/>
      <c r="P217" s="1603"/>
      <c r="Q217" s="1603"/>
      <c r="R217" s="1603"/>
      <c r="S217" s="1603"/>
      <c r="T217" s="1603"/>
      <c r="U217" s="1603"/>
      <c r="V217" s="1603"/>
      <c r="W217" s="1603"/>
      <c r="X217" s="1603"/>
      <c r="Y217" s="1603"/>
      <c r="Z217" s="1603"/>
      <c r="AA217" s="1603"/>
      <c r="AB217" s="1603"/>
      <c r="AC217" s="1603"/>
      <c r="AD217" s="1603"/>
      <c r="AE217" s="1603"/>
      <c r="AF217" s="1603"/>
      <c r="AG217" s="1603"/>
      <c r="AH217" s="1603"/>
      <c r="AI217" s="1603"/>
      <c r="AJ217" s="323"/>
      <c r="AK217" s="276"/>
      <c r="AL217" s="312"/>
      <c r="AM217" s="1604" t="s">
        <v>543</v>
      </c>
      <c r="AN217" s="1603"/>
      <c r="AO217" s="1603"/>
      <c r="AP217" s="1603"/>
      <c r="AQ217" s="1603"/>
      <c r="AR217" s="1603"/>
      <c r="AS217" s="1603"/>
      <c r="AT217" s="1603"/>
      <c r="AU217" s="1603"/>
      <c r="AV217" s="1603"/>
      <c r="AW217" s="1603"/>
      <c r="AX217" s="1603"/>
      <c r="AY217" s="1603"/>
      <c r="AZ217" s="1603"/>
      <c r="BA217" s="1603"/>
      <c r="BB217" s="1603"/>
      <c r="BC217" s="1603"/>
      <c r="BD217" s="1603"/>
      <c r="BE217" s="1603"/>
      <c r="BF217" s="1603"/>
      <c r="BG217" s="1603"/>
      <c r="BH217" s="1603"/>
      <c r="BI217" s="1603"/>
      <c r="BJ217" s="1603"/>
      <c r="BK217" s="1603"/>
      <c r="BL217" s="1603"/>
      <c r="BM217" s="1603"/>
      <c r="BN217" s="1603"/>
      <c r="BO217" s="1603"/>
      <c r="BP217" s="1603"/>
      <c r="BQ217" s="1603"/>
      <c r="BR217" s="1603"/>
      <c r="BS217" s="1603"/>
      <c r="BT217" s="295"/>
      <c r="BU217" s="295"/>
      <c r="BV217" s="310"/>
      <c r="BW217" s="310"/>
      <c r="BX217" s="291"/>
      <c r="BY217" s="323"/>
      <c r="BZ217" s="279"/>
      <c r="CA217" s="279"/>
      <c r="CB217" s="280"/>
      <c r="CC217" s="280"/>
      <c r="CD217" s="280"/>
      <c r="CE217" s="280"/>
      <c r="CF217" s="280"/>
    </row>
    <row r="218" spans="1:84" s="326" customFormat="1" ht="12.95" hidden="1" customHeight="1" x14ac:dyDescent="0.25">
      <c r="A218" s="332"/>
      <c r="B218" s="295"/>
      <c r="C218" s="334"/>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c r="AH218" s="318"/>
      <c r="AI218" s="318"/>
      <c r="AJ218" s="323"/>
      <c r="AK218" s="276"/>
      <c r="AL218" s="312"/>
      <c r="AM218" s="334"/>
      <c r="AN218" s="318"/>
      <c r="AO218" s="318"/>
      <c r="AP218" s="318"/>
      <c r="AQ218" s="318"/>
      <c r="AR218" s="318"/>
      <c r="AS218" s="318"/>
      <c r="AT218" s="318"/>
      <c r="AU218" s="318"/>
      <c r="AV218" s="318"/>
      <c r="AW218" s="318"/>
      <c r="AX218" s="318"/>
      <c r="AY218" s="318"/>
      <c r="AZ218" s="318"/>
      <c r="BA218" s="318"/>
      <c r="BB218" s="318"/>
      <c r="BC218" s="318"/>
      <c r="BD218" s="318"/>
      <c r="BE218" s="318"/>
      <c r="BF218" s="318"/>
      <c r="BG218" s="318"/>
      <c r="BH218" s="318"/>
      <c r="BI218" s="318"/>
      <c r="BJ218" s="318"/>
      <c r="BK218" s="318"/>
      <c r="BL218" s="318"/>
      <c r="BM218" s="318"/>
      <c r="BN218" s="318"/>
      <c r="BO218" s="318"/>
      <c r="BP218" s="318"/>
      <c r="BQ218" s="318"/>
      <c r="BR218" s="318"/>
      <c r="BS218" s="318"/>
      <c r="BT218" s="295"/>
      <c r="BU218" s="295"/>
      <c r="BV218" s="310"/>
      <c r="BW218" s="310"/>
      <c r="BX218" s="291"/>
      <c r="BY218" s="323"/>
      <c r="BZ218" s="279"/>
      <c r="CA218" s="279"/>
      <c r="CB218" s="280"/>
      <c r="CC218" s="280"/>
      <c r="CD218" s="280"/>
      <c r="CE218" s="280"/>
      <c r="CF218" s="280"/>
    </row>
    <row r="219" spans="1:84" s="326" customFormat="1" ht="15" hidden="1" customHeight="1" x14ac:dyDescent="0.25">
      <c r="A219" s="332"/>
      <c r="B219" s="295"/>
      <c r="C219" s="1604" t="s">
        <v>544</v>
      </c>
      <c r="D219" s="1603"/>
      <c r="E219" s="1603"/>
      <c r="F219" s="1603"/>
      <c r="G219" s="1603"/>
      <c r="H219" s="1603"/>
      <c r="I219" s="1603"/>
      <c r="J219" s="1603"/>
      <c r="K219" s="1603"/>
      <c r="L219" s="1603"/>
      <c r="M219" s="1603"/>
      <c r="N219" s="1603"/>
      <c r="O219" s="1603"/>
      <c r="P219" s="1603"/>
      <c r="Q219" s="1603"/>
      <c r="R219" s="1603"/>
      <c r="S219" s="1603"/>
      <c r="T219" s="1603"/>
      <c r="U219" s="1603"/>
      <c r="V219" s="1603"/>
      <c r="W219" s="1603"/>
      <c r="X219" s="1603"/>
      <c r="Y219" s="1603"/>
      <c r="Z219" s="1603"/>
      <c r="AA219" s="1603"/>
      <c r="AB219" s="1603"/>
      <c r="AC219" s="1603"/>
      <c r="AD219" s="1603"/>
      <c r="AE219" s="1603"/>
      <c r="AF219" s="1603"/>
      <c r="AG219" s="1603"/>
      <c r="AH219" s="1603"/>
      <c r="AI219" s="1603"/>
      <c r="AJ219" s="323"/>
      <c r="AK219" s="276"/>
      <c r="AL219" s="312"/>
      <c r="AM219" s="1604" t="s">
        <v>545</v>
      </c>
      <c r="AN219" s="1603"/>
      <c r="AO219" s="1603"/>
      <c r="AP219" s="1603"/>
      <c r="AQ219" s="1603"/>
      <c r="AR219" s="1603"/>
      <c r="AS219" s="1603"/>
      <c r="AT219" s="1603"/>
      <c r="AU219" s="1603"/>
      <c r="AV219" s="1603"/>
      <c r="AW219" s="1603"/>
      <c r="AX219" s="1603"/>
      <c r="AY219" s="1603"/>
      <c r="AZ219" s="1603"/>
      <c r="BA219" s="1603"/>
      <c r="BB219" s="1603"/>
      <c r="BC219" s="1603"/>
      <c r="BD219" s="1603"/>
      <c r="BE219" s="1603"/>
      <c r="BF219" s="1603"/>
      <c r="BG219" s="1603"/>
      <c r="BH219" s="1603"/>
      <c r="BI219" s="1603"/>
      <c r="BJ219" s="1603"/>
      <c r="BK219" s="1603"/>
      <c r="BL219" s="1603"/>
      <c r="BM219" s="1603"/>
      <c r="BN219" s="1603"/>
      <c r="BO219" s="1603"/>
      <c r="BP219" s="1603"/>
      <c r="BQ219" s="1603"/>
      <c r="BR219" s="1603"/>
      <c r="BS219" s="1603"/>
      <c r="BT219" s="295"/>
      <c r="BU219" s="295"/>
      <c r="BV219" s="310"/>
      <c r="BW219" s="310"/>
      <c r="BX219" s="291"/>
      <c r="BY219" s="323"/>
      <c r="BZ219" s="279"/>
      <c r="CA219" s="279"/>
      <c r="CB219" s="280"/>
      <c r="CC219" s="280"/>
      <c r="CD219" s="280"/>
      <c r="CE219" s="280"/>
      <c r="CF219" s="280"/>
    </row>
    <row r="220" spans="1:84" s="326" customFormat="1" ht="12.95" hidden="1" customHeight="1" x14ac:dyDescent="0.25">
      <c r="A220" s="332"/>
      <c r="B220" s="295"/>
      <c r="C220" s="334"/>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c r="AI220" s="318"/>
      <c r="AJ220" s="323"/>
      <c r="AK220" s="276"/>
      <c r="AL220" s="312"/>
      <c r="AM220" s="334"/>
      <c r="AN220" s="318"/>
      <c r="AO220" s="318"/>
      <c r="AP220" s="318"/>
      <c r="AQ220" s="318"/>
      <c r="AR220" s="318"/>
      <c r="AS220" s="318"/>
      <c r="AT220" s="318"/>
      <c r="AU220" s="318"/>
      <c r="AV220" s="318"/>
      <c r="AW220" s="318"/>
      <c r="AX220" s="318"/>
      <c r="AY220" s="318"/>
      <c r="AZ220" s="318"/>
      <c r="BA220" s="318"/>
      <c r="BB220" s="318"/>
      <c r="BC220" s="318"/>
      <c r="BD220" s="318"/>
      <c r="BE220" s="318"/>
      <c r="BF220" s="318"/>
      <c r="BG220" s="318"/>
      <c r="BH220" s="318"/>
      <c r="BI220" s="318"/>
      <c r="BJ220" s="318"/>
      <c r="BK220" s="318"/>
      <c r="BL220" s="318"/>
      <c r="BM220" s="318"/>
      <c r="BN220" s="318"/>
      <c r="BO220" s="318"/>
      <c r="BP220" s="318"/>
      <c r="BQ220" s="318"/>
      <c r="BR220" s="318"/>
      <c r="BS220" s="318"/>
      <c r="BT220" s="295"/>
      <c r="BU220" s="295"/>
      <c r="BV220" s="310"/>
      <c r="BW220" s="310"/>
      <c r="BX220" s="291"/>
      <c r="BY220" s="323"/>
      <c r="BZ220" s="279"/>
      <c r="CA220" s="279"/>
      <c r="CB220" s="280"/>
      <c r="CC220" s="280"/>
      <c r="CD220" s="280"/>
      <c r="CE220" s="280"/>
      <c r="CF220" s="280"/>
    </row>
    <row r="221" spans="1:84" s="326" customFormat="1" ht="27.95" hidden="1" customHeight="1" x14ac:dyDescent="0.25">
      <c r="A221" s="332"/>
      <c r="B221" s="295"/>
      <c r="C221" s="1611" t="s">
        <v>546</v>
      </c>
      <c r="D221" s="1603"/>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A221" s="1603"/>
      <c r="AB221" s="1603"/>
      <c r="AC221" s="1603"/>
      <c r="AD221" s="1603"/>
      <c r="AE221" s="1603"/>
      <c r="AF221" s="1603"/>
      <c r="AG221" s="1603"/>
      <c r="AH221" s="1603"/>
      <c r="AI221" s="1603"/>
      <c r="AJ221" s="323"/>
      <c r="AK221" s="276"/>
      <c r="AL221" s="312"/>
      <c r="AM221" s="1611" t="s">
        <v>546</v>
      </c>
      <c r="AN221" s="1603"/>
      <c r="AO221" s="1603"/>
      <c r="AP221" s="1603"/>
      <c r="AQ221" s="1603"/>
      <c r="AR221" s="1603"/>
      <c r="AS221" s="1603"/>
      <c r="AT221" s="1603"/>
      <c r="AU221" s="1603"/>
      <c r="AV221" s="1603"/>
      <c r="AW221" s="1603"/>
      <c r="AX221" s="1603"/>
      <c r="AY221" s="1603"/>
      <c r="AZ221" s="1603"/>
      <c r="BA221" s="1603"/>
      <c r="BB221" s="1603"/>
      <c r="BC221" s="1603"/>
      <c r="BD221" s="1603"/>
      <c r="BE221" s="1603"/>
      <c r="BF221" s="1603"/>
      <c r="BG221" s="1603"/>
      <c r="BH221" s="1603"/>
      <c r="BI221" s="1603"/>
      <c r="BJ221" s="1603"/>
      <c r="BK221" s="1603"/>
      <c r="BL221" s="1603"/>
      <c r="BM221" s="1603"/>
      <c r="BN221" s="1603"/>
      <c r="BO221" s="1603"/>
      <c r="BP221" s="1603"/>
      <c r="BQ221" s="1603"/>
      <c r="BR221" s="1603"/>
      <c r="BS221" s="1603"/>
      <c r="BT221" s="295"/>
      <c r="BU221" s="295"/>
      <c r="BV221" s="310"/>
      <c r="BW221" s="310"/>
      <c r="BX221" s="291"/>
      <c r="BY221" s="323"/>
      <c r="BZ221" s="279"/>
      <c r="CA221" s="279"/>
      <c r="CB221" s="280"/>
      <c r="CC221" s="280"/>
      <c r="CD221" s="280"/>
      <c r="CE221" s="280"/>
      <c r="CF221" s="280"/>
    </row>
    <row r="222" spans="1:84" s="326" customFormat="1" ht="14.1" hidden="1" customHeight="1" x14ac:dyDescent="0.25">
      <c r="A222" s="332"/>
      <c r="B222" s="295"/>
      <c r="C222" s="1611" t="s">
        <v>547</v>
      </c>
      <c r="D222" s="1603"/>
      <c r="E222" s="1603"/>
      <c r="F222" s="1603"/>
      <c r="G222" s="1603"/>
      <c r="H222" s="1603"/>
      <c r="I222" s="1603"/>
      <c r="J222" s="1603"/>
      <c r="K222" s="1603"/>
      <c r="L222" s="1603"/>
      <c r="M222" s="1603"/>
      <c r="N222" s="1603"/>
      <c r="O222" s="1603"/>
      <c r="P222" s="1603"/>
      <c r="Q222" s="1603"/>
      <c r="R222" s="1603"/>
      <c r="S222" s="1603"/>
      <c r="T222" s="1603"/>
      <c r="U222" s="1603"/>
      <c r="V222" s="1603"/>
      <c r="W222" s="1603"/>
      <c r="X222" s="1603"/>
      <c r="Y222" s="1603"/>
      <c r="Z222" s="1603"/>
      <c r="AA222" s="1603"/>
      <c r="AB222" s="1603"/>
      <c r="AC222" s="1603"/>
      <c r="AD222" s="1603"/>
      <c r="AE222" s="1603"/>
      <c r="AF222" s="1603"/>
      <c r="AG222" s="1603"/>
      <c r="AH222" s="1603"/>
      <c r="AI222" s="1603"/>
      <c r="AJ222" s="323"/>
      <c r="AK222" s="276"/>
      <c r="AL222" s="312"/>
      <c r="AM222" s="1611" t="s">
        <v>547</v>
      </c>
      <c r="AN222" s="1603"/>
      <c r="AO222" s="1603"/>
      <c r="AP222" s="1603"/>
      <c r="AQ222" s="1603"/>
      <c r="AR222" s="1603"/>
      <c r="AS222" s="1603"/>
      <c r="AT222" s="1603"/>
      <c r="AU222" s="1603"/>
      <c r="AV222" s="1603"/>
      <c r="AW222" s="1603"/>
      <c r="AX222" s="1603"/>
      <c r="AY222" s="1603"/>
      <c r="AZ222" s="1603"/>
      <c r="BA222" s="1603"/>
      <c r="BB222" s="1603"/>
      <c r="BC222" s="1603"/>
      <c r="BD222" s="1603"/>
      <c r="BE222" s="1603"/>
      <c r="BF222" s="1603"/>
      <c r="BG222" s="1603"/>
      <c r="BH222" s="1603"/>
      <c r="BI222" s="1603"/>
      <c r="BJ222" s="1603"/>
      <c r="BK222" s="1603"/>
      <c r="BL222" s="1603"/>
      <c r="BM222" s="1603"/>
      <c r="BN222" s="1603"/>
      <c r="BO222" s="1603"/>
      <c r="BP222" s="1603"/>
      <c r="BQ222" s="1603"/>
      <c r="BR222" s="1603"/>
      <c r="BS222" s="1603"/>
      <c r="BT222" s="295"/>
      <c r="BU222" s="295"/>
      <c r="BV222" s="310"/>
      <c r="BW222" s="310"/>
      <c r="BX222" s="291"/>
      <c r="BY222" s="323"/>
      <c r="BZ222" s="279"/>
      <c r="CA222" s="279"/>
      <c r="CB222" s="280"/>
      <c r="CC222" s="280"/>
      <c r="CD222" s="280"/>
      <c r="CE222" s="280"/>
      <c r="CF222" s="280"/>
    </row>
    <row r="223" spans="1:84" s="326" customFormat="1" ht="42" hidden="1" customHeight="1" x14ac:dyDescent="0.25">
      <c r="A223" s="332"/>
      <c r="B223" s="295"/>
      <c r="C223" s="1604" t="str">
        <f>CONCATENATE("Theo các điều khoản thỏa thuận tại BCC, ",LoaiCT_V," thực hiện kế toán cho BCC, ghi nhận toàn bộ doanh thu, chi phí và lợi nhuận sau thuế của BCC trên ","Báo cáo kết quả hoạt động kinh doanh của mình. Chi phí của BCC bao gồm cả khoản lợi nhuận cố định trả cho các bên khác tham gia BCC.")</f>
        <v>Theo các điều khoản thỏa thuận tại BCC, Công ty thực hiện kế toán cho BCC, ghi nhận toàn bộ doanh thu, chi phí và lợi nhuận sau thuế của BCC trên Báo cáo kết quả hoạt động kinh doanh của mình. Chi phí của BCC bao gồm cả khoản lợi nhuận cố định trả cho các bên khác tham gia BCC.</v>
      </c>
      <c r="D223" s="1603"/>
      <c r="E223" s="1603"/>
      <c r="F223" s="1603"/>
      <c r="G223" s="1603"/>
      <c r="H223" s="1603"/>
      <c r="I223" s="1603"/>
      <c r="J223" s="1603"/>
      <c r="K223" s="1603"/>
      <c r="L223" s="1603"/>
      <c r="M223" s="1603"/>
      <c r="N223" s="1603"/>
      <c r="O223" s="1603"/>
      <c r="P223" s="1603"/>
      <c r="Q223" s="1603"/>
      <c r="R223" s="1603"/>
      <c r="S223" s="1603"/>
      <c r="T223" s="1603"/>
      <c r="U223" s="1603"/>
      <c r="V223" s="1603"/>
      <c r="W223" s="1603"/>
      <c r="X223" s="1603"/>
      <c r="Y223" s="1603"/>
      <c r="Z223" s="1603"/>
      <c r="AA223" s="1603"/>
      <c r="AB223" s="1603"/>
      <c r="AC223" s="1603"/>
      <c r="AD223" s="1603"/>
      <c r="AE223" s="1603"/>
      <c r="AF223" s="1603"/>
      <c r="AG223" s="1603"/>
      <c r="AH223" s="1603"/>
      <c r="AI223" s="1603"/>
      <c r="AJ223" s="323"/>
      <c r="AK223" s="276"/>
      <c r="AL223" s="312"/>
      <c r="AM223" s="1604" t="str">
        <f>"According to the terms of the agreement at the BCC, the "&amp;LoaiCT_E&amp;" in charge of accounting for BCC shall be recorded revenues, expenses and post-tax profits of BCC in their income statements. The expenses of BCC including fixed profits paid to the other ventures in BCC."</f>
        <v>According to the terms of the agreement at the BCC, the Corporation in charge of accounting for BCC shall be recorded revenues, expenses and post-tax profits of BCC in their income statements. The expenses of BCC including fixed profits paid to the other ventures in BCC.</v>
      </c>
      <c r="AN223" s="1603"/>
      <c r="AO223" s="1603"/>
      <c r="AP223" s="1603"/>
      <c r="AQ223" s="1603"/>
      <c r="AR223" s="1603"/>
      <c r="AS223" s="1603"/>
      <c r="AT223" s="1603"/>
      <c r="AU223" s="1603"/>
      <c r="AV223" s="1603"/>
      <c r="AW223" s="1603"/>
      <c r="AX223" s="1603"/>
      <c r="AY223" s="1603"/>
      <c r="AZ223" s="1603"/>
      <c r="BA223" s="1603"/>
      <c r="BB223" s="1603"/>
      <c r="BC223" s="1603"/>
      <c r="BD223" s="1603"/>
      <c r="BE223" s="1603"/>
      <c r="BF223" s="1603"/>
      <c r="BG223" s="1603"/>
      <c r="BH223" s="1603"/>
      <c r="BI223" s="1603"/>
      <c r="BJ223" s="1603"/>
      <c r="BK223" s="1603"/>
      <c r="BL223" s="1603"/>
      <c r="BM223" s="1603"/>
      <c r="BN223" s="1603"/>
      <c r="BO223" s="1603"/>
      <c r="BP223" s="1603"/>
      <c r="BQ223" s="1603"/>
      <c r="BR223" s="1603"/>
      <c r="BS223" s="1603"/>
      <c r="BT223" s="295"/>
      <c r="BU223" s="295"/>
      <c r="BV223" s="310"/>
      <c r="BW223" s="310"/>
      <c r="BX223" s="291"/>
      <c r="BY223" s="323"/>
      <c r="BZ223" s="279"/>
      <c r="CA223" s="279"/>
      <c r="CB223" s="280"/>
      <c r="CC223" s="280"/>
      <c r="CD223" s="280"/>
      <c r="CE223" s="280"/>
      <c r="CF223" s="280"/>
    </row>
    <row r="224" spans="1:84" s="326" customFormat="1" ht="27.95" hidden="1" customHeight="1" x14ac:dyDescent="0.25">
      <c r="A224" s="332"/>
      <c r="B224" s="295"/>
      <c r="C224" s="1611" t="s">
        <v>548</v>
      </c>
      <c r="D224" s="1603"/>
      <c r="E224" s="1603"/>
      <c r="F224" s="1603"/>
      <c r="G224" s="1603"/>
      <c r="H224" s="1603"/>
      <c r="I224" s="1603"/>
      <c r="J224" s="1603"/>
      <c r="K224" s="1603"/>
      <c r="L224" s="1603"/>
      <c r="M224" s="1603"/>
      <c r="N224" s="1603"/>
      <c r="O224" s="1603"/>
      <c r="P224" s="1603"/>
      <c r="Q224" s="1603"/>
      <c r="R224" s="1603"/>
      <c r="S224" s="1603"/>
      <c r="T224" s="1603"/>
      <c r="U224" s="1603"/>
      <c r="V224" s="1603"/>
      <c r="W224" s="1603"/>
      <c r="X224" s="1603"/>
      <c r="Y224" s="1603"/>
      <c r="Z224" s="1603"/>
      <c r="AA224" s="1603"/>
      <c r="AB224" s="1603"/>
      <c r="AC224" s="1603"/>
      <c r="AD224" s="1603"/>
      <c r="AE224" s="1603"/>
      <c r="AF224" s="1603"/>
      <c r="AG224" s="1603"/>
      <c r="AH224" s="1603"/>
      <c r="AI224" s="1603"/>
      <c r="AJ224" s="323"/>
      <c r="AK224" s="276"/>
      <c r="AL224" s="312"/>
      <c r="AM224" s="1611" t="s">
        <v>548</v>
      </c>
      <c r="AN224" s="1603"/>
      <c r="AO224" s="1603"/>
      <c r="AP224" s="1603"/>
      <c r="AQ224" s="1603"/>
      <c r="AR224" s="1603"/>
      <c r="AS224" s="1603"/>
      <c r="AT224" s="1603"/>
      <c r="AU224" s="1603"/>
      <c r="AV224" s="1603"/>
      <c r="AW224" s="1603"/>
      <c r="AX224" s="1603"/>
      <c r="AY224" s="1603"/>
      <c r="AZ224" s="1603"/>
      <c r="BA224" s="1603"/>
      <c r="BB224" s="1603"/>
      <c r="BC224" s="1603"/>
      <c r="BD224" s="1603"/>
      <c r="BE224" s="1603"/>
      <c r="BF224" s="1603"/>
      <c r="BG224" s="1603"/>
      <c r="BH224" s="1603"/>
      <c r="BI224" s="1603"/>
      <c r="BJ224" s="1603"/>
      <c r="BK224" s="1603"/>
      <c r="BL224" s="1603"/>
      <c r="BM224" s="1603"/>
      <c r="BN224" s="1603"/>
      <c r="BO224" s="1603"/>
      <c r="BP224" s="1603"/>
      <c r="BQ224" s="1603"/>
      <c r="BR224" s="1603"/>
      <c r="BS224" s="1603"/>
      <c r="BT224" s="295"/>
      <c r="BU224" s="295"/>
      <c r="BV224" s="310"/>
      <c r="BW224" s="310"/>
      <c r="BX224" s="291"/>
      <c r="BY224" s="323"/>
      <c r="BZ224" s="279"/>
      <c r="CA224" s="279"/>
      <c r="CB224" s="280"/>
      <c r="CC224" s="280"/>
      <c r="CD224" s="280"/>
      <c r="CE224" s="280"/>
      <c r="CF224" s="280"/>
    </row>
    <row r="225" spans="1:84" s="326" customFormat="1" ht="42" hidden="1" customHeight="1" x14ac:dyDescent="0.25">
      <c r="A225" s="332"/>
      <c r="B225" s="295"/>
      <c r="C225" s="1604" t="str">
        <f>CONCATENATE("Theo các điều khoản thỏa thuận tại BCC, ",LoaiCT_V," được nhận khoản lợi nhuận cố định hàng năm, không phụ thuộc vào kết quả kinh doanh của hợp đồng và ghi nhận doanh thu cho thuê tài sản từ BCC đối với khoản được chia khi có thông báo từ BCC. [sửa đổi, xoá bỏ nếu không phù hợp]")</f>
        <v>Theo các điều khoản thỏa thuận tại BCC, Công ty được nhận khoản lợi nhuận cố định hàng năm, không phụ thuộc vào kết quả kinh doanh của hợp đồng và ghi nhận doanh thu cho thuê tài sản từ BCC đối với khoản được chia khi có thông báo từ BCC. [sửa đổi, xoá bỏ nếu không phù hợp]</v>
      </c>
      <c r="D225" s="1603"/>
      <c r="E225" s="1603"/>
      <c r="F225" s="1603"/>
      <c r="G225" s="1603"/>
      <c r="H225" s="1603"/>
      <c r="I225" s="1603"/>
      <c r="J225" s="1603"/>
      <c r="K225" s="1603"/>
      <c r="L225" s="1603"/>
      <c r="M225" s="1603"/>
      <c r="N225" s="1603"/>
      <c r="O225" s="1603"/>
      <c r="P225" s="1603"/>
      <c r="Q225" s="1603"/>
      <c r="R225" s="1603"/>
      <c r="S225" s="1603"/>
      <c r="T225" s="1603"/>
      <c r="U225" s="1603"/>
      <c r="V225" s="1603"/>
      <c r="W225" s="1603"/>
      <c r="X225" s="1603"/>
      <c r="Y225" s="1603"/>
      <c r="Z225" s="1603"/>
      <c r="AA225" s="1603"/>
      <c r="AB225" s="1603"/>
      <c r="AC225" s="1603"/>
      <c r="AD225" s="1603"/>
      <c r="AE225" s="1603"/>
      <c r="AF225" s="1603"/>
      <c r="AG225" s="1603"/>
      <c r="AH225" s="1603"/>
      <c r="AI225" s="1603"/>
      <c r="AJ225" s="323"/>
      <c r="AK225" s="276"/>
      <c r="AL225" s="312"/>
      <c r="AM225" s="1604" t="str">
        <f>"According to the terms of the agreement at the BCC, the "&amp;LoaiCT_E&amp;" is received the fixed profit every year, does not depend on the business results of contracts and recognise property leasing revenue from BCC for the portion to be divided when have notice from BCC. [sửa đổi, xoá bỏ nếu không phù hợp]."</f>
        <v>According to the terms of the agreement at the BCC, the Corporation is received the fixed profit every year, does not depend on the business results of contracts and recognise property leasing revenue from BCC for the portion to be divided when have notice from BCC. [sửa đổi, xoá bỏ nếu không phù hợp].</v>
      </c>
      <c r="AN225" s="1603"/>
      <c r="AO225" s="1603"/>
      <c r="AP225" s="1603"/>
      <c r="AQ225" s="1603"/>
      <c r="AR225" s="1603"/>
      <c r="AS225" s="1603"/>
      <c r="AT225" s="1603"/>
      <c r="AU225" s="1603"/>
      <c r="AV225" s="1603"/>
      <c r="AW225" s="1603"/>
      <c r="AX225" s="1603"/>
      <c r="AY225" s="1603"/>
      <c r="AZ225" s="1603"/>
      <c r="BA225" s="1603"/>
      <c r="BB225" s="1603"/>
      <c r="BC225" s="1603"/>
      <c r="BD225" s="1603"/>
      <c r="BE225" s="1603"/>
      <c r="BF225" s="1603"/>
      <c r="BG225" s="1603"/>
      <c r="BH225" s="1603"/>
      <c r="BI225" s="1603"/>
      <c r="BJ225" s="1603"/>
      <c r="BK225" s="1603"/>
      <c r="BL225" s="1603"/>
      <c r="BM225" s="1603"/>
      <c r="BN225" s="1603"/>
      <c r="BO225" s="1603"/>
      <c r="BP225" s="1603"/>
      <c r="BQ225" s="1603"/>
      <c r="BR225" s="1603"/>
      <c r="BS225" s="1603"/>
      <c r="BT225" s="295"/>
      <c r="BU225" s="295"/>
      <c r="BV225" s="310"/>
      <c r="BW225" s="310"/>
      <c r="BX225" s="291"/>
      <c r="BY225" s="323"/>
      <c r="BZ225" s="279"/>
      <c r="CA225" s="279"/>
      <c r="CB225" s="280"/>
      <c r="CC225" s="280"/>
      <c r="CD225" s="280"/>
      <c r="CE225" s="280"/>
      <c r="CF225" s="280"/>
    </row>
    <row r="226" spans="1:84" s="326" customFormat="1" ht="12.95" hidden="1" customHeight="1" x14ac:dyDescent="0.25">
      <c r="A226" s="332"/>
      <c r="B226" s="295"/>
      <c r="C226" s="331"/>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c r="AH226" s="318"/>
      <c r="AI226" s="318"/>
      <c r="AJ226" s="323"/>
      <c r="AK226" s="276"/>
      <c r="AL226" s="312"/>
      <c r="AM226" s="314"/>
      <c r="AN226" s="318"/>
      <c r="AO226" s="318"/>
      <c r="AP226" s="318"/>
      <c r="AQ226" s="318"/>
      <c r="AR226" s="318"/>
      <c r="AS226" s="318"/>
      <c r="AT226" s="318"/>
      <c r="AU226" s="318"/>
      <c r="AV226" s="318"/>
      <c r="AW226" s="318"/>
      <c r="AX226" s="318"/>
      <c r="AY226" s="318"/>
      <c r="AZ226" s="318"/>
      <c r="BA226" s="318"/>
      <c r="BB226" s="318"/>
      <c r="BC226" s="318"/>
      <c r="BD226" s="318"/>
      <c r="BE226" s="318"/>
      <c r="BF226" s="318"/>
      <c r="BG226" s="318"/>
      <c r="BH226" s="318"/>
      <c r="BI226" s="318"/>
      <c r="BJ226" s="318"/>
      <c r="BK226" s="318"/>
      <c r="BL226" s="318"/>
      <c r="BM226" s="318"/>
      <c r="BN226" s="318"/>
      <c r="BO226" s="318"/>
      <c r="BP226" s="318"/>
      <c r="BQ226" s="318"/>
      <c r="BR226" s="318"/>
      <c r="BS226" s="318"/>
      <c r="BT226" s="295"/>
      <c r="BU226" s="295"/>
      <c r="BV226" s="310"/>
      <c r="BW226" s="310"/>
      <c r="BX226" s="291"/>
      <c r="BY226" s="323"/>
      <c r="BZ226" s="279"/>
      <c r="CA226" s="279"/>
      <c r="CB226" s="280"/>
      <c r="CC226" s="280"/>
      <c r="CD226" s="280"/>
      <c r="CE226" s="280"/>
      <c r="CF226" s="280"/>
    </row>
    <row r="227" spans="1:84" s="326" customFormat="1" ht="27.95" hidden="1" customHeight="1" x14ac:dyDescent="0.25">
      <c r="A227" s="332"/>
      <c r="B227" s="295"/>
      <c r="C227" s="1611" t="s">
        <v>549</v>
      </c>
      <c r="D227" s="1609"/>
      <c r="E227" s="1609"/>
      <c r="F227" s="1609"/>
      <c r="G227" s="1609"/>
      <c r="H227" s="1609"/>
      <c r="I227" s="1609"/>
      <c r="J227" s="1609"/>
      <c r="K227" s="1609"/>
      <c r="L227" s="1609"/>
      <c r="M227" s="1609"/>
      <c r="N227" s="1609"/>
      <c r="O227" s="1609"/>
      <c r="P227" s="1609"/>
      <c r="Q227" s="1609"/>
      <c r="R227" s="1609"/>
      <c r="S227" s="1609"/>
      <c r="T227" s="1609"/>
      <c r="U227" s="1609"/>
      <c r="V227" s="1609"/>
      <c r="W227" s="1609"/>
      <c r="X227" s="1609"/>
      <c r="Y227" s="1609"/>
      <c r="Z227" s="1609"/>
      <c r="AA227" s="1609"/>
      <c r="AB227" s="1609"/>
      <c r="AC227" s="1609"/>
      <c r="AD227" s="1609"/>
      <c r="AE227" s="1609"/>
      <c r="AF227" s="1609"/>
      <c r="AG227" s="1609"/>
      <c r="AH227" s="1609"/>
      <c r="AI227" s="1609"/>
      <c r="AJ227" s="323"/>
      <c r="AK227" s="276"/>
      <c r="AL227" s="312"/>
      <c r="AM227" s="1611" t="s">
        <v>549</v>
      </c>
      <c r="AN227" s="1609"/>
      <c r="AO227" s="1609"/>
      <c r="AP227" s="1609"/>
      <c r="AQ227" s="1609"/>
      <c r="AR227" s="1609"/>
      <c r="AS227" s="1609"/>
      <c r="AT227" s="1609"/>
      <c r="AU227" s="1609"/>
      <c r="AV227" s="1609"/>
      <c r="AW227" s="1609"/>
      <c r="AX227" s="1609"/>
      <c r="AY227" s="1609"/>
      <c r="AZ227" s="1609"/>
      <c r="BA227" s="1609"/>
      <c r="BB227" s="1609"/>
      <c r="BC227" s="1609"/>
      <c r="BD227" s="1609"/>
      <c r="BE227" s="1609"/>
      <c r="BF227" s="1609"/>
      <c r="BG227" s="1609"/>
      <c r="BH227" s="1609"/>
      <c r="BI227" s="1609"/>
      <c r="BJ227" s="1609"/>
      <c r="BK227" s="1609"/>
      <c r="BL227" s="1609"/>
      <c r="BM227" s="1609"/>
      <c r="BN227" s="1609"/>
      <c r="BO227" s="1609"/>
      <c r="BP227" s="1609"/>
      <c r="BQ227" s="1609"/>
      <c r="BR227" s="1609"/>
      <c r="BS227" s="1609"/>
      <c r="BT227" s="295"/>
      <c r="BU227" s="295"/>
      <c r="BV227" s="310"/>
      <c r="BW227" s="310"/>
      <c r="BX227" s="291"/>
      <c r="BY227" s="323"/>
      <c r="BZ227" s="279"/>
      <c r="CA227" s="279"/>
      <c r="CB227" s="280"/>
      <c r="CC227" s="280"/>
      <c r="CD227" s="280"/>
      <c r="CE227" s="280"/>
      <c r="CF227" s="280"/>
    </row>
    <row r="228" spans="1:84" s="326" customFormat="1" ht="56.1" hidden="1" customHeight="1" x14ac:dyDescent="0.25">
      <c r="A228" s="332"/>
      <c r="B228" s="295"/>
      <c r="C228" s="1604" t="str">
        <f>CONCATENATE("Theo các điều khoản thỏa thuận tại BCC, các bên cùng nhau phân chia lãi, lỗ theo kết quả kinh doanh của BCC. ",LoaiCT_V," thực hiện ghi nhận trên Báo cáo kết quả hoạt động kinh doanh phần doanh thu, chi phí và lợi nhuận tương ứng với phần được chia theo thỏa thuận của BCC/ thông báo từ BCC [sửa đổi, xoá bỏ nếu không phù hợp].")</f>
        <v>Theo các điều khoản thỏa thuận tại BCC, các bên cùng nhau phân chia lãi, lỗ theo kết quả kinh doanh của BCC. Công ty thực hiện ghi nhận trên Báo cáo kết quả hoạt động kinh doanh phần doanh thu, chi phí và lợi nhuận tương ứng với phần được chia theo thỏa thuận của BCC/ thông báo từ BCC [sửa đổi, xoá bỏ nếu không phù hợp].</v>
      </c>
      <c r="D228" s="1603"/>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323"/>
      <c r="AK228" s="276"/>
      <c r="AL228" s="312"/>
      <c r="AM228" s="1604" t="str">
        <f>"According to the terms of the agreement at the BCC, the venturers of BCC are divided profits, losses according to the results of business of BCC. The "&amp;LoaiCT_E&amp;" shall be recorded revenues, expenses and shares of profits under BCC in their Statement of income. [sửa đổi, xoá bỏ nếu không phù hợp]."</f>
        <v>According to the terms of the agreement at the BCC, the venturers of BCC are divided profits, losses according to the results of business of BCC. The Corporation shall be recorded revenues, expenses and shares of profits under BCC in their Statement of income. [sửa đổi, xoá bỏ nếu không phù hợp].</v>
      </c>
      <c r="AN228" s="1603"/>
      <c r="AO228" s="1603"/>
      <c r="AP228" s="1603"/>
      <c r="AQ228" s="1603"/>
      <c r="AR228" s="1603"/>
      <c r="AS228" s="1603"/>
      <c r="AT228" s="1603"/>
      <c r="AU228" s="1603"/>
      <c r="AV228" s="1603"/>
      <c r="AW228" s="1603"/>
      <c r="AX228" s="1603"/>
      <c r="AY228" s="1603"/>
      <c r="AZ228" s="1603"/>
      <c r="BA228" s="1603"/>
      <c r="BB228" s="1603"/>
      <c r="BC228" s="1603"/>
      <c r="BD228" s="1603"/>
      <c r="BE228" s="1603"/>
      <c r="BF228" s="1603"/>
      <c r="BG228" s="1603"/>
      <c r="BH228" s="1603"/>
      <c r="BI228" s="1603"/>
      <c r="BJ228" s="1603"/>
      <c r="BK228" s="1603"/>
      <c r="BL228" s="1603"/>
      <c r="BM228" s="1603"/>
      <c r="BN228" s="1603"/>
      <c r="BO228" s="1603"/>
      <c r="BP228" s="1603"/>
      <c r="BQ228" s="1603"/>
      <c r="BR228" s="1603"/>
      <c r="BS228" s="1603"/>
      <c r="BT228" s="295"/>
      <c r="BU228" s="295"/>
      <c r="BV228" s="310"/>
      <c r="BW228" s="310"/>
      <c r="BX228" s="291"/>
      <c r="BY228" s="323"/>
      <c r="BZ228" s="279"/>
      <c r="CA228" s="279"/>
      <c r="CB228" s="280"/>
      <c r="CC228" s="280"/>
      <c r="CD228" s="280"/>
      <c r="CE228" s="280"/>
      <c r="CF228" s="280"/>
    </row>
    <row r="229" spans="1:84" s="326" customFormat="1" ht="14.1" hidden="1" customHeight="1" x14ac:dyDescent="0.25">
      <c r="A229" s="332"/>
      <c r="B229" s="295"/>
      <c r="C229" s="1611" t="s">
        <v>550</v>
      </c>
      <c r="D229" s="1609"/>
      <c r="E229" s="1609"/>
      <c r="F229" s="1609"/>
      <c r="G229" s="1609"/>
      <c r="H229" s="1609"/>
      <c r="I229" s="1609"/>
      <c r="J229" s="1609"/>
      <c r="K229" s="1609"/>
      <c r="L229" s="1609"/>
      <c r="M229" s="1609"/>
      <c r="N229" s="1609"/>
      <c r="O229" s="1609"/>
      <c r="P229" s="1609"/>
      <c r="Q229" s="1609"/>
      <c r="R229" s="1609"/>
      <c r="S229" s="1609"/>
      <c r="T229" s="1609"/>
      <c r="U229" s="1609"/>
      <c r="V229" s="1609"/>
      <c r="W229" s="1609"/>
      <c r="X229" s="1609"/>
      <c r="Y229" s="1609"/>
      <c r="Z229" s="1609"/>
      <c r="AA229" s="1609"/>
      <c r="AB229" s="1609"/>
      <c r="AC229" s="1609"/>
      <c r="AD229" s="1609"/>
      <c r="AE229" s="1609"/>
      <c r="AF229" s="1609"/>
      <c r="AG229" s="1609"/>
      <c r="AH229" s="1609"/>
      <c r="AI229" s="1609"/>
      <c r="AJ229" s="323"/>
      <c r="AK229" s="276"/>
      <c r="AL229" s="312"/>
      <c r="AM229" s="1611" t="s">
        <v>550</v>
      </c>
      <c r="AN229" s="1609"/>
      <c r="AO229" s="1609"/>
      <c r="AP229" s="1609"/>
      <c r="AQ229" s="1609"/>
      <c r="AR229" s="1609"/>
      <c r="AS229" s="1609"/>
      <c r="AT229" s="1609"/>
      <c r="AU229" s="1609"/>
      <c r="AV229" s="1609"/>
      <c r="AW229" s="1609"/>
      <c r="AX229" s="1609"/>
      <c r="AY229" s="1609"/>
      <c r="AZ229" s="1609"/>
      <c r="BA229" s="1609"/>
      <c r="BB229" s="1609"/>
      <c r="BC229" s="1609"/>
      <c r="BD229" s="1609"/>
      <c r="BE229" s="1609"/>
      <c r="BF229" s="1609"/>
      <c r="BG229" s="1609"/>
      <c r="BH229" s="1609"/>
      <c r="BI229" s="1609"/>
      <c r="BJ229" s="1609"/>
      <c r="BK229" s="1609"/>
      <c r="BL229" s="1609"/>
      <c r="BM229" s="1609"/>
      <c r="BN229" s="1609"/>
      <c r="BO229" s="1609"/>
      <c r="BP229" s="1609"/>
      <c r="BQ229" s="1609"/>
      <c r="BR229" s="1609"/>
      <c r="BS229" s="1609"/>
      <c r="BT229" s="295"/>
      <c r="BU229" s="295"/>
      <c r="BV229" s="310"/>
      <c r="BW229" s="310"/>
      <c r="BX229" s="291"/>
      <c r="BY229" s="323"/>
      <c r="BZ229" s="279"/>
      <c r="CA229" s="279"/>
      <c r="CB229" s="280"/>
      <c r="CC229" s="280"/>
      <c r="CD229" s="280"/>
      <c r="CE229" s="280"/>
      <c r="CF229" s="280"/>
    </row>
    <row r="230" spans="1:84" s="326" customFormat="1" ht="42" hidden="1" customHeight="1" x14ac:dyDescent="0.25">
      <c r="A230" s="332"/>
      <c r="B230" s="295"/>
      <c r="C230" s="1604" t="str">
        <f>CONCATENATE(LoaiCT_V," thực hiện kế toán cho BCC và có nghĩa vụ thay mặt các bên khác thực hiện nghĩa vụ của BCC với Ngân sách Nhà nước, thực hiện quyết toán thuế và phân bổ lại nghĩa vụ này cho các bên khác theo thỏa thuận của BCC.")</f>
        <v>Công ty thực hiện kế toán cho BCC và có nghĩa vụ thay mặt các bên khác thực hiện nghĩa vụ của BCC với Ngân sách Nhà nước, thực hiện quyết toán thuế và phân bổ lại nghĩa vụ này cho các bên khác theo thỏa thuận của BCC.</v>
      </c>
      <c r="D230" s="1603"/>
      <c r="E230" s="1603"/>
      <c r="F230" s="1603"/>
      <c r="G230" s="1603"/>
      <c r="H230" s="1603"/>
      <c r="I230" s="1603"/>
      <c r="J230" s="1603"/>
      <c r="K230" s="1603"/>
      <c r="L230" s="1603"/>
      <c r="M230" s="1603"/>
      <c r="N230" s="1603"/>
      <c r="O230" s="1603"/>
      <c r="P230" s="1603"/>
      <c r="Q230" s="1603"/>
      <c r="R230" s="1603"/>
      <c r="S230" s="1603"/>
      <c r="T230" s="1603"/>
      <c r="U230" s="1603"/>
      <c r="V230" s="1603"/>
      <c r="W230" s="1603"/>
      <c r="X230" s="1603"/>
      <c r="Y230" s="1603"/>
      <c r="Z230" s="1603"/>
      <c r="AA230" s="1603"/>
      <c r="AB230" s="1603"/>
      <c r="AC230" s="1603"/>
      <c r="AD230" s="1603"/>
      <c r="AE230" s="1603"/>
      <c r="AF230" s="1603"/>
      <c r="AG230" s="1603"/>
      <c r="AH230" s="1603"/>
      <c r="AI230" s="1603"/>
      <c r="AJ230" s="323"/>
      <c r="AK230" s="276"/>
      <c r="AL230" s="312"/>
      <c r="AM230" s="1604" t="str">
        <f>"The "&amp;LoaiCT_E&amp;" in charge of accounting of BCC shall fulfil obligations of BCC to government budget, make declaration of tax and redistribute of this obligation to other venturers of BCC."</f>
        <v>The Corporation in charge of accounting of BCC shall fulfil obligations of BCC to government budget, make declaration of tax and redistribute of this obligation to other venturers of BCC.</v>
      </c>
      <c r="AN230" s="1603"/>
      <c r="AO230" s="1603"/>
      <c r="AP230" s="1603"/>
      <c r="AQ230" s="1603"/>
      <c r="AR230" s="1603"/>
      <c r="AS230" s="1603"/>
      <c r="AT230" s="1603"/>
      <c r="AU230" s="1603"/>
      <c r="AV230" s="1603"/>
      <c r="AW230" s="1603"/>
      <c r="AX230" s="1603"/>
      <c r="AY230" s="1603"/>
      <c r="AZ230" s="1603"/>
      <c r="BA230" s="1603"/>
      <c r="BB230" s="1603"/>
      <c r="BC230" s="1603"/>
      <c r="BD230" s="1603"/>
      <c r="BE230" s="1603"/>
      <c r="BF230" s="1603"/>
      <c r="BG230" s="1603"/>
      <c r="BH230" s="1603"/>
      <c r="BI230" s="1603"/>
      <c r="BJ230" s="1603"/>
      <c r="BK230" s="1603"/>
      <c r="BL230" s="1603"/>
      <c r="BM230" s="1603"/>
      <c r="BN230" s="1603"/>
      <c r="BO230" s="1603"/>
      <c r="BP230" s="1603"/>
      <c r="BQ230" s="1603"/>
      <c r="BR230" s="1603"/>
      <c r="BS230" s="1603"/>
      <c r="BT230" s="295"/>
      <c r="BU230" s="295"/>
      <c r="BV230" s="310"/>
      <c r="BW230" s="310"/>
      <c r="BX230" s="291"/>
      <c r="BY230" s="323"/>
      <c r="BZ230" s="279"/>
      <c r="CA230" s="279"/>
      <c r="CB230" s="280"/>
      <c r="CC230" s="280"/>
      <c r="CD230" s="280"/>
      <c r="CE230" s="280"/>
      <c r="CF230" s="280"/>
    </row>
    <row r="231" spans="1:84" s="326" customFormat="1" ht="2.1" hidden="1" customHeight="1" x14ac:dyDescent="0.25">
      <c r="A231" s="332"/>
      <c r="B231" s="295"/>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c r="AH231" s="318"/>
      <c r="AI231" s="318"/>
      <c r="AJ231" s="323"/>
      <c r="AK231" s="276"/>
      <c r="AL231" s="312"/>
      <c r="AM231" s="318"/>
      <c r="AN231" s="318"/>
      <c r="AO231" s="318"/>
      <c r="AP231" s="318"/>
      <c r="AQ231" s="318"/>
      <c r="AR231" s="318"/>
      <c r="AS231" s="318"/>
      <c r="AT231" s="318"/>
      <c r="AU231" s="318"/>
      <c r="AV231" s="318"/>
      <c r="AW231" s="318"/>
      <c r="AX231" s="318"/>
      <c r="AY231" s="318"/>
      <c r="AZ231" s="318"/>
      <c r="BA231" s="318"/>
      <c r="BB231" s="318"/>
      <c r="BC231" s="318"/>
      <c r="BD231" s="318"/>
      <c r="BE231" s="318"/>
      <c r="BF231" s="318"/>
      <c r="BG231" s="318"/>
      <c r="BH231" s="318"/>
      <c r="BI231" s="318"/>
      <c r="BJ231" s="318"/>
      <c r="BK231" s="318"/>
      <c r="BL231" s="318"/>
      <c r="BM231" s="318"/>
      <c r="BN231" s="318"/>
      <c r="BO231" s="318"/>
      <c r="BP231" s="318"/>
      <c r="BQ231" s="318"/>
      <c r="BR231" s="318"/>
      <c r="BS231" s="318"/>
      <c r="BT231" s="295"/>
      <c r="BU231" s="295"/>
      <c r="BV231" s="310"/>
      <c r="BW231" s="310"/>
      <c r="BX231" s="291"/>
      <c r="BY231" s="323"/>
      <c r="BZ231" s="279"/>
      <c r="CA231" s="279"/>
      <c r="CB231" s="280"/>
      <c r="CC231" s="280"/>
      <c r="CD231" s="280"/>
      <c r="CE231" s="280"/>
      <c r="CF231" s="280"/>
    </row>
    <row r="232" spans="1:84" s="326" customFormat="1" ht="12.95" customHeight="1" x14ac:dyDescent="0.25">
      <c r="A232" s="332"/>
      <c r="B232" s="295"/>
      <c r="C232" s="1603"/>
      <c r="D232" s="1603"/>
      <c r="E232" s="1603"/>
      <c r="F232" s="1603"/>
      <c r="G232" s="1603"/>
      <c r="H232" s="1603"/>
      <c r="I232" s="1603"/>
      <c r="J232" s="1603"/>
      <c r="K232" s="1603"/>
      <c r="L232" s="1603"/>
      <c r="M232" s="1603"/>
      <c r="N232" s="1603"/>
      <c r="O232" s="1603"/>
      <c r="P232" s="1603"/>
      <c r="Q232" s="1603"/>
      <c r="R232" s="1603"/>
      <c r="S232" s="1603"/>
      <c r="T232" s="1603"/>
      <c r="U232" s="1603"/>
      <c r="V232" s="1603"/>
      <c r="W232" s="1603"/>
      <c r="X232" s="1603"/>
      <c r="Y232" s="1603"/>
      <c r="Z232" s="1603"/>
      <c r="AA232" s="1603"/>
      <c r="AB232" s="1603"/>
      <c r="AC232" s="1603"/>
      <c r="AD232" s="1603"/>
      <c r="AE232" s="1603"/>
      <c r="AF232" s="1603"/>
      <c r="AG232" s="1603"/>
      <c r="AH232" s="1603"/>
      <c r="AI232" s="1603"/>
      <c r="AJ232" s="323"/>
      <c r="AK232" s="276"/>
      <c r="AL232" s="312"/>
      <c r="AM232" s="1603"/>
      <c r="AN232" s="1603"/>
      <c r="AO232" s="1603"/>
      <c r="AP232" s="1603"/>
      <c r="AQ232" s="1603"/>
      <c r="AR232" s="1603"/>
      <c r="AS232" s="1603"/>
      <c r="AT232" s="1603"/>
      <c r="AU232" s="1603"/>
      <c r="AV232" s="1603"/>
      <c r="AW232" s="1603"/>
      <c r="AX232" s="1603"/>
      <c r="AY232" s="1603"/>
      <c r="AZ232" s="1603"/>
      <c r="BA232" s="1603"/>
      <c r="BB232" s="1603"/>
      <c r="BC232" s="1603"/>
      <c r="BD232" s="1603"/>
      <c r="BE232" s="1603"/>
      <c r="BF232" s="1603"/>
      <c r="BG232" s="1603"/>
      <c r="BH232" s="1603"/>
      <c r="BI232" s="1603"/>
      <c r="BJ232" s="1603"/>
      <c r="BK232" s="1603"/>
      <c r="BL232" s="1603"/>
      <c r="BM232" s="1603"/>
      <c r="BN232" s="1603"/>
      <c r="BO232" s="1603"/>
      <c r="BP232" s="1603"/>
      <c r="BQ232" s="1603"/>
      <c r="BR232" s="1603"/>
      <c r="BS232" s="1603"/>
      <c r="BT232" s="295"/>
      <c r="BU232" s="295"/>
      <c r="BV232" s="310"/>
      <c r="BW232" s="310"/>
      <c r="BX232" s="291"/>
      <c r="BY232" s="323"/>
      <c r="BZ232" s="279"/>
      <c r="CA232" s="279"/>
      <c r="CB232" s="280"/>
      <c r="CC232" s="280"/>
      <c r="CD232" s="280"/>
      <c r="CE232" s="280"/>
      <c r="CF232" s="280"/>
    </row>
    <row r="233" spans="1:84" s="326" customFormat="1" ht="15" customHeight="1" x14ac:dyDescent="0.25">
      <c r="A233" s="322" t="str">
        <f>subSTT</f>
        <v>2.11</v>
      </c>
      <c r="B233" s="312" t="s">
        <v>345</v>
      </c>
      <c r="C233" s="312" t="s">
        <v>551</v>
      </c>
      <c r="D233" s="318"/>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c r="AI233" s="295"/>
      <c r="AJ233" s="323"/>
      <c r="AK233" s="287" t="str">
        <f>A233</f>
        <v>2.11</v>
      </c>
      <c r="AL233" s="312" t="s">
        <v>345</v>
      </c>
      <c r="AM233" s="312" t="s">
        <v>552</v>
      </c>
      <c r="AN233" s="318"/>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310"/>
      <c r="BW233" s="310"/>
      <c r="BX233" s="291"/>
      <c r="BY233" s="323"/>
      <c r="BZ233" s="279"/>
      <c r="CA233" s="279"/>
      <c r="CB233" s="280"/>
      <c r="CC233" s="280"/>
      <c r="CD233" s="280"/>
      <c r="CE233" s="280"/>
      <c r="CF233" s="280"/>
    </row>
    <row r="234" spans="1:84" s="326" customFormat="1" ht="12.95" customHeight="1" x14ac:dyDescent="0.25">
      <c r="A234" s="332"/>
      <c r="B234" s="295"/>
      <c r="C234" s="334"/>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c r="AH234" s="318"/>
      <c r="AI234" s="318"/>
      <c r="AJ234" s="323"/>
      <c r="AK234" s="276"/>
      <c r="AL234" s="312"/>
      <c r="AM234" s="334"/>
      <c r="AN234" s="318"/>
      <c r="AO234" s="318"/>
      <c r="AP234" s="318"/>
      <c r="AQ234" s="318"/>
      <c r="AR234" s="318"/>
      <c r="AS234" s="318"/>
      <c r="AT234" s="318"/>
      <c r="AU234" s="318"/>
      <c r="AV234" s="318"/>
      <c r="AW234" s="318"/>
      <c r="AX234" s="318"/>
      <c r="AY234" s="318"/>
      <c r="AZ234" s="318"/>
      <c r="BA234" s="318"/>
      <c r="BB234" s="318"/>
      <c r="BC234" s="318"/>
      <c r="BD234" s="318"/>
      <c r="BE234" s="318"/>
      <c r="BF234" s="318"/>
      <c r="BG234" s="318"/>
      <c r="BH234" s="318"/>
      <c r="BI234" s="318"/>
      <c r="BJ234" s="318"/>
      <c r="BK234" s="318"/>
      <c r="BL234" s="318"/>
      <c r="BM234" s="318"/>
      <c r="BN234" s="318"/>
      <c r="BO234" s="318"/>
      <c r="BP234" s="318"/>
      <c r="BQ234" s="318"/>
      <c r="BR234" s="318"/>
      <c r="BS234" s="318"/>
      <c r="BT234" s="295"/>
      <c r="BU234" s="295"/>
      <c r="BV234" s="310"/>
      <c r="BW234" s="310"/>
      <c r="BX234" s="291"/>
      <c r="BY234" s="323"/>
      <c r="BZ234" s="279"/>
      <c r="CA234" s="279"/>
      <c r="CB234" s="280"/>
      <c r="CC234" s="280"/>
      <c r="CD234" s="280"/>
      <c r="CE234" s="280"/>
      <c r="CF234" s="280"/>
    </row>
    <row r="235" spans="1:84" s="326" customFormat="1" ht="27.95" customHeight="1" x14ac:dyDescent="0.25">
      <c r="A235" s="332"/>
      <c r="B235" s="295"/>
      <c r="C235" s="1604" t="s">
        <v>553</v>
      </c>
      <c r="D235" s="1603"/>
      <c r="E235" s="1603"/>
      <c r="F235" s="1603"/>
      <c r="G235" s="1603"/>
      <c r="H235" s="1603"/>
      <c r="I235" s="1603"/>
      <c r="J235" s="1603"/>
      <c r="K235" s="1603"/>
      <c r="L235" s="1603"/>
      <c r="M235" s="1603"/>
      <c r="N235" s="1603"/>
      <c r="O235" s="1603"/>
      <c r="P235" s="1603"/>
      <c r="Q235" s="1603"/>
      <c r="R235" s="1603"/>
      <c r="S235" s="1603"/>
      <c r="T235" s="1603"/>
      <c r="U235" s="1603"/>
      <c r="V235" s="1603"/>
      <c r="W235" s="1603"/>
      <c r="X235" s="1603"/>
      <c r="Y235" s="1603"/>
      <c r="Z235" s="1603"/>
      <c r="AA235" s="1603"/>
      <c r="AB235" s="1603"/>
      <c r="AC235" s="1603"/>
      <c r="AD235" s="1603"/>
      <c r="AE235" s="1603"/>
      <c r="AF235" s="1603"/>
      <c r="AG235" s="1603"/>
      <c r="AH235" s="1603"/>
      <c r="AI235" s="1603"/>
      <c r="AJ235" s="323"/>
      <c r="AK235" s="276"/>
      <c r="AL235" s="312"/>
      <c r="AM235" s="1604" t="s">
        <v>554</v>
      </c>
      <c r="AN235" s="1603"/>
      <c r="AO235" s="1603"/>
      <c r="AP235" s="1603"/>
      <c r="AQ235" s="1603"/>
      <c r="AR235" s="1603"/>
      <c r="AS235" s="1603"/>
      <c r="AT235" s="1603"/>
      <c r="AU235" s="1603"/>
      <c r="AV235" s="1603"/>
      <c r="AW235" s="1603"/>
      <c r="AX235" s="1603"/>
      <c r="AY235" s="1603"/>
      <c r="AZ235" s="1603"/>
      <c r="BA235" s="1603"/>
      <c r="BB235" s="1603"/>
      <c r="BC235" s="1603"/>
      <c r="BD235" s="1603"/>
      <c r="BE235" s="1603"/>
      <c r="BF235" s="1603"/>
      <c r="BG235" s="1603"/>
      <c r="BH235" s="1603"/>
      <c r="BI235" s="1603"/>
      <c r="BJ235" s="1603"/>
      <c r="BK235" s="1603"/>
      <c r="BL235" s="1603"/>
      <c r="BM235" s="1603"/>
      <c r="BN235" s="1603"/>
      <c r="BO235" s="1603"/>
      <c r="BP235" s="1603"/>
      <c r="BQ235" s="1603"/>
      <c r="BR235" s="1603"/>
      <c r="BS235" s="1603"/>
      <c r="BT235" s="295"/>
      <c r="BU235" s="295"/>
      <c r="BV235" s="310"/>
      <c r="BW235" s="310"/>
      <c r="BX235" s="291"/>
      <c r="BY235" s="323"/>
      <c r="BZ235" s="279"/>
      <c r="CA235" s="279"/>
      <c r="CB235" s="280"/>
      <c r="CC235" s="280"/>
      <c r="CD235" s="280"/>
      <c r="CE235" s="280"/>
      <c r="CF235" s="280"/>
    </row>
    <row r="236" spans="1:84" s="326" customFormat="1" ht="12.95" customHeight="1" x14ac:dyDescent="0.25">
      <c r="A236" s="332"/>
      <c r="B236" s="295"/>
      <c r="C236" s="314"/>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c r="AH236" s="318"/>
      <c r="AI236" s="318"/>
      <c r="AJ236" s="323"/>
      <c r="AK236" s="276"/>
      <c r="AL236" s="312"/>
      <c r="AM236" s="314"/>
      <c r="AN236" s="318"/>
      <c r="AO236" s="318"/>
      <c r="AP236" s="318"/>
      <c r="AQ236" s="318"/>
      <c r="AR236" s="318"/>
      <c r="AS236" s="318"/>
      <c r="AT236" s="318"/>
      <c r="AU236" s="318"/>
      <c r="AV236" s="318"/>
      <c r="AW236" s="318"/>
      <c r="AX236" s="318"/>
      <c r="AY236" s="318"/>
      <c r="AZ236" s="318"/>
      <c r="BA236" s="318"/>
      <c r="BB236" s="318"/>
      <c r="BC236" s="318"/>
      <c r="BD236" s="318"/>
      <c r="BE236" s="318"/>
      <c r="BF236" s="318"/>
      <c r="BG236" s="318"/>
      <c r="BH236" s="318"/>
      <c r="BI236" s="318"/>
      <c r="BJ236" s="318"/>
      <c r="BK236" s="318"/>
      <c r="BL236" s="318"/>
      <c r="BM236" s="318"/>
      <c r="BN236" s="318"/>
      <c r="BO236" s="318"/>
      <c r="BP236" s="318"/>
      <c r="BQ236" s="318"/>
      <c r="BR236" s="318"/>
      <c r="BS236" s="318"/>
      <c r="BT236" s="295"/>
      <c r="BU236" s="295"/>
      <c r="BV236" s="310"/>
      <c r="BW236" s="310"/>
      <c r="BX236" s="291"/>
      <c r="BY236" s="323"/>
      <c r="BZ236" s="279"/>
      <c r="CA236" s="279"/>
      <c r="CB236" s="280"/>
      <c r="CC236" s="280"/>
      <c r="CD236" s="280"/>
      <c r="CE236" s="280"/>
      <c r="CF236" s="280"/>
    </row>
    <row r="237" spans="1:84" s="326" customFormat="1" ht="42" customHeight="1" x14ac:dyDescent="0.25">
      <c r="A237" s="322"/>
      <c r="B237" s="312"/>
      <c r="C237" s="1603" t="s">
        <v>555</v>
      </c>
      <c r="D237" s="1603"/>
      <c r="E237" s="1603"/>
      <c r="F237" s="1603"/>
      <c r="G237" s="1603"/>
      <c r="H237" s="1603"/>
      <c r="I237" s="1603"/>
      <c r="J237" s="1603"/>
      <c r="K237" s="1603"/>
      <c r="L237" s="1603"/>
      <c r="M237" s="1603"/>
      <c r="N237" s="1603"/>
      <c r="O237" s="1603"/>
      <c r="P237" s="1603"/>
      <c r="Q237" s="1603"/>
      <c r="R237" s="1603"/>
      <c r="S237" s="1603"/>
      <c r="T237" s="1603"/>
      <c r="U237" s="1603"/>
      <c r="V237" s="1603"/>
      <c r="W237" s="1603"/>
      <c r="X237" s="1603"/>
      <c r="Y237" s="1603"/>
      <c r="Z237" s="1603"/>
      <c r="AA237" s="1603"/>
      <c r="AB237" s="1603"/>
      <c r="AC237" s="1603"/>
      <c r="AD237" s="1603"/>
      <c r="AE237" s="1603"/>
      <c r="AF237" s="1603"/>
      <c r="AG237" s="1603"/>
      <c r="AH237" s="1603"/>
      <c r="AI237" s="1603"/>
      <c r="AJ237" s="323"/>
      <c r="AK237" s="287"/>
      <c r="AL237" s="312"/>
      <c r="AM237" s="1603" t="s">
        <v>556</v>
      </c>
      <c r="AN237" s="1603"/>
      <c r="AO237" s="1603"/>
      <c r="AP237" s="1603"/>
      <c r="AQ237" s="1603"/>
      <c r="AR237" s="1603"/>
      <c r="AS237" s="1603"/>
      <c r="AT237" s="1603"/>
      <c r="AU237" s="1603"/>
      <c r="AV237" s="1603"/>
      <c r="AW237" s="1603"/>
      <c r="AX237" s="1603"/>
      <c r="AY237" s="1603"/>
      <c r="AZ237" s="1603"/>
      <c r="BA237" s="1603"/>
      <c r="BB237" s="1603"/>
      <c r="BC237" s="1603"/>
      <c r="BD237" s="1603"/>
      <c r="BE237" s="1603"/>
      <c r="BF237" s="1603"/>
      <c r="BG237" s="1603"/>
      <c r="BH237" s="1603"/>
      <c r="BI237" s="1603"/>
      <c r="BJ237" s="1603"/>
      <c r="BK237" s="1603"/>
      <c r="BL237" s="1603"/>
      <c r="BM237" s="1603"/>
      <c r="BN237" s="1603"/>
      <c r="BO237" s="1603"/>
      <c r="BP237" s="1603"/>
      <c r="BQ237" s="1603"/>
      <c r="BR237" s="1603"/>
      <c r="BS237" s="1603"/>
      <c r="BT237" s="295"/>
      <c r="BU237" s="295"/>
      <c r="BV237" s="310"/>
      <c r="BW237" s="310"/>
      <c r="BX237" s="291"/>
      <c r="BY237" s="323"/>
      <c r="BZ237" s="279"/>
      <c r="CA237" s="279"/>
      <c r="CB237" s="280"/>
      <c r="CC237" s="280"/>
      <c r="CD237" s="280"/>
      <c r="CE237" s="280"/>
      <c r="CF237" s="280"/>
    </row>
    <row r="238" spans="1:84" s="326" customFormat="1" ht="12.95" hidden="1" customHeight="1" x14ac:dyDescent="0.25">
      <c r="A238" s="332"/>
      <c r="B238" s="295"/>
      <c r="C238" s="314"/>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c r="AI238" s="318"/>
      <c r="AJ238" s="323"/>
      <c r="AK238" s="276"/>
      <c r="AL238" s="312"/>
      <c r="AM238" s="314"/>
      <c r="AN238" s="318"/>
      <c r="AO238" s="318"/>
      <c r="AP238" s="318"/>
      <c r="AQ238" s="318"/>
      <c r="AR238" s="318"/>
      <c r="AS238" s="318"/>
      <c r="AT238" s="318"/>
      <c r="AU238" s="318"/>
      <c r="AV238" s="318"/>
      <c r="AW238" s="318"/>
      <c r="AX238" s="318"/>
      <c r="AY238" s="318"/>
      <c r="AZ238" s="318"/>
      <c r="BA238" s="318"/>
      <c r="BB238" s="318"/>
      <c r="BC238" s="318"/>
      <c r="BD238" s="318"/>
      <c r="BE238" s="318"/>
      <c r="BF238" s="318"/>
      <c r="BG238" s="318"/>
      <c r="BH238" s="318"/>
      <c r="BI238" s="318"/>
      <c r="BJ238" s="318"/>
      <c r="BK238" s="318"/>
      <c r="BL238" s="318"/>
      <c r="BM238" s="318"/>
      <c r="BN238" s="318"/>
      <c r="BO238" s="318"/>
      <c r="BP238" s="318"/>
      <c r="BQ238" s="318"/>
      <c r="BR238" s="318"/>
      <c r="BS238" s="318"/>
      <c r="BT238" s="295"/>
      <c r="BU238" s="295"/>
      <c r="BV238" s="310"/>
      <c r="BW238" s="310"/>
      <c r="BX238" s="291"/>
      <c r="BY238" s="323"/>
      <c r="BZ238" s="279"/>
      <c r="CA238" s="279"/>
      <c r="CB238" s="280"/>
      <c r="CC238" s="280"/>
      <c r="CD238" s="280"/>
      <c r="CE238" s="280"/>
      <c r="CF238" s="280"/>
    </row>
    <row r="239" spans="1:84" s="326" customFormat="1" ht="15" hidden="1" customHeight="1" x14ac:dyDescent="0.25">
      <c r="A239" s="322"/>
      <c r="B239" s="312"/>
      <c r="C239" s="1603" t="s">
        <v>557</v>
      </c>
      <c r="D239" s="1603"/>
      <c r="E239" s="1603"/>
      <c r="F239" s="1603"/>
      <c r="G239" s="1603"/>
      <c r="H239" s="1603"/>
      <c r="I239" s="1603"/>
      <c r="J239" s="1603"/>
      <c r="K239" s="1603"/>
      <c r="L239" s="1603"/>
      <c r="M239" s="1603"/>
      <c r="N239" s="1603"/>
      <c r="O239" s="1603"/>
      <c r="P239" s="1603"/>
      <c r="Q239" s="1603"/>
      <c r="R239" s="1603"/>
      <c r="S239" s="1603"/>
      <c r="T239" s="1603"/>
      <c r="U239" s="1603"/>
      <c r="V239" s="1603"/>
      <c r="W239" s="1603"/>
      <c r="X239" s="1603"/>
      <c r="Y239" s="1603"/>
      <c r="Z239" s="1603"/>
      <c r="AA239" s="1603"/>
      <c r="AB239" s="1603"/>
      <c r="AC239" s="1603"/>
      <c r="AD239" s="1603"/>
      <c r="AE239" s="1603"/>
      <c r="AF239" s="1603"/>
      <c r="AG239" s="1603"/>
      <c r="AH239" s="1603"/>
      <c r="AI239" s="1603"/>
      <c r="AJ239" s="323"/>
      <c r="AK239" s="287"/>
      <c r="AL239" s="312"/>
      <c r="AM239" s="1603" t="s">
        <v>558</v>
      </c>
      <c r="AN239" s="1603"/>
      <c r="AO239" s="1603"/>
      <c r="AP239" s="1603"/>
      <c r="AQ239" s="1603"/>
      <c r="AR239" s="1603"/>
      <c r="AS239" s="1603"/>
      <c r="AT239" s="1603"/>
      <c r="AU239" s="1603"/>
      <c r="AV239" s="1603"/>
      <c r="AW239" s="1603"/>
      <c r="AX239" s="1603"/>
      <c r="AY239" s="1603"/>
      <c r="AZ239" s="1603"/>
      <c r="BA239" s="1603"/>
      <c r="BB239" s="1603"/>
      <c r="BC239" s="1603"/>
      <c r="BD239" s="1603"/>
      <c r="BE239" s="1603"/>
      <c r="BF239" s="1603"/>
      <c r="BG239" s="1603"/>
      <c r="BH239" s="1603"/>
      <c r="BI239" s="1603"/>
      <c r="BJ239" s="1603"/>
      <c r="BK239" s="1603"/>
      <c r="BL239" s="1603"/>
      <c r="BM239" s="1603"/>
      <c r="BN239" s="1603"/>
      <c r="BO239" s="1603"/>
      <c r="BP239" s="1603"/>
      <c r="BQ239" s="1603"/>
      <c r="BR239" s="1603"/>
      <c r="BS239" s="1603"/>
      <c r="BT239" s="295"/>
      <c r="BU239" s="295"/>
      <c r="BV239" s="310"/>
      <c r="BW239" s="310"/>
      <c r="BX239" s="291"/>
      <c r="BY239" s="323"/>
      <c r="BZ239" s="279"/>
      <c r="CA239" s="279"/>
      <c r="CB239" s="280"/>
      <c r="CC239" s="280"/>
      <c r="CD239" s="280"/>
      <c r="CE239" s="280"/>
      <c r="CF239" s="280"/>
    </row>
    <row r="240" spans="1:84" s="326" customFormat="1" ht="2.1" customHeight="1" x14ac:dyDescent="0.25">
      <c r="A240" s="322"/>
      <c r="B240" s="312"/>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c r="AH240" s="318"/>
      <c r="AI240" s="318"/>
      <c r="AJ240" s="323"/>
      <c r="AK240" s="287"/>
      <c r="AL240" s="312"/>
      <c r="AM240" s="318"/>
      <c r="AN240" s="318"/>
      <c r="AO240" s="318"/>
      <c r="AP240" s="318"/>
      <c r="AQ240" s="318"/>
      <c r="AR240" s="318"/>
      <c r="AS240" s="318"/>
      <c r="AT240" s="318"/>
      <c r="AU240" s="318"/>
      <c r="AV240" s="318"/>
      <c r="AW240" s="318"/>
      <c r="AX240" s="318"/>
      <c r="AY240" s="318"/>
      <c r="AZ240" s="318"/>
      <c r="BA240" s="318"/>
      <c r="BB240" s="318"/>
      <c r="BC240" s="318"/>
      <c r="BD240" s="318"/>
      <c r="BE240" s="318"/>
      <c r="BF240" s="318"/>
      <c r="BG240" s="318"/>
      <c r="BH240" s="318"/>
      <c r="BI240" s="318"/>
      <c r="BJ240" s="318"/>
      <c r="BK240" s="318"/>
      <c r="BL240" s="318"/>
      <c r="BM240" s="318"/>
      <c r="BN240" s="318"/>
      <c r="BO240" s="318"/>
      <c r="BP240" s="318"/>
      <c r="BQ240" s="318"/>
      <c r="BR240" s="318"/>
      <c r="BS240" s="318"/>
      <c r="BT240" s="295"/>
      <c r="BU240" s="295"/>
      <c r="BV240" s="310"/>
      <c r="BW240" s="310"/>
      <c r="BX240" s="291"/>
      <c r="BY240" s="323"/>
      <c r="BZ240" s="279"/>
      <c r="CA240" s="279"/>
      <c r="CB240" s="280"/>
      <c r="CC240" s="280"/>
      <c r="CD240" s="280"/>
      <c r="CE240" s="280"/>
      <c r="CF240" s="280"/>
    </row>
    <row r="241" spans="1:84" s="326" customFormat="1" ht="12.95" customHeight="1" x14ac:dyDescent="0.25">
      <c r="A241" s="322"/>
      <c r="B241" s="312"/>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c r="AH241" s="318"/>
      <c r="AI241" s="318"/>
      <c r="AJ241" s="323"/>
      <c r="AK241" s="287"/>
      <c r="AL241" s="312"/>
      <c r="AM241" s="318"/>
      <c r="AN241" s="318"/>
      <c r="AO241" s="318"/>
      <c r="AP241" s="318"/>
      <c r="AQ241" s="318"/>
      <c r="AR241" s="318"/>
      <c r="AS241" s="318"/>
      <c r="AT241" s="318"/>
      <c r="AU241" s="318"/>
      <c r="AV241" s="318"/>
      <c r="AW241" s="318"/>
      <c r="AX241" s="318"/>
      <c r="AY241" s="318"/>
      <c r="AZ241" s="318"/>
      <c r="BA241" s="318"/>
      <c r="BB241" s="318"/>
      <c r="BC241" s="318"/>
      <c r="BD241" s="318"/>
      <c r="BE241" s="318"/>
      <c r="BF241" s="318"/>
      <c r="BG241" s="318"/>
      <c r="BH241" s="318"/>
      <c r="BI241" s="318"/>
      <c r="BJ241" s="318"/>
      <c r="BK241" s="318"/>
      <c r="BL241" s="318"/>
      <c r="BM241" s="318"/>
      <c r="BN241" s="318"/>
      <c r="BO241" s="318"/>
      <c r="BP241" s="318"/>
      <c r="BQ241" s="318"/>
      <c r="BR241" s="318"/>
      <c r="BS241" s="318"/>
      <c r="BT241" s="295"/>
      <c r="BU241" s="295"/>
      <c r="BV241" s="310"/>
      <c r="BW241" s="310"/>
      <c r="BX241" s="291"/>
      <c r="BY241" s="323"/>
      <c r="BZ241" s="279"/>
      <c r="CA241" s="279"/>
      <c r="CB241" s="280"/>
      <c r="CC241" s="280"/>
      <c r="CD241" s="280"/>
      <c r="CE241" s="280"/>
      <c r="CF241" s="280"/>
    </row>
    <row r="242" spans="1:84" s="326" customFormat="1" ht="15" customHeight="1" x14ac:dyDescent="0.25">
      <c r="A242" s="322" t="str">
        <f>subSTT</f>
        <v>2.12</v>
      </c>
      <c r="B242" s="312" t="s">
        <v>345</v>
      </c>
      <c r="C242" s="312" t="s">
        <v>559</v>
      </c>
      <c r="D242" s="318"/>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c r="AH242" s="295"/>
      <c r="AI242" s="295"/>
      <c r="AJ242" s="323"/>
      <c r="AK242" s="287" t="str">
        <f>A242</f>
        <v>2.12</v>
      </c>
      <c r="AL242" s="312" t="s">
        <v>345</v>
      </c>
      <c r="AM242" s="312" t="s">
        <v>560</v>
      </c>
      <c r="AN242" s="318"/>
      <c r="AO242" s="295"/>
      <c r="AP242" s="295"/>
      <c r="AQ242" s="295"/>
      <c r="AR242" s="295"/>
      <c r="AS242" s="295"/>
      <c r="AT242" s="295"/>
      <c r="AU242" s="295"/>
      <c r="AV242" s="295"/>
      <c r="AW242" s="295"/>
      <c r="AX242" s="295"/>
      <c r="AY242" s="295"/>
      <c r="AZ242" s="295"/>
      <c r="BA242" s="295"/>
      <c r="BB242" s="295"/>
      <c r="BC242" s="295"/>
      <c r="BD242" s="295"/>
      <c r="BE242" s="295"/>
      <c r="BF242" s="295"/>
      <c r="BG242" s="295"/>
      <c r="BH242" s="295"/>
      <c r="BI242" s="295"/>
      <c r="BJ242" s="295"/>
      <c r="BK242" s="295"/>
      <c r="BL242" s="295"/>
      <c r="BM242" s="295"/>
      <c r="BN242" s="295"/>
      <c r="BO242" s="295"/>
      <c r="BP242" s="295"/>
      <c r="BQ242" s="295"/>
      <c r="BR242" s="295"/>
      <c r="BS242" s="295"/>
      <c r="BT242" s="295"/>
      <c r="BU242" s="295"/>
      <c r="BV242" s="310"/>
      <c r="BW242" s="310"/>
      <c r="BX242" s="291"/>
      <c r="BY242" s="323"/>
      <c r="BZ242" s="279"/>
      <c r="CA242" s="279"/>
      <c r="CB242" s="280"/>
      <c r="CC242" s="280"/>
      <c r="CD242" s="280"/>
      <c r="CE242" s="280"/>
      <c r="CF242" s="280"/>
    </row>
    <row r="243" spans="1:84" s="326" customFormat="1" ht="12.95" customHeight="1" x14ac:dyDescent="0.25">
      <c r="A243" s="332"/>
      <c r="B243" s="295"/>
      <c r="C243" s="334"/>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c r="AH243" s="318"/>
      <c r="AI243" s="318"/>
      <c r="AJ243" s="323"/>
      <c r="AK243" s="276"/>
      <c r="AL243" s="312"/>
      <c r="AM243" s="334"/>
      <c r="AN243" s="318"/>
      <c r="AO243" s="318"/>
      <c r="AP243" s="318"/>
      <c r="AQ243" s="318"/>
      <c r="AR243" s="318"/>
      <c r="AS243" s="318"/>
      <c r="AT243" s="318"/>
      <c r="AU243" s="318"/>
      <c r="AV243" s="318"/>
      <c r="AW243" s="318"/>
      <c r="AX243" s="318"/>
      <c r="AY243" s="318"/>
      <c r="AZ243" s="318"/>
      <c r="BA243" s="318"/>
      <c r="BB243" s="318"/>
      <c r="BC243" s="318"/>
      <c r="BD243" s="318"/>
      <c r="BE243" s="318"/>
      <c r="BF243" s="318"/>
      <c r="BG243" s="318"/>
      <c r="BH243" s="318"/>
      <c r="BI243" s="318"/>
      <c r="BJ243" s="318"/>
      <c r="BK243" s="318"/>
      <c r="BL243" s="318"/>
      <c r="BM243" s="318"/>
      <c r="BN243" s="318"/>
      <c r="BO243" s="318"/>
      <c r="BP243" s="318"/>
      <c r="BQ243" s="318"/>
      <c r="BR243" s="318"/>
      <c r="BS243" s="318"/>
      <c r="BT243" s="295"/>
      <c r="BU243" s="295"/>
      <c r="BV243" s="310"/>
      <c r="BW243" s="310"/>
      <c r="BX243" s="291"/>
      <c r="BY243" s="323"/>
      <c r="BZ243" s="279"/>
      <c r="CA243" s="279"/>
      <c r="CB243" s="280"/>
      <c r="CC243" s="280"/>
      <c r="CD243" s="280"/>
      <c r="CE243" s="280"/>
      <c r="CF243" s="280"/>
    </row>
    <row r="244" spans="1:84" s="326" customFormat="1" ht="27.95" customHeight="1" x14ac:dyDescent="0.25">
      <c r="A244" s="332"/>
      <c r="B244" s="295"/>
      <c r="C244" s="1604" t="str">
        <f>CONCATENATE("Các khoản nợ phải trả được theo dõi theo kỳ hạn phải trả, đối tượng phải trả, loại nguyên tệ phải trả và các yếu tố khác theo nhu cầu quản lý của ",LoaiCT_V,".")</f>
        <v>Các khoản nợ phải trả được theo dõi theo kỳ hạn phải trả, đối tượng phải trả, loại nguyên tệ phải trả và các yếu tố khác theo nhu cầu quản lý của Công ty.</v>
      </c>
      <c r="D244" s="1603"/>
      <c r="E244" s="1603"/>
      <c r="F244" s="1603"/>
      <c r="G244" s="1603"/>
      <c r="H244" s="1603"/>
      <c r="I244" s="1603"/>
      <c r="J244" s="1603"/>
      <c r="K244" s="1603"/>
      <c r="L244" s="1603"/>
      <c r="M244" s="1603"/>
      <c r="N244" s="1603"/>
      <c r="O244" s="1603"/>
      <c r="P244" s="1603"/>
      <c r="Q244" s="1603"/>
      <c r="R244" s="1603"/>
      <c r="S244" s="1603"/>
      <c r="T244" s="1603"/>
      <c r="U244" s="1603"/>
      <c r="V244" s="1603"/>
      <c r="W244" s="1603"/>
      <c r="X244" s="1603"/>
      <c r="Y244" s="1603"/>
      <c r="Z244" s="1603"/>
      <c r="AA244" s="1603"/>
      <c r="AB244" s="1603"/>
      <c r="AC244" s="1603"/>
      <c r="AD244" s="1603"/>
      <c r="AE244" s="1603"/>
      <c r="AF244" s="1603"/>
      <c r="AG244" s="1603"/>
      <c r="AH244" s="1603"/>
      <c r="AI244" s="1603"/>
      <c r="AJ244" s="323"/>
      <c r="AK244" s="276"/>
      <c r="AL244" s="312"/>
      <c r="AM244" s="1604" t="str">
        <f>CONCATENATE("The payables shall be kept records in details according to period payables, entities payables, types of currency payable and other factors according to requirements for management of the ",LoaiCT_E,".")</f>
        <v>The payables shall be kept records in details according to period payables, entities payables, types of currency payable and other factors according to requirements for management of the Corporation.</v>
      </c>
      <c r="AN244" s="1603"/>
      <c r="AO244" s="1603"/>
      <c r="AP244" s="1603"/>
      <c r="AQ244" s="1603"/>
      <c r="AR244" s="1603"/>
      <c r="AS244" s="1603"/>
      <c r="AT244" s="1603"/>
      <c r="AU244" s="1603"/>
      <c r="AV244" s="1603"/>
      <c r="AW244" s="1603"/>
      <c r="AX244" s="1603"/>
      <c r="AY244" s="1603"/>
      <c r="AZ244" s="1603"/>
      <c r="BA244" s="1603"/>
      <c r="BB244" s="1603"/>
      <c r="BC244" s="1603"/>
      <c r="BD244" s="1603"/>
      <c r="BE244" s="1603"/>
      <c r="BF244" s="1603"/>
      <c r="BG244" s="1603"/>
      <c r="BH244" s="1603"/>
      <c r="BI244" s="1603"/>
      <c r="BJ244" s="1603"/>
      <c r="BK244" s="1603"/>
      <c r="BL244" s="1603"/>
      <c r="BM244" s="1603"/>
      <c r="BN244" s="1603"/>
      <c r="BO244" s="1603"/>
      <c r="BP244" s="1603"/>
      <c r="BQ244" s="1603"/>
      <c r="BR244" s="1603"/>
      <c r="BS244" s="1603"/>
      <c r="BT244" s="295"/>
      <c r="BU244" s="295"/>
      <c r="BV244" s="310"/>
      <c r="BW244" s="310"/>
      <c r="BX244" s="291"/>
      <c r="BY244" s="323"/>
      <c r="BZ244" s="279"/>
      <c r="CA244" s="279"/>
      <c r="CB244" s="280"/>
      <c r="CC244" s="280"/>
      <c r="CD244" s="280"/>
      <c r="CE244" s="280"/>
      <c r="CF244" s="280"/>
    </row>
    <row r="245" spans="1:84" s="326" customFormat="1" ht="2.1" customHeight="1" x14ac:dyDescent="0.25">
      <c r="A245" s="322"/>
      <c r="B245" s="312"/>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c r="AH245" s="318"/>
      <c r="AI245" s="318"/>
      <c r="AJ245" s="323"/>
      <c r="AK245" s="287"/>
      <c r="AL245" s="312"/>
      <c r="AM245" s="318"/>
      <c r="AN245" s="318"/>
      <c r="AO245" s="318"/>
      <c r="AP245" s="318"/>
      <c r="AQ245" s="318"/>
      <c r="AR245" s="318"/>
      <c r="AS245" s="318"/>
      <c r="AT245" s="318"/>
      <c r="AU245" s="318"/>
      <c r="AV245" s="318"/>
      <c r="AW245" s="318"/>
      <c r="AX245" s="318"/>
      <c r="AY245" s="318"/>
      <c r="AZ245" s="318"/>
      <c r="BA245" s="318"/>
      <c r="BB245" s="318"/>
      <c r="BC245" s="318"/>
      <c r="BD245" s="318"/>
      <c r="BE245" s="318"/>
      <c r="BF245" s="318"/>
      <c r="BG245" s="318"/>
      <c r="BH245" s="318"/>
      <c r="BI245" s="318"/>
      <c r="BJ245" s="318"/>
      <c r="BK245" s="318"/>
      <c r="BL245" s="318"/>
      <c r="BM245" s="318"/>
      <c r="BN245" s="318"/>
      <c r="BO245" s="318"/>
      <c r="BP245" s="318"/>
      <c r="BQ245" s="318"/>
      <c r="BR245" s="318"/>
      <c r="BS245" s="318"/>
      <c r="BT245" s="295"/>
      <c r="BU245" s="295"/>
      <c r="BV245" s="310"/>
      <c r="BW245" s="310"/>
      <c r="BX245" s="291"/>
      <c r="BY245" s="323"/>
      <c r="BZ245" s="279"/>
      <c r="CA245" s="279"/>
      <c r="CB245" s="280"/>
      <c r="CC245" s="280"/>
      <c r="CD245" s="280"/>
      <c r="CE245" s="280"/>
      <c r="CF245" s="280"/>
    </row>
    <row r="246" spans="1:84" s="326" customFormat="1" ht="12.95" customHeight="1" x14ac:dyDescent="0.25">
      <c r="A246" s="322"/>
      <c r="B246" s="312"/>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c r="AH246" s="318"/>
      <c r="AI246" s="318"/>
      <c r="AJ246" s="323"/>
      <c r="AK246" s="287"/>
      <c r="AL246" s="312"/>
      <c r="AM246" s="318"/>
      <c r="AN246" s="318"/>
      <c r="AO246" s="318"/>
      <c r="AP246" s="318"/>
      <c r="AQ246" s="318"/>
      <c r="AR246" s="318"/>
      <c r="AS246" s="318"/>
      <c r="AT246" s="318"/>
      <c r="AU246" s="318"/>
      <c r="AV246" s="318"/>
      <c r="AW246" s="318"/>
      <c r="AX246" s="318"/>
      <c r="AY246" s="318"/>
      <c r="AZ246" s="318"/>
      <c r="BA246" s="318"/>
      <c r="BB246" s="318"/>
      <c r="BC246" s="318"/>
      <c r="BD246" s="318"/>
      <c r="BE246" s="318"/>
      <c r="BF246" s="318"/>
      <c r="BG246" s="318"/>
      <c r="BH246" s="318"/>
      <c r="BI246" s="318"/>
      <c r="BJ246" s="318"/>
      <c r="BK246" s="318"/>
      <c r="BL246" s="318"/>
      <c r="BM246" s="318"/>
      <c r="BN246" s="318"/>
      <c r="BO246" s="318"/>
      <c r="BP246" s="318"/>
      <c r="BQ246" s="318"/>
      <c r="BR246" s="318"/>
      <c r="BS246" s="318"/>
      <c r="BT246" s="295"/>
      <c r="BU246" s="295"/>
      <c r="BV246" s="310"/>
      <c r="BW246" s="310"/>
      <c r="BX246" s="291"/>
      <c r="BY246" s="323"/>
      <c r="BZ246" s="279"/>
      <c r="CA246" s="279"/>
      <c r="CB246" s="280"/>
      <c r="CC246" s="280"/>
      <c r="CD246" s="280"/>
      <c r="CE246" s="280"/>
      <c r="CF246" s="280"/>
    </row>
    <row r="247" spans="1:84" s="326" customFormat="1" ht="15" customHeight="1" x14ac:dyDescent="0.25">
      <c r="A247" s="322" t="str">
        <f>subSTT</f>
        <v>2.13</v>
      </c>
      <c r="B247" s="312" t="s">
        <v>345</v>
      </c>
      <c r="C247" s="312" t="s">
        <v>561</v>
      </c>
      <c r="D247" s="318"/>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c r="AI247" s="295"/>
      <c r="AJ247" s="323"/>
      <c r="AK247" s="287" t="str">
        <f>A247</f>
        <v>2.13</v>
      </c>
      <c r="AL247" s="312" t="s">
        <v>345</v>
      </c>
      <c r="AM247" s="312" t="s">
        <v>562</v>
      </c>
      <c r="AN247" s="318"/>
      <c r="AO247" s="295"/>
      <c r="AP247" s="295"/>
      <c r="AQ247" s="295"/>
      <c r="AR247" s="295"/>
      <c r="AS247" s="295"/>
      <c r="AT247" s="295"/>
      <c r="AU247" s="295"/>
      <c r="AV247" s="295"/>
      <c r="AW247" s="295"/>
      <c r="AX247" s="295"/>
      <c r="AY247" s="295"/>
      <c r="AZ247" s="295"/>
      <c r="BA247" s="295"/>
      <c r="BB247" s="295"/>
      <c r="BC247" s="295"/>
      <c r="BD247" s="295"/>
      <c r="BE247" s="295"/>
      <c r="BF247" s="295"/>
      <c r="BG247" s="295"/>
      <c r="BH247" s="295"/>
      <c r="BI247" s="295"/>
      <c r="BJ247" s="295"/>
      <c r="BK247" s="295"/>
      <c r="BL247" s="295"/>
      <c r="BM247" s="295"/>
      <c r="BN247" s="295"/>
      <c r="BO247" s="295"/>
      <c r="BP247" s="295"/>
      <c r="BQ247" s="295"/>
      <c r="BR247" s="295"/>
      <c r="BS247" s="295"/>
      <c r="BT247" s="295"/>
      <c r="BU247" s="295"/>
      <c r="BV247" s="310"/>
      <c r="BW247" s="310"/>
      <c r="BX247" s="291"/>
      <c r="BY247" s="323"/>
      <c r="BZ247" s="279"/>
      <c r="CA247" s="279"/>
      <c r="CB247" s="280"/>
      <c r="CC247" s="280"/>
      <c r="CD247" s="280"/>
      <c r="CE247" s="280"/>
      <c r="CF247" s="280"/>
    </row>
    <row r="248" spans="1:84" s="326" customFormat="1" ht="12.95" customHeight="1" x14ac:dyDescent="0.25">
      <c r="A248" s="332"/>
      <c r="B248" s="295"/>
      <c r="C248" s="334"/>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c r="AH248" s="318"/>
      <c r="AI248" s="318"/>
      <c r="AJ248" s="323"/>
      <c r="AK248" s="276"/>
      <c r="AL248" s="312"/>
      <c r="AM248" s="334"/>
      <c r="AN248" s="318"/>
      <c r="AO248" s="318"/>
      <c r="AP248" s="318"/>
      <c r="AQ248" s="318"/>
      <c r="AR248" s="318"/>
      <c r="AS248" s="318"/>
      <c r="AT248" s="318"/>
      <c r="AU248" s="318"/>
      <c r="AV248" s="318"/>
      <c r="AW248" s="318"/>
      <c r="AX248" s="318"/>
      <c r="AY248" s="318"/>
      <c r="AZ248" s="318"/>
      <c r="BA248" s="318"/>
      <c r="BB248" s="318"/>
      <c r="BC248" s="318"/>
      <c r="BD248" s="318"/>
      <c r="BE248" s="318"/>
      <c r="BF248" s="318"/>
      <c r="BG248" s="318"/>
      <c r="BH248" s="318"/>
      <c r="BI248" s="318"/>
      <c r="BJ248" s="318"/>
      <c r="BK248" s="318"/>
      <c r="BL248" s="318"/>
      <c r="BM248" s="318"/>
      <c r="BN248" s="318"/>
      <c r="BO248" s="318"/>
      <c r="BP248" s="318"/>
      <c r="BQ248" s="318"/>
      <c r="BR248" s="318"/>
      <c r="BS248" s="318"/>
      <c r="BT248" s="295"/>
      <c r="BU248" s="295"/>
      <c r="BV248" s="310"/>
      <c r="BW248" s="310"/>
      <c r="BX248" s="291"/>
      <c r="BY248" s="323"/>
      <c r="BZ248" s="279"/>
      <c r="CA248" s="279"/>
      <c r="CB248" s="280"/>
      <c r="CC248" s="280"/>
      <c r="CD248" s="280"/>
      <c r="CE248" s="280"/>
      <c r="CF248" s="280"/>
    </row>
    <row r="249" spans="1:84" s="326" customFormat="1" ht="27.95" hidden="1" customHeight="1" x14ac:dyDescent="0.25">
      <c r="A249" s="332"/>
      <c r="B249" s="295"/>
      <c r="C249" s="1604" t="s">
        <v>563</v>
      </c>
      <c r="D249" s="1603"/>
      <c r="E249" s="1603"/>
      <c r="F249" s="1603"/>
      <c r="G249" s="1603"/>
      <c r="H249" s="1603"/>
      <c r="I249" s="1603"/>
      <c r="J249" s="1603"/>
      <c r="K249" s="1603"/>
      <c r="L249" s="1603"/>
      <c r="M249" s="1603"/>
      <c r="N249" s="1603"/>
      <c r="O249" s="1603"/>
      <c r="P249" s="1603"/>
      <c r="Q249" s="1603"/>
      <c r="R249" s="1603"/>
      <c r="S249" s="1603"/>
      <c r="T249" s="1603"/>
      <c r="U249" s="1603"/>
      <c r="V249" s="1603"/>
      <c r="W249" s="1603"/>
      <c r="X249" s="1603"/>
      <c r="Y249" s="1603"/>
      <c r="Z249" s="1603"/>
      <c r="AA249" s="1603"/>
      <c r="AB249" s="1603"/>
      <c r="AC249" s="1603"/>
      <c r="AD249" s="1603"/>
      <c r="AE249" s="1603"/>
      <c r="AF249" s="1603"/>
      <c r="AG249" s="1603"/>
      <c r="AH249" s="1603"/>
      <c r="AI249" s="1603"/>
      <c r="AJ249" s="323"/>
      <c r="AK249" s="276"/>
      <c r="AL249" s="312"/>
      <c r="AM249" s="1604" t="s">
        <v>564</v>
      </c>
      <c r="AN249" s="1603"/>
      <c r="AO249" s="1603"/>
      <c r="AP249" s="1603"/>
      <c r="AQ249" s="1603"/>
      <c r="AR249" s="1603"/>
      <c r="AS249" s="1603"/>
      <c r="AT249" s="1603"/>
      <c r="AU249" s="1603"/>
      <c r="AV249" s="1603"/>
      <c r="AW249" s="1603"/>
      <c r="AX249" s="1603"/>
      <c r="AY249" s="1603"/>
      <c r="AZ249" s="1603"/>
      <c r="BA249" s="1603"/>
      <c r="BB249" s="1603"/>
      <c r="BC249" s="1603"/>
      <c r="BD249" s="1603"/>
      <c r="BE249" s="1603"/>
      <c r="BF249" s="1603"/>
      <c r="BG249" s="1603"/>
      <c r="BH249" s="1603"/>
      <c r="BI249" s="1603"/>
      <c r="BJ249" s="1603"/>
      <c r="BK249" s="1603"/>
      <c r="BL249" s="1603"/>
      <c r="BM249" s="1603"/>
      <c r="BN249" s="1603"/>
      <c r="BO249" s="1603"/>
      <c r="BP249" s="1603"/>
      <c r="BQ249" s="1603"/>
      <c r="BR249" s="1603"/>
      <c r="BS249" s="1603"/>
      <c r="BT249" s="295"/>
      <c r="BU249" s="295"/>
      <c r="BV249" s="310"/>
      <c r="BW249" s="310"/>
      <c r="BX249" s="291"/>
      <c r="BY249" s="323"/>
      <c r="BZ249" s="279"/>
      <c r="CA249" s="279"/>
      <c r="CB249" s="280"/>
      <c r="CC249" s="280"/>
      <c r="CD249" s="280"/>
      <c r="CE249" s="280"/>
      <c r="CF249" s="280"/>
    </row>
    <row r="250" spans="1:84" s="326" customFormat="1" ht="12.95" hidden="1" customHeight="1" x14ac:dyDescent="0.25">
      <c r="A250" s="332"/>
      <c r="B250" s="295"/>
      <c r="C250" s="314"/>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c r="AH250" s="318"/>
      <c r="AI250" s="318"/>
      <c r="AJ250" s="323"/>
      <c r="AK250" s="276"/>
      <c r="AL250" s="312"/>
      <c r="AM250" s="314"/>
      <c r="AN250" s="318"/>
      <c r="AO250" s="318"/>
      <c r="AP250" s="318"/>
      <c r="AQ250" s="318"/>
      <c r="AR250" s="318"/>
      <c r="AS250" s="318"/>
      <c r="AT250" s="318"/>
      <c r="AU250" s="318"/>
      <c r="AV250" s="318"/>
      <c r="AW250" s="318"/>
      <c r="AX250" s="318"/>
      <c r="AY250" s="318"/>
      <c r="AZ250" s="318"/>
      <c r="BA250" s="318"/>
      <c r="BB250" s="318"/>
      <c r="BC250" s="318"/>
      <c r="BD250" s="318"/>
      <c r="BE250" s="318"/>
      <c r="BF250" s="318"/>
      <c r="BG250" s="318"/>
      <c r="BH250" s="318"/>
      <c r="BI250" s="318"/>
      <c r="BJ250" s="318"/>
      <c r="BK250" s="318"/>
      <c r="BL250" s="318"/>
      <c r="BM250" s="318"/>
      <c r="BN250" s="318"/>
      <c r="BO250" s="318"/>
      <c r="BP250" s="318"/>
      <c r="BQ250" s="318"/>
      <c r="BR250" s="318"/>
      <c r="BS250" s="318"/>
      <c r="BT250" s="295"/>
      <c r="BU250" s="295"/>
      <c r="BV250" s="310"/>
      <c r="BW250" s="310"/>
      <c r="BX250" s="291"/>
      <c r="BY250" s="323"/>
      <c r="BZ250" s="279"/>
      <c r="CA250" s="279"/>
      <c r="CB250" s="280"/>
      <c r="CC250" s="280"/>
      <c r="CD250" s="280"/>
      <c r="CE250" s="280"/>
      <c r="CF250" s="280"/>
    </row>
    <row r="251" spans="1:84" s="326" customFormat="1" ht="29.1" customHeight="1" x14ac:dyDescent="0.25">
      <c r="A251" s="322"/>
      <c r="B251" s="312"/>
      <c r="C251" s="1603" t="s">
        <v>565</v>
      </c>
      <c r="D251" s="1603"/>
      <c r="E251" s="1603"/>
      <c r="F251" s="1603"/>
      <c r="G251" s="1603"/>
      <c r="H251" s="1603"/>
      <c r="I251" s="1603"/>
      <c r="J251" s="1603"/>
      <c r="K251" s="1603"/>
      <c r="L251" s="1603"/>
      <c r="M251" s="1603"/>
      <c r="N251" s="1603"/>
      <c r="O251" s="1603"/>
      <c r="P251" s="1603"/>
      <c r="Q251" s="1603"/>
      <c r="R251" s="1603"/>
      <c r="S251" s="1603"/>
      <c r="T251" s="1603"/>
      <c r="U251" s="1603"/>
      <c r="V251" s="1603"/>
      <c r="W251" s="1603"/>
      <c r="X251" s="1603"/>
      <c r="Y251" s="1603"/>
      <c r="Z251" s="1603"/>
      <c r="AA251" s="1603"/>
      <c r="AB251" s="1603"/>
      <c r="AC251" s="1603"/>
      <c r="AD251" s="1603"/>
      <c r="AE251" s="1603"/>
      <c r="AF251" s="1603"/>
      <c r="AG251" s="1603"/>
      <c r="AH251" s="1603"/>
      <c r="AI251" s="1603"/>
      <c r="AJ251" s="323"/>
      <c r="AK251" s="287"/>
      <c r="AL251" s="312"/>
      <c r="AM251" s="1603" t="s">
        <v>566</v>
      </c>
      <c r="AN251" s="1603"/>
      <c r="AO251" s="1603"/>
      <c r="AP251" s="1603"/>
      <c r="AQ251" s="1603"/>
      <c r="AR251" s="1603"/>
      <c r="AS251" s="1603"/>
      <c r="AT251" s="1603"/>
      <c r="AU251" s="1603"/>
      <c r="AV251" s="1603"/>
      <c r="AW251" s="1603"/>
      <c r="AX251" s="1603"/>
      <c r="AY251" s="1603"/>
      <c r="AZ251" s="1603"/>
      <c r="BA251" s="1603"/>
      <c r="BB251" s="1603"/>
      <c r="BC251" s="1603"/>
      <c r="BD251" s="1603"/>
      <c r="BE251" s="1603"/>
      <c r="BF251" s="1603"/>
      <c r="BG251" s="1603"/>
      <c r="BH251" s="1603"/>
      <c r="BI251" s="1603"/>
      <c r="BJ251" s="1603"/>
      <c r="BK251" s="1603"/>
      <c r="BL251" s="1603"/>
      <c r="BM251" s="1603"/>
      <c r="BN251" s="1603"/>
      <c r="BO251" s="1603"/>
      <c r="BP251" s="1603"/>
      <c r="BQ251" s="1603"/>
      <c r="BR251" s="1603"/>
      <c r="BS251" s="1603"/>
      <c r="BT251" s="295"/>
      <c r="BU251" s="295"/>
      <c r="BV251" s="310"/>
      <c r="BW251" s="310"/>
      <c r="BX251" s="291"/>
      <c r="BY251" s="323"/>
      <c r="BZ251" s="279"/>
      <c r="CA251" s="279"/>
      <c r="CB251" s="280"/>
      <c r="CC251" s="280"/>
      <c r="CD251" s="280"/>
      <c r="CE251" s="280"/>
      <c r="CF251" s="280"/>
    </row>
    <row r="252" spans="1:84" s="326" customFormat="1" ht="2.1" customHeight="1" x14ac:dyDescent="0.25">
      <c r="A252" s="322"/>
      <c r="B252" s="312"/>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c r="AH252" s="318"/>
      <c r="AI252" s="318"/>
      <c r="AJ252" s="323"/>
      <c r="AK252" s="287"/>
      <c r="AL252" s="312"/>
      <c r="AM252" s="318"/>
      <c r="AN252" s="318"/>
      <c r="AO252" s="318"/>
      <c r="AP252" s="318"/>
      <c r="AQ252" s="318"/>
      <c r="AR252" s="318"/>
      <c r="AS252" s="318"/>
      <c r="AT252" s="318"/>
      <c r="AU252" s="318"/>
      <c r="AV252" s="318"/>
      <c r="AW252" s="318"/>
      <c r="AX252" s="318"/>
      <c r="AY252" s="318"/>
      <c r="AZ252" s="318"/>
      <c r="BA252" s="318"/>
      <c r="BB252" s="318"/>
      <c r="BC252" s="318"/>
      <c r="BD252" s="318"/>
      <c r="BE252" s="318"/>
      <c r="BF252" s="318"/>
      <c r="BG252" s="318"/>
      <c r="BH252" s="318"/>
      <c r="BI252" s="318"/>
      <c r="BJ252" s="318"/>
      <c r="BK252" s="318"/>
      <c r="BL252" s="318"/>
      <c r="BM252" s="318"/>
      <c r="BN252" s="318"/>
      <c r="BO252" s="318"/>
      <c r="BP252" s="318"/>
      <c r="BQ252" s="318"/>
      <c r="BR252" s="318"/>
      <c r="BS252" s="318"/>
      <c r="BT252" s="295"/>
      <c r="BU252" s="295"/>
      <c r="BV252" s="310"/>
      <c r="BW252" s="310"/>
      <c r="BX252" s="291"/>
      <c r="BY252" s="323"/>
      <c r="BZ252" s="279"/>
      <c r="CA252" s="279"/>
      <c r="CB252" s="280"/>
      <c r="CC252" s="280"/>
      <c r="CD252" s="280"/>
      <c r="CE252" s="280"/>
      <c r="CF252" s="280"/>
    </row>
    <row r="253" spans="1:84" s="326" customFormat="1" ht="12.95" customHeight="1" x14ac:dyDescent="0.25">
      <c r="A253" s="322"/>
      <c r="B253" s="312"/>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c r="AH253" s="318"/>
      <c r="AI253" s="318"/>
      <c r="AJ253" s="323"/>
      <c r="AK253" s="287"/>
      <c r="AL253" s="312"/>
      <c r="AM253" s="318"/>
      <c r="AN253" s="318"/>
      <c r="AO253" s="318"/>
      <c r="AP253" s="318"/>
      <c r="AQ253" s="318"/>
      <c r="AR253" s="318"/>
      <c r="AS253" s="318"/>
      <c r="AT253" s="318"/>
      <c r="AU253" s="318"/>
      <c r="AV253" s="318"/>
      <c r="AW253" s="318"/>
      <c r="AX253" s="318"/>
      <c r="AY253" s="318"/>
      <c r="AZ253" s="318"/>
      <c r="BA253" s="318"/>
      <c r="BB253" s="318"/>
      <c r="BC253" s="318"/>
      <c r="BD253" s="318"/>
      <c r="BE253" s="318"/>
      <c r="BF253" s="318"/>
      <c r="BG253" s="318"/>
      <c r="BH253" s="318"/>
      <c r="BI253" s="318"/>
      <c r="BJ253" s="318"/>
      <c r="BK253" s="318"/>
      <c r="BL253" s="318"/>
      <c r="BM253" s="318"/>
      <c r="BN253" s="318"/>
      <c r="BO253" s="318"/>
      <c r="BP253" s="318"/>
      <c r="BQ253" s="318"/>
      <c r="BR253" s="318"/>
      <c r="BS253" s="318"/>
      <c r="BT253" s="295"/>
      <c r="BU253" s="295"/>
      <c r="BV253" s="310"/>
      <c r="BW253" s="310"/>
      <c r="BX253" s="291"/>
      <c r="BY253" s="323"/>
      <c r="BZ253" s="279"/>
      <c r="CA253" s="279"/>
      <c r="CB253" s="280"/>
      <c r="CC253" s="280"/>
      <c r="CD253" s="280"/>
      <c r="CE253" s="280"/>
      <c r="CF253" s="280"/>
    </row>
    <row r="254" spans="1:84" s="326" customFormat="1" ht="15" customHeight="1" x14ac:dyDescent="0.25">
      <c r="A254" s="322" t="str">
        <f>subSTT</f>
        <v>2.14</v>
      </c>
      <c r="B254" s="312" t="s">
        <v>345</v>
      </c>
      <c r="C254" s="312" t="s">
        <v>567</v>
      </c>
      <c r="D254" s="318"/>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c r="AI254" s="295"/>
      <c r="AJ254" s="323"/>
      <c r="AK254" s="287" t="str">
        <f>A254</f>
        <v>2.14</v>
      </c>
      <c r="AL254" s="312" t="s">
        <v>345</v>
      </c>
      <c r="AM254" s="312" t="s">
        <v>568</v>
      </c>
      <c r="AN254" s="318"/>
      <c r="AO254" s="295"/>
      <c r="AP254" s="295"/>
      <c r="AQ254" s="295"/>
      <c r="AR254" s="295"/>
      <c r="AS254" s="295"/>
      <c r="AT254" s="295"/>
      <c r="AU254" s="295"/>
      <c r="AV254" s="295"/>
      <c r="AW254" s="295"/>
      <c r="AX254" s="295"/>
      <c r="AY254" s="295"/>
      <c r="AZ254" s="295"/>
      <c r="BA254" s="295"/>
      <c r="BB254" s="295"/>
      <c r="BC254" s="295"/>
      <c r="BD254" s="295"/>
      <c r="BE254" s="295"/>
      <c r="BF254" s="295"/>
      <c r="BG254" s="295"/>
      <c r="BH254" s="295"/>
      <c r="BI254" s="295"/>
      <c r="BJ254" s="295"/>
      <c r="BK254" s="295"/>
      <c r="BL254" s="295"/>
      <c r="BM254" s="295"/>
      <c r="BN254" s="295"/>
      <c r="BO254" s="295"/>
      <c r="BP254" s="295"/>
      <c r="BQ254" s="295"/>
      <c r="BR254" s="295"/>
      <c r="BS254" s="295"/>
      <c r="BT254" s="295"/>
      <c r="BU254" s="295"/>
      <c r="BV254" s="310"/>
      <c r="BW254" s="310"/>
      <c r="BX254" s="291"/>
      <c r="BY254" s="323"/>
      <c r="BZ254" s="279"/>
      <c r="CA254" s="279"/>
      <c r="CB254" s="280"/>
      <c r="CC254" s="280"/>
      <c r="CD254" s="280"/>
      <c r="CE254" s="280"/>
      <c r="CF254" s="280"/>
    </row>
    <row r="255" spans="1:84" s="326" customFormat="1" ht="12.95" customHeight="1" x14ac:dyDescent="0.25">
      <c r="A255" s="332"/>
      <c r="B255" s="295"/>
      <c r="C255" s="334"/>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c r="AI255" s="318"/>
      <c r="AJ255" s="323"/>
      <c r="AK255" s="276"/>
      <c r="AL255" s="312"/>
      <c r="AM255" s="334"/>
      <c r="AN255" s="318"/>
      <c r="AO255" s="318"/>
      <c r="AP255" s="318"/>
      <c r="AQ255" s="318"/>
      <c r="AR255" s="318"/>
      <c r="AS255" s="318"/>
      <c r="AT255" s="318"/>
      <c r="AU255" s="318"/>
      <c r="AV255" s="318"/>
      <c r="AW255" s="318"/>
      <c r="AX255" s="318"/>
      <c r="AY255" s="318"/>
      <c r="AZ255" s="318"/>
      <c r="BA255" s="318"/>
      <c r="BB255" s="318"/>
      <c r="BC255" s="318"/>
      <c r="BD255" s="318"/>
      <c r="BE255" s="318"/>
      <c r="BF255" s="318"/>
      <c r="BG255" s="318"/>
      <c r="BH255" s="318"/>
      <c r="BI255" s="318"/>
      <c r="BJ255" s="318"/>
      <c r="BK255" s="318"/>
      <c r="BL255" s="318"/>
      <c r="BM255" s="318"/>
      <c r="BN255" s="318"/>
      <c r="BO255" s="318"/>
      <c r="BP255" s="318"/>
      <c r="BQ255" s="318"/>
      <c r="BR255" s="318"/>
      <c r="BS255" s="318"/>
      <c r="BT255" s="295"/>
      <c r="BU255" s="295"/>
      <c r="BV255" s="310"/>
      <c r="BW255" s="310"/>
      <c r="BX255" s="291"/>
      <c r="BY255" s="323"/>
      <c r="BZ255" s="279"/>
      <c r="CA255" s="279"/>
      <c r="CB255" s="280"/>
      <c r="CC255" s="280"/>
      <c r="CD255" s="280"/>
      <c r="CE255" s="280"/>
      <c r="CF255" s="280"/>
    </row>
    <row r="256" spans="1:84" s="326" customFormat="1" ht="68.25" customHeight="1" x14ac:dyDescent="0.25">
      <c r="A256" s="332"/>
      <c r="B256" s="295"/>
      <c r="C256" s="1604" t="s">
        <v>569</v>
      </c>
      <c r="D256" s="1603"/>
      <c r="E256" s="1603"/>
      <c r="F256" s="1603"/>
      <c r="G256" s="1603"/>
      <c r="H256" s="1603"/>
      <c r="I256" s="1603"/>
      <c r="J256" s="1603"/>
      <c r="K256" s="1603"/>
      <c r="L256" s="1603"/>
      <c r="M256" s="1603"/>
      <c r="N256" s="1603"/>
      <c r="O256" s="1603"/>
      <c r="P256" s="1603"/>
      <c r="Q256" s="1603"/>
      <c r="R256" s="1603"/>
      <c r="S256" s="1603"/>
      <c r="T256" s="1603"/>
      <c r="U256" s="1603"/>
      <c r="V256" s="1603"/>
      <c r="W256" s="1603"/>
      <c r="X256" s="1603"/>
      <c r="Y256" s="1603"/>
      <c r="Z256" s="1603"/>
      <c r="AA256" s="1603"/>
      <c r="AB256" s="1603"/>
      <c r="AC256" s="1603"/>
      <c r="AD256" s="1603"/>
      <c r="AE256" s="1603"/>
      <c r="AF256" s="1603"/>
      <c r="AG256" s="1603"/>
      <c r="AH256" s="1603"/>
      <c r="AI256" s="1603"/>
      <c r="AJ256" s="323"/>
      <c r="AK256" s="276"/>
      <c r="AL256" s="312"/>
      <c r="AM256" s="1604" t="s">
        <v>570</v>
      </c>
      <c r="AN256" s="1603"/>
      <c r="AO256" s="1603"/>
      <c r="AP256" s="1603"/>
      <c r="AQ256" s="1603"/>
      <c r="AR256" s="1603"/>
      <c r="AS256" s="1603"/>
      <c r="AT256" s="1603"/>
      <c r="AU256" s="1603"/>
      <c r="AV256" s="1603"/>
      <c r="AW256" s="1603"/>
      <c r="AX256" s="1603"/>
      <c r="AY256" s="1603"/>
      <c r="AZ256" s="1603"/>
      <c r="BA256" s="1603"/>
      <c r="BB256" s="1603"/>
      <c r="BC256" s="1603"/>
      <c r="BD256" s="1603"/>
      <c r="BE256" s="1603"/>
      <c r="BF256" s="1603"/>
      <c r="BG256" s="1603"/>
      <c r="BH256" s="1603"/>
      <c r="BI256" s="1603"/>
      <c r="BJ256" s="1603"/>
      <c r="BK256" s="1603"/>
      <c r="BL256" s="1603"/>
      <c r="BM256" s="1603"/>
      <c r="BN256" s="1603"/>
      <c r="BO256" s="1603"/>
      <c r="BP256" s="1603"/>
      <c r="BQ256" s="1603"/>
      <c r="BR256" s="1603"/>
      <c r="BS256" s="1603"/>
      <c r="BT256" s="295"/>
      <c r="BU256" s="295"/>
      <c r="BV256" s="310"/>
      <c r="BW256" s="310"/>
      <c r="BX256" s="291"/>
      <c r="BY256" s="323"/>
      <c r="BZ256" s="279"/>
      <c r="CA256" s="279"/>
      <c r="CB256" s="280"/>
      <c r="CC256" s="280"/>
      <c r="CD256" s="280"/>
      <c r="CE256" s="280"/>
      <c r="CF256" s="280"/>
    </row>
    <row r="257" spans="1:84" s="326" customFormat="1" ht="12.95" hidden="1" customHeight="1" x14ac:dyDescent="0.25">
      <c r="A257" s="332"/>
      <c r="B257" s="295"/>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c r="AI257" s="318"/>
      <c r="AJ257" s="323"/>
      <c r="AK257" s="276"/>
      <c r="AL257" s="312"/>
      <c r="AM257" s="318"/>
      <c r="AN257" s="318"/>
      <c r="AO257" s="318"/>
      <c r="AP257" s="318"/>
      <c r="AQ257" s="318"/>
      <c r="AR257" s="318"/>
      <c r="AS257" s="318"/>
      <c r="AT257" s="318"/>
      <c r="AU257" s="318"/>
      <c r="AV257" s="318"/>
      <c r="AW257" s="318"/>
      <c r="AX257" s="318"/>
      <c r="AY257" s="318"/>
      <c r="AZ257" s="318"/>
      <c r="BA257" s="318"/>
      <c r="BB257" s="318"/>
      <c r="BC257" s="318"/>
      <c r="BD257" s="318"/>
      <c r="BE257" s="318"/>
      <c r="BF257" s="318"/>
      <c r="BG257" s="318"/>
      <c r="BH257" s="318"/>
      <c r="BI257" s="318"/>
      <c r="BJ257" s="318"/>
      <c r="BK257" s="318"/>
      <c r="BL257" s="318"/>
      <c r="BM257" s="318"/>
      <c r="BN257" s="318"/>
      <c r="BO257" s="318"/>
      <c r="BP257" s="318"/>
      <c r="BQ257" s="318"/>
      <c r="BR257" s="318"/>
      <c r="BS257" s="318"/>
      <c r="BT257" s="295"/>
      <c r="BU257" s="295"/>
      <c r="BV257" s="310"/>
      <c r="BW257" s="310"/>
      <c r="BX257" s="291"/>
      <c r="BY257" s="323"/>
      <c r="BZ257" s="279"/>
      <c r="CA257" s="279"/>
      <c r="CB257" s="280"/>
      <c r="CC257" s="280"/>
      <c r="CD257" s="280"/>
      <c r="CE257" s="280"/>
      <c r="CF257" s="280"/>
    </row>
    <row r="258" spans="1:84" s="326" customFormat="1" ht="70.5" hidden="1" customHeight="1" x14ac:dyDescent="0.25">
      <c r="A258" s="332"/>
      <c r="B258" s="295"/>
      <c r="C258" s="1603" t="s">
        <v>571</v>
      </c>
      <c r="D258" s="1603"/>
      <c r="E258" s="1603"/>
      <c r="F258" s="1603"/>
      <c r="G258" s="1603"/>
      <c r="H258" s="1603"/>
      <c r="I258" s="1603"/>
      <c r="J258" s="1603"/>
      <c r="K258" s="1603"/>
      <c r="L258" s="1603"/>
      <c r="M258" s="1603"/>
      <c r="N258" s="1603"/>
      <c r="O258" s="1603"/>
      <c r="P258" s="1603"/>
      <c r="Q258" s="1603"/>
      <c r="R258" s="1603"/>
      <c r="S258" s="1603"/>
      <c r="T258" s="1603"/>
      <c r="U258" s="1603"/>
      <c r="V258" s="1603"/>
      <c r="W258" s="1603"/>
      <c r="X258" s="1603"/>
      <c r="Y258" s="1603"/>
      <c r="Z258" s="1603"/>
      <c r="AA258" s="1603"/>
      <c r="AB258" s="1603"/>
      <c r="AC258" s="1603"/>
      <c r="AD258" s="1603"/>
      <c r="AE258" s="1603"/>
      <c r="AF258" s="1603"/>
      <c r="AG258" s="1603"/>
      <c r="AH258" s="1603"/>
      <c r="AI258" s="1603"/>
      <c r="AJ258" s="323"/>
      <c r="AK258" s="276"/>
      <c r="AL258" s="312"/>
      <c r="AM258" s="1603" t="s">
        <v>572</v>
      </c>
      <c r="AN258" s="1603"/>
      <c r="AO258" s="1603"/>
      <c r="AP258" s="1603"/>
      <c r="AQ258" s="1603"/>
      <c r="AR258" s="1603"/>
      <c r="AS258" s="1603"/>
      <c r="AT258" s="1603"/>
      <c r="AU258" s="1603"/>
      <c r="AV258" s="1603"/>
      <c r="AW258" s="1603"/>
      <c r="AX258" s="1603"/>
      <c r="AY258" s="1603"/>
      <c r="AZ258" s="1603"/>
      <c r="BA258" s="1603"/>
      <c r="BB258" s="1603"/>
      <c r="BC258" s="1603"/>
      <c r="BD258" s="1603"/>
      <c r="BE258" s="1603"/>
      <c r="BF258" s="1603"/>
      <c r="BG258" s="1603"/>
      <c r="BH258" s="1603"/>
      <c r="BI258" s="1603"/>
      <c r="BJ258" s="1603"/>
      <c r="BK258" s="1603"/>
      <c r="BL258" s="1603"/>
      <c r="BM258" s="1603"/>
      <c r="BN258" s="1603"/>
      <c r="BO258" s="1603"/>
      <c r="BP258" s="1603"/>
      <c r="BQ258" s="1603"/>
      <c r="BR258" s="1603"/>
      <c r="BS258" s="1603"/>
      <c r="BT258" s="295"/>
      <c r="BU258" s="295"/>
      <c r="BV258" s="310"/>
      <c r="BW258" s="310"/>
      <c r="BX258" s="291"/>
      <c r="BY258" s="323"/>
      <c r="BZ258" s="279"/>
      <c r="CA258" s="279"/>
      <c r="CB258" s="280"/>
      <c r="CC258" s="280"/>
      <c r="CD258" s="280"/>
      <c r="CE258" s="280"/>
      <c r="CF258" s="280"/>
    </row>
    <row r="259" spans="1:84" s="326" customFormat="1" ht="2.1" hidden="1" customHeight="1" x14ac:dyDescent="0.25">
      <c r="A259" s="332"/>
      <c r="B259" s="295"/>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c r="AI259" s="318"/>
      <c r="AJ259" s="323"/>
      <c r="AK259" s="276"/>
      <c r="AL259" s="312"/>
      <c r="AM259" s="318"/>
      <c r="AN259" s="318"/>
      <c r="AO259" s="318"/>
      <c r="AP259" s="318"/>
      <c r="AQ259" s="318"/>
      <c r="AR259" s="318"/>
      <c r="AS259" s="318"/>
      <c r="AT259" s="318"/>
      <c r="AU259" s="318"/>
      <c r="AV259" s="318"/>
      <c r="AW259" s="318"/>
      <c r="AX259" s="318"/>
      <c r="AY259" s="318"/>
      <c r="AZ259" s="318"/>
      <c r="BA259" s="318"/>
      <c r="BB259" s="318"/>
      <c r="BC259" s="318"/>
      <c r="BD259" s="318"/>
      <c r="BE259" s="318"/>
      <c r="BF259" s="318"/>
      <c r="BG259" s="318"/>
      <c r="BH259" s="318"/>
      <c r="BI259" s="318"/>
      <c r="BJ259" s="318"/>
      <c r="BK259" s="318"/>
      <c r="BL259" s="318"/>
      <c r="BM259" s="318"/>
      <c r="BN259" s="318"/>
      <c r="BO259" s="318"/>
      <c r="BP259" s="318"/>
      <c r="BQ259" s="318"/>
      <c r="BR259" s="318"/>
      <c r="BS259" s="318"/>
      <c r="BT259" s="295"/>
      <c r="BU259" s="295"/>
      <c r="BV259" s="310"/>
      <c r="BW259" s="310"/>
      <c r="BX259" s="291"/>
      <c r="BY259" s="323"/>
      <c r="BZ259" s="279"/>
      <c r="CA259" s="279"/>
      <c r="CB259" s="280"/>
      <c r="CC259" s="280"/>
      <c r="CD259" s="280"/>
      <c r="CE259" s="280"/>
      <c r="CF259" s="280"/>
    </row>
    <row r="260" spans="1:84" s="326" customFormat="1" ht="12.95" customHeight="1" x14ac:dyDescent="0.25">
      <c r="A260" s="332"/>
      <c r="B260" s="295"/>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c r="AI260" s="318"/>
      <c r="AJ260" s="323"/>
      <c r="AK260" s="276"/>
      <c r="AL260" s="312"/>
      <c r="AM260" s="318"/>
      <c r="AN260" s="318"/>
      <c r="AO260" s="318"/>
      <c r="AP260" s="318"/>
      <c r="AQ260" s="318"/>
      <c r="AR260" s="318"/>
      <c r="AS260" s="318"/>
      <c r="AT260" s="318"/>
      <c r="AU260" s="318"/>
      <c r="AV260" s="318"/>
      <c r="AW260" s="318"/>
      <c r="AX260" s="318"/>
      <c r="AY260" s="318"/>
      <c r="AZ260" s="318"/>
      <c r="BA260" s="318"/>
      <c r="BB260" s="318"/>
      <c r="BC260" s="318"/>
      <c r="BD260" s="318"/>
      <c r="BE260" s="318"/>
      <c r="BF260" s="318"/>
      <c r="BG260" s="318"/>
      <c r="BH260" s="318"/>
      <c r="BI260" s="318"/>
      <c r="BJ260" s="318"/>
      <c r="BK260" s="318"/>
      <c r="BL260" s="318"/>
      <c r="BM260" s="318"/>
      <c r="BN260" s="318"/>
      <c r="BO260" s="318"/>
      <c r="BP260" s="318"/>
      <c r="BQ260" s="318"/>
      <c r="BR260" s="318"/>
      <c r="BS260" s="318"/>
      <c r="BT260" s="295"/>
      <c r="BU260" s="295"/>
      <c r="BV260" s="310"/>
      <c r="BW260" s="310"/>
      <c r="BX260" s="291"/>
      <c r="BY260" s="323"/>
      <c r="BZ260" s="279"/>
      <c r="CA260" s="279"/>
      <c r="CB260" s="280"/>
      <c r="CC260" s="280"/>
      <c r="CD260" s="280"/>
      <c r="CE260" s="280"/>
      <c r="CF260" s="280"/>
    </row>
    <row r="261" spans="1:84" s="326" customFormat="1" ht="15" customHeight="1" x14ac:dyDescent="0.25">
      <c r="A261" s="322" t="str">
        <f>subSTT</f>
        <v>2.15</v>
      </c>
      <c r="B261" s="312" t="s">
        <v>345</v>
      </c>
      <c r="C261" s="312" t="s">
        <v>573</v>
      </c>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c r="AH261" s="318"/>
      <c r="AI261" s="318"/>
      <c r="AJ261" s="323"/>
      <c r="AK261" s="287" t="str">
        <f>A261</f>
        <v>2.15</v>
      </c>
      <c r="AL261" s="312" t="s">
        <v>345</v>
      </c>
      <c r="AM261" s="312" t="s">
        <v>574</v>
      </c>
      <c r="AN261" s="318"/>
      <c r="AO261" s="318"/>
      <c r="AP261" s="318"/>
      <c r="AQ261" s="318"/>
      <c r="AR261" s="318"/>
      <c r="AS261" s="318"/>
      <c r="AT261" s="318"/>
      <c r="AU261" s="318"/>
      <c r="AV261" s="318"/>
      <c r="AW261" s="318"/>
      <c r="AX261" s="318"/>
      <c r="AY261" s="318"/>
      <c r="AZ261" s="318"/>
      <c r="BA261" s="318"/>
      <c r="BB261" s="318"/>
      <c r="BC261" s="318"/>
      <c r="BD261" s="318"/>
      <c r="BE261" s="318"/>
      <c r="BF261" s="318"/>
      <c r="BG261" s="318"/>
      <c r="BH261" s="318"/>
      <c r="BI261" s="318"/>
      <c r="BJ261" s="318"/>
      <c r="BK261" s="318"/>
      <c r="BL261" s="318"/>
      <c r="BM261" s="318"/>
      <c r="BN261" s="318"/>
      <c r="BO261" s="318"/>
      <c r="BP261" s="318"/>
      <c r="BQ261" s="318"/>
      <c r="BR261" s="318"/>
      <c r="BS261" s="318"/>
      <c r="BT261" s="295"/>
      <c r="BU261" s="295"/>
      <c r="BV261" s="310"/>
      <c r="BW261" s="310"/>
      <c r="BX261" s="291"/>
      <c r="BY261" s="323"/>
      <c r="BZ261" s="279"/>
      <c r="CA261" s="279"/>
      <c r="CB261" s="280"/>
      <c r="CC261" s="280"/>
      <c r="CD261" s="280"/>
      <c r="CE261" s="280"/>
      <c r="CF261" s="280"/>
    </row>
    <row r="262" spans="1:84" s="326" customFormat="1" ht="12.95" customHeight="1" x14ac:dyDescent="0.25">
      <c r="A262" s="322"/>
      <c r="B262" s="312"/>
      <c r="C262" s="324"/>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c r="AH262" s="318"/>
      <c r="AI262" s="318"/>
      <c r="AJ262" s="323"/>
      <c r="AK262" s="287"/>
      <c r="AL262" s="312"/>
      <c r="AM262" s="324" t="s">
        <v>408</v>
      </c>
      <c r="AN262" s="318"/>
      <c r="AO262" s="318"/>
      <c r="AP262" s="318"/>
      <c r="AQ262" s="318"/>
      <c r="AR262" s="318"/>
      <c r="AS262" s="318"/>
      <c r="AT262" s="318"/>
      <c r="AU262" s="318"/>
      <c r="AV262" s="318"/>
      <c r="AW262" s="318"/>
      <c r="AX262" s="318"/>
      <c r="AY262" s="318"/>
      <c r="AZ262" s="318"/>
      <c r="BA262" s="318"/>
      <c r="BB262" s="318"/>
      <c r="BC262" s="318"/>
      <c r="BD262" s="318"/>
      <c r="BE262" s="318"/>
      <c r="BF262" s="318"/>
      <c r="BG262" s="318"/>
      <c r="BH262" s="318"/>
      <c r="BI262" s="318"/>
      <c r="BJ262" s="318"/>
      <c r="BK262" s="318"/>
      <c r="BL262" s="318"/>
      <c r="BM262" s="318"/>
      <c r="BN262" s="318"/>
      <c r="BO262" s="318"/>
      <c r="BP262" s="318"/>
      <c r="BQ262" s="318"/>
      <c r="BR262" s="318"/>
      <c r="BS262" s="318"/>
      <c r="BT262" s="295"/>
      <c r="BU262" s="295"/>
      <c r="BV262" s="310"/>
      <c r="BW262" s="310"/>
      <c r="BX262" s="291"/>
      <c r="BY262" s="323"/>
      <c r="BZ262" s="279"/>
      <c r="CA262" s="279"/>
      <c r="CB262" s="280"/>
      <c r="CC262" s="280"/>
      <c r="CD262" s="280"/>
      <c r="CE262" s="280"/>
      <c r="CF262" s="280"/>
    </row>
    <row r="263" spans="1:84" s="326" customFormat="1" ht="29.1" customHeight="1" x14ac:dyDescent="0.25">
      <c r="A263" s="322"/>
      <c r="B263" s="312"/>
      <c r="C263" s="1603" t="s">
        <v>575</v>
      </c>
      <c r="D263" s="1603"/>
      <c r="E263" s="1603"/>
      <c r="F263" s="1603"/>
      <c r="G263" s="1603"/>
      <c r="H263" s="1603"/>
      <c r="I263" s="1603"/>
      <c r="J263" s="1603"/>
      <c r="K263" s="1603"/>
      <c r="L263" s="1603"/>
      <c r="M263" s="1603"/>
      <c r="N263" s="1603"/>
      <c r="O263" s="1603"/>
      <c r="P263" s="1603"/>
      <c r="Q263" s="1603"/>
      <c r="R263" s="1603"/>
      <c r="S263" s="1603"/>
      <c r="T263" s="1603"/>
      <c r="U263" s="1603"/>
      <c r="V263" s="1603"/>
      <c r="W263" s="1603"/>
      <c r="X263" s="1603"/>
      <c r="Y263" s="1603"/>
      <c r="Z263" s="1603"/>
      <c r="AA263" s="1603"/>
      <c r="AB263" s="1603"/>
      <c r="AC263" s="1603"/>
      <c r="AD263" s="1603"/>
      <c r="AE263" s="1603"/>
      <c r="AF263" s="1603"/>
      <c r="AG263" s="1603"/>
      <c r="AH263" s="1603"/>
      <c r="AI263" s="1603"/>
      <c r="AJ263" s="323"/>
      <c r="AK263" s="287"/>
      <c r="AL263" s="312"/>
      <c r="AM263" s="1603" t="s">
        <v>576</v>
      </c>
      <c r="AN263" s="1603"/>
      <c r="AO263" s="1603"/>
      <c r="AP263" s="1603"/>
      <c r="AQ263" s="1603"/>
      <c r="AR263" s="1603"/>
      <c r="AS263" s="1603"/>
      <c r="AT263" s="1603"/>
      <c r="AU263" s="1603"/>
      <c r="AV263" s="1603"/>
      <c r="AW263" s="1603"/>
      <c r="AX263" s="1603"/>
      <c r="AY263" s="1603"/>
      <c r="AZ263" s="1603"/>
      <c r="BA263" s="1603"/>
      <c r="BB263" s="1603"/>
      <c r="BC263" s="1603"/>
      <c r="BD263" s="1603"/>
      <c r="BE263" s="1603"/>
      <c r="BF263" s="1603"/>
      <c r="BG263" s="1603"/>
      <c r="BH263" s="1603"/>
      <c r="BI263" s="1603"/>
      <c r="BJ263" s="1603"/>
      <c r="BK263" s="1603"/>
      <c r="BL263" s="1603"/>
      <c r="BM263" s="1603"/>
      <c r="BN263" s="1603"/>
      <c r="BO263" s="1603"/>
      <c r="BP263" s="1603"/>
      <c r="BQ263" s="1603"/>
      <c r="BR263" s="1603"/>
      <c r="BS263" s="1603"/>
      <c r="BT263" s="295"/>
      <c r="BU263" s="295"/>
      <c r="BV263" s="310"/>
      <c r="BW263" s="310"/>
      <c r="BX263" s="291"/>
      <c r="BY263" s="323"/>
      <c r="BZ263" s="279"/>
      <c r="CA263" s="279"/>
      <c r="CB263" s="280"/>
      <c r="CC263" s="280"/>
      <c r="CD263" s="280"/>
      <c r="CE263" s="280"/>
      <c r="CF263" s="280"/>
    </row>
    <row r="264" spans="1:84" s="326" customFormat="1" ht="12.95" customHeight="1" x14ac:dyDescent="0.25">
      <c r="A264" s="322"/>
      <c r="B264" s="312"/>
      <c r="C264" s="324"/>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c r="AH264" s="318"/>
      <c r="AI264" s="318"/>
      <c r="AJ264" s="323"/>
      <c r="AK264" s="287"/>
      <c r="AL264" s="312"/>
      <c r="AM264" s="324"/>
      <c r="AN264" s="318"/>
      <c r="AO264" s="318"/>
      <c r="AP264" s="318"/>
      <c r="AQ264" s="318"/>
      <c r="AR264" s="318"/>
      <c r="AS264" s="318"/>
      <c r="AT264" s="318"/>
      <c r="AU264" s="318"/>
      <c r="AV264" s="318"/>
      <c r="AW264" s="318"/>
      <c r="AX264" s="318"/>
      <c r="AY264" s="318"/>
      <c r="AZ264" s="318"/>
      <c r="BA264" s="318"/>
      <c r="BB264" s="318"/>
      <c r="BC264" s="318"/>
      <c r="BD264" s="318"/>
      <c r="BE264" s="318"/>
      <c r="BF264" s="318"/>
      <c r="BG264" s="318"/>
      <c r="BH264" s="318"/>
      <c r="BI264" s="318"/>
      <c r="BJ264" s="318"/>
      <c r="BK264" s="318"/>
      <c r="BL264" s="318"/>
      <c r="BM264" s="318"/>
      <c r="BN264" s="318"/>
      <c r="BO264" s="318"/>
      <c r="BP264" s="318"/>
      <c r="BQ264" s="318"/>
      <c r="BR264" s="318"/>
      <c r="BS264" s="318"/>
      <c r="BT264" s="295"/>
      <c r="BU264" s="295"/>
      <c r="BV264" s="310"/>
      <c r="BW264" s="310"/>
      <c r="BX264" s="291"/>
      <c r="BY264" s="323"/>
      <c r="BZ264" s="279"/>
      <c r="CA264" s="279"/>
      <c r="CB264" s="280"/>
      <c r="CC264" s="280"/>
      <c r="CD264" s="280"/>
      <c r="CE264" s="280"/>
      <c r="CF264" s="280"/>
    </row>
    <row r="265" spans="1:84" s="326" customFormat="1" ht="42" customHeight="1" x14ac:dyDescent="0.25">
      <c r="A265" s="322"/>
      <c r="B265" s="312"/>
      <c r="C265" s="1603" t="s">
        <v>577</v>
      </c>
      <c r="D265" s="1603"/>
      <c r="E265" s="1603"/>
      <c r="F265" s="1603"/>
      <c r="G265" s="1603"/>
      <c r="H265" s="1603"/>
      <c r="I265" s="1603"/>
      <c r="J265" s="1603"/>
      <c r="K265" s="1603"/>
      <c r="L265" s="1603"/>
      <c r="M265" s="1603"/>
      <c r="N265" s="1603"/>
      <c r="O265" s="1603"/>
      <c r="P265" s="1603"/>
      <c r="Q265" s="1603"/>
      <c r="R265" s="1603"/>
      <c r="S265" s="1603"/>
      <c r="T265" s="1603"/>
      <c r="U265" s="1603"/>
      <c r="V265" s="1603"/>
      <c r="W265" s="1603"/>
      <c r="X265" s="1603"/>
      <c r="Y265" s="1603"/>
      <c r="Z265" s="1603"/>
      <c r="AA265" s="1603"/>
      <c r="AB265" s="1603"/>
      <c r="AC265" s="1603"/>
      <c r="AD265" s="1603"/>
      <c r="AE265" s="1603"/>
      <c r="AF265" s="1603"/>
      <c r="AG265" s="1603"/>
      <c r="AH265" s="1603"/>
      <c r="AI265" s="1603"/>
      <c r="AJ265" s="323"/>
      <c r="AK265" s="287"/>
      <c r="AL265" s="312"/>
      <c r="AM265" s="1603" t="s">
        <v>578</v>
      </c>
      <c r="AN265" s="1603"/>
      <c r="AO265" s="1603"/>
      <c r="AP265" s="1603"/>
      <c r="AQ265" s="1603"/>
      <c r="AR265" s="1603"/>
      <c r="AS265" s="1603"/>
      <c r="AT265" s="1603"/>
      <c r="AU265" s="1603"/>
      <c r="AV265" s="1603"/>
      <c r="AW265" s="1603"/>
      <c r="AX265" s="1603"/>
      <c r="AY265" s="1603"/>
      <c r="AZ265" s="1603"/>
      <c r="BA265" s="1603"/>
      <c r="BB265" s="1603"/>
      <c r="BC265" s="1603"/>
      <c r="BD265" s="1603"/>
      <c r="BE265" s="1603"/>
      <c r="BF265" s="1603"/>
      <c r="BG265" s="1603"/>
      <c r="BH265" s="1603"/>
      <c r="BI265" s="1603"/>
      <c r="BJ265" s="1603"/>
      <c r="BK265" s="1603"/>
      <c r="BL265" s="1603"/>
      <c r="BM265" s="1603"/>
      <c r="BN265" s="1603"/>
      <c r="BO265" s="1603"/>
      <c r="BP265" s="1603"/>
      <c r="BQ265" s="1603"/>
      <c r="BR265" s="1603"/>
      <c r="BS265" s="1603"/>
      <c r="BT265" s="295"/>
      <c r="BU265" s="295"/>
      <c r="BV265" s="310"/>
      <c r="BW265" s="310"/>
      <c r="BX265" s="291"/>
      <c r="BY265" s="323"/>
      <c r="BZ265" s="279"/>
      <c r="CA265" s="279"/>
      <c r="CB265" s="280"/>
      <c r="CC265" s="280"/>
      <c r="CD265" s="280"/>
      <c r="CE265" s="280"/>
      <c r="CF265" s="280"/>
    </row>
    <row r="266" spans="1:84" s="326" customFormat="1" ht="2.1" customHeight="1" x14ac:dyDescent="0.25">
      <c r="A266" s="322"/>
      <c r="B266" s="312"/>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c r="AI266" s="318"/>
      <c r="AJ266" s="323"/>
      <c r="AK266" s="287"/>
      <c r="AL266" s="312"/>
      <c r="AM266" s="318"/>
      <c r="AN266" s="318"/>
      <c r="AO266" s="318"/>
      <c r="AP266" s="318"/>
      <c r="AQ266" s="318"/>
      <c r="AR266" s="318"/>
      <c r="AS266" s="318"/>
      <c r="AT266" s="318"/>
      <c r="AU266" s="318"/>
      <c r="AV266" s="318"/>
      <c r="AW266" s="318"/>
      <c r="AX266" s="318"/>
      <c r="AY266" s="318"/>
      <c r="AZ266" s="318"/>
      <c r="BA266" s="318"/>
      <c r="BB266" s="318"/>
      <c r="BC266" s="318"/>
      <c r="BD266" s="318"/>
      <c r="BE266" s="318"/>
      <c r="BF266" s="318"/>
      <c r="BG266" s="318"/>
      <c r="BH266" s="318"/>
      <c r="BI266" s="318"/>
      <c r="BJ266" s="318"/>
      <c r="BK266" s="318"/>
      <c r="BL266" s="318"/>
      <c r="BM266" s="318"/>
      <c r="BN266" s="318"/>
      <c r="BO266" s="318"/>
      <c r="BP266" s="318"/>
      <c r="BQ266" s="318"/>
      <c r="BR266" s="318"/>
      <c r="BS266" s="318"/>
      <c r="BT266" s="295"/>
      <c r="BU266" s="295"/>
      <c r="BV266" s="310"/>
      <c r="BW266" s="310"/>
      <c r="BX266" s="291"/>
      <c r="BY266" s="323"/>
      <c r="BZ266" s="279"/>
      <c r="CA266" s="279"/>
      <c r="CB266" s="280"/>
      <c r="CC266" s="280"/>
      <c r="CD266" s="280"/>
      <c r="CE266" s="280"/>
      <c r="CF266" s="280"/>
    </row>
    <row r="267" spans="1:84" s="326" customFormat="1" ht="12.95" hidden="1" customHeight="1" x14ac:dyDescent="0.25">
      <c r="A267" s="322"/>
      <c r="B267" s="312"/>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c r="AH267" s="295"/>
      <c r="AI267" s="295"/>
      <c r="AJ267" s="323"/>
      <c r="AK267" s="287"/>
      <c r="AL267" s="312"/>
      <c r="AM267" s="295"/>
      <c r="AN267" s="295"/>
      <c r="AO267" s="295"/>
      <c r="AP267" s="295"/>
      <c r="AQ267" s="295"/>
      <c r="AR267" s="295"/>
      <c r="AS267" s="295"/>
      <c r="AT267" s="295"/>
      <c r="AU267" s="295"/>
      <c r="AV267" s="295"/>
      <c r="AW267" s="295"/>
      <c r="AX267" s="295"/>
      <c r="AY267" s="295"/>
      <c r="AZ267" s="295"/>
      <c r="BA267" s="295"/>
      <c r="BB267" s="295"/>
      <c r="BC267" s="295"/>
      <c r="BD267" s="295"/>
      <c r="BE267" s="295"/>
      <c r="BF267" s="295"/>
      <c r="BG267" s="295"/>
      <c r="BH267" s="295"/>
      <c r="BI267" s="295"/>
      <c r="BJ267" s="295"/>
      <c r="BK267" s="295"/>
      <c r="BL267" s="295"/>
      <c r="BM267" s="295"/>
      <c r="BN267" s="295"/>
      <c r="BO267" s="295"/>
      <c r="BP267" s="295"/>
      <c r="BQ267" s="295"/>
      <c r="BR267" s="295"/>
      <c r="BS267" s="295"/>
      <c r="BT267" s="295"/>
      <c r="BU267" s="295"/>
      <c r="BV267" s="310"/>
      <c r="BW267" s="310"/>
      <c r="BX267" s="291"/>
      <c r="BY267" s="323"/>
      <c r="BZ267" s="279"/>
      <c r="CA267" s="279"/>
      <c r="CB267" s="280"/>
      <c r="CC267" s="280"/>
      <c r="CD267" s="280"/>
      <c r="CE267" s="280"/>
      <c r="CF267" s="280"/>
    </row>
    <row r="268" spans="1:84" s="326" customFormat="1" ht="15" hidden="1" customHeight="1" x14ac:dyDescent="0.25">
      <c r="A268" s="322" t="str">
        <f>subSTT</f>
        <v>2.15</v>
      </c>
      <c r="B268" s="312" t="s">
        <v>345</v>
      </c>
      <c r="C268" s="312" t="s">
        <v>579</v>
      </c>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c r="AH268" s="318"/>
      <c r="AI268" s="318"/>
      <c r="AJ268" s="323"/>
      <c r="AK268" s="287" t="str">
        <f>A268</f>
        <v>2.15</v>
      </c>
      <c r="AL268" s="312" t="s">
        <v>345</v>
      </c>
      <c r="AM268" s="312" t="s">
        <v>580</v>
      </c>
      <c r="AN268" s="318"/>
      <c r="AO268" s="318"/>
      <c r="AP268" s="318"/>
      <c r="AQ268" s="318"/>
      <c r="AR268" s="318"/>
      <c r="AS268" s="318"/>
      <c r="AT268" s="318"/>
      <c r="AU268" s="318"/>
      <c r="AV268" s="318"/>
      <c r="AW268" s="318"/>
      <c r="AX268" s="318"/>
      <c r="AY268" s="318"/>
      <c r="AZ268" s="318"/>
      <c r="BA268" s="318"/>
      <c r="BB268" s="318"/>
      <c r="BC268" s="318"/>
      <c r="BD268" s="318"/>
      <c r="BE268" s="318"/>
      <c r="BF268" s="318"/>
      <c r="BG268" s="318"/>
      <c r="BH268" s="318"/>
      <c r="BI268" s="318"/>
      <c r="BJ268" s="318"/>
      <c r="BK268" s="318"/>
      <c r="BL268" s="318"/>
      <c r="BM268" s="318"/>
      <c r="BN268" s="318"/>
      <c r="BO268" s="318"/>
      <c r="BP268" s="318"/>
      <c r="BQ268" s="318"/>
      <c r="BR268" s="318"/>
      <c r="BS268" s="318"/>
      <c r="BT268" s="295"/>
      <c r="BU268" s="295"/>
      <c r="BV268" s="310"/>
      <c r="BW268" s="310"/>
      <c r="BX268" s="291"/>
      <c r="BY268" s="323"/>
      <c r="BZ268" s="279"/>
      <c r="CA268" s="279"/>
      <c r="CB268" s="280"/>
      <c r="CC268" s="280"/>
      <c r="CD268" s="280"/>
      <c r="CE268" s="280"/>
      <c r="CF268" s="280"/>
    </row>
    <row r="269" spans="1:84" s="326" customFormat="1" ht="12.95" hidden="1" customHeight="1" x14ac:dyDescent="0.25">
      <c r="A269" s="322"/>
      <c r="B269" s="312"/>
      <c r="C269" s="324" t="s">
        <v>408</v>
      </c>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c r="AH269" s="318"/>
      <c r="AI269" s="318"/>
      <c r="AJ269" s="323"/>
      <c r="AK269" s="287"/>
      <c r="AL269" s="312"/>
      <c r="AM269" s="324" t="s">
        <v>408</v>
      </c>
      <c r="AN269" s="318"/>
      <c r="AO269" s="318"/>
      <c r="AP269" s="318"/>
      <c r="AQ269" s="318"/>
      <c r="AR269" s="318"/>
      <c r="AS269" s="318"/>
      <c r="AT269" s="318"/>
      <c r="AU269" s="318"/>
      <c r="AV269" s="318"/>
      <c r="AW269" s="318"/>
      <c r="AX269" s="318"/>
      <c r="AY269" s="318"/>
      <c r="AZ269" s="318"/>
      <c r="BA269" s="318"/>
      <c r="BB269" s="318"/>
      <c r="BC269" s="318"/>
      <c r="BD269" s="318"/>
      <c r="BE269" s="318"/>
      <c r="BF269" s="318"/>
      <c r="BG269" s="318"/>
      <c r="BH269" s="318"/>
      <c r="BI269" s="318"/>
      <c r="BJ269" s="318"/>
      <c r="BK269" s="318"/>
      <c r="BL269" s="318"/>
      <c r="BM269" s="318"/>
      <c r="BN269" s="318"/>
      <c r="BO269" s="318"/>
      <c r="BP269" s="318"/>
      <c r="BQ269" s="318"/>
      <c r="BR269" s="318"/>
      <c r="BS269" s="318"/>
      <c r="BT269" s="295"/>
      <c r="BU269" s="295"/>
      <c r="BV269" s="310"/>
      <c r="BW269" s="310"/>
      <c r="BX269" s="291"/>
      <c r="BY269" s="323"/>
      <c r="BZ269" s="279"/>
      <c r="CA269" s="279"/>
      <c r="CB269" s="280"/>
      <c r="CC269" s="280"/>
      <c r="CD269" s="280"/>
      <c r="CE269" s="280"/>
      <c r="CF269" s="280"/>
    </row>
    <row r="270" spans="1:84" s="326" customFormat="1" ht="15" hidden="1" customHeight="1" x14ac:dyDescent="0.25">
      <c r="A270" s="322"/>
      <c r="B270" s="312"/>
      <c r="C270" s="1603" t="s">
        <v>581</v>
      </c>
      <c r="D270" s="1603"/>
      <c r="E270" s="1603"/>
      <c r="F270" s="1603"/>
      <c r="G270" s="1603"/>
      <c r="H270" s="1603"/>
      <c r="I270" s="1603"/>
      <c r="J270" s="1603"/>
      <c r="K270" s="1603"/>
      <c r="L270" s="1603"/>
      <c r="M270" s="1603"/>
      <c r="N270" s="1603"/>
      <c r="O270" s="1603"/>
      <c r="P270" s="1603"/>
      <c r="Q270" s="1603"/>
      <c r="R270" s="1603"/>
      <c r="S270" s="1603"/>
      <c r="T270" s="1603"/>
      <c r="U270" s="1603"/>
      <c r="V270" s="1603"/>
      <c r="W270" s="1603"/>
      <c r="X270" s="1603"/>
      <c r="Y270" s="1603"/>
      <c r="Z270" s="1603"/>
      <c r="AA270" s="1603"/>
      <c r="AB270" s="1603"/>
      <c r="AC270" s="1603"/>
      <c r="AD270" s="1603"/>
      <c r="AE270" s="1603"/>
      <c r="AF270" s="1603"/>
      <c r="AG270" s="1603"/>
      <c r="AH270" s="1603"/>
      <c r="AI270" s="1603"/>
      <c r="AJ270" s="323"/>
      <c r="AK270" s="287"/>
      <c r="AL270" s="312"/>
      <c r="AM270" s="1603" t="s">
        <v>582</v>
      </c>
      <c r="AN270" s="1603"/>
      <c r="AO270" s="1603"/>
      <c r="AP270" s="1603"/>
      <c r="AQ270" s="1603"/>
      <c r="AR270" s="1603"/>
      <c r="AS270" s="1603"/>
      <c r="AT270" s="1603"/>
      <c r="AU270" s="1603"/>
      <c r="AV270" s="1603"/>
      <c r="AW270" s="1603"/>
      <c r="AX270" s="1603"/>
      <c r="AY270" s="1603"/>
      <c r="AZ270" s="1603"/>
      <c r="BA270" s="1603"/>
      <c r="BB270" s="1603"/>
      <c r="BC270" s="1603"/>
      <c r="BD270" s="1603"/>
      <c r="BE270" s="1603"/>
      <c r="BF270" s="1603"/>
      <c r="BG270" s="1603"/>
      <c r="BH270" s="1603"/>
      <c r="BI270" s="1603"/>
      <c r="BJ270" s="1603"/>
      <c r="BK270" s="1603"/>
      <c r="BL270" s="1603"/>
      <c r="BM270" s="1603"/>
      <c r="BN270" s="1603"/>
      <c r="BO270" s="1603"/>
      <c r="BP270" s="1603"/>
      <c r="BQ270" s="1603"/>
      <c r="BR270" s="1603"/>
      <c r="BS270" s="1603"/>
      <c r="BT270" s="295"/>
      <c r="BU270" s="295"/>
      <c r="BV270" s="310"/>
      <c r="BW270" s="310"/>
      <c r="BX270" s="291"/>
      <c r="BY270" s="323"/>
      <c r="BZ270" s="279"/>
      <c r="CA270" s="279"/>
      <c r="CB270" s="280"/>
      <c r="CC270" s="280"/>
      <c r="CD270" s="280"/>
      <c r="CE270" s="280"/>
      <c r="CF270" s="280"/>
    </row>
    <row r="271" spans="1:84" s="326" customFormat="1" ht="15" hidden="1" customHeight="1" x14ac:dyDescent="0.25">
      <c r="A271" s="322"/>
      <c r="B271" s="312"/>
      <c r="C271" s="333" t="s">
        <v>355</v>
      </c>
      <c r="D271" s="1603" t="str">
        <f>CONCATENATE(LoaiCT_V," có nghĩa vụ nợ hiện tại (nghĩa vụ pháp lý hoặc nghĩa vụ liên đới) do kết quả từ một sự kiện đã xảy ra;")</f>
        <v>Công ty có nghĩa vụ nợ hiện tại (nghĩa vụ pháp lý hoặc nghĩa vụ liên đới) do kết quả từ một sự kiện đã xảy ra;</v>
      </c>
      <c r="E271" s="1603"/>
      <c r="F271" s="1603"/>
      <c r="G271" s="1603"/>
      <c r="H271" s="1603"/>
      <c r="I271" s="1603"/>
      <c r="J271" s="1603"/>
      <c r="K271" s="1603"/>
      <c r="L271" s="1603"/>
      <c r="M271" s="1603"/>
      <c r="N271" s="1603"/>
      <c r="O271" s="1603"/>
      <c r="P271" s="1603"/>
      <c r="Q271" s="1603"/>
      <c r="R271" s="1603"/>
      <c r="S271" s="1603"/>
      <c r="T271" s="1603"/>
      <c r="U271" s="1603"/>
      <c r="V271" s="1603"/>
      <c r="W271" s="1603"/>
      <c r="X271" s="1603"/>
      <c r="Y271" s="1603"/>
      <c r="Z271" s="1603"/>
      <c r="AA271" s="1603"/>
      <c r="AB271" s="1603"/>
      <c r="AC271" s="1603"/>
      <c r="AD271" s="1603"/>
      <c r="AE271" s="1603"/>
      <c r="AF271" s="1603"/>
      <c r="AG271" s="1603"/>
      <c r="AH271" s="1603"/>
      <c r="AI271" s="1603"/>
      <c r="AJ271" s="323"/>
      <c r="AK271" s="287"/>
      <c r="AL271" s="312"/>
      <c r="AM271" s="333" t="s">
        <v>355</v>
      </c>
      <c r="AN271" s="1603" t="s">
        <v>583</v>
      </c>
      <c r="AO271" s="1603"/>
      <c r="AP271" s="1603"/>
      <c r="AQ271" s="1603"/>
      <c r="AR271" s="1603"/>
      <c r="AS271" s="1603"/>
      <c r="AT271" s="1603"/>
      <c r="AU271" s="1603"/>
      <c r="AV271" s="1603"/>
      <c r="AW271" s="1603"/>
      <c r="AX271" s="1603"/>
      <c r="AY271" s="1603"/>
      <c r="AZ271" s="1603"/>
      <c r="BA271" s="1603"/>
      <c r="BB271" s="1603"/>
      <c r="BC271" s="1603"/>
      <c r="BD271" s="1603"/>
      <c r="BE271" s="1603"/>
      <c r="BF271" s="1603"/>
      <c r="BG271" s="1603"/>
      <c r="BH271" s="1603"/>
      <c r="BI271" s="1603"/>
      <c r="BJ271" s="1603"/>
      <c r="BK271" s="1603"/>
      <c r="BL271" s="1603"/>
      <c r="BM271" s="1603"/>
      <c r="BN271" s="1603"/>
      <c r="BO271" s="1603"/>
      <c r="BP271" s="1603"/>
      <c r="BQ271" s="1603"/>
      <c r="BR271" s="1603"/>
      <c r="BS271" s="1603"/>
      <c r="BT271" s="295"/>
      <c r="BU271" s="295"/>
      <c r="BV271" s="310"/>
      <c r="BW271" s="310"/>
      <c r="BX271" s="291"/>
      <c r="BY271" s="323"/>
      <c r="BZ271" s="279"/>
      <c r="CA271" s="279"/>
      <c r="CB271" s="280"/>
      <c r="CC271" s="280"/>
      <c r="CD271" s="280"/>
      <c r="CE271" s="280"/>
      <c r="CF271" s="280"/>
    </row>
    <row r="272" spans="1:84" s="326" customFormat="1" ht="15" hidden="1" customHeight="1" x14ac:dyDescent="0.25">
      <c r="A272" s="322"/>
      <c r="B272" s="312"/>
      <c r="C272" s="333" t="s">
        <v>355</v>
      </c>
      <c r="D272" s="1603" t="s">
        <v>584</v>
      </c>
      <c r="E272" s="1603"/>
      <c r="F272" s="1603"/>
      <c r="G272" s="1603"/>
      <c r="H272" s="1603"/>
      <c r="I272" s="1603"/>
      <c r="J272" s="1603"/>
      <c r="K272" s="1603"/>
      <c r="L272" s="1603"/>
      <c r="M272" s="1603"/>
      <c r="N272" s="1603"/>
      <c r="O272" s="1603"/>
      <c r="P272" s="1603"/>
      <c r="Q272" s="1603"/>
      <c r="R272" s="1603"/>
      <c r="S272" s="1603"/>
      <c r="T272" s="1603"/>
      <c r="U272" s="1603"/>
      <c r="V272" s="1603"/>
      <c r="W272" s="1603"/>
      <c r="X272" s="1603"/>
      <c r="Y272" s="1603"/>
      <c r="Z272" s="1603"/>
      <c r="AA272" s="1603"/>
      <c r="AB272" s="1603"/>
      <c r="AC272" s="1603"/>
      <c r="AD272" s="1603"/>
      <c r="AE272" s="1603"/>
      <c r="AF272" s="1603"/>
      <c r="AG272" s="1603"/>
      <c r="AH272" s="1603"/>
      <c r="AI272" s="1603"/>
      <c r="AJ272" s="323"/>
      <c r="AK272" s="287"/>
      <c r="AL272" s="312"/>
      <c r="AM272" s="333" t="s">
        <v>355</v>
      </c>
      <c r="AN272" s="1603" t="s">
        <v>585</v>
      </c>
      <c r="AO272" s="1603"/>
      <c r="AP272" s="1603"/>
      <c r="AQ272" s="1603"/>
      <c r="AR272" s="1603"/>
      <c r="AS272" s="1603"/>
      <c r="AT272" s="1603"/>
      <c r="AU272" s="1603"/>
      <c r="AV272" s="1603"/>
      <c r="AW272" s="1603"/>
      <c r="AX272" s="1603"/>
      <c r="AY272" s="1603"/>
      <c r="AZ272" s="1603"/>
      <c r="BA272" s="1603"/>
      <c r="BB272" s="1603"/>
      <c r="BC272" s="1603"/>
      <c r="BD272" s="1603"/>
      <c r="BE272" s="1603"/>
      <c r="BF272" s="1603"/>
      <c r="BG272" s="1603"/>
      <c r="BH272" s="1603"/>
      <c r="BI272" s="1603"/>
      <c r="BJ272" s="1603"/>
      <c r="BK272" s="1603"/>
      <c r="BL272" s="1603"/>
      <c r="BM272" s="1603"/>
      <c r="BN272" s="1603"/>
      <c r="BO272" s="1603"/>
      <c r="BP272" s="1603"/>
      <c r="BQ272" s="1603"/>
      <c r="BR272" s="1603"/>
      <c r="BS272" s="1603"/>
      <c r="BT272" s="295"/>
      <c r="BU272" s="295"/>
      <c r="BV272" s="310"/>
      <c r="BW272" s="310"/>
      <c r="BX272" s="291"/>
      <c r="BY272" s="323"/>
      <c r="BZ272" s="279"/>
      <c r="CA272" s="279"/>
      <c r="CB272" s="280"/>
      <c r="CC272" s="280"/>
      <c r="CD272" s="280"/>
      <c r="CE272" s="280"/>
      <c r="CF272" s="280"/>
    </row>
    <row r="273" spans="1:84" s="326" customFormat="1" ht="15" hidden="1" customHeight="1" x14ac:dyDescent="0.25">
      <c r="A273" s="322"/>
      <c r="B273" s="312"/>
      <c r="C273" s="333" t="s">
        <v>355</v>
      </c>
      <c r="D273" s="1603" t="s">
        <v>586</v>
      </c>
      <c r="E273" s="1603"/>
      <c r="F273" s="1603"/>
      <c r="G273" s="1603"/>
      <c r="H273" s="1603"/>
      <c r="I273" s="1603"/>
      <c r="J273" s="1603"/>
      <c r="K273" s="1603"/>
      <c r="L273" s="1603"/>
      <c r="M273" s="1603"/>
      <c r="N273" s="1603"/>
      <c r="O273" s="1603"/>
      <c r="P273" s="1603"/>
      <c r="Q273" s="1603"/>
      <c r="R273" s="1603"/>
      <c r="S273" s="1603"/>
      <c r="T273" s="1603"/>
      <c r="U273" s="1603"/>
      <c r="V273" s="1603"/>
      <c r="W273" s="1603"/>
      <c r="X273" s="1603"/>
      <c r="Y273" s="1603"/>
      <c r="Z273" s="1603"/>
      <c r="AA273" s="1603"/>
      <c r="AB273" s="1603"/>
      <c r="AC273" s="1603"/>
      <c r="AD273" s="1603"/>
      <c r="AE273" s="1603"/>
      <c r="AF273" s="1603"/>
      <c r="AG273" s="1603"/>
      <c r="AH273" s="1603"/>
      <c r="AI273" s="1603"/>
      <c r="AJ273" s="323"/>
      <c r="AK273" s="287"/>
      <c r="AL273" s="312"/>
      <c r="AM273" s="333" t="s">
        <v>355</v>
      </c>
      <c r="AN273" s="1603" t="s">
        <v>587</v>
      </c>
      <c r="AO273" s="1603"/>
      <c r="AP273" s="1603"/>
      <c r="AQ273" s="1603"/>
      <c r="AR273" s="1603"/>
      <c r="AS273" s="1603"/>
      <c r="AT273" s="1603"/>
      <c r="AU273" s="1603"/>
      <c r="AV273" s="1603"/>
      <c r="AW273" s="1603"/>
      <c r="AX273" s="1603"/>
      <c r="AY273" s="1603"/>
      <c r="AZ273" s="1603"/>
      <c r="BA273" s="1603"/>
      <c r="BB273" s="1603"/>
      <c r="BC273" s="1603"/>
      <c r="BD273" s="1603"/>
      <c r="BE273" s="1603"/>
      <c r="BF273" s="1603"/>
      <c r="BG273" s="1603"/>
      <c r="BH273" s="1603"/>
      <c r="BI273" s="1603"/>
      <c r="BJ273" s="1603"/>
      <c r="BK273" s="1603"/>
      <c r="BL273" s="1603"/>
      <c r="BM273" s="1603"/>
      <c r="BN273" s="1603"/>
      <c r="BO273" s="1603"/>
      <c r="BP273" s="1603"/>
      <c r="BQ273" s="1603"/>
      <c r="BR273" s="1603"/>
      <c r="BS273" s="1603"/>
      <c r="BT273" s="295"/>
      <c r="BU273" s="295"/>
      <c r="BV273" s="310"/>
      <c r="BW273" s="310"/>
      <c r="BX273" s="291"/>
      <c r="BY273" s="323"/>
      <c r="BZ273" s="279"/>
      <c r="CA273" s="279"/>
      <c r="CB273" s="280"/>
      <c r="CC273" s="280"/>
      <c r="CD273" s="280"/>
      <c r="CE273" s="280"/>
      <c r="CF273" s="280"/>
    </row>
    <row r="274" spans="1:84" s="326" customFormat="1" ht="12.95" hidden="1" customHeight="1" x14ac:dyDescent="0.25">
      <c r="A274" s="322"/>
      <c r="B274" s="312"/>
      <c r="C274" s="324"/>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c r="AH274" s="318"/>
      <c r="AI274" s="318"/>
      <c r="AJ274" s="323"/>
      <c r="AK274" s="287"/>
      <c r="AL274" s="312"/>
      <c r="AM274" s="324"/>
      <c r="AN274" s="318"/>
      <c r="AO274" s="318"/>
      <c r="AP274" s="318"/>
      <c r="AQ274" s="318"/>
      <c r="AR274" s="318"/>
      <c r="AS274" s="318"/>
      <c r="AT274" s="318"/>
      <c r="AU274" s="318"/>
      <c r="AV274" s="318"/>
      <c r="AW274" s="318"/>
      <c r="AX274" s="318"/>
      <c r="AY274" s="318"/>
      <c r="AZ274" s="318"/>
      <c r="BA274" s="318"/>
      <c r="BB274" s="318"/>
      <c r="BC274" s="318"/>
      <c r="BD274" s="318"/>
      <c r="BE274" s="318"/>
      <c r="BF274" s="318"/>
      <c r="BG274" s="318"/>
      <c r="BH274" s="318"/>
      <c r="BI274" s="318"/>
      <c r="BJ274" s="318"/>
      <c r="BK274" s="318"/>
      <c r="BL274" s="318"/>
      <c r="BM274" s="318"/>
      <c r="BN274" s="318"/>
      <c r="BO274" s="318"/>
      <c r="BP274" s="318"/>
      <c r="BQ274" s="318"/>
      <c r="BR274" s="318"/>
      <c r="BS274" s="318"/>
      <c r="BT274" s="295"/>
      <c r="BU274" s="295"/>
      <c r="BV274" s="310"/>
      <c r="BW274" s="310"/>
      <c r="BX274" s="291"/>
      <c r="BY274" s="323"/>
      <c r="BZ274" s="279"/>
      <c r="CA274" s="279"/>
      <c r="CB274" s="280"/>
      <c r="CC274" s="280"/>
      <c r="CD274" s="280"/>
      <c r="CE274" s="280"/>
      <c r="CF274" s="280"/>
    </row>
    <row r="275" spans="1:84" s="326" customFormat="1" ht="27.95" hidden="1" customHeight="1" x14ac:dyDescent="0.25">
      <c r="A275" s="322"/>
      <c r="B275" s="312"/>
      <c r="C275" s="1603" t="s">
        <v>588</v>
      </c>
      <c r="D275" s="1603"/>
      <c r="E275" s="1603"/>
      <c r="F275" s="1603"/>
      <c r="G275" s="1603"/>
      <c r="H275" s="1603"/>
      <c r="I275" s="1603"/>
      <c r="J275" s="1603"/>
      <c r="K275" s="1603"/>
      <c r="L275" s="1603"/>
      <c r="M275" s="1603"/>
      <c r="N275" s="1603"/>
      <c r="O275" s="1603"/>
      <c r="P275" s="1603"/>
      <c r="Q275" s="1603"/>
      <c r="R275" s="1603"/>
      <c r="S275" s="1603"/>
      <c r="T275" s="1603"/>
      <c r="U275" s="1603"/>
      <c r="V275" s="1603"/>
      <c r="W275" s="1603"/>
      <c r="X275" s="1603"/>
      <c r="Y275" s="1603"/>
      <c r="Z275" s="1603"/>
      <c r="AA275" s="1603"/>
      <c r="AB275" s="1603"/>
      <c r="AC275" s="1603"/>
      <c r="AD275" s="1603"/>
      <c r="AE275" s="1603"/>
      <c r="AF275" s="1603"/>
      <c r="AG275" s="1603"/>
      <c r="AH275" s="1603"/>
      <c r="AI275" s="1603"/>
      <c r="AJ275" s="323"/>
      <c r="AK275" s="287"/>
      <c r="AL275" s="312"/>
      <c r="AM275" s="1603" t="s">
        <v>589</v>
      </c>
      <c r="AN275" s="1603"/>
      <c r="AO275" s="1603"/>
      <c r="AP275" s="1603"/>
      <c r="AQ275" s="1603"/>
      <c r="AR275" s="1603"/>
      <c r="AS275" s="1603"/>
      <c r="AT275" s="1603"/>
      <c r="AU275" s="1603"/>
      <c r="AV275" s="1603"/>
      <c r="AW275" s="1603"/>
      <c r="AX275" s="1603"/>
      <c r="AY275" s="1603"/>
      <c r="AZ275" s="1603"/>
      <c r="BA275" s="1603"/>
      <c r="BB275" s="1603"/>
      <c r="BC275" s="1603"/>
      <c r="BD275" s="1603"/>
      <c r="BE275" s="1603"/>
      <c r="BF275" s="1603"/>
      <c r="BG275" s="1603"/>
      <c r="BH275" s="1603"/>
      <c r="BI275" s="1603"/>
      <c r="BJ275" s="1603"/>
      <c r="BK275" s="1603"/>
      <c r="BL275" s="1603"/>
      <c r="BM275" s="1603"/>
      <c r="BN275" s="1603"/>
      <c r="BO275" s="1603"/>
      <c r="BP275" s="1603"/>
      <c r="BQ275" s="1603"/>
      <c r="BR275" s="1603"/>
      <c r="BS275" s="1603"/>
      <c r="BT275" s="295"/>
      <c r="BU275" s="295"/>
      <c r="BV275" s="310"/>
      <c r="BW275" s="310"/>
      <c r="BX275" s="291"/>
      <c r="BY275" s="323"/>
      <c r="BZ275" s="279"/>
      <c r="CA275" s="279"/>
      <c r="CB275" s="280"/>
      <c r="CC275" s="280"/>
      <c r="CD275" s="280"/>
      <c r="CE275" s="280"/>
      <c r="CF275" s="280"/>
    </row>
    <row r="276" spans="1:84" s="326" customFormat="1" ht="12.95" hidden="1" customHeight="1" x14ac:dyDescent="0.25">
      <c r="A276" s="322"/>
      <c r="B276" s="312"/>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c r="AH276" s="318"/>
      <c r="AI276" s="318"/>
      <c r="AJ276" s="323"/>
      <c r="AK276" s="287"/>
      <c r="AL276" s="312"/>
      <c r="AM276" s="318"/>
      <c r="AN276" s="318"/>
      <c r="AO276" s="318"/>
      <c r="AP276" s="318"/>
      <c r="AQ276" s="318"/>
      <c r="AR276" s="318"/>
      <c r="AS276" s="318"/>
      <c r="AT276" s="318"/>
      <c r="AU276" s="318"/>
      <c r="AV276" s="318"/>
      <c r="AW276" s="318"/>
      <c r="AX276" s="318"/>
      <c r="AY276" s="318"/>
      <c r="AZ276" s="318"/>
      <c r="BA276" s="318"/>
      <c r="BB276" s="318"/>
      <c r="BC276" s="318"/>
      <c r="BD276" s="318"/>
      <c r="BE276" s="318"/>
      <c r="BF276" s="318"/>
      <c r="BG276" s="318"/>
      <c r="BH276" s="318"/>
      <c r="BI276" s="318"/>
      <c r="BJ276" s="318"/>
      <c r="BK276" s="318"/>
      <c r="BL276" s="318"/>
      <c r="BM276" s="318"/>
      <c r="BN276" s="318"/>
      <c r="BO276" s="318"/>
      <c r="BP276" s="318"/>
      <c r="BQ276" s="318"/>
      <c r="BR276" s="318"/>
      <c r="BS276" s="318"/>
      <c r="BT276" s="295"/>
      <c r="BU276" s="295"/>
      <c r="BV276" s="310"/>
      <c r="BW276" s="310"/>
      <c r="BX276" s="291"/>
      <c r="BY276" s="323"/>
      <c r="BZ276" s="279"/>
      <c r="CA276" s="279"/>
      <c r="CB276" s="280"/>
      <c r="CC276" s="280"/>
      <c r="CD276" s="280"/>
      <c r="CE276" s="280"/>
      <c r="CF276" s="280"/>
    </row>
    <row r="277" spans="1:84" s="326" customFormat="1" ht="27.95" hidden="1" customHeight="1" x14ac:dyDescent="0.25">
      <c r="A277" s="322"/>
      <c r="B277" s="312"/>
      <c r="C277" s="1603" t="s">
        <v>590</v>
      </c>
      <c r="D277" s="1603"/>
      <c r="E277" s="1603"/>
      <c r="F277" s="1603"/>
      <c r="G277" s="1603"/>
      <c r="H277" s="1603"/>
      <c r="I277" s="1603"/>
      <c r="J277" s="1603"/>
      <c r="K277" s="1603"/>
      <c r="L277" s="1603"/>
      <c r="M277" s="1603"/>
      <c r="N277" s="1603"/>
      <c r="O277" s="1603"/>
      <c r="P277" s="1603"/>
      <c r="Q277" s="1603"/>
      <c r="R277" s="1603"/>
      <c r="S277" s="1603"/>
      <c r="T277" s="1603"/>
      <c r="U277" s="1603"/>
      <c r="V277" s="1603"/>
      <c r="W277" s="1603"/>
      <c r="X277" s="1603"/>
      <c r="Y277" s="1603"/>
      <c r="Z277" s="1603"/>
      <c r="AA277" s="1603"/>
      <c r="AB277" s="1603"/>
      <c r="AC277" s="1603"/>
      <c r="AD277" s="1603"/>
      <c r="AE277" s="1603"/>
      <c r="AF277" s="1603"/>
      <c r="AG277" s="1603"/>
      <c r="AH277" s="1603"/>
      <c r="AI277" s="1603"/>
      <c r="AJ277" s="323"/>
      <c r="AK277" s="287"/>
      <c r="AL277" s="312"/>
      <c r="AM277" s="1603" t="s">
        <v>591</v>
      </c>
      <c r="AN277" s="1603"/>
      <c r="AO277" s="1603"/>
      <c r="AP277" s="1603"/>
      <c r="AQ277" s="1603"/>
      <c r="AR277" s="1603"/>
      <c r="AS277" s="1603"/>
      <c r="AT277" s="1603"/>
      <c r="AU277" s="1603"/>
      <c r="AV277" s="1603"/>
      <c r="AW277" s="1603"/>
      <c r="AX277" s="1603"/>
      <c r="AY277" s="1603"/>
      <c r="AZ277" s="1603"/>
      <c r="BA277" s="1603"/>
      <c r="BB277" s="1603"/>
      <c r="BC277" s="1603"/>
      <c r="BD277" s="1603"/>
      <c r="BE277" s="1603"/>
      <c r="BF277" s="1603"/>
      <c r="BG277" s="1603"/>
      <c r="BH277" s="1603"/>
      <c r="BI277" s="1603"/>
      <c r="BJ277" s="1603"/>
      <c r="BK277" s="1603"/>
      <c r="BL277" s="1603"/>
      <c r="BM277" s="1603"/>
      <c r="BN277" s="1603"/>
      <c r="BO277" s="1603"/>
      <c r="BP277" s="1603"/>
      <c r="BQ277" s="1603"/>
      <c r="BR277" s="1603"/>
      <c r="BS277" s="1603"/>
      <c r="BT277" s="295"/>
      <c r="BU277" s="295"/>
      <c r="BV277" s="310"/>
      <c r="BW277" s="310"/>
      <c r="BX277" s="291"/>
      <c r="BY277" s="323"/>
      <c r="BZ277" s="279"/>
      <c r="CA277" s="279"/>
      <c r="CB277" s="280"/>
      <c r="CC277" s="280"/>
      <c r="CD277" s="280"/>
      <c r="CE277" s="280"/>
      <c r="CF277" s="280"/>
    </row>
    <row r="278" spans="1:84" s="326" customFormat="1" ht="12.95" hidden="1" customHeight="1" x14ac:dyDescent="0.25">
      <c r="A278" s="322"/>
      <c r="B278" s="312"/>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c r="AH278" s="318"/>
      <c r="AI278" s="318"/>
      <c r="AJ278" s="323"/>
      <c r="AK278" s="287"/>
      <c r="AL278" s="312"/>
      <c r="AM278" s="318"/>
      <c r="AN278" s="318"/>
      <c r="AO278" s="318"/>
      <c r="AP278" s="318"/>
      <c r="AQ278" s="318"/>
      <c r="AR278" s="318"/>
      <c r="AS278" s="318"/>
      <c r="AT278" s="318"/>
      <c r="AU278" s="318"/>
      <c r="AV278" s="318"/>
      <c r="AW278" s="318"/>
      <c r="AX278" s="318"/>
      <c r="AY278" s="318"/>
      <c r="AZ278" s="318"/>
      <c r="BA278" s="318"/>
      <c r="BB278" s="318"/>
      <c r="BC278" s="318"/>
      <c r="BD278" s="318"/>
      <c r="BE278" s="318"/>
      <c r="BF278" s="318"/>
      <c r="BG278" s="318"/>
      <c r="BH278" s="318"/>
      <c r="BI278" s="318"/>
      <c r="BJ278" s="318"/>
      <c r="BK278" s="318"/>
      <c r="BL278" s="318"/>
      <c r="BM278" s="318"/>
      <c r="BN278" s="318"/>
      <c r="BO278" s="318"/>
      <c r="BP278" s="318"/>
      <c r="BQ278" s="318"/>
      <c r="BR278" s="318"/>
      <c r="BS278" s="318"/>
      <c r="BT278" s="295"/>
      <c r="BU278" s="295"/>
      <c r="BV278" s="310"/>
      <c r="BW278" s="310"/>
      <c r="BX278" s="291"/>
      <c r="BY278" s="323"/>
      <c r="BZ278" s="279"/>
      <c r="CA278" s="279"/>
      <c r="CB278" s="280"/>
      <c r="CC278" s="280"/>
      <c r="CD278" s="280"/>
      <c r="CE278" s="280"/>
      <c r="CF278" s="280"/>
    </row>
    <row r="279" spans="1:84" s="326" customFormat="1" ht="54.95" hidden="1" customHeight="1" x14ac:dyDescent="0.25">
      <c r="A279" s="322"/>
      <c r="B279" s="312"/>
      <c r="C279" s="1603" t="s">
        <v>592</v>
      </c>
      <c r="D279" s="1603"/>
      <c r="E279" s="1603"/>
      <c r="F279" s="1603"/>
      <c r="G279" s="1603"/>
      <c r="H279" s="1603"/>
      <c r="I279" s="1603"/>
      <c r="J279" s="1603"/>
      <c r="K279" s="1603"/>
      <c r="L279" s="1603"/>
      <c r="M279" s="1603"/>
      <c r="N279" s="1603"/>
      <c r="O279" s="1603"/>
      <c r="P279" s="1603"/>
      <c r="Q279" s="1603"/>
      <c r="R279" s="1603"/>
      <c r="S279" s="1603"/>
      <c r="T279" s="1603"/>
      <c r="U279" s="1603"/>
      <c r="V279" s="1603"/>
      <c r="W279" s="1603"/>
      <c r="X279" s="1603"/>
      <c r="Y279" s="1603"/>
      <c r="Z279" s="1603"/>
      <c r="AA279" s="1603"/>
      <c r="AB279" s="1603"/>
      <c r="AC279" s="1603"/>
      <c r="AD279" s="1603"/>
      <c r="AE279" s="1603"/>
      <c r="AF279" s="1603"/>
      <c r="AG279" s="1603"/>
      <c r="AH279" s="1603"/>
      <c r="AI279" s="1603"/>
      <c r="AJ279" s="323"/>
      <c r="AK279" s="287"/>
      <c r="AL279" s="312"/>
      <c r="AM279" s="1603" t="s">
        <v>593</v>
      </c>
      <c r="AN279" s="1603"/>
      <c r="AO279" s="1603"/>
      <c r="AP279" s="1603"/>
      <c r="AQ279" s="1603"/>
      <c r="AR279" s="1603"/>
      <c r="AS279" s="1603"/>
      <c r="AT279" s="1603"/>
      <c r="AU279" s="1603"/>
      <c r="AV279" s="1603"/>
      <c r="AW279" s="1603"/>
      <c r="AX279" s="1603"/>
      <c r="AY279" s="1603"/>
      <c r="AZ279" s="1603"/>
      <c r="BA279" s="1603"/>
      <c r="BB279" s="1603"/>
      <c r="BC279" s="1603"/>
      <c r="BD279" s="1603"/>
      <c r="BE279" s="1603"/>
      <c r="BF279" s="1603"/>
      <c r="BG279" s="1603"/>
      <c r="BH279" s="1603"/>
      <c r="BI279" s="1603"/>
      <c r="BJ279" s="1603"/>
      <c r="BK279" s="1603"/>
      <c r="BL279" s="1603"/>
      <c r="BM279" s="1603"/>
      <c r="BN279" s="1603"/>
      <c r="BO279" s="1603"/>
      <c r="BP279" s="1603"/>
      <c r="BQ279" s="1603"/>
      <c r="BR279" s="1603"/>
      <c r="BS279" s="1603"/>
      <c r="BT279" s="295"/>
      <c r="BU279" s="295"/>
      <c r="BV279" s="310"/>
      <c r="BW279" s="310"/>
      <c r="BX279" s="291"/>
      <c r="BY279" s="323"/>
      <c r="BZ279" s="279"/>
      <c r="CA279" s="279"/>
      <c r="CB279" s="280"/>
      <c r="CC279" s="280"/>
      <c r="CD279" s="280"/>
      <c r="CE279" s="280"/>
      <c r="CF279" s="280"/>
    </row>
    <row r="280" spans="1:84" s="326" customFormat="1" ht="2.1" hidden="1" customHeight="1" x14ac:dyDescent="0.25">
      <c r="A280" s="322"/>
      <c r="B280" s="312"/>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c r="AH280" s="318"/>
      <c r="AI280" s="318"/>
      <c r="AJ280" s="323"/>
      <c r="AK280" s="287"/>
      <c r="AL280" s="312"/>
      <c r="AM280" s="318"/>
      <c r="AN280" s="318"/>
      <c r="AO280" s="318"/>
      <c r="AP280" s="318"/>
      <c r="AQ280" s="318"/>
      <c r="AR280" s="318"/>
      <c r="AS280" s="318"/>
      <c r="AT280" s="318"/>
      <c r="AU280" s="318"/>
      <c r="AV280" s="318"/>
      <c r="AW280" s="318"/>
      <c r="AX280" s="318"/>
      <c r="AY280" s="318"/>
      <c r="AZ280" s="318"/>
      <c r="BA280" s="318"/>
      <c r="BB280" s="318"/>
      <c r="BC280" s="318"/>
      <c r="BD280" s="318"/>
      <c r="BE280" s="318"/>
      <c r="BF280" s="318"/>
      <c r="BG280" s="318"/>
      <c r="BH280" s="318"/>
      <c r="BI280" s="318"/>
      <c r="BJ280" s="318"/>
      <c r="BK280" s="318"/>
      <c r="BL280" s="318"/>
      <c r="BM280" s="318"/>
      <c r="BN280" s="318"/>
      <c r="BO280" s="318"/>
      <c r="BP280" s="318"/>
      <c r="BQ280" s="318"/>
      <c r="BR280" s="318"/>
      <c r="BS280" s="318"/>
      <c r="BT280" s="295"/>
      <c r="BU280" s="295"/>
      <c r="BV280" s="310"/>
      <c r="BW280" s="310"/>
      <c r="BX280" s="291"/>
      <c r="BY280" s="323"/>
      <c r="BZ280" s="279"/>
      <c r="CA280" s="279"/>
      <c r="CB280" s="280"/>
      <c r="CC280" s="280"/>
      <c r="CD280" s="280"/>
      <c r="CE280" s="280"/>
      <c r="CF280" s="280"/>
    </row>
    <row r="281" spans="1:84" s="326" customFormat="1" ht="12.95" hidden="1" customHeight="1" x14ac:dyDescent="0.25">
      <c r="A281" s="322"/>
      <c r="B281" s="312"/>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c r="AH281" s="318"/>
      <c r="AI281" s="318"/>
      <c r="AJ281" s="323"/>
      <c r="AK281" s="287"/>
      <c r="AL281" s="312"/>
      <c r="AM281" s="318"/>
      <c r="AN281" s="318"/>
      <c r="AO281" s="318"/>
      <c r="AP281" s="318"/>
      <c r="AQ281" s="318"/>
      <c r="AR281" s="318"/>
      <c r="AS281" s="318"/>
      <c r="AT281" s="318"/>
      <c r="AU281" s="318"/>
      <c r="AV281" s="318"/>
      <c r="AW281" s="318"/>
      <c r="AX281" s="318"/>
      <c r="AY281" s="318"/>
      <c r="AZ281" s="318"/>
      <c r="BA281" s="318"/>
      <c r="BB281" s="318"/>
      <c r="BC281" s="318"/>
      <c r="BD281" s="318"/>
      <c r="BE281" s="318"/>
      <c r="BF281" s="318"/>
      <c r="BG281" s="318"/>
      <c r="BH281" s="318"/>
      <c r="BI281" s="318"/>
      <c r="BJ281" s="318"/>
      <c r="BK281" s="318"/>
      <c r="BL281" s="318"/>
      <c r="BM281" s="318"/>
      <c r="BN281" s="318"/>
      <c r="BO281" s="318"/>
      <c r="BP281" s="318"/>
      <c r="BQ281" s="318"/>
      <c r="BR281" s="318"/>
      <c r="BS281" s="318"/>
      <c r="BT281" s="295"/>
      <c r="BU281" s="295"/>
      <c r="BV281" s="310"/>
      <c r="BW281" s="310"/>
      <c r="BX281" s="291"/>
      <c r="BY281" s="323"/>
      <c r="BZ281" s="279"/>
      <c r="CA281" s="279"/>
      <c r="CB281" s="280"/>
      <c r="CC281" s="280"/>
      <c r="CD281" s="280"/>
      <c r="CE281" s="280"/>
      <c r="CF281" s="280"/>
    </row>
    <row r="282" spans="1:84" s="326" customFormat="1" ht="15" hidden="1" customHeight="1" x14ac:dyDescent="0.25">
      <c r="A282" s="322" t="str">
        <f>subSTT</f>
        <v>2.15</v>
      </c>
      <c r="B282" s="312" t="s">
        <v>345</v>
      </c>
      <c r="C282" s="312" t="s">
        <v>594</v>
      </c>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c r="AH282" s="318"/>
      <c r="AI282" s="318"/>
      <c r="AJ282" s="323"/>
      <c r="AK282" s="287" t="str">
        <f>A282</f>
        <v>2.15</v>
      </c>
      <c r="AL282" s="312" t="s">
        <v>345</v>
      </c>
      <c r="AM282" s="312" t="s">
        <v>595</v>
      </c>
      <c r="AN282" s="318"/>
      <c r="AO282" s="318"/>
      <c r="AP282" s="318"/>
      <c r="AQ282" s="318"/>
      <c r="AR282" s="318"/>
      <c r="AS282" s="318"/>
      <c r="AT282" s="318"/>
      <c r="AU282" s="318"/>
      <c r="AV282" s="318"/>
      <c r="AW282" s="318"/>
      <c r="AX282" s="318"/>
      <c r="AY282" s="318"/>
      <c r="AZ282" s="318"/>
      <c r="BA282" s="318"/>
      <c r="BB282" s="318"/>
      <c r="BC282" s="318"/>
      <c r="BD282" s="318"/>
      <c r="BE282" s="318"/>
      <c r="BF282" s="318"/>
      <c r="BG282" s="318"/>
      <c r="BH282" s="318"/>
      <c r="BI282" s="318"/>
      <c r="BJ282" s="318"/>
      <c r="BK282" s="318"/>
      <c r="BL282" s="318"/>
      <c r="BM282" s="318"/>
      <c r="BN282" s="318"/>
      <c r="BO282" s="318"/>
      <c r="BP282" s="318"/>
      <c r="BQ282" s="318"/>
      <c r="BR282" s="318"/>
      <c r="BS282" s="318"/>
      <c r="BT282" s="295"/>
      <c r="BU282" s="295"/>
      <c r="BV282" s="310"/>
      <c r="BW282" s="310"/>
      <c r="BX282" s="291"/>
      <c r="BY282" s="323"/>
      <c r="BZ282" s="279"/>
      <c r="CA282" s="279"/>
      <c r="CB282" s="280"/>
      <c r="CC282" s="280"/>
      <c r="CD282" s="280"/>
      <c r="CE282" s="280"/>
      <c r="CF282" s="280"/>
    </row>
    <row r="283" spans="1:84" s="326" customFormat="1" ht="12.95" hidden="1" customHeight="1" x14ac:dyDescent="0.25">
      <c r="A283" s="322"/>
      <c r="B283" s="312"/>
      <c r="C283" s="324" t="s">
        <v>408</v>
      </c>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c r="AE283" s="318"/>
      <c r="AF283" s="318"/>
      <c r="AG283" s="318"/>
      <c r="AH283" s="318"/>
      <c r="AI283" s="318"/>
      <c r="AJ283" s="323"/>
      <c r="AK283" s="287"/>
      <c r="AL283" s="312"/>
      <c r="AM283" s="324" t="s">
        <v>408</v>
      </c>
      <c r="AN283" s="318"/>
      <c r="AO283" s="318"/>
      <c r="AP283" s="318"/>
      <c r="AQ283" s="318"/>
      <c r="AR283" s="318"/>
      <c r="AS283" s="318"/>
      <c r="AT283" s="318"/>
      <c r="AU283" s="318"/>
      <c r="AV283" s="318"/>
      <c r="AW283" s="318"/>
      <c r="AX283" s="318"/>
      <c r="AY283" s="318"/>
      <c r="AZ283" s="318"/>
      <c r="BA283" s="318"/>
      <c r="BB283" s="318"/>
      <c r="BC283" s="318"/>
      <c r="BD283" s="318"/>
      <c r="BE283" s="318"/>
      <c r="BF283" s="318"/>
      <c r="BG283" s="318"/>
      <c r="BH283" s="318"/>
      <c r="BI283" s="318"/>
      <c r="BJ283" s="318"/>
      <c r="BK283" s="318"/>
      <c r="BL283" s="318"/>
      <c r="BM283" s="318"/>
      <c r="BN283" s="318"/>
      <c r="BO283" s="318"/>
      <c r="BP283" s="318"/>
      <c r="BQ283" s="318"/>
      <c r="BR283" s="318"/>
      <c r="BS283" s="318"/>
      <c r="BT283" s="295"/>
      <c r="BU283" s="295"/>
      <c r="BV283" s="310"/>
      <c r="BW283" s="310"/>
      <c r="BX283" s="291"/>
      <c r="BY283" s="323"/>
      <c r="BZ283" s="279"/>
      <c r="CA283" s="279"/>
      <c r="CB283" s="280"/>
      <c r="CC283" s="280"/>
      <c r="CD283" s="280"/>
      <c r="CE283" s="280"/>
      <c r="CF283" s="280"/>
    </row>
    <row r="284" spans="1:84" s="326" customFormat="1" ht="70.5" hidden="1" customHeight="1" x14ac:dyDescent="0.25">
      <c r="A284" s="322"/>
      <c r="B284" s="312"/>
      <c r="C284" s="1603" t="s">
        <v>596</v>
      </c>
      <c r="D284" s="1603"/>
      <c r="E284" s="1603"/>
      <c r="F284" s="1603"/>
      <c r="G284" s="1603"/>
      <c r="H284" s="1603"/>
      <c r="I284" s="1603"/>
      <c r="J284" s="1603"/>
      <c r="K284" s="1603"/>
      <c r="L284" s="1603"/>
      <c r="M284" s="1603"/>
      <c r="N284" s="1603"/>
      <c r="O284" s="1603"/>
      <c r="P284" s="1603"/>
      <c r="Q284" s="1603"/>
      <c r="R284" s="1603"/>
      <c r="S284" s="1603"/>
      <c r="T284" s="1603"/>
      <c r="U284" s="1603"/>
      <c r="V284" s="1603"/>
      <c r="W284" s="1603"/>
      <c r="X284" s="1603"/>
      <c r="Y284" s="1603"/>
      <c r="Z284" s="1603"/>
      <c r="AA284" s="1603"/>
      <c r="AB284" s="1603"/>
      <c r="AC284" s="1603"/>
      <c r="AD284" s="1603"/>
      <c r="AE284" s="1603"/>
      <c r="AF284" s="1603"/>
      <c r="AG284" s="1603"/>
      <c r="AH284" s="1603"/>
      <c r="AI284" s="1603"/>
      <c r="AJ284" s="323"/>
      <c r="AK284" s="287"/>
      <c r="AL284" s="312"/>
      <c r="AM284" s="1603" t="s">
        <v>597</v>
      </c>
      <c r="AN284" s="1603"/>
      <c r="AO284" s="1603"/>
      <c r="AP284" s="1603"/>
      <c r="AQ284" s="1603"/>
      <c r="AR284" s="1603"/>
      <c r="AS284" s="1603"/>
      <c r="AT284" s="1603"/>
      <c r="AU284" s="1603"/>
      <c r="AV284" s="1603"/>
      <c r="AW284" s="1603"/>
      <c r="AX284" s="1603"/>
      <c r="AY284" s="1603"/>
      <c r="AZ284" s="1603"/>
      <c r="BA284" s="1603"/>
      <c r="BB284" s="1603"/>
      <c r="BC284" s="1603"/>
      <c r="BD284" s="1603"/>
      <c r="BE284" s="1603"/>
      <c r="BF284" s="1603"/>
      <c r="BG284" s="1603"/>
      <c r="BH284" s="1603"/>
      <c r="BI284" s="1603"/>
      <c r="BJ284" s="1603"/>
      <c r="BK284" s="1603"/>
      <c r="BL284" s="1603"/>
      <c r="BM284" s="1603"/>
      <c r="BN284" s="1603"/>
      <c r="BO284" s="1603"/>
      <c r="BP284" s="1603"/>
      <c r="BQ284" s="1603"/>
      <c r="BR284" s="1603"/>
      <c r="BS284" s="1603"/>
      <c r="BT284" s="295"/>
      <c r="BU284" s="295"/>
      <c r="BV284" s="310"/>
      <c r="BW284" s="310"/>
      <c r="BX284" s="291"/>
      <c r="BY284" s="323"/>
      <c r="BZ284" s="279"/>
      <c r="CA284" s="279"/>
      <c r="CB284" s="280"/>
      <c r="CC284" s="280"/>
      <c r="CD284" s="280"/>
      <c r="CE284" s="280"/>
      <c r="CF284" s="280"/>
    </row>
    <row r="285" spans="1:84" s="326" customFormat="1" ht="12.95" hidden="1" customHeight="1" x14ac:dyDescent="0.25">
      <c r="A285" s="322"/>
      <c r="B285" s="312"/>
      <c r="C285" s="324"/>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c r="AG285" s="318"/>
      <c r="AH285" s="318"/>
      <c r="AI285" s="318"/>
      <c r="AJ285" s="323"/>
      <c r="AK285" s="287"/>
      <c r="AL285" s="312"/>
      <c r="AM285" s="324"/>
      <c r="AN285" s="318"/>
      <c r="AO285" s="318"/>
      <c r="AP285" s="318"/>
      <c r="AQ285" s="318"/>
      <c r="AR285" s="318"/>
      <c r="AS285" s="318"/>
      <c r="AT285" s="318"/>
      <c r="AU285" s="318"/>
      <c r="AV285" s="318"/>
      <c r="AW285" s="318"/>
      <c r="AX285" s="318"/>
      <c r="AY285" s="318"/>
      <c r="AZ285" s="318"/>
      <c r="BA285" s="318"/>
      <c r="BB285" s="318"/>
      <c r="BC285" s="318"/>
      <c r="BD285" s="318"/>
      <c r="BE285" s="318"/>
      <c r="BF285" s="318"/>
      <c r="BG285" s="318"/>
      <c r="BH285" s="318"/>
      <c r="BI285" s="318"/>
      <c r="BJ285" s="318"/>
      <c r="BK285" s="318"/>
      <c r="BL285" s="318"/>
      <c r="BM285" s="318"/>
      <c r="BN285" s="318"/>
      <c r="BO285" s="318"/>
      <c r="BP285" s="318"/>
      <c r="BQ285" s="318"/>
      <c r="BR285" s="318"/>
      <c r="BS285" s="318"/>
      <c r="BT285" s="295"/>
      <c r="BU285" s="295"/>
      <c r="BV285" s="310"/>
      <c r="BW285" s="310"/>
      <c r="BX285" s="291"/>
      <c r="BY285" s="323"/>
      <c r="BZ285" s="279"/>
      <c r="CA285" s="279"/>
      <c r="CB285" s="280"/>
      <c r="CC285" s="280"/>
      <c r="CD285" s="280"/>
      <c r="CE285" s="280"/>
      <c r="CF285" s="280"/>
    </row>
    <row r="286" spans="1:84" s="326" customFormat="1" ht="27.95" hidden="1" customHeight="1" x14ac:dyDescent="0.25">
      <c r="A286" s="322"/>
      <c r="B286" s="312"/>
      <c r="C286" s="1603" t="s">
        <v>598</v>
      </c>
      <c r="D286" s="1603"/>
      <c r="E286" s="1603"/>
      <c r="F286" s="1603"/>
      <c r="G286" s="1603"/>
      <c r="H286" s="1603"/>
      <c r="I286" s="1603"/>
      <c r="J286" s="1603"/>
      <c r="K286" s="1603"/>
      <c r="L286" s="1603"/>
      <c r="M286" s="1603"/>
      <c r="N286" s="1603"/>
      <c r="O286" s="1603"/>
      <c r="P286" s="1603"/>
      <c r="Q286" s="1603"/>
      <c r="R286" s="1603"/>
      <c r="S286" s="1603"/>
      <c r="T286" s="1603"/>
      <c r="U286" s="1603"/>
      <c r="V286" s="1603"/>
      <c r="W286" s="1603"/>
      <c r="X286" s="1603"/>
      <c r="Y286" s="1603"/>
      <c r="Z286" s="1603"/>
      <c r="AA286" s="1603"/>
      <c r="AB286" s="1603"/>
      <c r="AC286" s="1603"/>
      <c r="AD286" s="1603"/>
      <c r="AE286" s="1603"/>
      <c r="AF286" s="1603"/>
      <c r="AG286" s="1603"/>
      <c r="AH286" s="1603"/>
      <c r="AI286" s="1603"/>
      <c r="AJ286" s="323"/>
      <c r="AK286" s="287"/>
      <c r="AL286" s="312"/>
      <c r="AM286" s="1603" t="s">
        <v>599</v>
      </c>
      <c r="AN286" s="1603"/>
      <c r="AO286" s="1603"/>
      <c r="AP286" s="1603"/>
      <c r="AQ286" s="1603"/>
      <c r="AR286" s="1603"/>
      <c r="AS286" s="1603"/>
      <c r="AT286" s="1603"/>
      <c r="AU286" s="1603"/>
      <c r="AV286" s="1603"/>
      <c r="AW286" s="1603"/>
      <c r="AX286" s="1603"/>
      <c r="AY286" s="1603"/>
      <c r="AZ286" s="1603"/>
      <c r="BA286" s="1603"/>
      <c r="BB286" s="1603"/>
      <c r="BC286" s="1603"/>
      <c r="BD286" s="1603"/>
      <c r="BE286" s="1603"/>
      <c r="BF286" s="1603"/>
      <c r="BG286" s="1603"/>
      <c r="BH286" s="1603"/>
      <c r="BI286" s="1603"/>
      <c r="BJ286" s="1603"/>
      <c r="BK286" s="1603"/>
      <c r="BL286" s="1603"/>
      <c r="BM286" s="1603"/>
      <c r="BN286" s="1603"/>
      <c r="BO286" s="1603"/>
      <c r="BP286" s="1603"/>
      <c r="BQ286" s="1603"/>
      <c r="BR286" s="1603"/>
      <c r="BS286" s="1603"/>
      <c r="BT286" s="295"/>
      <c r="BU286" s="295"/>
      <c r="BV286" s="310"/>
      <c r="BW286" s="310"/>
      <c r="BX286" s="291"/>
      <c r="BY286" s="323"/>
      <c r="BZ286" s="279"/>
      <c r="CA286" s="279"/>
      <c r="CB286" s="280"/>
      <c r="CC286" s="280"/>
      <c r="CD286" s="280"/>
      <c r="CE286" s="280"/>
      <c r="CF286" s="280"/>
    </row>
    <row r="287" spans="1:84" s="326" customFormat="1" ht="12.95" hidden="1" customHeight="1" x14ac:dyDescent="0.25">
      <c r="A287" s="322"/>
      <c r="B287" s="312"/>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c r="AE287" s="318"/>
      <c r="AF287" s="318"/>
      <c r="AG287" s="318"/>
      <c r="AH287" s="318"/>
      <c r="AI287" s="318"/>
      <c r="AJ287" s="323"/>
      <c r="AK287" s="287"/>
      <c r="AL287" s="312"/>
      <c r="AM287" s="318"/>
      <c r="AN287" s="318"/>
      <c r="AO287" s="318"/>
      <c r="AP287" s="318"/>
      <c r="AQ287" s="318"/>
      <c r="AR287" s="318"/>
      <c r="AS287" s="318"/>
      <c r="AT287" s="318"/>
      <c r="AU287" s="318"/>
      <c r="AV287" s="318"/>
      <c r="AW287" s="318"/>
      <c r="AX287" s="318"/>
      <c r="AY287" s="318"/>
      <c r="AZ287" s="318"/>
      <c r="BA287" s="318"/>
      <c r="BB287" s="318"/>
      <c r="BC287" s="318"/>
      <c r="BD287" s="318"/>
      <c r="BE287" s="318"/>
      <c r="BF287" s="318"/>
      <c r="BG287" s="318"/>
      <c r="BH287" s="318"/>
      <c r="BI287" s="318"/>
      <c r="BJ287" s="318"/>
      <c r="BK287" s="318"/>
      <c r="BL287" s="318"/>
      <c r="BM287" s="318"/>
      <c r="BN287" s="318"/>
      <c r="BO287" s="318"/>
      <c r="BP287" s="318"/>
      <c r="BQ287" s="318"/>
      <c r="BR287" s="318"/>
      <c r="BS287" s="318"/>
      <c r="BT287" s="295"/>
      <c r="BU287" s="295"/>
      <c r="BV287" s="310"/>
      <c r="BW287" s="310"/>
      <c r="BX287" s="291"/>
      <c r="BY287" s="323"/>
      <c r="BZ287" s="279"/>
      <c r="CA287" s="279"/>
      <c r="CB287" s="280"/>
      <c r="CC287" s="280"/>
      <c r="CD287" s="280"/>
      <c r="CE287" s="280"/>
      <c r="CF287" s="280"/>
    </row>
    <row r="288" spans="1:84" s="326" customFormat="1" ht="27.95" hidden="1" customHeight="1" x14ac:dyDescent="0.25">
      <c r="A288" s="322"/>
      <c r="B288" s="312"/>
      <c r="C288" s="1605" t="s">
        <v>600</v>
      </c>
      <c r="D288" s="1605"/>
      <c r="E288" s="1605"/>
      <c r="F288" s="1605"/>
      <c r="G288" s="1605"/>
      <c r="H288" s="1605"/>
      <c r="I288" s="1605"/>
      <c r="J288" s="1605"/>
      <c r="K288" s="1605"/>
      <c r="L288" s="1605"/>
      <c r="M288" s="1605"/>
      <c r="N288" s="1605"/>
      <c r="O288" s="1605"/>
      <c r="P288" s="1605"/>
      <c r="Q288" s="1605"/>
      <c r="R288" s="1605"/>
      <c r="S288" s="1605"/>
      <c r="T288" s="1605"/>
      <c r="U288" s="1605"/>
      <c r="V288" s="1605"/>
      <c r="W288" s="1605"/>
      <c r="X288" s="1605"/>
      <c r="Y288" s="1605"/>
      <c r="Z288" s="1605"/>
      <c r="AA288" s="1605"/>
      <c r="AB288" s="1605"/>
      <c r="AC288" s="1605"/>
      <c r="AD288" s="1605"/>
      <c r="AE288" s="1605"/>
      <c r="AF288" s="1605"/>
      <c r="AG288" s="1605"/>
      <c r="AH288" s="1605"/>
      <c r="AI288" s="1605"/>
      <c r="AJ288" s="323"/>
      <c r="AK288" s="287"/>
      <c r="AL288" s="312"/>
      <c r="AM288" s="1605" t="s">
        <v>600</v>
      </c>
      <c r="AN288" s="1605"/>
      <c r="AO288" s="1605"/>
      <c r="AP288" s="1605"/>
      <c r="AQ288" s="1605"/>
      <c r="AR288" s="1605"/>
      <c r="AS288" s="1605"/>
      <c r="AT288" s="1605"/>
      <c r="AU288" s="1605"/>
      <c r="AV288" s="1605"/>
      <c r="AW288" s="1605"/>
      <c r="AX288" s="1605"/>
      <c r="AY288" s="1605"/>
      <c r="AZ288" s="1605"/>
      <c r="BA288" s="1605"/>
      <c r="BB288" s="1605"/>
      <c r="BC288" s="1605"/>
      <c r="BD288" s="1605"/>
      <c r="BE288" s="1605"/>
      <c r="BF288" s="1605"/>
      <c r="BG288" s="1605"/>
      <c r="BH288" s="1605"/>
      <c r="BI288" s="1605"/>
      <c r="BJ288" s="1605"/>
      <c r="BK288" s="1605"/>
      <c r="BL288" s="1605"/>
      <c r="BM288" s="1605"/>
      <c r="BN288" s="1605"/>
      <c r="BO288" s="1605"/>
      <c r="BP288" s="1605"/>
      <c r="BQ288" s="1605"/>
      <c r="BR288" s="1605"/>
      <c r="BS288" s="1605"/>
      <c r="BT288" s="295"/>
      <c r="BU288" s="295"/>
      <c r="BV288" s="310"/>
      <c r="BW288" s="310"/>
      <c r="BX288" s="291"/>
      <c r="BY288" s="323"/>
      <c r="BZ288" s="279"/>
      <c r="CA288" s="279"/>
      <c r="CB288" s="280"/>
      <c r="CC288" s="280"/>
      <c r="CD288" s="280"/>
      <c r="CE288" s="280"/>
      <c r="CF288" s="280"/>
    </row>
    <row r="289" spans="1:84" s="326" customFormat="1" ht="12.95" hidden="1" customHeight="1" x14ac:dyDescent="0.25">
      <c r="A289" s="322"/>
      <c r="B289" s="312"/>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318"/>
      <c r="AF289" s="318"/>
      <c r="AG289" s="318"/>
      <c r="AH289" s="318"/>
      <c r="AI289" s="318"/>
      <c r="AJ289" s="323"/>
      <c r="AK289" s="287"/>
      <c r="AL289" s="312"/>
      <c r="AM289" s="318"/>
      <c r="AN289" s="318"/>
      <c r="AO289" s="318"/>
      <c r="AP289" s="318"/>
      <c r="AQ289" s="318"/>
      <c r="AR289" s="318"/>
      <c r="AS289" s="318"/>
      <c r="AT289" s="318"/>
      <c r="AU289" s="318"/>
      <c r="AV289" s="318"/>
      <c r="AW289" s="318"/>
      <c r="AX289" s="318"/>
      <c r="AY289" s="318"/>
      <c r="AZ289" s="318"/>
      <c r="BA289" s="318"/>
      <c r="BB289" s="318"/>
      <c r="BC289" s="318"/>
      <c r="BD289" s="318"/>
      <c r="BE289" s="318"/>
      <c r="BF289" s="318"/>
      <c r="BG289" s="318"/>
      <c r="BH289" s="318"/>
      <c r="BI289" s="318"/>
      <c r="BJ289" s="318"/>
      <c r="BK289" s="318"/>
      <c r="BL289" s="318"/>
      <c r="BM289" s="318"/>
      <c r="BN289" s="318"/>
      <c r="BO289" s="318"/>
      <c r="BP289" s="318"/>
      <c r="BQ289" s="318"/>
      <c r="BR289" s="318"/>
      <c r="BS289" s="318"/>
      <c r="BT289" s="295"/>
      <c r="BU289" s="295"/>
      <c r="BV289" s="310"/>
      <c r="BW289" s="310"/>
      <c r="BX289" s="291"/>
      <c r="BY289" s="323"/>
      <c r="BZ289" s="279"/>
      <c r="CA289" s="279"/>
      <c r="CB289" s="280"/>
      <c r="CC289" s="280"/>
      <c r="CD289" s="280"/>
      <c r="CE289" s="280"/>
      <c r="CF289" s="280"/>
    </row>
    <row r="290" spans="1:84" s="326" customFormat="1" ht="54.95" hidden="1" customHeight="1" x14ac:dyDescent="0.25">
      <c r="A290" s="322"/>
      <c r="B290" s="312"/>
      <c r="C290" s="1603" t="str">
        <f>CONCATENATE("Doanh thu chưa thực hiện đối với hoạt động bán hàng cho khách hàng thân thiết (VIP/truyền thống...) là giá trị hợp lý của hàng hóa, dịch vụ mà "&amp;LoaiCT_V&amp;" sẽ cung cấp miễn phí (hoặc số tiền phải chiết khấu, giảm giá) cho người mua khi người mua đạt được các điều kiện theo quy định của chương trình khách hàng thân thiết (VIP/truyền thống/....).")</f>
        <v>Doanh thu chưa thực hiện đối với hoạt động bán hàng cho khách hàng thân thiết (VIP/truyền thống...) là giá trị hợp lý của hàng hóa, dịch vụ mà Công ty sẽ cung cấp miễn phí (hoặc số tiền phải chiết khấu, giảm giá) cho người mua khi người mua đạt được các điều kiện theo quy định của chương trình khách hàng thân thiết (VIP/truyền thống/....).</v>
      </c>
      <c r="D290" s="1603"/>
      <c r="E290" s="1603"/>
      <c r="F290" s="1603"/>
      <c r="G290" s="1603"/>
      <c r="H290" s="1603"/>
      <c r="I290" s="1603"/>
      <c r="J290" s="1603"/>
      <c r="K290" s="1603"/>
      <c r="L290" s="1603"/>
      <c r="M290" s="1603"/>
      <c r="N290" s="1603"/>
      <c r="O290" s="1603"/>
      <c r="P290" s="1603"/>
      <c r="Q290" s="1603"/>
      <c r="R290" s="1603"/>
      <c r="S290" s="1603"/>
      <c r="T290" s="1603"/>
      <c r="U290" s="1603"/>
      <c r="V290" s="1603"/>
      <c r="W290" s="1603"/>
      <c r="X290" s="1603"/>
      <c r="Y290" s="1603"/>
      <c r="Z290" s="1603"/>
      <c r="AA290" s="1603"/>
      <c r="AB290" s="1603"/>
      <c r="AC290" s="1603"/>
      <c r="AD290" s="1603"/>
      <c r="AE290" s="1603"/>
      <c r="AF290" s="1603"/>
      <c r="AG290" s="1603"/>
      <c r="AH290" s="1603"/>
      <c r="AI290" s="1603"/>
      <c r="AJ290" s="323"/>
      <c r="AK290" s="287"/>
      <c r="AL290" s="312"/>
      <c r="AM290" s="1603" t="s">
        <v>601</v>
      </c>
      <c r="AN290" s="1603"/>
      <c r="AO290" s="1603"/>
      <c r="AP290" s="1603"/>
      <c r="AQ290" s="1603"/>
      <c r="AR290" s="1603"/>
      <c r="AS290" s="1603"/>
      <c r="AT290" s="1603"/>
      <c r="AU290" s="1603"/>
      <c r="AV290" s="1603"/>
      <c r="AW290" s="1603"/>
      <c r="AX290" s="1603"/>
      <c r="AY290" s="1603"/>
      <c r="AZ290" s="1603"/>
      <c r="BA290" s="1603"/>
      <c r="BB290" s="1603"/>
      <c r="BC290" s="1603"/>
      <c r="BD290" s="1603"/>
      <c r="BE290" s="1603"/>
      <c r="BF290" s="1603"/>
      <c r="BG290" s="1603"/>
      <c r="BH290" s="1603"/>
      <c r="BI290" s="1603"/>
      <c r="BJ290" s="1603"/>
      <c r="BK290" s="1603"/>
      <c r="BL290" s="1603"/>
      <c r="BM290" s="1603"/>
      <c r="BN290" s="1603"/>
      <c r="BO290" s="1603"/>
      <c r="BP290" s="1603"/>
      <c r="BQ290" s="1603"/>
      <c r="BR290" s="1603"/>
      <c r="BS290" s="1603"/>
      <c r="BT290" s="295"/>
      <c r="BU290" s="295"/>
      <c r="BV290" s="310"/>
      <c r="BW290" s="310"/>
      <c r="BX290" s="291"/>
      <c r="BY290" s="323"/>
      <c r="BZ290" s="279"/>
      <c r="CA290" s="279"/>
      <c r="CB290" s="280"/>
      <c r="CC290" s="280"/>
      <c r="CD290" s="280"/>
      <c r="CE290" s="280"/>
      <c r="CF290" s="280"/>
    </row>
    <row r="291" spans="1:84" s="326" customFormat="1" ht="2.1" hidden="1" customHeight="1" x14ac:dyDescent="0.25">
      <c r="A291" s="322"/>
      <c r="B291" s="312"/>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318"/>
      <c r="AF291" s="318"/>
      <c r="AG291" s="318"/>
      <c r="AH291" s="318"/>
      <c r="AI291" s="318"/>
      <c r="AJ291" s="323"/>
      <c r="AK291" s="287"/>
      <c r="AL291" s="312"/>
      <c r="AM291" s="318"/>
      <c r="AN291" s="318"/>
      <c r="AO291" s="318"/>
      <c r="AP291" s="318"/>
      <c r="AQ291" s="318"/>
      <c r="AR291" s="318"/>
      <c r="AS291" s="318"/>
      <c r="AT291" s="318"/>
      <c r="AU291" s="318"/>
      <c r="AV291" s="318"/>
      <c r="AW291" s="318"/>
      <c r="AX291" s="318"/>
      <c r="AY291" s="318"/>
      <c r="AZ291" s="318"/>
      <c r="BA291" s="318"/>
      <c r="BB291" s="318"/>
      <c r="BC291" s="318"/>
      <c r="BD291" s="318"/>
      <c r="BE291" s="318"/>
      <c r="BF291" s="318"/>
      <c r="BG291" s="318"/>
      <c r="BH291" s="318"/>
      <c r="BI291" s="318"/>
      <c r="BJ291" s="318"/>
      <c r="BK291" s="318"/>
      <c r="BL291" s="318"/>
      <c r="BM291" s="318"/>
      <c r="BN291" s="318"/>
      <c r="BO291" s="318"/>
      <c r="BP291" s="318"/>
      <c r="BQ291" s="318"/>
      <c r="BR291" s="318"/>
      <c r="BS291" s="318"/>
      <c r="BT291" s="295"/>
      <c r="BU291" s="295"/>
      <c r="BV291" s="310"/>
      <c r="BW291" s="310"/>
      <c r="BX291" s="291"/>
      <c r="BY291" s="323"/>
      <c r="BZ291" s="279"/>
      <c r="CA291" s="279"/>
      <c r="CB291" s="280"/>
      <c r="CC291" s="280"/>
      <c r="CD291" s="280"/>
      <c r="CE291" s="280"/>
      <c r="CF291" s="280"/>
    </row>
    <row r="292" spans="1:84" s="326" customFormat="1" ht="12.95" hidden="1" customHeight="1" x14ac:dyDescent="0.25">
      <c r="A292" s="322"/>
      <c r="B292" s="312"/>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c r="AE292" s="318"/>
      <c r="AF292" s="318"/>
      <c r="AG292" s="318"/>
      <c r="AH292" s="318"/>
      <c r="AI292" s="318"/>
      <c r="AJ292" s="323"/>
      <c r="AK292" s="287"/>
      <c r="AL292" s="312"/>
      <c r="AM292" s="318"/>
      <c r="AN292" s="318"/>
      <c r="AO292" s="318"/>
      <c r="AP292" s="318"/>
      <c r="AQ292" s="318"/>
      <c r="AR292" s="318"/>
      <c r="AS292" s="318"/>
      <c r="AT292" s="318"/>
      <c r="AU292" s="318"/>
      <c r="AV292" s="318"/>
      <c r="AW292" s="318"/>
      <c r="AX292" s="318"/>
      <c r="AY292" s="318"/>
      <c r="AZ292" s="318"/>
      <c r="BA292" s="318"/>
      <c r="BB292" s="318"/>
      <c r="BC292" s="318"/>
      <c r="BD292" s="318"/>
      <c r="BE292" s="318"/>
      <c r="BF292" s="318"/>
      <c r="BG292" s="318"/>
      <c r="BH292" s="318"/>
      <c r="BI292" s="318"/>
      <c r="BJ292" s="318"/>
      <c r="BK292" s="318"/>
      <c r="BL292" s="318"/>
      <c r="BM292" s="318"/>
      <c r="BN292" s="318"/>
      <c r="BO292" s="318"/>
      <c r="BP292" s="318"/>
      <c r="BQ292" s="318"/>
      <c r="BR292" s="318"/>
      <c r="BS292" s="318"/>
      <c r="BT292" s="295"/>
      <c r="BU292" s="295"/>
      <c r="BV292" s="310"/>
      <c r="BW292" s="310"/>
      <c r="BX292" s="291"/>
      <c r="BY292" s="323"/>
      <c r="BZ292" s="279"/>
      <c r="CA292" s="279"/>
      <c r="CB292" s="280"/>
      <c r="CC292" s="280"/>
      <c r="CD292" s="280"/>
      <c r="CE292" s="280"/>
      <c r="CF292" s="280"/>
    </row>
    <row r="293" spans="1:84" s="326" customFormat="1" ht="15" hidden="1" customHeight="1" x14ac:dyDescent="0.25">
      <c r="A293" s="322" t="str">
        <f>subSTT</f>
        <v>2.15</v>
      </c>
      <c r="B293" s="312" t="s">
        <v>345</v>
      </c>
      <c r="C293" s="312" t="s">
        <v>602</v>
      </c>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c r="AE293" s="318"/>
      <c r="AF293" s="318"/>
      <c r="AG293" s="318"/>
      <c r="AH293" s="318"/>
      <c r="AI293" s="318"/>
      <c r="AJ293" s="323"/>
      <c r="AK293" s="287" t="str">
        <f>A293</f>
        <v>2.15</v>
      </c>
      <c r="AL293" s="312" t="s">
        <v>345</v>
      </c>
      <c r="AM293" s="312" t="s">
        <v>603</v>
      </c>
      <c r="AN293" s="318"/>
      <c r="AO293" s="318"/>
      <c r="AP293" s="318"/>
      <c r="AQ293" s="318"/>
      <c r="AR293" s="318"/>
      <c r="AS293" s="318"/>
      <c r="AT293" s="318"/>
      <c r="AU293" s="318"/>
      <c r="AV293" s="318"/>
      <c r="AW293" s="318"/>
      <c r="AX293" s="318"/>
      <c r="AY293" s="318"/>
      <c r="AZ293" s="318"/>
      <c r="BA293" s="318"/>
      <c r="BB293" s="318"/>
      <c r="BC293" s="318"/>
      <c r="BD293" s="318"/>
      <c r="BE293" s="318"/>
      <c r="BF293" s="318"/>
      <c r="BG293" s="318"/>
      <c r="BH293" s="318"/>
      <c r="BI293" s="318"/>
      <c r="BJ293" s="318"/>
      <c r="BK293" s="318"/>
      <c r="BL293" s="318"/>
      <c r="BM293" s="318"/>
      <c r="BN293" s="318"/>
      <c r="BO293" s="318"/>
      <c r="BP293" s="318"/>
      <c r="BQ293" s="318"/>
      <c r="BR293" s="318"/>
      <c r="BS293" s="318"/>
      <c r="BT293" s="295"/>
      <c r="BU293" s="295"/>
      <c r="BV293" s="310"/>
      <c r="BW293" s="310"/>
      <c r="BX293" s="291"/>
      <c r="BY293" s="323"/>
      <c r="BZ293" s="279"/>
      <c r="CA293" s="279"/>
      <c r="CB293" s="280"/>
      <c r="CC293" s="280"/>
      <c r="CD293" s="280"/>
      <c r="CE293" s="280"/>
      <c r="CF293" s="280"/>
    </row>
    <row r="294" spans="1:84" s="326" customFormat="1" ht="12.95" hidden="1" customHeight="1" x14ac:dyDescent="0.25">
      <c r="A294" s="322"/>
      <c r="B294" s="312"/>
      <c r="C294" s="324" t="s">
        <v>408</v>
      </c>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c r="AE294" s="318"/>
      <c r="AF294" s="318"/>
      <c r="AG294" s="318"/>
      <c r="AH294" s="318"/>
      <c r="AI294" s="318"/>
      <c r="AJ294" s="323"/>
      <c r="AK294" s="287"/>
      <c r="AL294" s="312"/>
      <c r="AM294" s="324" t="s">
        <v>408</v>
      </c>
      <c r="AN294" s="318"/>
      <c r="AO294" s="318"/>
      <c r="AP294" s="318"/>
      <c r="AQ294" s="318"/>
      <c r="AR294" s="318"/>
      <c r="AS294" s="318"/>
      <c r="AT294" s="318"/>
      <c r="AU294" s="318"/>
      <c r="AV294" s="318"/>
      <c r="AW294" s="318"/>
      <c r="AX294" s="318"/>
      <c r="AY294" s="318"/>
      <c r="AZ294" s="318"/>
      <c r="BA294" s="318"/>
      <c r="BB294" s="318"/>
      <c r="BC294" s="318"/>
      <c r="BD294" s="318"/>
      <c r="BE294" s="318"/>
      <c r="BF294" s="318"/>
      <c r="BG294" s="318"/>
      <c r="BH294" s="318"/>
      <c r="BI294" s="318"/>
      <c r="BJ294" s="318"/>
      <c r="BK294" s="318"/>
      <c r="BL294" s="318"/>
      <c r="BM294" s="318"/>
      <c r="BN294" s="318"/>
      <c r="BO294" s="318"/>
      <c r="BP294" s="318"/>
      <c r="BQ294" s="318"/>
      <c r="BR294" s="318"/>
      <c r="BS294" s="318"/>
      <c r="BT294" s="295"/>
      <c r="BU294" s="295"/>
      <c r="BV294" s="310"/>
      <c r="BW294" s="310"/>
      <c r="BX294" s="291"/>
      <c r="BY294" s="323"/>
      <c r="BZ294" s="279"/>
      <c r="CA294" s="279"/>
      <c r="CB294" s="280"/>
      <c r="CC294" s="280"/>
      <c r="CD294" s="280"/>
      <c r="CE294" s="280"/>
      <c r="CF294" s="280"/>
    </row>
    <row r="295" spans="1:84" s="326" customFormat="1" ht="27.95" hidden="1" customHeight="1" x14ac:dyDescent="0.25">
      <c r="A295" s="322"/>
      <c r="B295" s="312"/>
      <c r="C295" s="1603" t="s">
        <v>604</v>
      </c>
      <c r="D295" s="1603"/>
      <c r="E295" s="1603"/>
      <c r="F295" s="1603"/>
      <c r="G295" s="1603"/>
      <c r="H295" s="1603"/>
      <c r="I295" s="1603"/>
      <c r="J295" s="1603"/>
      <c r="K295" s="1603"/>
      <c r="L295" s="1603"/>
      <c r="M295" s="1603"/>
      <c r="N295" s="1603"/>
      <c r="O295" s="1603"/>
      <c r="P295" s="1603"/>
      <c r="Q295" s="1603"/>
      <c r="R295" s="1603"/>
      <c r="S295" s="1603"/>
      <c r="T295" s="1603"/>
      <c r="U295" s="1603"/>
      <c r="V295" s="1603"/>
      <c r="W295" s="1603"/>
      <c r="X295" s="1603"/>
      <c r="Y295" s="1603"/>
      <c r="Z295" s="1603"/>
      <c r="AA295" s="1603"/>
      <c r="AB295" s="1603"/>
      <c r="AC295" s="1603"/>
      <c r="AD295" s="1603"/>
      <c r="AE295" s="1603"/>
      <c r="AF295" s="1603"/>
      <c r="AG295" s="1603"/>
      <c r="AH295" s="1603"/>
      <c r="AI295" s="1603"/>
      <c r="AJ295" s="323"/>
      <c r="AK295" s="287"/>
      <c r="AL295" s="312"/>
      <c r="AM295" s="1603" t="s">
        <v>605</v>
      </c>
      <c r="AN295" s="1603"/>
      <c r="AO295" s="1603"/>
      <c r="AP295" s="1603"/>
      <c r="AQ295" s="1603"/>
      <c r="AR295" s="1603"/>
      <c r="AS295" s="1603"/>
      <c r="AT295" s="1603"/>
      <c r="AU295" s="1603"/>
      <c r="AV295" s="1603"/>
      <c r="AW295" s="1603"/>
      <c r="AX295" s="1603"/>
      <c r="AY295" s="1603"/>
      <c r="AZ295" s="1603"/>
      <c r="BA295" s="1603"/>
      <c r="BB295" s="1603"/>
      <c r="BC295" s="1603"/>
      <c r="BD295" s="1603"/>
      <c r="BE295" s="1603"/>
      <c r="BF295" s="1603"/>
      <c r="BG295" s="1603"/>
      <c r="BH295" s="1603"/>
      <c r="BI295" s="1603"/>
      <c r="BJ295" s="1603"/>
      <c r="BK295" s="1603"/>
      <c r="BL295" s="1603"/>
      <c r="BM295" s="1603"/>
      <c r="BN295" s="1603"/>
      <c r="BO295" s="1603"/>
      <c r="BP295" s="1603"/>
      <c r="BQ295" s="1603"/>
      <c r="BR295" s="1603"/>
      <c r="BS295" s="1603"/>
      <c r="BT295" s="295"/>
      <c r="BU295" s="295"/>
      <c r="BV295" s="310"/>
      <c r="BW295" s="310"/>
      <c r="BX295" s="291"/>
      <c r="BY295" s="323"/>
      <c r="BZ295" s="279"/>
      <c r="CA295" s="279"/>
      <c r="CB295" s="280"/>
      <c r="CC295" s="280"/>
      <c r="CD295" s="280"/>
      <c r="CE295" s="280"/>
      <c r="CF295" s="280"/>
    </row>
    <row r="296" spans="1:84" s="326" customFormat="1" ht="12.95" hidden="1" customHeight="1" x14ac:dyDescent="0.25">
      <c r="A296" s="322"/>
      <c r="B296" s="312"/>
      <c r="C296" s="324"/>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c r="AE296" s="318"/>
      <c r="AF296" s="318"/>
      <c r="AG296" s="318"/>
      <c r="AH296" s="318"/>
      <c r="AI296" s="318"/>
      <c r="AJ296" s="323"/>
      <c r="AK296" s="287"/>
      <c r="AL296" s="312"/>
      <c r="AM296" s="324"/>
      <c r="AN296" s="318"/>
      <c r="AO296" s="318"/>
      <c r="AP296" s="318"/>
      <c r="AQ296" s="318"/>
      <c r="AR296" s="318"/>
      <c r="AS296" s="318"/>
      <c r="AT296" s="318"/>
      <c r="AU296" s="318"/>
      <c r="AV296" s="318"/>
      <c r="AW296" s="318"/>
      <c r="AX296" s="318"/>
      <c r="AY296" s="318"/>
      <c r="AZ296" s="318"/>
      <c r="BA296" s="318"/>
      <c r="BB296" s="318"/>
      <c r="BC296" s="318"/>
      <c r="BD296" s="318"/>
      <c r="BE296" s="318"/>
      <c r="BF296" s="318"/>
      <c r="BG296" s="318"/>
      <c r="BH296" s="318"/>
      <c r="BI296" s="318"/>
      <c r="BJ296" s="318"/>
      <c r="BK296" s="318"/>
      <c r="BL296" s="318"/>
      <c r="BM296" s="318"/>
      <c r="BN296" s="318"/>
      <c r="BO296" s="318"/>
      <c r="BP296" s="318"/>
      <c r="BQ296" s="318"/>
      <c r="BR296" s="318"/>
      <c r="BS296" s="318"/>
      <c r="BT296" s="295"/>
      <c r="BU296" s="295"/>
      <c r="BV296" s="310"/>
      <c r="BW296" s="310"/>
      <c r="BX296" s="291"/>
      <c r="BY296" s="323"/>
      <c r="BZ296" s="279"/>
      <c r="CA296" s="279"/>
      <c r="CB296" s="280"/>
      <c r="CC296" s="280"/>
      <c r="CD296" s="280"/>
      <c r="CE296" s="280"/>
      <c r="CF296" s="280"/>
    </row>
    <row r="297" spans="1:84" s="326" customFormat="1" ht="54.95" hidden="1" customHeight="1" x14ac:dyDescent="0.25">
      <c r="A297" s="322"/>
      <c r="B297" s="312"/>
      <c r="C297" s="1603" t="str">
        <f>CONCATENATE("Tại thời điểm ghi nhận ban đầu, khi phát hành trái phiếu chuyển đổi, "&amp;LoaiCT_V&amp;" tính toán và xác định riêng biệt giá trị cấu phần nợ (nợ gốc) và cấu phần vốn của trái phiếu chuyển đổi. Phần nợ gốc của trái phiếu chuyển đổi được ghi nhận là"&amp;" nợ phải trả; cấu phần vốn (quyền chọn cổ phiếu) của trái phiếu chuyển đổi được ghi nhận là vốn chủ sở hữu.")</f>
        <v>Tại thời điểm ghi nhận ban đầu, khi phát hành trái phiếu chuyển đổi, Công ty tính toán và xác định riêng biệt giá trị cấu phần nợ (nợ gốc) và cấu phần vốn của trái phiếu chuyển đổi. Phần nợ gốc của trái phiếu chuyển đổi được ghi nhận là nợ phải trả; cấu phần vốn (quyền chọn cổ phiếu) của trái phiếu chuyển đổi được ghi nhận là vốn chủ sở hữu.</v>
      </c>
      <c r="D297" s="1603"/>
      <c r="E297" s="1603"/>
      <c r="F297" s="1603"/>
      <c r="G297" s="1603"/>
      <c r="H297" s="1603"/>
      <c r="I297" s="1603"/>
      <c r="J297" s="1603"/>
      <c r="K297" s="1603"/>
      <c r="L297" s="1603"/>
      <c r="M297" s="1603"/>
      <c r="N297" s="1603"/>
      <c r="O297" s="1603"/>
      <c r="P297" s="1603"/>
      <c r="Q297" s="1603"/>
      <c r="R297" s="1603"/>
      <c r="S297" s="1603"/>
      <c r="T297" s="1603"/>
      <c r="U297" s="1603"/>
      <c r="V297" s="1603"/>
      <c r="W297" s="1603"/>
      <c r="X297" s="1603"/>
      <c r="Y297" s="1603"/>
      <c r="Z297" s="1603"/>
      <c r="AA297" s="1603"/>
      <c r="AB297" s="1603"/>
      <c r="AC297" s="1603"/>
      <c r="AD297" s="1603"/>
      <c r="AE297" s="1603"/>
      <c r="AF297" s="1603"/>
      <c r="AG297" s="1603"/>
      <c r="AH297" s="1603"/>
      <c r="AI297" s="1603"/>
      <c r="AJ297" s="323"/>
      <c r="AK297" s="287"/>
      <c r="AL297" s="312"/>
      <c r="AM297" s="1603" t="str">
        <f>CONCATENATE("At the time of initial record, when issuing convertible bonds, the ",LoaiCT_E," must calculate and determine separately value of the debt component"," (principal debt) and capital component of convertible bonds. Principal debt of convertible bonds is recorded as liabilities; component of capital (stock options) of convertible bonds is recorded as owner’s equity.")</f>
        <v>At the time of initial record, when issuing convertible bonds, the Corporation must calculate and determine separately value of the debt component (principal debt) and capital component of convertible bonds. Principal debt of convertible bonds is recorded as liabilities; component of capital (stock options) of convertible bonds is recorded as owner’s equity.</v>
      </c>
      <c r="AN297" s="1603"/>
      <c r="AO297" s="1603"/>
      <c r="AP297" s="1603"/>
      <c r="AQ297" s="1603"/>
      <c r="AR297" s="1603"/>
      <c r="AS297" s="1603"/>
      <c r="AT297" s="1603"/>
      <c r="AU297" s="1603"/>
      <c r="AV297" s="1603"/>
      <c r="AW297" s="1603"/>
      <c r="AX297" s="1603"/>
      <c r="AY297" s="1603"/>
      <c r="AZ297" s="1603"/>
      <c r="BA297" s="1603"/>
      <c r="BB297" s="1603"/>
      <c r="BC297" s="1603"/>
      <c r="BD297" s="1603"/>
      <c r="BE297" s="1603"/>
      <c r="BF297" s="1603"/>
      <c r="BG297" s="1603"/>
      <c r="BH297" s="1603"/>
      <c r="BI297" s="1603"/>
      <c r="BJ297" s="1603"/>
      <c r="BK297" s="1603"/>
      <c r="BL297" s="1603"/>
      <c r="BM297" s="1603"/>
      <c r="BN297" s="1603"/>
      <c r="BO297" s="1603"/>
      <c r="BP297" s="1603"/>
      <c r="BQ297" s="1603"/>
      <c r="BR297" s="1603"/>
      <c r="BS297" s="1603"/>
      <c r="BT297" s="295"/>
      <c r="BU297" s="295"/>
      <c r="BV297" s="310"/>
      <c r="BW297" s="310"/>
      <c r="BX297" s="291"/>
      <c r="BY297" s="323"/>
      <c r="BZ297" s="279"/>
      <c r="CA297" s="279"/>
      <c r="CB297" s="280"/>
      <c r="CC297" s="280"/>
      <c r="CD297" s="280"/>
      <c r="CE297" s="280"/>
      <c r="CF297" s="280"/>
    </row>
    <row r="298" spans="1:84" s="326" customFormat="1" ht="12.95" hidden="1" customHeight="1" x14ac:dyDescent="0.25">
      <c r="A298" s="322"/>
      <c r="B298" s="312"/>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c r="AE298" s="318"/>
      <c r="AF298" s="318"/>
      <c r="AG298" s="318"/>
      <c r="AH298" s="318"/>
      <c r="AI298" s="318"/>
      <c r="AJ298" s="323"/>
      <c r="AK298" s="287"/>
      <c r="AL298" s="312"/>
      <c r="AM298" s="318"/>
      <c r="AN298" s="318"/>
      <c r="AO298" s="318"/>
      <c r="AP298" s="318"/>
      <c r="AQ298" s="318"/>
      <c r="AR298" s="318"/>
      <c r="AS298" s="318"/>
      <c r="AT298" s="318"/>
      <c r="AU298" s="318"/>
      <c r="AV298" s="318"/>
      <c r="AW298" s="318"/>
      <c r="AX298" s="318"/>
      <c r="AY298" s="318"/>
      <c r="AZ298" s="318"/>
      <c r="BA298" s="318"/>
      <c r="BB298" s="318"/>
      <c r="BC298" s="318"/>
      <c r="BD298" s="318"/>
      <c r="BE298" s="318"/>
      <c r="BF298" s="318"/>
      <c r="BG298" s="318"/>
      <c r="BH298" s="318"/>
      <c r="BI298" s="318"/>
      <c r="BJ298" s="318"/>
      <c r="BK298" s="318"/>
      <c r="BL298" s="318"/>
      <c r="BM298" s="318"/>
      <c r="BN298" s="318"/>
      <c r="BO298" s="318"/>
      <c r="BP298" s="318"/>
      <c r="BQ298" s="318"/>
      <c r="BR298" s="318"/>
      <c r="BS298" s="318"/>
      <c r="BT298" s="295"/>
      <c r="BU298" s="295"/>
      <c r="BV298" s="310"/>
      <c r="BW298" s="310"/>
      <c r="BX298" s="291"/>
      <c r="BY298" s="323"/>
      <c r="BZ298" s="279"/>
      <c r="CA298" s="279"/>
      <c r="CB298" s="280"/>
      <c r="CC298" s="280"/>
      <c r="CD298" s="280"/>
      <c r="CE298" s="280"/>
      <c r="CF298" s="280"/>
    </row>
    <row r="299" spans="1:84" s="326" customFormat="1" ht="66.95" hidden="1" customHeight="1" x14ac:dyDescent="0.25">
      <c r="A299" s="322"/>
      <c r="B299" s="312"/>
      <c r="C299" s="1603" t="s">
        <v>606</v>
      </c>
      <c r="D299" s="1603"/>
      <c r="E299" s="1603"/>
      <c r="F299" s="1603"/>
      <c r="G299" s="1603"/>
      <c r="H299" s="1603"/>
      <c r="I299" s="1603"/>
      <c r="J299" s="1603"/>
      <c r="K299" s="1603"/>
      <c r="L299" s="1603"/>
      <c r="M299" s="1603"/>
      <c r="N299" s="1603"/>
      <c r="O299" s="1603"/>
      <c r="P299" s="1603"/>
      <c r="Q299" s="1603"/>
      <c r="R299" s="1603"/>
      <c r="S299" s="1603"/>
      <c r="T299" s="1603"/>
      <c r="U299" s="1603"/>
      <c r="V299" s="1603"/>
      <c r="W299" s="1603"/>
      <c r="X299" s="1603"/>
      <c r="Y299" s="1603"/>
      <c r="Z299" s="1603"/>
      <c r="AA299" s="1603"/>
      <c r="AB299" s="1603"/>
      <c r="AC299" s="1603"/>
      <c r="AD299" s="1603"/>
      <c r="AE299" s="1603"/>
      <c r="AF299" s="1603"/>
      <c r="AG299" s="1603"/>
      <c r="AH299" s="1603"/>
      <c r="AI299" s="1603"/>
      <c r="AJ299" s="323"/>
      <c r="AK299" s="287"/>
      <c r="AL299" s="312"/>
      <c r="AM299" s="1603" t="s">
        <v>607</v>
      </c>
      <c r="AN299" s="1603"/>
      <c r="AO299" s="1603"/>
      <c r="AP299" s="1603"/>
      <c r="AQ299" s="1603"/>
      <c r="AR299" s="1603"/>
      <c r="AS299" s="1603"/>
      <c r="AT299" s="1603"/>
      <c r="AU299" s="1603"/>
      <c r="AV299" s="1603"/>
      <c r="AW299" s="1603"/>
      <c r="AX299" s="1603"/>
      <c r="AY299" s="1603"/>
      <c r="AZ299" s="1603"/>
      <c r="BA299" s="1603"/>
      <c r="BB299" s="1603"/>
      <c r="BC299" s="1603"/>
      <c r="BD299" s="1603"/>
      <c r="BE299" s="1603"/>
      <c r="BF299" s="1603"/>
      <c r="BG299" s="1603"/>
      <c r="BH299" s="1603"/>
      <c r="BI299" s="1603"/>
      <c r="BJ299" s="1603"/>
      <c r="BK299" s="1603"/>
      <c r="BL299" s="1603"/>
      <c r="BM299" s="1603"/>
      <c r="BN299" s="1603"/>
      <c r="BO299" s="1603"/>
      <c r="BP299" s="1603"/>
      <c r="BQ299" s="1603"/>
      <c r="BR299" s="1603"/>
      <c r="BS299" s="1603"/>
      <c r="BT299" s="295"/>
      <c r="BU299" s="295"/>
      <c r="BV299" s="310"/>
      <c r="BW299" s="310"/>
      <c r="BX299" s="291"/>
      <c r="BY299" s="323"/>
      <c r="BZ299" s="279"/>
      <c r="CA299" s="279"/>
      <c r="CB299" s="280"/>
      <c r="CC299" s="280"/>
      <c r="CD299" s="280"/>
      <c r="CE299" s="280"/>
      <c r="CF299" s="280"/>
    </row>
    <row r="300" spans="1:84" s="326" customFormat="1" ht="2.1" hidden="1" customHeight="1" x14ac:dyDescent="0.25">
      <c r="A300" s="322"/>
      <c r="B300" s="312"/>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c r="AE300" s="318"/>
      <c r="AF300" s="318"/>
      <c r="AG300" s="318"/>
      <c r="AH300" s="318"/>
      <c r="AI300" s="318"/>
      <c r="AJ300" s="323"/>
      <c r="AK300" s="287"/>
      <c r="AL300" s="312"/>
      <c r="AM300" s="318"/>
      <c r="AN300" s="318"/>
      <c r="AO300" s="318"/>
      <c r="AP300" s="318"/>
      <c r="AQ300" s="318"/>
      <c r="AR300" s="318"/>
      <c r="AS300" s="318"/>
      <c r="AT300" s="318"/>
      <c r="AU300" s="318"/>
      <c r="AV300" s="318"/>
      <c r="AW300" s="318"/>
      <c r="AX300" s="318"/>
      <c r="AY300" s="318"/>
      <c r="AZ300" s="318"/>
      <c r="BA300" s="318"/>
      <c r="BB300" s="318"/>
      <c r="BC300" s="318"/>
      <c r="BD300" s="318"/>
      <c r="BE300" s="318"/>
      <c r="BF300" s="318"/>
      <c r="BG300" s="318"/>
      <c r="BH300" s="318"/>
      <c r="BI300" s="318"/>
      <c r="BJ300" s="318"/>
      <c r="BK300" s="318"/>
      <c r="BL300" s="318"/>
      <c r="BM300" s="318"/>
      <c r="BN300" s="318"/>
      <c r="BO300" s="318"/>
      <c r="BP300" s="318"/>
      <c r="BQ300" s="318"/>
      <c r="BR300" s="318"/>
      <c r="BS300" s="318"/>
      <c r="BT300" s="295"/>
      <c r="BU300" s="295"/>
      <c r="BV300" s="310"/>
      <c r="BW300" s="310"/>
      <c r="BX300" s="291"/>
      <c r="BY300" s="323"/>
      <c r="BZ300" s="279"/>
      <c r="CA300" s="279"/>
      <c r="CB300" s="280"/>
      <c r="CC300" s="280"/>
      <c r="CD300" s="280"/>
      <c r="CE300" s="280"/>
      <c r="CF300" s="280"/>
    </row>
    <row r="301" spans="1:84" s="326" customFormat="1" ht="12.95" customHeight="1" x14ac:dyDescent="0.25">
      <c r="A301" s="322"/>
      <c r="B301" s="312"/>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c r="AH301" s="318"/>
      <c r="AI301" s="318"/>
      <c r="AJ301" s="323"/>
      <c r="AK301" s="287"/>
      <c r="AL301" s="312"/>
      <c r="AM301" s="318"/>
      <c r="AN301" s="318"/>
      <c r="AO301" s="318"/>
      <c r="AP301" s="318"/>
      <c r="AQ301" s="318"/>
      <c r="AR301" s="318"/>
      <c r="AS301" s="318"/>
      <c r="AT301" s="318"/>
      <c r="AU301" s="318"/>
      <c r="AV301" s="318"/>
      <c r="AW301" s="318"/>
      <c r="AX301" s="318"/>
      <c r="AY301" s="318"/>
      <c r="AZ301" s="318"/>
      <c r="BA301" s="318"/>
      <c r="BB301" s="318"/>
      <c r="BC301" s="318"/>
      <c r="BD301" s="318"/>
      <c r="BE301" s="318"/>
      <c r="BF301" s="318"/>
      <c r="BG301" s="318"/>
      <c r="BH301" s="318"/>
      <c r="BI301" s="318"/>
      <c r="BJ301" s="318"/>
      <c r="BK301" s="318"/>
      <c r="BL301" s="318"/>
      <c r="BM301" s="318"/>
      <c r="BN301" s="318"/>
      <c r="BO301" s="318"/>
      <c r="BP301" s="318"/>
      <c r="BQ301" s="318"/>
      <c r="BR301" s="318"/>
      <c r="BS301" s="318"/>
      <c r="BT301" s="295"/>
      <c r="BU301" s="295"/>
      <c r="BV301" s="310"/>
      <c r="BW301" s="310"/>
      <c r="BX301" s="291"/>
      <c r="BY301" s="323"/>
      <c r="BZ301" s="279"/>
      <c r="CA301" s="279"/>
      <c r="CB301" s="280"/>
      <c r="CC301" s="280"/>
      <c r="CD301" s="280"/>
      <c r="CE301" s="280"/>
      <c r="CF301" s="280"/>
    </row>
    <row r="302" spans="1:84" s="326" customFormat="1" ht="15" customHeight="1" x14ac:dyDescent="0.25">
      <c r="A302" s="322" t="str">
        <f>subSTT</f>
        <v>2.16</v>
      </c>
      <c r="B302" s="312" t="s">
        <v>345</v>
      </c>
      <c r="C302" s="312" t="s">
        <v>608</v>
      </c>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c r="AG302" s="318"/>
      <c r="AH302" s="318"/>
      <c r="AI302" s="318"/>
      <c r="AJ302" s="323"/>
      <c r="AK302" s="287" t="str">
        <f>A302</f>
        <v>2.16</v>
      </c>
      <c r="AL302" s="312" t="s">
        <v>345</v>
      </c>
      <c r="AM302" s="312" t="s">
        <v>609</v>
      </c>
      <c r="AN302" s="318"/>
      <c r="AO302" s="318"/>
      <c r="AP302" s="318"/>
      <c r="AQ302" s="318"/>
      <c r="AR302" s="318"/>
      <c r="AS302" s="318"/>
      <c r="AT302" s="318"/>
      <c r="AU302" s="318"/>
      <c r="AV302" s="318"/>
      <c r="AW302" s="318"/>
      <c r="AX302" s="318"/>
      <c r="AY302" s="318"/>
      <c r="AZ302" s="318"/>
      <c r="BA302" s="318"/>
      <c r="BB302" s="318"/>
      <c r="BC302" s="318"/>
      <c r="BD302" s="318"/>
      <c r="BE302" s="318"/>
      <c r="BF302" s="318"/>
      <c r="BG302" s="318"/>
      <c r="BH302" s="318"/>
      <c r="BI302" s="318"/>
      <c r="BJ302" s="318"/>
      <c r="BK302" s="318"/>
      <c r="BL302" s="318"/>
      <c r="BM302" s="318"/>
      <c r="BN302" s="318"/>
      <c r="BO302" s="318"/>
      <c r="BP302" s="318"/>
      <c r="BQ302" s="318"/>
      <c r="BR302" s="318"/>
      <c r="BS302" s="318"/>
      <c r="BT302" s="295"/>
      <c r="BU302" s="295"/>
      <c r="BV302" s="310"/>
      <c r="BW302" s="310"/>
      <c r="BX302" s="291"/>
      <c r="BY302" s="323"/>
      <c r="BZ302" s="279"/>
      <c r="CA302" s="279"/>
      <c r="CB302" s="280"/>
      <c r="CC302" s="280"/>
      <c r="CD302" s="280"/>
      <c r="CE302" s="280"/>
      <c r="CF302" s="280"/>
    </row>
    <row r="303" spans="1:84" s="326" customFormat="1" ht="12.95" customHeight="1" x14ac:dyDescent="0.25">
      <c r="A303" s="322"/>
      <c r="B303" s="312"/>
      <c r="C303" s="335"/>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c r="AE303" s="318"/>
      <c r="AF303" s="318"/>
      <c r="AG303" s="318"/>
      <c r="AH303" s="318"/>
      <c r="AI303" s="318"/>
      <c r="AJ303" s="323"/>
      <c r="AK303" s="287"/>
      <c r="AL303" s="312"/>
      <c r="AM303" s="335"/>
      <c r="AN303" s="318"/>
      <c r="AO303" s="318"/>
      <c r="AP303" s="318"/>
      <c r="AQ303" s="318"/>
      <c r="AR303" s="318"/>
      <c r="AS303" s="318"/>
      <c r="AT303" s="318"/>
      <c r="AU303" s="318"/>
      <c r="AV303" s="318"/>
      <c r="AW303" s="318"/>
      <c r="AX303" s="318"/>
      <c r="AY303" s="318"/>
      <c r="AZ303" s="318"/>
      <c r="BA303" s="318"/>
      <c r="BB303" s="318"/>
      <c r="BC303" s="318"/>
      <c r="BD303" s="318"/>
      <c r="BE303" s="318"/>
      <c r="BF303" s="318"/>
      <c r="BG303" s="318"/>
      <c r="BH303" s="318"/>
      <c r="BI303" s="318"/>
      <c r="BJ303" s="318"/>
      <c r="BK303" s="318"/>
      <c r="BL303" s="318"/>
      <c r="BM303" s="318"/>
      <c r="BN303" s="318"/>
      <c r="BO303" s="318"/>
      <c r="BP303" s="318"/>
      <c r="BQ303" s="318"/>
      <c r="BR303" s="318"/>
      <c r="BS303" s="318"/>
      <c r="BT303" s="295"/>
      <c r="BU303" s="295"/>
      <c r="BV303" s="310"/>
      <c r="BW303" s="310"/>
      <c r="BX303" s="291"/>
      <c r="BY303" s="323"/>
      <c r="BZ303" s="279"/>
      <c r="CA303" s="279"/>
      <c r="CB303" s="280"/>
      <c r="CC303" s="280"/>
      <c r="CD303" s="280"/>
      <c r="CE303" s="280"/>
      <c r="CF303" s="280"/>
    </row>
    <row r="304" spans="1:84" s="326" customFormat="1" ht="15" customHeight="1" x14ac:dyDescent="0.25">
      <c r="A304" s="322"/>
      <c r="B304" s="312"/>
      <c r="C304" s="1603" t="s">
        <v>610</v>
      </c>
      <c r="D304" s="1603"/>
      <c r="E304" s="1603"/>
      <c r="F304" s="1603"/>
      <c r="G304" s="1603"/>
      <c r="H304" s="1603"/>
      <c r="I304" s="1603"/>
      <c r="J304" s="1603"/>
      <c r="K304" s="1603"/>
      <c r="L304" s="1603"/>
      <c r="M304" s="1603"/>
      <c r="N304" s="1603"/>
      <c r="O304" s="1603"/>
      <c r="P304" s="1603"/>
      <c r="Q304" s="1603"/>
      <c r="R304" s="1603"/>
      <c r="S304" s="1603"/>
      <c r="T304" s="1603"/>
      <c r="U304" s="1603"/>
      <c r="V304" s="1603"/>
      <c r="W304" s="1603"/>
      <c r="X304" s="1603"/>
      <c r="Y304" s="1603"/>
      <c r="Z304" s="1603"/>
      <c r="AA304" s="1603"/>
      <c r="AB304" s="1603"/>
      <c r="AC304" s="1603"/>
      <c r="AD304" s="1603"/>
      <c r="AE304" s="1603"/>
      <c r="AF304" s="1603"/>
      <c r="AG304" s="1603"/>
      <c r="AH304" s="1603"/>
      <c r="AI304" s="1603"/>
      <c r="AJ304" s="323"/>
      <c r="AK304" s="287"/>
      <c r="AL304" s="312"/>
      <c r="AM304" s="1603" t="s">
        <v>611</v>
      </c>
      <c r="AN304" s="1603"/>
      <c r="AO304" s="1603"/>
      <c r="AP304" s="1603"/>
      <c r="AQ304" s="1603"/>
      <c r="AR304" s="1603"/>
      <c r="AS304" s="1603"/>
      <c r="AT304" s="1603"/>
      <c r="AU304" s="1603"/>
      <c r="AV304" s="1603"/>
      <c r="AW304" s="1603"/>
      <c r="AX304" s="1603"/>
      <c r="AY304" s="1603"/>
      <c r="AZ304" s="1603"/>
      <c r="BA304" s="1603"/>
      <c r="BB304" s="1603"/>
      <c r="BC304" s="1603"/>
      <c r="BD304" s="1603"/>
      <c r="BE304" s="1603"/>
      <c r="BF304" s="1603"/>
      <c r="BG304" s="1603"/>
      <c r="BH304" s="1603"/>
      <c r="BI304" s="1603"/>
      <c r="BJ304" s="1603"/>
      <c r="BK304" s="1603"/>
      <c r="BL304" s="1603"/>
      <c r="BM304" s="1603"/>
      <c r="BN304" s="1603"/>
      <c r="BO304" s="1603"/>
      <c r="BP304" s="1603"/>
      <c r="BQ304" s="1603"/>
      <c r="BR304" s="1603"/>
      <c r="BS304" s="1603"/>
      <c r="BT304" s="295"/>
      <c r="BU304" s="295"/>
      <c r="BV304" s="310"/>
      <c r="BW304" s="310"/>
      <c r="BX304" s="291"/>
      <c r="BY304" s="323"/>
      <c r="BZ304" s="279"/>
      <c r="CA304" s="279"/>
      <c r="CB304" s="280"/>
      <c r="CC304" s="280"/>
      <c r="CD304" s="280"/>
      <c r="CE304" s="280"/>
      <c r="CF304" s="280"/>
    </row>
    <row r="305" spans="1:84" s="326" customFormat="1" ht="12.95" customHeight="1" x14ac:dyDescent="0.25">
      <c r="A305" s="322"/>
      <c r="B305" s="312"/>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318"/>
      <c r="AF305" s="318"/>
      <c r="AG305" s="318"/>
      <c r="AH305" s="318"/>
      <c r="AI305" s="318"/>
      <c r="AJ305" s="323"/>
      <c r="AK305" s="287"/>
      <c r="AL305" s="312"/>
      <c r="AM305" s="318"/>
      <c r="AN305" s="318"/>
      <c r="AO305" s="318"/>
      <c r="AP305" s="318"/>
      <c r="AQ305" s="318"/>
      <c r="AR305" s="318"/>
      <c r="AS305" s="318"/>
      <c r="AT305" s="318"/>
      <c r="AU305" s="318"/>
      <c r="AV305" s="318"/>
      <c r="AW305" s="318"/>
      <c r="AX305" s="318"/>
      <c r="AY305" s="318"/>
      <c r="AZ305" s="318"/>
      <c r="BA305" s="318"/>
      <c r="BB305" s="318"/>
      <c r="BC305" s="318"/>
      <c r="BD305" s="318"/>
      <c r="BE305" s="318"/>
      <c r="BF305" s="318"/>
      <c r="BG305" s="318"/>
      <c r="BH305" s="318"/>
      <c r="BI305" s="318"/>
      <c r="BJ305" s="318"/>
      <c r="BK305" s="318"/>
      <c r="BL305" s="318"/>
      <c r="BM305" s="318"/>
      <c r="BN305" s="318"/>
      <c r="BO305" s="318"/>
      <c r="BP305" s="318"/>
      <c r="BQ305" s="318"/>
      <c r="BR305" s="318"/>
      <c r="BS305" s="318"/>
      <c r="BT305" s="295"/>
      <c r="BU305" s="295"/>
      <c r="BV305" s="310"/>
      <c r="BW305" s="310"/>
      <c r="BX305" s="291"/>
      <c r="BY305" s="323"/>
      <c r="BZ305" s="279"/>
      <c r="CA305" s="279"/>
      <c r="CB305" s="280"/>
      <c r="CC305" s="280"/>
      <c r="CD305" s="280"/>
      <c r="CE305" s="280"/>
      <c r="CF305" s="280"/>
    </row>
    <row r="306" spans="1:84" s="326" customFormat="1" ht="56.1" customHeight="1" x14ac:dyDescent="0.25">
      <c r="A306" s="322"/>
      <c r="B306" s="312"/>
      <c r="C306" s="1603" t="s">
        <v>612</v>
      </c>
      <c r="D306" s="1603"/>
      <c r="E306" s="1603"/>
      <c r="F306" s="1603"/>
      <c r="G306" s="1603"/>
      <c r="H306" s="1603"/>
      <c r="I306" s="1603"/>
      <c r="J306" s="1603"/>
      <c r="K306" s="1603"/>
      <c r="L306" s="1603"/>
      <c r="M306" s="1603"/>
      <c r="N306" s="1603"/>
      <c r="O306" s="1603"/>
      <c r="P306" s="1603"/>
      <c r="Q306" s="1603"/>
      <c r="R306" s="1603"/>
      <c r="S306" s="1603"/>
      <c r="T306" s="1603"/>
      <c r="U306" s="1603"/>
      <c r="V306" s="1603"/>
      <c r="W306" s="1603"/>
      <c r="X306" s="1603"/>
      <c r="Y306" s="1603"/>
      <c r="Z306" s="1603"/>
      <c r="AA306" s="1603"/>
      <c r="AB306" s="1603"/>
      <c r="AC306" s="1603"/>
      <c r="AD306" s="1603"/>
      <c r="AE306" s="1603"/>
      <c r="AF306" s="1603"/>
      <c r="AG306" s="1603"/>
      <c r="AH306" s="1603"/>
      <c r="AI306" s="1603"/>
      <c r="AJ306" s="323"/>
      <c r="AK306" s="287"/>
      <c r="AL306" s="312"/>
      <c r="AM306" s="1603" t="s">
        <v>613</v>
      </c>
      <c r="AN306" s="1603"/>
      <c r="AO306" s="1603"/>
      <c r="AP306" s="1603"/>
      <c r="AQ306" s="1603"/>
      <c r="AR306" s="1603"/>
      <c r="AS306" s="1603"/>
      <c r="AT306" s="1603"/>
      <c r="AU306" s="1603"/>
      <c r="AV306" s="1603"/>
      <c r="AW306" s="1603"/>
      <c r="AX306" s="1603"/>
      <c r="AY306" s="1603"/>
      <c r="AZ306" s="1603"/>
      <c r="BA306" s="1603"/>
      <c r="BB306" s="1603"/>
      <c r="BC306" s="1603"/>
      <c r="BD306" s="1603"/>
      <c r="BE306" s="1603"/>
      <c r="BF306" s="1603"/>
      <c r="BG306" s="1603"/>
      <c r="BH306" s="1603"/>
      <c r="BI306" s="1603"/>
      <c r="BJ306" s="1603"/>
      <c r="BK306" s="1603"/>
      <c r="BL306" s="1603"/>
      <c r="BM306" s="1603"/>
      <c r="BN306" s="1603"/>
      <c r="BO306" s="1603"/>
      <c r="BP306" s="1603"/>
      <c r="BQ306" s="1603"/>
      <c r="BR306" s="1603"/>
      <c r="BS306" s="1603"/>
      <c r="BT306" s="295"/>
      <c r="BU306" s="295"/>
      <c r="BV306" s="310"/>
      <c r="BW306" s="310"/>
      <c r="BX306" s="291"/>
      <c r="BY306" s="323"/>
      <c r="BZ306" s="279"/>
      <c r="CA306" s="279"/>
      <c r="CB306" s="280"/>
      <c r="CC306" s="280"/>
      <c r="CD306" s="280"/>
      <c r="CE306" s="280"/>
      <c r="CF306" s="280"/>
    </row>
    <row r="307" spans="1:84" s="326" customFormat="1" ht="12.95" hidden="1" customHeight="1" x14ac:dyDescent="0.25">
      <c r="A307" s="322"/>
      <c r="B307" s="312"/>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c r="AE307" s="318"/>
      <c r="AF307" s="318"/>
      <c r="AG307" s="318"/>
      <c r="AH307" s="318"/>
      <c r="AI307" s="318"/>
      <c r="AJ307" s="323"/>
      <c r="AK307" s="287"/>
      <c r="AL307" s="312"/>
      <c r="AM307" s="318"/>
      <c r="AN307" s="318"/>
      <c r="AO307" s="318"/>
      <c r="AP307" s="318"/>
      <c r="AQ307" s="318"/>
      <c r="AR307" s="318"/>
      <c r="AS307" s="318"/>
      <c r="AT307" s="318"/>
      <c r="AU307" s="318"/>
      <c r="AV307" s="318"/>
      <c r="AW307" s="318"/>
      <c r="AX307" s="318"/>
      <c r="AY307" s="318"/>
      <c r="AZ307" s="318"/>
      <c r="BA307" s="318"/>
      <c r="BB307" s="318"/>
      <c r="BC307" s="318"/>
      <c r="BD307" s="318"/>
      <c r="BE307" s="318"/>
      <c r="BF307" s="318"/>
      <c r="BG307" s="318"/>
      <c r="BH307" s="318"/>
      <c r="BI307" s="318"/>
      <c r="BJ307" s="318"/>
      <c r="BK307" s="318"/>
      <c r="BL307" s="318"/>
      <c r="BM307" s="318"/>
      <c r="BN307" s="318"/>
      <c r="BO307" s="318"/>
      <c r="BP307" s="318"/>
      <c r="BQ307" s="318"/>
      <c r="BR307" s="318"/>
      <c r="BS307" s="318"/>
      <c r="BT307" s="295"/>
      <c r="BU307" s="295"/>
      <c r="BV307" s="310"/>
      <c r="BW307" s="310"/>
      <c r="BX307" s="291"/>
      <c r="BY307" s="323"/>
      <c r="BZ307" s="279"/>
      <c r="CA307" s="279"/>
      <c r="CB307" s="280"/>
      <c r="CC307" s="280"/>
      <c r="CD307" s="280"/>
      <c r="CE307" s="280"/>
      <c r="CF307" s="280"/>
    </row>
    <row r="308" spans="1:84" s="326" customFormat="1" ht="56.25" hidden="1" customHeight="1" x14ac:dyDescent="0.25">
      <c r="A308" s="322"/>
      <c r="B308" s="312"/>
      <c r="C308" s="1603" t="str">
        <f>CONCATENATE("Quyền chọn chuyển đổi trái phiếu thành cổ phiếu (cấu phần vốn của trái phiếu chuyển đổi) phát sinh khi "&amp;LoaiCT_V&amp;" phát hành loại trái phiếu có thể chuyển đổi thành một số lượng cổ phiếu xác định được quy định sẵn trong phương án phát hành. "&amp;"Giá trị cấu phần vốn của trái phiếu chuyển đổi được xác định là phần chênh lệch giữa tổng số tiền thu từ việc phát hành trái phiếu chuyển đổi trừ đi giá trị cấu phần nợ của trái phiếu chuyển đổi.")</f>
        <v>Quyền chọn chuyển đổi trái phiếu thành cổ phiếu (cấu phần vốn của trái phiếu chuyển đổi) phát sinh khi Công ty phát hành loại trái phiếu có thể chuyển đổi thành một số lượng cổ phiếu xác định được quy định sẵn trong phương án phát hành. Giá trị cấu phần vốn của trái phiếu chuyển đổi được xác định là phần chênh lệch giữa tổng số tiền thu từ việc phát hành trái phiếu chuyển đổi trừ đi giá trị cấu phần nợ của trái phiếu chuyển đổi.</v>
      </c>
      <c r="D308" s="1603"/>
      <c r="E308" s="1603"/>
      <c r="F308" s="1603"/>
      <c r="G308" s="1603"/>
      <c r="H308" s="1603"/>
      <c r="I308" s="1603"/>
      <c r="J308" s="1603"/>
      <c r="K308" s="1603"/>
      <c r="L308" s="1603"/>
      <c r="M308" s="1603"/>
      <c r="N308" s="1603"/>
      <c r="O308" s="1603"/>
      <c r="P308" s="1603"/>
      <c r="Q308" s="1603"/>
      <c r="R308" s="1603"/>
      <c r="S308" s="1603"/>
      <c r="T308" s="1603"/>
      <c r="U308" s="1603"/>
      <c r="V308" s="1603"/>
      <c r="W308" s="1603"/>
      <c r="X308" s="1603"/>
      <c r="Y308" s="1603"/>
      <c r="Z308" s="1603"/>
      <c r="AA308" s="1603"/>
      <c r="AB308" s="1603"/>
      <c r="AC308" s="1603"/>
      <c r="AD308" s="1603"/>
      <c r="AE308" s="1603"/>
      <c r="AF308" s="1603"/>
      <c r="AG308" s="1603"/>
      <c r="AH308" s="1603"/>
      <c r="AI308" s="1603"/>
      <c r="AJ308" s="323"/>
      <c r="AK308" s="287"/>
      <c r="AL308" s="312"/>
      <c r="AM308" s="1603" t="s">
        <v>614</v>
      </c>
      <c r="AN308" s="1603"/>
      <c r="AO308" s="1603"/>
      <c r="AP308" s="1603"/>
      <c r="AQ308" s="1603"/>
      <c r="AR308" s="1603"/>
      <c r="AS308" s="1603"/>
      <c r="AT308" s="1603"/>
      <c r="AU308" s="1603"/>
      <c r="AV308" s="1603"/>
      <c r="AW308" s="1603"/>
      <c r="AX308" s="1603"/>
      <c r="AY308" s="1603"/>
      <c r="AZ308" s="1603"/>
      <c r="BA308" s="1603"/>
      <c r="BB308" s="1603"/>
      <c r="BC308" s="1603"/>
      <c r="BD308" s="1603"/>
      <c r="BE308" s="1603"/>
      <c r="BF308" s="1603"/>
      <c r="BG308" s="1603"/>
      <c r="BH308" s="1603"/>
      <c r="BI308" s="1603"/>
      <c r="BJ308" s="1603"/>
      <c r="BK308" s="1603"/>
      <c r="BL308" s="1603"/>
      <c r="BM308" s="1603"/>
      <c r="BN308" s="1603"/>
      <c r="BO308" s="1603"/>
      <c r="BP308" s="1603"/>
      <c r="BQ308" s="1603"/>
      <c r="BR308" s="1603"/>
      <c r="BS308" s="1603"/>
      <c r="BT308" s="295"/>
      <c r="BU308" s="295"/>
      <c r="BV308" s="310"/>
      <c r="BW308" s="310"/>
      <c r="BX308" s="291"/>
      <c r="BY308" s="323"/>
      <c r="BZ308" s="279"/>
      <c r="CA308" s="279"/>
      <c r="CB308" s="280"/>
      <c r="CC308" s="280"/>
      <c r="CD308" s="280"/>
      <c r="CE308" s="280"/>
      <c r="CF308" s="280"/>
    </row>
    <row r="309" spans="1:84" s="326" customFormat="1" ht="12.95" customHeight="1" x14ac:dyDescent="0.25">
      <c r="A309" s="322"/>
      <c r="B309" s="312"/>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c r="AE309" s="318"/>
      <c r="AF309" s="318"/>
      <c r="AG309" s="318"/>
      <c r="AH309" s="318"/>
      <c r="AI309" s="318"/>
      <c r="AJ309" s="323"/>
      <c r="AK309" s="287"/>
      <c r="AL309" s="312"/>
      <c r="AM309" s="318"/>
      <c r="AN309" s="318"/>
      <c r="AO309" s="318"/>
      <c r="AP309" s="318"/>
      <c r="AQ309" s="318"/>
      <c r="AR309" s="318"/>
      <c r="AS309" s="318"/>
      <c r="AT309" s="318"/>
      <c r="AU309" s="318"/>
      <c r="AV309" s="318"/>
      <c r="AW309" s="318"/>
      <c r="AX309" s="318"/>
      <c r="AY309" s="318"/>
      <c r="AZ309" s="318"/>
      <c r="BA309" s="318"/>
      <c r="BB309" s="318"/>
      <c r="BC309" s="318"/>
      <c r="BD309" s="318"/>
      <c r="BE309" s="318"/>
      <c r="BF309" s="318"/>
      <c r="BG309" s="318"/>
      <c r="BH309" s="318"/>
      <c r="BI309" s="318"/>
      <c r="BJ309" s="318"/>
      <c r="BK309" s="318"/>
      <c r="BL309" s="318"/>
      <c r="BM309" s="318"/>
      <c r="BN309" s="318"/>
      <c r="BO309" s="318"/>
      <c r="BP309" s="318"/>
      <c r="BQ309" s="318"/>
      <c r="BR309" s="318"/>
      <c r="BS309" s="318"/>
      <c r="BT309" s="295"/>
      <c r="BU309" s="295"/>
      <c r="BV309" s="310"/>
      <c r="BW309" s="310"/>
      <c r="BX309" s="291"/>
      <c r="BY309" s="323"/>
      <c r="BZ309" s="279"/>
      <c r="CA309" s="279"/>
      <c r="CB309" s="280"/>
      <c r="CC309" s="280"/>
      <c r="CD309" s="280"/>
      <c r="CE309" s="280"/>
      <c r="CF309" s="280"/>
    </row>
    <row r="310" spans="1:84" s="326" customFormat="1" ht="29.1" customHeight="1" x14ac:dyDescent="0.25">
      <c r="A310" s="322"/>
      <c r="B310" s="312"/>
      <c r="C310" s="1603" t="s">
        <v>615</v>
      </c>
      <c r="D310" s="1603"/>
      <c r="E310" s="1603"/>
      <c r="F310" s="1603"/>
      <c r="G310" s="1603"/>
      <c r="H310" s="1603"/>
      <c r="I310" s="1603"/>
      <c r="J310" s="1603"/>
      <c r="K310" s="1603"/>
      <c r="L310" s="1603"/>
      <c r="M310" s="1603"/>
      <c r="N310" s="1603"/>
      <c r="O310" s="1603"/>
      <c r="P310" s="1603"/>
      <c r="Q310" s="1603"/>
      <c r="R310" s="1603"/>
      <c r="S310" s="1603"/>
      <c r="T310" s="1603"/>
      <c r="U310" s="1603"/>
      <c r="V310" s="1603"/>
      <c r="W310" s="1603"/>
      <c r="X310" s="1603"/>
      <c r="Y310" s="1603"/>
      <c r="Z310" s="1603"/>
      <c r="AA310" s="1603"/>
      <c r="AB310" s="1603"/>
      <c r="AC310" s="1603"/>
      <c r="AD310" s="1603"/>
      <c r="AE310" s="1603"/>
      <c r="AF310" s="1603"/>
      <c r="AG310" s="1603"/>
      <c r="AH310" s="1603"/>
      <c r="AI310" s="1603"/>
      <c r="AJ310" s="323"/>
      <c r="AK310" s="287"/>
      <c r="AL310" s="312"/>
      <c r="AM310" s="1603" t="s">
        <v>616</v>
      </c>
      <c r="AN310" s="1603"/>
      <c r="AO310" s="1603"/>
      <c r="AP310" s="1603"/>
      <c r="AQ310" s="1603"/>
      <c r="AR310" s="1603"/>
      <c r="AS310" s="1603"/>
      <c r="AT310" s="1603"/>
      <c r="AU310" s="1603"/>
      <c r="AV310" s="1603"/>
      <c r="AW310" s="1603"/>
      <c r="AX310" s="1603"/>
      <c r="AY310" s="1603"/>
      <c r="AZ310" s="1603"/>
      <c r="BA310" s="1603"/>
      <c r="BB310" s="1603"/>
      <c r="BC310" s="1603"/>
      <c r="BD310" s="1603"/>
      <c r="BE310" s="1603"/>
      <c r="BF310" s="1603"/>
      <c r="BG310" s="1603"/>
      <c r="BH310" s="1603"/>
      <c r="BI310" s="1603"/>
      <c r="BJ310" s="1603"/>
      <c r="BK310" s="1603"/>
      <c r="BL310" s="1603"/>
      <c r="BM310" s="1603"/>
      <c r="BN310" s="1603"/>
      <c r="BO310" s="1603"/>
      <c r="BP310" s="1603"/>
      <c r="BQ310" s="1603"/>
      <c r="BR310" s="1603"/>
      <c r="BS310" s="1603"/>
      <c r="BT310" s="295"/>
      <c r="BU310" s="295"/>
      <c r="BV310" s="310"/>
      <c r="BW310" s="310"/>
      <c r="BX310" s="291"/>
      <c r="BY310" s="323"/>
      <c r="BZ310" s="279"/>
      <c r="CA310" s="279"/>
      <c r="CB310" s="280"/>
      <c r="CC310" s="280"/>
      <c r="CD310" s="280"/>
      <c r="CE310" s="280"/>
      <c r="CF310" s="280"/>
    </row>
    <row r="311" spans="1:84" s="326" customFormat="1" ht="12.95" customHeight="1" x14ac:dyDescent="0.25">
      <c r="A311" s="322"/>
      <c r="B311" s="312"/>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c r="AH311" s="318"/>
      <c r="AI311" s="318"/>
      <c r="AJ311" s="323"/>
      <c r="AK311" s="287"/>
      <c r="AL311" s="312"/>
      <c r="AM311" s="318"/>
      <c r="AN311" s="318"/>
      <c r="AO311" s="318"/>
      <c r="AP311" s="318"/>
      <c r="AQ311" s="318"/>
      <c r="AR311" s="318"/>
      <c r="AS311" s="318"/>
      <c r="AT311" s="318"/>
      <c r="AU311" s="318"/>
      <c r="AV311" s="318"/>
      <c r="AW311" s="318"/>
      <c r="AX311" s="318"/>
      <c r="AY311" s="318"/>
      <c r="AZ311" s="318"/>
      <c r="BA311" s="318"/>
      <c r="BB311" s="318"/>
      <c r="BC311" s="318"/>
      <c r="BD311" s="318"/>
      <c r="BE311" s="318"/>
      <c r="BF311" s="318"/>
      <c r="BG311" s="318"/>
      <c r="BH311" s="318"/>
      <c r="BI311" s="318"/>
      <c r="BJ311" s="318"/>
      <c r="BK311" s="318"/>
      <c r="BL311" s="318"/>
      <c r="BM311" s="318"/>
      <c r="BN311" s="318"/>
      <c r="BO311" s="318"/>
      <c r="BP311" s="318"/>
      <c r="BQ311" s="318"/>
      <c r="BR311" s="318"/>
      <c r="BS311" s="318"/>
      <c r="BT311" s="295"/>
      <c r="BU311" s="295"/>
      <c r="BV311" s="310"/>
      <c r="BW311" s="310"/>
      <c r="BX311" s="291"/>
      <c r="BY311" s="323"/>
      <c r="BZ311" s="279"/>
      <c r="CA311" s="279"/>
      <c r="CB311" s="280"/>
      <c r="CC311" s="280"/>
      <c r="CD311" s="280"/>
      <c r="CE311" s="280"/>
      <c r="CF311" s="280"/>
    </row>
    <row r="312" spans="1:84" s="326" customFormat="1" ht="71.25" customHeight="1" x14ac:dyDescent="0.25">
      <c r="A312" s="322"/>
      <c r="B312" s="312"/>
      <c r="C312" s="1603" t="str">
        <f>CONCATENATE("Cổ phiếu quỹ là cổ phiếu do ",LoaiCT_V," phát hành và được ",LoaiCT_V," mua lại, cổ phiếu này không bị hủy bỏ và sẽ được tái phát hành trở lại trong khoảng thời gian theo quy định của pháp luật về chứng khoán. ","Cổ phiếu quỹ được ghi nhận theo giá trị thực tế mua lại và trình bày trên Bảng Cân đối kế toán là một khoản ghi giảm Vốn đầu tư của chủ sở hữu."," Giá vốn của cổ phiếu quỹ khi tái phát hành hoặc khi sử dụng để trả cổ tức, thưởng... được tính theo phương pháp bình quân gia quyền.")</f>
        <v>Cổ phiếu quỹ là cổ phiếu do Công ty phát hành và được Công ty mua lại, cổ phiếu này không bị hủy bỏ và sẽ được tái phát hành trở lại trong khoảng thời gian theo quy định của pháp luật về chứng khoán. Cổ phiếu quỹ được ghi nhận theo giá trị thực tế mua lại và trình bày trên Bảng Cân đối kế toán là một khoản ghi giảm Vốn đầu tư của chủ sở hữu. Giá vốn của cổ phiếu quỹ khi tái phát hành hoặc khi sử dụng để trả cổ tức, thưởng... được tính theo phương pháp bình quân gia quyền.</v>
      </c>
      <c r="D312" s="1603"/>
      <c r="E312" s="1603"/>
      <c r="F312" s="1603"/>
      <c r="G312" s="1603"/>
      <c r="H312" s="1603"/>
      <c r="I312" s="1603"/>
      <c r="J312" s="1603"/>
      <c r="K312" s="1603"/>
      <c r="L312" s="1603"/>
      <c r="M312" s="1603"/>
      <c r="N312" s="1603"/>
      <c r="O312" s="1603"/>
      <c r="P312" s="1603"/>
      <c r="Q312" s="1603"/>
      <c r="R312" s="1603"/>
      <c r="S312" s="1603"/>
      <c r="T312" s="1603"/>
      <c r="U312" s="1603"/>
      <c r="V312" s="1603"/>
      <c r="W312" s="1603"/>
      <c r="X312" s="1603"/>
      <c r="Y312" s="1603"/>
      <c r="Z312" s="1603"/>
      <c r="AA312" s="1603"/>
      <c r="AB312" s="1603"/>
      <c r="AC312" s="1603"/>
      <c r="AD312" s="1603"/>
      <c r="AE312" s="1603"/>
      <c r="AF312" s="1603"/>
      <c r="AG312" s="1603"/>
      <c r="AH312" s="1603"/>
      <c r="AI312" s="1603"/>
      <c r="AJ312" s="323"/>
      <c r="AK312" s="287"/>
      <c r="AL312" s="312"/>
      <c r="AM312" s="1603" t="str">
        <f>CONCATENATE("Treasury shares are shares issued by the ",LoaiCT_E," and bought-back by the ",LoaiCT_E," which issued shares, but they are not cancelled and shall be re-issued in the period which complies with law on securities."," Treasury shares shall be recorded under to back-buying actual value and presented on the Balance sheet as a decrease in owner’s capital."," Cost of treasury shares when re-issuing or using to pay dividend, bonus... shall be calculated according to weighted average method.")</f>
        <v>Treasury shares are shares issued by the Corporation and bought-back by the Corporation which issued shares, but they are not cancelled and shall be re-issued in the period which complies with law on securities. Treasury shares shall be recorded under to back-buying actual value and presented on the Balance sheet as a decrease in owner’s capital. Cost of treasury shares when re-issuing or using to pay dividend, bonus... shall be calculated according to weighted average method.</v>
      </c>
      <c r="AN312" s="1603"/>
      <c r="AO312" s="1603"/>
      <c r="AP312" s="1603"/>
      <c r="AQ312" s="1603"/>
      <c r="AR312" s="1603"/>
      <c r="AS312" s="1603"/>
      <c r="AT312" s="1603"/>
      <c r="AU312" s="1603"/>
      <c r="AV312" s="1603"/>
      <c r="AW312" s="1603"/>
      <c r="AX312" s="1603"/>
      <c r="AY312" s="1603"/>
      <c r="AZ312" s="1603"/>
      <c r="BA312" s="1603"/>
      <c r="BB312" s="1603"/>
      <c r="BC312" s="1603"/>
      <c r="BD312" s="1603"/>
      <c r="BE312" s="1603"/>
      <c r="BF312" s="1603"/>
      <c r="BG312" s="1603"/>
      <c r="BH312" s="1603"/>
      <c r="BI312" s="1603"/>
      <c r="BJ312" s="1603"/>
      <c r="BK312" s="1603"/>
      <c r="BL312" s="1603"/>
      <c r="BM312" s="1603"/>
      <c r="BN312" s="1603"/>
      <c r="BO312" s="1603"/>
      <c r="BP312" s="1603"/>
      <c r="BQ312" s="1603"/>
      <c r="BR312" s="1603"/>
      <c r="BS312" s="1603"/>
      <c r="BT312" s="295"/>
      <c r="BU312" s="295"/>
      <c r="BV312" s="310"/>
      <c r="BW312" s="310"/>
      <c r="BX312" s="291"/>
      <c r="BY312" s="323"/>
      <c r="BZ312" s="279"/>
      <c r="CA312" s="279"/>
      <c r="CB312" s="280"/>
      <c r="CC312" s="280"/>
      <c r="CD312" s="280"/>
      <c r="CE312" s="280"/>
      <c r="CF312" s="280"/>
    </row>
    <row r="313" spans="1:84" s="326" customFormat="1" ht="12.95" hidden="1" customHeight="1" x14ac:dyDescent="0.25">
      <c r="A313" s="322"/>
      <c r="B313" s="312"/>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c r="AH313" s="318"/>
      <c r="AI313" s="318"/>
      <c r="AJ313" s="323"/>
      <c r="AK313" s="287"/>
      <c r="AL313" s="312"/>
      <c r="AM313" s="318"/>
      <c r="AN313" s="318"/>
      <c r="AO313" s="318"/>
      <c r="AP313" s="318"/>
      <c r="AQ313" s="318"/>
      <c r="AR313" s="318"/>
      <c r="AS313" s="318"/>
      <c r="AT313" s="318"/>
      <c r="AU313" s="318"/>
      <c r="AV313" s="318"/>
      <c r="AW313" s="318"/>
      <c r="AX313" s="318"/>
      <c r="AY313" s="318"/>
      <c r="AZ313" s="318"/>
      <c r="BA313" s="318"/>
      <c r="BB313" s="318"/>
      <c r="BC313" s="318"/>
      <c r="BD313" s="318"/>
      <c r="BE313" s="318"/>
      <c r="BF313" s="318"/>
      <c r="BG313" s="318"/>
      <c r="BH313" s="318"/>
      <c r="BI313" s="318"/>
      <c r="BJ313" s="318"/>
      <c r="BK313" s="318"/>
      <c r="BL313" s="318"/>
      <c r="BM313" s="318"/>
      <c r="BN313" s="318"/>
      <c r="BO313" s="318"/>
      <c r="BP313" s="318"/>
      <c r="BQ313" s="318"/>
      <c r="BR313" s="318"/>
      <c r="BS313" s="318"/>
      <c r="BT313" s="295"/>
      <c r="BU313" s="295"/>
      <c r="BV313" s="310"/>
      <c r="BW313" s="310"/>
      <c r="BX313" s="291"/>
      <c r="BY313" s="323"/>
      <c r="BZ313" s="279"/>
      <c r="CA313" s="279"/>
      <c r="CB313" s="280"/>
      <c r="CC313" s="280"/>
      <c r="CD313" s="280"/>
      <c r="CE313" s="280"/>
      <c r="CF313" s="280"/>
    </row>
    <row r="314" spans="1:84" s="326" customFormat="1" ht="30" hidden="1" customHeight="1" x14ac:dyDescent="0.25">
      <c r="A314" s="322"/>
      <c r="B314" s="312"/>
      <c r="C314" s="1603" t="s">
        <v>617</v>
      </c>
      <c r="D314" s="1603"/>
      <c r="E314" s="1603"/>
      <c r="F314" s="1603"/>
      <c r="G314" s="1603"/>
      <c r="H314" s="1603"/>
      <c r="I314" s="1603"/>
      <c r="J314" s="1603"/>
      <c r="K314" s="1603"/>
      <c r="L314" s="1603"/>
      <c r="M314" s="1603"/>
      <c r="N314" s="1603"/>
      <c r="O314" s="1603"/>
      <c r="P314" s="1603"/>
      <c r="Q314" s="1603"/>
      <c r="R314" s="1603"/>
      <c r="S314" s="1603"/>
      <c r="T314" s="1603"/>
      <c r="U314" s="1603"/>
      <c r="V314" s="1603"/>
      <c r="W314" s="1603"/>
      <c r="X314" s="1603"/>
      <c r="Y314" s="1603"/>
      <c r="Z314" s="1603"/>
      <c r="AA314" s="1603"/>
      <c r="AB314" s="1603"/>
      <c r="AC314" s="1603"/>
      <c r="AD314" s="1603"/>
      <c r="AE314" s="1603"/>
      <c r="AF314" s="1603"/>
      <c r="AG314" s="1603"/>
      <c r="AH314" s="1603"/>
      <c r="AI314" s="1603"/>
      <c r="AJ314" s="323"/>
      <c r="AK314" s="287"/>
      <c r="AL314" s="312"/>
      <c r="AM314" s="1603" t="s">
        <v>618</v>
      </c>
      <c r="AN314" s="1603"/>
      <c r="AO314" s="1603"/>
      <c r="AP314" s="1603"/>
      <c r="AQ314" s="1603"/>
      <c r="AR314" s="1603"/>
      <c r="AS314" s="1603"/>
      <c r="AT314" s="1603"/>
      <c r="AU314" s="1603"/>
      <c r="AV314" s="1603"/>
      <c r="AW314" s="1603"/>
      <c r="AX314" s="1603"/>
      <c r="AY314" s="1603"/>
      <c r="AZ314" s="1603"/>
      <c r="BA314" s="1603"/>
      <c r="BB314" s="1603"/>
      <c r="BC314" s="1603"/>
      <c r="BD314" s="1603"/>
      <c r="BE314" s="1603"/>
      <c r="BF314" s="1603"/>
      <c r="BG314" s="1603"/>
      <c r="BH314" s="1603"/>
      <c r="BI314" s="1603"/>
      <c r="BJ314" s="1603"/>
      <c r="BK314" s="1603"/>
      <c r="BL314" s="1603"/>
      <c r="BM314" s="1603"/>
      <c r="BN314" s="1603"/>
      <c r="BO314" s="1603"/>
      <c r="BP314" s="1603"/>
      <c r="BQ314" s="1603"/>
      <c r="BR314" s="1603"/>
      <c r="BS314" s="1603"/>
      <c r="BT314" s="295"/>
      <c r="BU314" s="295"/>
      <c r="BV314" s="310"/>
      <c r="BW314" s="310"/>
      <c r="BX314" s="291"/>
      <c r="BY314" s="323"/>
      <c r="BZ314" s="279"/>
      <c r="CA314" s="279"/>
      <c r="CB314" s="280"/>
      <c r="CC314" s="280"/>
      <c r="CD314" s="280"/>
      <c r="CE314" s="280"/>
      <c r="CF314" s="280"/>
    </row>
    <row r="315" spans="1:84" s="326" customFormat="1" ht="12.95" customHeight="1" x14ac:dyDescent="0.25">
      <c r="A315" s="322"/>
      <c r="B315" s="312"/>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c r="AH315" s="318"/>
      <c r="AI315" s="318"/>
      <c r="AJ315" s="323"/>
      <c r="AK315" s="287"/>
      <c r="AL315" s="312"/>
      <c r="AM315" s="318"/>
      <c r="AN315" s="318"/>
      <c r="AO315" s="318"/>
      <c r="AP315" s="318"/>
      <c r="AQ315" s="318"/>
      <c r="AR315" s="318"/>
      <c r="AS315" s="318"/>
      <c r="AT315" s="318"/>
      <c r="AU315" s="318"/>
      <c r="AV315" s="318"/>
      <c r="AW315" s="318"/>
      <c r="AX315" s="318"/>
      <c r="AY315" s="318"/>
      <c r="AZ315" s="318"/>
      <c r="BA315" s="318"/>
      <c r="BB315" s="318"/>
      <c r="BC315" s="318"/>
      <c r="BD315" s="318"/>
      <c r="BE315" s="318"/>
      <c r="BF315" s="318"/>
      <c r="BG315" s="318"/>
      <c r="BH315" s="318"/>
      <c r="BI315" s="318"/>
      <c r="BJ315" s="318"/>
      <c r="BK315" s="318"/>
      <c r="BL315" s="318"/>
      <c r="BM315" s="318"/>
      <c r="BN315" s="318"/>
      <c r="BO315" s="318"/>
      <c r="BP315" s="318"/>
      <c r="BQ315" s="318"/>
      <c r="BR315" s="318"/>
      <c r="BS315" s="318"/>
      <c r="BT315" s="295"/>
      <c r="BU315" s="295"/>
      <c r="BV315" s="310"/>
      <c r="BW315" s="310"/>
      <c r="BX315" s="291"/>
      <c r="BY315" s="323"/>
      <c r="BZ315" s="279"/>
      <c r="CA315" s="279"/>
      <c r="CB315" s="280"/>
      <c r="CC315" s="280"/>
      <c r="CD315" s="280"/>
      <c r="CE315" s="280"/>
      <c r="CF315" s="280"/>
    </row>
    <row r="316" spans="1:84" s="326" customFormat="1" ht="72" customHeight="1" x14ac:dyDescent="0.25">
      <c r="A316" s="322"/>
      <c r="B316" s="312"/>
      <c r="C316" s="1603" t="s">
        <v>619</v>
      </c>
      <c r="D316" s="1603"/>
      <c r="E316" s="1603"/>
      <c r="F316" s="1603"/>
      <c r="G316" s="1603"/>
      <c r="H316" s="1603"/>
      <c r="I316" s="1603"/>
      <c r="J316" s="1603"/>
      <c r="K316" s="1603"/>
      <c r="L316" s="1603"/>
      <c r="M316" s="1603"/>
      <c r="N316" s="1603"/>
      <c r="O316" s="1603"/>
      <c r="P316" s="1603"/>
      <c r="Q316" s="1603"/>
      <c r="R316" s="1603"/>
      <c r="S316" s="1603"/>
      <c r="T316" s="1603"/>
      <c r="U316" s="1603"/>
      <c r="V316" s="1603"/>
      <c r="W316" s="1603"/>
      <c r="X316" s="1603"/>
      <c r="Y316" s="1603"/>
      <c r="Z316" s="1603"/>
      <c r="AA316" s="1603"/>
      <c r="AB316" s="1603"/>
      <c r="AC316" s="1603"/>
      <c r="AD316" s="1603"/>
      <c r="AE316" s="1603"/>
      <c r="AF316" s="1603"/>
      <c r="AG316" s="1603"/>
      <c r="AH316" s="1603"/>
      <c r="AI316" s="1603"/>
      <c r="AJ316" s="323"/>
      <c r="AK316" s="287"/>
      <c r="AL316" s="312"/>
      <c r="AM316" s="1603" t="str">
        <f>"Undistributed profit after tax is used to record business results (profit, loss) after corporate income tax and situation of income distribution or loss handling of "&amp;LoaiCT_E&amp;". The distribution of profits are made when the undistributed profit after tax of company shall not exceed the undistributed profit "&amp;"after tax on Consolidated Financial Statements after eliminating the impact of profits recorded from cheap purchase. [Trường hợp không có Báo cáo tài chính hợp nhất thì bỏ câu liền trước đi]. "&amp;"In case payment of dividends, profits for the owners exceeding the undistributed profit after tax shall be essentially decrease of contributed capital."&amp;" Undistributed profit after tax can be distributed to investors based on capital contribution rate after approval by"&amp;" General Meeting of Shareholders / Board of Directors and after making appropriation to funds in accordance with the "&amp;LoaiCT_E&amp;"’s Charter and Vietnamese regulatory requirements."</f>
        <v>Undistributed profit after tax is used to record business results (profit, loss) after corporate income tax and situation of income distribution or loss handling of Corporation. The distribution of profits are made when the undistributed profit after tax of company shall not exceed the undistributed profit after tax on Consolidated Financial Statements after eliminating the impact of profits recorded from cheap purchase. [Trường hợp không có Báo cáo tài chính hợp nhất thì bỏ câu liền trước đi]. In case payment of dividends, profits for the owners exceeding the undistributed profit after tax shall be essentially decrease of contributed capital. Undistributed profit after tax can be distributed to investors based on capital contribution rate after approval by General Meeting of Shareholders / Board of Directors and after making appropriation to funds in accordance with the Corporation’s Charter and Vietnamese regulatory requirements.</v>
      </c>
      <c r="AN316" s="1603"/>
      <c r="AO316" s="1603"/>
      <c r="AP316" s="1603"/>
      <c r="AQ316" s="1603"/>
      <c r="AR316" s="1603"/>
      <c r="AS316" s="1603"/>
      <c r="AT316" s="1603"/>
      <c r="AU316" s="1603"/>
      <c r="AV316" s="1603"/>
      <c r="AW316" s="1603"/>
      <c r="AX316" s="1603"/>
      <c r="AY316" s="1603"/>
      <c r="AZ316" s="1603"/>
      <c r="BA316" s="1603"/>
      <c r="BB316" s="1603"/>
      <c r="BC316" s="1603"/>
      <c r="BD316" s="1603"/>
      <c r="BE316" s="1603"/>
      <c r="BF316" s="1603"/>
      <c r="BG316" s="1603"/>
      <c r="BH316" s="1603"/>
      <c r="BI316" s="1603"/>
      <c r="BJ316" s="1603"/>
      <c r="BK316" s="1603"/>
      <c r="BL316" s="1603"/>
      <c r="BM316" s="1603"/>
      <c r="BN316" s="1603"/>
      <c r="BO316" s="1603"/>
      <c r="BP316" s="1603"/>
      <c r="BQ316" s="1603"/>
      <c r="BR316" s="1603"/>
      <c r="BS316" s="1603"/>
      <c r="BT316" s="295"/>
      <c r="BU316" s="295"/>
      <c r="BV316" s="310"/>
      <c r="BW316" s="310"/>
      <c r="BX316" s="291"/>
      <c r="BY316" s="323"/>
      <c r="BZ316" s="279"/>
      <c r="CA316" s="279"/>
      <c r="CB316" s="280"/>
      <c r="CC316" s="280"/>
      <c r="CD316" s="280"/>
      <c r="CE316" s="280"/>
      <c r="CF316" s="280"/>
    </row>
    <row r="317" spans="1:84" s="326" customFormat="1" ht="12" customHeight="1" x14ac:dyDescent="0.25">
      <c r="A317" s="322"/>
      <c r="B317" s="312"/>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c r="AH317" s="318"/>
      <c r="AI317" s="318"/>
      <c r="AJ317" s="323"/>
      <c r="AK317" s="287"/>
      <c r="AL317" s="312"/>
      <c r="AM317" s="318"/>
      <c r="AN317" s="318"/>
      <c r="AO317" s="318"/>
      <c r="AP317" s="318"/>
      <c r="AQ317" s="318"/>
      <c r="AR317" s="318"/>
      <c r="AS317" s="318"/>
      <c r="AT317" s="318"/>
      <c r="AU317" s="318"/>
      <c r="AV317" s="318"/>
      <c r="AW317" s="318"/>
      <c r="AX317" s="318"/>
      <c r="AY317" s="318"/>
      <c r="AZ317" s="318"/>
      <c r="BA317" s="318"/>
      <c r="BB317" s="318"/>
      <c r="BC317" s="318"/>
      <c r="BD317" s="318"/>
      <c r="BE317" s="318"/>
      <c r="BF317" s="318"/>
      <c r="BG317" s="318"/>
      <c r="BH317" s="318"/>
      <c r="BI317" s="318"/>
      <c r="BJ317" s="318"/>
      <c r="BK317" s="318"/>
      <c r="BL317" s="318"/>
      <c r="BM317" s="318"/>
      <c r="BN317" s="318"/>
      <c r="BO317" s="318"/>
      <c r="BP317" s="318"/>
      <c r="BQ317" s="318"/>
      <c r="BR317" s="318"/>
      <c r="BS317" s="318"/>
      <c r="BT317" s="295"/>
      <c r="BU317" s="295"/>
      <c r="BV317" s="310"/>
      <c r="BW317" s="310"/>
      <c r="BX317" s="291"/>
      <c r="BY317" s="323"/>
      <c r="BZ317" s="279"/>
      <c r="CA317" s="279"/>
      <c r="CB317" s="280"/>
      <c r="CC317" s="280"/>
      <c r="CD317" s="280"/>
      <c r="CE317" s="280"/>
      <c r="CF317" s="280"/>
    </row>
    <row r="318" spans="1:84" s="326" customFormat="1" ht="42.95" customHeight="1" x14ac:dyDescent="0.25">
      <c r="A318" s="322"/>
      <c r="B318" s="312"/>
      <c r="C318" s="1603" t="str">
        <f>CONCATENATE("Cổ tức phải trả cho các cổ đông được ghi nhận là khoản phải trả trong Bảng cân đối kế toán của ",LoaiCT_V," sau khi có thông báo chia cổ tức của Hội đồng Quản trị ",LoaiCT_V," và thông báo ngày chốt quyền nhận cổ tức của Trung tâm Lưu ký chứng khoán Việt Nam.")</f>
        <v>Cổ tức phải trả cho các cổ đông được ghi nhận là khoản phải trả trong Bảng cân đối kế toán của Công ty sau khi có thông báo chia cổ tức của Hội đồng Quản trị Công ty và thông báo ngày chốt quyền nhận cổ tức của Trung tâm Lưu ký chứng khoán Việt Nam.</v>
      </c>
      <c r="D318" s="1603"/>
      <c r="E318" s="1603"/>
      <c r="F318" s="1603"/>
      <c r="G318" s="1603"/>
      <c r="H318" s="1603"/>
      <c r="I318" s="1603"/>
      <c r="J318" s="1603"/>
      <c r="K318" s="1603"/>
      <c r="L318" s="1603"/>
      <c r="M318" s="1603"/>
      <c r="N318" s="1603"/>
      <c r="O318" s="1603"/>
      <c r="P318" s="1603"/>
      <c r="Q318" s="1603"/>
      <c r="R318" s="1603"/>
      <c r="S318" s="1603"/>
      <c r="T318" s="1603"/>
      <c r="U318" s="1603"/>
      <c r="V318" s="1603"/>
      <c r="W318" s="1603"/>
      <c r="X318" s="1603"/>
      <c r="Y318" s="1603"/>
      <c r="Z318" s="1603"/>
      <c r="AA318" s="1603"/>
      <c r="AB318" s="1603"/>
      <c r="AC318" s="1603"/>
      <c r="AD318" s="1603"/>
      <c r="AE318" s="1603"/>
      <c r="AF318" s="1603"/>
      <c r="AG318" s="1603"/>
      <c r="AH318" s="1603"/>
      <c r="AI318" s="1603"/>
      <c r="AJ318" s="323"/>
      <c r="AK318" s="287"/>
      <c r="AL318" s="312"/>
      <c r="AM318" s="1603" t="s">
        <v>620</v>
      </c>
      <c r="AN318" s="1603"/>
      <c r="AO318" s="1603"/>
      <c r="AP318" s="1603"/>
      <c r="AQ318" s="1603"/>
      <c r="AR318" s="1603"/>
      <c r="AS318" s="1603"/>
      <c r="AT318" s="1603"/>
      <c r="AU318" s="1603"/>
      <c r="AV318" s="1603"/>
      <c r="AW318" s="1603"/>
      <c r="AX318" s="1603"/>
      <c r="AY318" s="1603"/>
      <c r="AZ318" s="1603"/>
      <c r="BA318" s="1603"/>
      <c r="BB318" s="1603"/>
      <c r="BC318" s="1603"/>
      <c r="BD318" s="1603"/>
      <c r="BE318" s="1603"/>
      <c r="BF318" s="1603"/>
      <c r="BG318" s="1603"/>
      <c r="BH318" s="1603"/>
      <c r="BI318" s="1603"/>
      <c r="BJ318" s="1603"/>
      <c r="BK318" s="1603"/>
      <c r="BL318" s="1603"/>
      <c r="BM318" s="1603"/>
      <c r="BN318" s="1603"/>
      <c r="BO318" s="1603"/>
      <c r="BP318" s="1603"/>
      <c r="BQ318" s="1603"/>
      <c r="BR318" s="1603"/>
      <c r="BS318" s="1603"/>
      <c r="BT318" s="295"/>
      <c r="BU318" s="295"/>
      <c r="BV318" s="310"/>
      <c r="BW318" s="310"/>
      <c r="BX318" s="291"/>
      <c r="BY318" s="323"/>
      <c r="BZ318" s="279"/>
      <c r="CA318" s="279"/>
      <c r="CB318" s="280"/>
      <c r="CC318" s="280"/>
      <c r="CD318" s="280"/>
      <c r="CE318" s="280"/>
      <c r="CF318" s="280"/>
    </row>
    <row r="319" spans="1:84" s="326" customFormat="1" ht="54.95" hidden="1" customHeight="1" x14ac:dyDescent="0.25">
      <c r="A319" s="322"/>
      <c r="B319" s="312"/>
      <c r="C319" s="1605" t="s">
        <v>621</v>
      </c>
      <c r="D319" s="1605"/>
      <c r="E319" s="1605"/>
      <c r="F319" s="1605"/>
      <c r="G319" s="1605"/>
      <c r="H319" s="1605"/>
      <c r="I319" s="1605"/>
      <c r="J319" s="1605"/>
      <c r="K319" s="1605"/>
      <c r="L319" s="1605"/>
      <c r="M319" s="1605"/>
      <c r="N319" s="1605"/>
      <c r="O319" s="1605"/>
      <c r="P319" s="1605"/>
      <c r="Q319" s="1605"/>
      <c r="R319" s="1605"/>
      <c r="S319" s="1605"/>
      <c r="T319" s="1605"/>
      <c r="U319" s="1605"/>
      <c r="V319" s="1605"/>
      <c r="W319" s="1605"/>
      <c r="X319" s="1605"/>
      <c r="Y319" s="1605"/>
      <c r="Z319" s="1605"/>
      <c r="AA319" s="1605"/>
      <c r="AB319" s="1605"/>
      <c r="AC319" s="1605"/>
      <c r="AD319" s="1605"/>
      <c r="AE319" s="1605"/>
      <c r="AF319" s="1605"/>
      <c r="AG319" s="1605"/>
      <c r="AH319" s="1605"/>
      <c r="AI319" s="1605"/>
      <c r="AJ319" s="323"/>
      <c r="AK319" s="287"/>
      <c r="AL319" s="312"/>
      <c r="AM319" s="1605" t="s">
        <v>621</v>
      </c>
      <c r="AN319" s="1605"/>
      <c r="AO319" s="1605"/>
      <c r="AP319" s="1605"/>
      <c r="AQ319" s="1605"/>
      <c r="AR319" s="1605"/>
      <c r="AS319" s="1605"/>
      <c r="AT319" s="1605"/>
      <c r="AU319" s="1605"/>
      <c r="AV319" s="1605"/>
      <c r="AW319" s="1605"/>
      <c r="AX319" s="1605"/>
      <c r="AY319" s="1605"/>
      <c r="AZ319" s="1605"/>
      <c r="BA319" s="1605"/>
      <c r="BB319" s="1605"/>
      <c r="BC319" s="1605"/>
      <c r="BD319" s="1605"/>
      <c r="BE319" s="1605"/>
      <c r="BF319" s="1605"/>
      <c r="BG319" s="1605"/>
      <c r="BH319" s="1605"/>
      <c r="BI319" s="1605"/>
      <c r="BJ319" s="1605"/>
      <c r="BK319" s="1605"/>
      <c r="BL319" s="1605"/>
      <c r="BM319" s="1605"/>
      <c r="BN319" s="1605"/>
      <c r="BO319" s="1605"/>
      <c r="BP319" s="1605"/>
      <c r="BQ319" s="1605"/>
      <c r="BR319" s="1605"/>
      <c r="BS319" s="1605"/>
      <c r="BT319" s="295"/>
      <c r="BU319" s="295"/>
      <c r="BV319" s="310"/>
      <c r="BW319" s="310"/>
      <c r="BX319" s="291"/>
      <c r="BY319" s="323"/>
      <c r="BZ319" s="279"/>
      <c r="CA319" s="279"/>
      <c r="CB319" s="280"/>
      <c r="CC319" s="280"/>
      <c r="CD319" s="280"/>
      <c r="CE319" s="280"/>
      <c r="CF319" s="280"/>
    </row>
    <row r="320" spans="1:84" s="326" customFormat="1" ht="2.1" hidden="1" customHeight="1" x14ac:dyDescent="0.25">
      <c r="A320" s="322"/>
      <c r="B320" s="312"/>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c r="AH320" s="318"/>
      <c r="AI320" s="318"/>
      <c r="AJ320" s="323"/>
      <c r="AK320" s="287"/>
      <c r="AL320" s="312"/>
      <c r="AM320" s="318"/>
      <c r="AN320" s="318"/>
      <c r="AO320" s="318"/>
      <c r="AP320" s="318"/>
      <c r="AQ320" s="318"/>
      <c r="AR320" s="318"/>
      <c r="AS320" s="318"/>
      <c r="AT320" s="318"/>
      <c r="AU320" s="318"/>
      <c r="AV320" s="318"/>
      <c r="AW320" s="318"/>
      <c r="AX320" s="318"/>
      <c r="AY320" s="318"/>
      <c r="AZ320" s="318"/>
      <c r="BA320" s="318"/>
      <c r="BB320" s="318"/>
      <c r="BC320" s="318"/>
      <c r="BD320" s="318"/>
      <c r="BE320" s="318"/>
      <c r="BF320" s="318"/>
      <c r="BG320" s="318"/>
      <c r="BH320" s="318"/>
      <c r="BI320" s="318"/>
      <c r="BJ320" s="318"/>
      <c r="BK320" s="318"/>
      <c r="BL320" s="318"/>
      <c r="BM320" s="318"/>
      <c r="BN320" s="318"/>
      <c r="BO320" s="318"/>
      <c r="BP320" s="318"/>
      <c r="BQ320" s="318"/>
      <c r="BR320" s="318"/>
      <c r="BS320" s="318"/>
      <c r="BT320" s="295"/>
      <c r="BU320" s="295"/>
      <c r="BV320" s="310"/>
      <c r="BW320" s="310"/>
      <c r="BX320" s="291"/>
      <c r="BY320" s="323"/>
      <c r="BZ320" s="279"/>
      <c r="CA320" s="279"/>
      <c r="CB320" s="280"/>
      <c r="CC320" s="280"/>
      <c r="CD320" s="280"/>
      <c r="CE320" s="280"/>
      <c r="CF320" s="280"/>
    </row>
    <row r="321" spans="1:84" s="326" customFormat="1" ht="15" hidden="1" customHeight="1" x14ac:dyDescent="0.25">
      <c r="A321" s="322"/>
      <c r="B321" s="312"/>
      <c r="C321" s="335" t="s">
        <v>622</v>
      </c>
      <c r="D321" s="295"/>
      <c r="E321" s="295"/>
      <c r="F321" s="295"/>
      <c r="G321" s="295"/>
      <c r="H321" s="295"/>
      <c r="I321" s="295"/>
      <c r="J321" s="295"/>
      <c r="K321" s="295"/>
      <c r="L321" s="295"/>
      <c r="M321" s="295"/>
      <c r="N321" s="295"/>
      <c r="O321" s="295"/>
      <c r="P321" s="295"/>
      <c r="Q321" s="318"/>
      <c r="R321" s="318"/>
      <c r="S321" s="318"/>
      <c r="T321" s="318"/>
      <c r="U321" s="318"/>
      <c r="V321" s="318"/>
      <c r="W321" s="318"/>
      <c r="X321" s="318"/>
      <c r="Y321" s="318"/>
      <c r="Z321" s="318"/>
      <c r="AA321" s="318"/>
      <c r="AB321" s="318"/>
      <c r="AC321" s="318"/>
      <c r="AD321" s="318"/>
      <c r="AE321" s="318"/>
      <c r="AF321" s="318"/>
      <c r="AG321" s="318"/>
      <c r="AH321" s="318"/>
      <c r="AI321" s="318"/>
      <c r="AJ321" s="323"/>
      <c r="AK321" s="287"/>
      <c r="AL321" s="312"/>
      <c r="AM321" s="335" t="s">
        <v>622</v>
      </c>
      <c r="AN321" s="295"/>
      <c r="AO321" s="295"/>
      <c r="AP321" s="295"/>
      <c r="AQ321" s="295"/>
      <c r="AR321" s="295"/>
      <c r="AS321" s="295"/>
      <c r="AT321" s="295"/>
      <c r="AU321" s="295"/>
      <c r="AV321" s="295"/>
      <c r="AW321" s="295"/>
      <c r="AX321" s="295"/>
      <c r="AY321" s="295"/>
      <c r="AZ321" s="295"/>
      <c r="BA321" s="318"/>
      <c r="BB321" s="318"/>
      <c r="BC321" s="318"/>
      <c r="BD321" s="318"/>
      <c r="BE321" s="318"/>
      <c r="BF321" s="318"/>
      <c r="BG321" s="318"/>
      <c r="BH321" s="318"/>
      <c r="BI321" s="318"/>
      <c r="BJ321" s="318"/>
      <c r="BK321" s="318"/>
      <c r="BL321" s="318"/>
      <c r="BM321" s="318"/>
      <c r="BN321" s="318"/>
      <c r="BO321" s="318"/>
      <c r="BP321" s="318"/>
      <c r="BQ321" s="318"/>
      <c r="BR321" s="318"/>
      <c r="BS321" s="318"/>
      <c r="BT321" s="295"/>
      <c r="BU321" s="295"/>
      <c r="BV321" s="310"/>
      <c r="BW321" s="310"/>
      <c r="BX321" s="291"/>
      <c r="BY321" s="323"/>
      <c r="BZ321" s="279"/>
      <c r="CA321" s="279"/>
      <c r="CB321" s="280"/>
      <c r="CC321" s="280"/>
      <c r="CD321" s="280"/>
      <c r="CE321" s="280"/>
      <c r="CF321" s="280"/>
    </row>
    <row r="322" spans="1:84" s="326" customFormat="1" ht="15" hidden="1" customHeight="1" x14ac:dyDescent="0.25">
      <c r="A322" s="322"/>
      <c r="B322" s="312"/>
      <c r="C322" s="1603" t="s">
        <v>610</v>
      </c>
      <c r="D322" s="1603"/>
      <c r="E322" s="1603"/>
      <c r="F322" s="1603"/>
      <c r="G322" s="1603"/>
      <c r="H322" s="1603"/>
      <c r="I322" s="1603"/>
      <c r="J322" s="1603"/>
      <c r="K322" s="1603"/>
      <c r="L322" s="1603"/>
      <c r="M322" s="1603"/>
      <c r="N322" s="1603"/>
      <c r="O322" s="1603"/>
      <c r="P322" s="1603"/>
      <c r="Q322" s="1603"/>
      <c r="R322" s="1603"/>
      <c r="S322" s="1603"/>
      <c r="T322" s="1603"/>
      <c r="U322" s="1603"/>
      <c r="V322" s="1603"/>
      <c r="W322" s="1603"/>
      <c r="X322" s="1603"/>
      <c r="Y322" s="1603"/>
      <c r="Z322" s="1603"/>
      <c r="AA322" s="1603"/>
      <c r="AB322" s="1603"/>
      <c r="AC322" s="1603"/>
      <c r="AD322" s="1603"/>
      <c r="AE322" s="1603"/>
      <c r="AF322" s="1603"/>
      <c r="AG322" s="1603"/>
      <c r="AH322" s="1603"/>
      <c r="AI322" s="1603"/>
      <c r="AJ322" s="323"/>
      <c r="AK322" s="287"/>
      <c r="AL322" s="312"/>
      <c r="AM322" s="1603" t="s">
        <v>611</v>
      </c>
      <c r="AN322" s="1603"/>
      <c r="AO322" s="1603"/>
      <c r="AP322" s="1603"/>
      <c r="AQ322" s="1603"/>
      <c r="AR322" s="1603"/>
      <c r="AS322" s="1603"/>
      <c r="AT322" s="1603"/>
      <c r="AU322" s="1603"/>
      <c r="AV322" s="1603"/>
      <c r="AW322" s="1603"/>
      <c r="AX322" s="1603"/>
      <c r="AY322" s="1603"/>
      <c r="AZ322" s="1603"/>
      <c r="BA322" s="1603"/>
      <c r="BB322" s="1603"/>
      <c r="BC322" s="1603"/>
      <c r="BD322" s="1603"/>
      <c r="BE322" s="1603"/>
      <c r="BF322" s="1603"/>
      <c r="BG322" s="1603"/>
      <c r="BH322" s="1603"/>
      <c r="BI322" s="1603"/>
      <c r="BJ322" s="1603"/>
      <c r="BK322" s="1603"/>
      <c r="BL322" s="1603"/>
      <c r="BM322" s="1603"/>
      <c r="BN322" s="1603"/>
      <c r="BO322" s="1603"/>
      <c r="BP322" s="1603"/>
      <c r="BQ322" s="1603"/>
      <c r="BR322" s="1603"/>
      <c r="BS322" s="1603"/>
      <c r="BT322" s="295"/>
      <c r="BU322" s="295"/>
      <c r="BV322" s="310"/>
      <c r="BW322" s="310"/>
      <c r="BX322" s="291"/>
      <c r="BY322" s="323"/>
      <c r="BZ322" s="279"/>
      <c r="CA322" s="279"/>
      <c r="CB322" s="280"/>
      <c r="CC322" s="280"/>
      <c r="CD322" s="280"/>
      <c r="CE322" s="280"/>
      <c r="CF322" s="280"/>
    </row>
    <row r="323" spans="1:84" s="326" customFormat="1" ht="12.95" hidden="1" customHeight="1" x14ac:dyDescent="0.25">
      <c r="A323" s="322"/>
      <c r="B323" s="312"/>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c r="AH323" s="318"/>
      <c r="AI323" s="318"/>
      <c r="AJ323" s="323"/>
      <c r="AK323" s="287"/>
      <c r="AL323" s="312"/>
      <c r="AM323" s="318"/>
      <c r="AN323" s="318"/>
      <c r="AO323" s="318"/>
      <c r="AP323" s="318"/>
      <c r="AQ323" s="318"/>
      <c r="AR323" s="318"/>
      <c r="AS323" s="318"/>
      <c r="AT323" s="318"/>
      <c r="AU323" s="318"/>
      <c r="AV323" s="318"/>
      <c r="AW323" s="318"/>
      <c r="AX323" s="318"/>
      <c r="AY323" s="318"/>
      <c r="AZ323" s="318"/>
      <c r="BA323" s="318"/>
      <c r="BB323" s="318"/>
      <c r="BC323" s="318"/>
      <c r="BD323" s="318"/>
      <c r="BE323" s="318"/>
      <c r="BF323" s="318"/>
      <c r="BG323" s="318"/>
      <c r="BH323" s="318"/>
      <c r="BI323" s="318"/>
      <c r="BJ323" s="318"/>
      <c r="BK323" s="318"/>
      <c r="BL323" s="318"/>
      <c r="BM323" s="318"/>
      <c r="BN323" s="318"/>
      <c r="BO323" s="318"/>
      <c r="BP323" s="318"/>
      <c r="BQ323" s="318"/>
      <c r="BR323" s="318"/>
      <c r="BS323" s="318"/>
      <c r="BT323" s="295"/>
      <c r="BU323" s="295"/>
      <c r="BV323" s="310"/>
      <c r="BW323" s="310"/>
      <c r="BX323" s="291"/>
      <c r="BY323" s="323"/>
      <c r="BZ323" s="279"/>
      <c r="CA323" s="279"/>
      <c r="CB323" s="280"/>
      <c r="CC323" s="280"/>
      <c r="CD323" s="280"/>
      <c r="CE323" s="280"/>
      <c r="CF323" s="280"/>
    </row>
    <row r="324" spans="1:84" s="326" customFormat="1" ht="42" hidden="1" customHeight="1" x14ac:dyDescent="0.25">
      <c r="A324" s="322"/>
      <c r="B324" s="312"/>
      <c r="C324" s="1603" t="s">
        <v>623</v>
      </c>
      <c r="D324" s="1603"/>
      <c r="E324" s="1603"/>
      <c r="F324" s="1603"/>
      <c r="G324" s="1603"/>
      <c r="H324" s="1603"/>
      <c r="I324" s="1603"/>
      <c r="J324" s="1603"/>
      <c r="K324" s="1603"/>
      <c r="L324" s="1603"/>
      <c r="M324" s="1603"/>
      <c r="N324" s="1603"/>
      <c r="O324" s="1603"/>
      <c r="P324" s="1603"/>
      <c r="Q324" s="1603"/>
      <c r="R324" s="1603"/>
      <c r="S324" s="1603"/>
      <c r="T324" s="1603"/>
      <c r="U324" s="1603"/>
      <c r="V324" s="1603"/>
      <c r="W324" s="1603"/>
      <c r="X324" s="1603"/>
      <c r="Y324" s="1603"/>
      <c r="Z324" s="1603"/>
      <c r="AA324" s="1603"/>
      <c r="AB324" s="1603"/>
      <c r="AC324" s="1603"/>
      <c r="AD324" s="1603"/>
      <c r="AE324" s="1603"/>
      <c r="AF324" s="1603"/>
      <c r="AG324" s="1603"/>
      <c r="AH324" s="1603"/>
      <c r="AI324" s="1603"/>
      <c r="AJ324" s="323"/>
      <c r="AK324" s="287"/>
      <c r="AL324" s="312"/>
      <c r="AM324" s="1603" t="s">
        <v>624</v>
      </c>
      <c r="AN324" s="1603"/>
      <c r="AO324" s="1603"/>
      <c r="AP324" s="1603"/>
      <c r="AQ324" s="1603"/>
      <c r="AR324" s="1603"/>
      <c r="AS324" s="1603"/>
      <c r="AT324" s="1603"/>
      <c r="AU324" s="1603"/>
      <c r="AV324" s="1603"/>
      <c r="AW324" s="1603"/>
      <c r="AX324" s="1603"/>
      <c r="AY324" s="1603"/>
      <c r="AZ324" s="1603"/>
      <c r="BA324" s="1603"/>
      <c r="BB324" s="1603"/>
      <c r="BC324" s="1603"/>
      <c r="BD324" s="1603"/>
      <c r="BE324" s="1603"/>
      <c r="BF324" s="1603"/>
      <c r="BG324" s="1603"/>
      <c r="BH324" s="1603"/>
      <c r="BI324" s="1603"/>
      <c r="BJ324" s="1603"/>
      <c r="BK324" s="1603"/>
      <c r="BL324" s="1603"/>
      <c r="BM324" s="1603"/>
      <c r="BN324" s="1603"/>
      <c r="BO324" s="1603"/>
      <c r="BP324" s="1603"/>
      <c r="BQ324" s="1603"/>
      <c r="BR324" s="1603"/>
      <c r="BS324" s="1603"/>
      <c r="BT324" s="295"/>
      <c r="BU324" s="295"/>
      <c r="BV324" s="310"/>
      <c r="BW324" s="310"/>
      <c r="BX324" s="291"/>
      <c r="BY324" s="323"/>
      <c r="BZ324" s="279"/>
      <c r="CA324" s="279"/>
      <c r="CB324" s="280"/>
      <c r="CC324" s="280"/>
      <c r="CD324" s="280"/>
      <c r="CE324" s="280"/>
      <c r="CF324" s="280"/>
    </row>
    <row r="325" spans="1:84" s="326" customFormat="1" ht="12.95" hidden="1" customHeight="1" x14ac:dyDescent="0.25">
      <c r="A325" s="322"/>
      <c r="B325" s="312"/>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c r="AH325" s="318"/>
      <c r="AI325" s="318"/>
      <c r="AJ325" s="323"/>
      <c r="AK325" s="287"/>
      <c r="AL325" s="312"/>
      <c r="AM325" s="318"/>
      <c r="AN325" s="318"/>
      <c r="AO325" s="318"/>
      <c r="AP325" s="318"/>
      <c r="AQ325" s="318"/>
      <c r="AR325" s="318"/>
      <c r="AS325" s="318"/>
      <c r="AT325" s="318"/>
      <c r="AU325" s="318"/>
      <c r="AV325" s="318"/>
      <c r="AW325" s="318"/>
      <c r="AX325" s="318"/>
      <c r="AY325" s="318"/>
      <c r="AZ325" s="318"/>
      <c r="BA325" s="318"/>
      <c r="BB325" s="318"/>
      <c r="BC325" s="318"/>
      <c r="BD325" s="318"/>
      <c r="BE325" s="318"/>
      <c r="BF325" s="318"/>
      <c r="BG325" s="318"/>
      <c r="BH325" s="318"/>
      <c r="BI325" s="318"/>
      <c r="BJ325" s="318"/>
      <c r="BK325" s="318"/>
      <c r="BL325" s="318"/>
      <c r="BM325" s="318"/>
      <c r="BN325" s="318"/>
      <c r="BO325" s="318"/>
      <c r="BP325" s="318"/>
      <c r="BQ325" s="318"/>
      <c r="BR325" s="318"/>
      <c r="BS325" s="318"/>
      <c r="BT325" s="295"/>
      <c r="BU325" s="295"/>
      <c r="BV325" s="310"/>
      <c r="BW325" s="310"/>
      <c r="BX325" s="291"/>
      <c r="BY325" s="323"/>
      <c r="BZ325" s="279"/>
      <c r="CA325" s="279"/>
      <c r="CB325" s="280"/>
      <c r="CC325" s="280"/>
      <c r="CD325" s="280"/>
      <c r="CE325" s="280"/>
      <c r="CF325" s="280"/>
    </row>
    <row r="326" spans="1:84" s="326" customFormat="1" ht="27.95" hidden="1" customHeight="1" x14ac:dyDescent="0.25">
      <c r="A326" s="322"/>
      <c r="B326" s="312"/>
      <c r="C326" s="1610" t="s">
        <v>625</v>
      </c>
      <c r="D326" s="1610"/>
      <c r="E326" s="1610"/>
      <c r="F326" s="1610"/>
      <c r="G326" s="1610"/>
      <c r="H326" s="1610"/>
      <c r="I326" s="1610"/>
      <c r="J326" s="1610"/>
      <c r="K326" s="1610"/>
      <c r="L326" s="1610"/>
      <c r="M326" s="1610"/>
      <c r="N326" s="1610"/>
      <c r="O326" s="1610"/>
      <c r="P326" s="1610"/>
      <c r="Q326" s="1610"/>
      <c r="R326" s="1610"/>
      <c r="S326" s="1610"/>
      <c r="T326" s="1610"/>
      <c r="U326" s="1610"/>
      <c r="V326" s="1610"/>
      <c r="W326" s="1610"/>
      <c r="X326" s="1610"/>
      <c r="Y326" s="1610"/>
      <c r="Z326" s="1610"/>
      <c r="AA326" s="1610"/>
      <c r="AB326" s="1610"/>
      <c r="AC326" s="1610"/>
      <c r="AD326" s="1610"/>
      <c r="AE326" s="1610"/>
      <c r="AF326" s="1610"/>
      <c r="AG326" s="1610"/>
      <c r="AH326" s="1610"/>
      <c r="AI326" s="1610"/>
      <c r="AJ326" s="323"/>
      <c r="AK326" s="287"/>
      <c r="AL326" s="312"/>
      <c r="AM326" s="1603" t="s">
        <v>626</v>
      </c>
      <c r="AN326" s="1603"/>
      <c r="AO326" s="1603"/>
      <c r="AP326" s="1603"/>
      <c r="AQ326" s="1603"/>
      <c r="AR326" s="1603"/>
      <c r="AS326" s="1603"/>
      <c r="AT326" s="1603"/>
      <c r="AU326" s="1603"/>
      <c r="AV326" s="1603"/>
      <c r="AW326" s="1603"/>
      <c r="AX326" s="1603"/>
      <c r="AY326" s="1603"/>
      <c r="AZ326" s="1603"/>
      <c r="BA326" s="1603"/>
      <c r="BB326" s="1603"/>
      <c r="BC326" s="1603"/>
      <c r="BD326" s="1603"/>
      <c r="BE326" s="1603"/>
      <c r="BF326" s="1603"/>
      <c r="BG326" s="1603"/>
      <c r="BH326" s="1603"/>
      <c r="BI326" s="1603"/>
      <c r="BJ326" s="1603"/>
      <c r="BK326" s="1603"/>
      <c r="BL326" s="1603"/>
      <c r="BM326" s="1603"/>
      <c r="BN326" s="1603"/>
      <c r="BO326" s="1603"/>
      <c r="BP326" s="1603"/>
      <c r="BQ326" s="1603"/>
      <c r="BR326" s="1603"/>
      <c r="BS326" s="1603"/>
      <c r="BT326" s="295"/>
      <c r="BU326" s="295"/>
      <c r="BV326" s="310"/>
      <c r="BW326" s="310"/>
      <c r="BX326" s="291"/>
      <c r="BY326" s="323"/>
      <c r="BZ326" s="279"/>
      <c r="CA326" s="279"/>
      <c r="CB326" s="280"/>
      <c r="CC326" s="280"/>
      <c r="CD326" s="280"/>
      <c r="CE326" s="280"/>
      <c r="CF326" s="280"/>
    </row>
    <row r="327" spans="1:84" s="326" customFormat="1" ht="12.95" hidden="1" customHeight="1" x14ac:dyDescent="0.25">
      <c r="A327" s="322"/>
      <c r="B327" s="312"/>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c r="AH327" s="318"/>
      <c r="AI327" s="318"/>
      <c r="AJ327" s="323"/>
      <c r="AK327" s="287"/>
      <c r="AL327" s="312"/>
      <c r="AM327" s="318"/>
      <c r="AN327" s="318"/>
      <c r="AO327" s="318"/>
      <c r="AP327" s="318"/>
      <c r="AQ327" s="318"/>
      <c r="AR327" s="318"/>
      <c r="AS327" s="318"/>
      <c r="AT327" s="318"/>
      <c r="AU327" s="318"/>
      <c r="AV327" s="318"/>
      <c r="AW327" s="318"/>
      <c r="AX327" s="318"/>
      <c r="AY327" s="318"/>
      <c r="AZ327" s="318"/>
      <c r="BA327" s="318"/>
      <c r="BB327" s="318"/>
      <c r="BC327" s="318"/>
      <c r="BD327" s="318"/>
      <c r="BE327" s="318"/>
      <c r="BF327" s="318"/>
      <c r="BG327" s="318"/>
      <c r="BH327" s="318"/>
      <c r="BI327" s="318"/>
      <c r="BJ327" s="318"/>
      <c r="BK327" s="318"/>
      <c r="BL327" s="318"/>
      <c r="BM327" s="318"/>
      <c r="BN327" s="318"/>
      <c r="BO327" s="318"/>
      <c r="BP327" s="318"/>
      <c r="BQ327" s="318"/>
      <c r="BR327" s="318"/>
      <c r="BS327" s="318"/>
      <c r="BT327" s="295"/>
      <c r="BU327" s="295"/>
      <c r="BV327" s="310"/>
      <c r="BW327" s="310"/>
      <c r="BX327" s="291"/>
      <c r="BY327" s="323"/>
      <c r="BZ327" s="279"/>
      <c r="CA327" s="279"/>
      <c r="CB327" s="280"/>
      <c r="CC327" s="280"/>
      <c r="CD327" s="280"/>
      <c r="CE327" s="280"/>
      <c r="CF327" s="280"/>
    </row>
    <row r="328" spans="1:84" s="326" customFormat="1" ht="54.95" hidden="1" customHeight="1" x14ac:dyDescent="0.25">
      <c r="A328" s="322"/>
      <c r="B328" s="312"/>
      <c r="C328" s="1603" t="s">
        <v>627</v>
      </c>
      <c r="D328" s="1603"/>
      <c r="E328" s="1603"/>
      <c r="F328" s="1603"/>
      <c r="G328" s="1603"/>
      <c r="H328" s="1603"/>
      <c r="I328" s="1603"/>
      <c r="J328" s="1603"/>
      <c r="K328" s="1603"/>
      <c r="L328" s="1603"/>
      <c r="M328" s="1603"/>
      <c r="N328" s="1603"/>
      <c r="O328" s="1603"/>
      <c r="P328" s="1603"/>
      <c r="Q328" s="1603"/>
      <c r="R328" s="1603"/>
      <c r="S328" s="1603"/>
      <c r="T328" s="1603"/>
      <c r="U328" s="1603"/>
      <c r="V328" s="1603"/>
      <c r="W328" s="1603"/>
      <c r="X328" s="1603"/>
      <c r="Y328" s="1603"/>
      <c r="Z328" s="1603"/>
      <c r="AA328" s="1603"/>
      <c r="AB328" s="1603"/>
      <c r="AC328" s="1603"/>
      <c r="AD328" s="1603"/>
      <c r="AE328" s="1603"/>
      <c r="AF328" s="1603"/>
      <c r="AG328" s="1603"/>
      <c r="AH328" s="1603"/>
      <c r="AI328" s="1603"/>
      <c r="AJ328" s="323"/>
      <c r="AK328" s="287"/>
      <c r="AL328" s="312"/>
      <c r="AM328" s="1603" t="s">
        <v>628</v>
      </c>
      <c r="AN328" s="1603"/>
      <c r="AO328" s="1603"/>
      <c r="AP328" s="1603"/>
      <c r="AQ328" s="1603"/>
      <c r="AR328" s="1603"/>
      <c r="AS328" s="1603"/>
      <c r="AT328" s="1603"/>
      <c r="AU328" s="1603"/>
      <c r="AV328" s="1603"/>
      <c r="AW328" s="1603"/>
      <c r="AX328" s="1603"/>
      <c r="AY328" s="1603"/>
      <c r="AZ328" s="1603"/>
      <c r="BA328" s="1603"/>
      <c r="BB328" s="1603"/>
      <c r="BC328" s="1603"/>
      <c r="BD328" s="1603"/>
      <c r="BE328" s="1603"/>
      <c r="BF328" s="1603"/>
      <c r="BG328" s="1603"/>
      <c r="BH328" s="1603"/>
      <c r="BI328" s="1603"/>
      <c r="BJ328" s="1603"/>
      <c r="BK328" s="1603"/>
      <c r="BL328" s="1603"/>
      <c r="BM328" s="1603"/>
      <c r="BN328" s="1603"/>
      <c r="BO328" s="1603"/>
      <c r="BP328" s="1603"/>
      <c r="BQ328" s="1603"/>
      <c r="BR328" s="1603"/>
      <c r="BS328" s="1603"/>
      <c r="BT328" s="295"/>
      <c r="BU328" s="295"/>
      <c r="BV328" s="310"/>
      <c r="BW328" s="310"/>
      <c r="BX328" s="291"/>
      <c r="BY328" s="323"/>
      <c r="BZ328" s="279"/>
      <c r="CA328" s="279"/>
      <c r="CB328" s="280"/>
      <c r="CC328" s="280"/>
      <c r="CD328" s="280"/>
      <c r="CE328" s="280"/>
      <c r="CF328" s="280"/>
    </row>
    <row r="329" spans="1:84" s="326" customFormat="1" ht="2.1" hidden="1" customHeight="1" x14ac:dyDescent="0.25">
      <c r="A329" s="322"/>
      <c r="B329" s="312"/>
      <c r="C329" s="1603"/>
      <c r="D329" s="1603"/>
      <c r="E329" s="1603"/>
      <c r="F329" s="1603"/>
      <c r="G329" s="1603"/>
      <c r="H329" s="1603"/>
      <c r="I329" s="1603"/>
      <c r="J329" s="1603"/>
      <c r="K329" s="1603"/>
      <c r="L329" s="1603"/>
      <c r="M329" s="1603"/>
      <c r="N329" s="1603"/>
      <c r="O329" s="1603"/>
      <c r="P329" s="1603"/>
      <c r="Q329" s="1603"/>
      <c r="R329" s="1603"/>
      <c r="S329" s="1603"/>
      <c r="T329" s="1603"/>
      <c r="U329" s="1603"/>
      <c r="V329" s="1603"/>
      <c r="W329" s="1603"/>
      <c r="X329" s="1603"/>
      <c r="Y329" s="1603"/>
      <c r="Z329" s="1603"/>
      <c r="AA329" s="1603"/>
      <c r="AB329" s="1603"/>
      <c r="AC329" s="1603"/>
      <c r="AD329" s="1603"/>
      <c r="AE329" s="1603"/>
      <c r="AF329" s="1603"/>
      <c r="AG329" s="1603"/>
      <c r="AH329" s="1603"/>
      <c r="AI329" s="1603"/>
      <c r="AJ329" s="323"/>
      <c r="AK329" s="287"/>
      <c r="AL329" s="312"/>
      <c r="AM329" s="1603"/>
      <c r="AN329" s="1603"/>
      <c r="AO329" s="1603"/>
      <c r="AP329" s="1603"/>
      <c r="AQ329" s="1603"/>
      <c r="AR329" s="1603"/>
      <c r="AS329" s="1603"/>
      <c r="AT329" s="1603"/>
      <c r="AU329" s="1603"/>
      <c r="AV329" s="1603"/>
      <c r="AW329" s="1603"/>
      <c r="AX329" s="1603"/>
      <c r="AY329" s="1603"/>
      <c r="AZ329" s="1603"/>
      <c r="BA329" s="1603"/>
      <c r="BB329" s="1603"/>
      <c r="BC329" s="1603"/>
      <c r="BD329" s="1603"/>
      <c r="BE329" s="1603"/>
      <c r="BF329" s="1603"/>
      <c r="BG329" s="1603"/>
      <c r="BH329" s="1603"/>
      <c r="BI329" s="1603"/>
      <c r="BJ329" s="1603"/>
      <c r="BK329" s="1603"/>
      <c r="BL329" s="1603"/>
      <c r="BM329" s="1603"/>
      <c r="BN329" s="1603"/>
      <c r="BO329" s="1603"/>
      <c r="BP329" s="1603"/>
      <c r="BQ329" s="1603"/>
      <c r="BR329" s="1603"/>
      <c r="BS329" s="1603"/>
      <c r="BT329" s="295"/>
      <c r="BU329" s="295"/>
      <c r="BV329" s="310"/>
      <c r="BW329" s="310"/>
      <c r="BX329" s="291"/>
      <c r="BY329" s="323"/>
      <c r="BZ329" s="279"/>
      <c r="CA329" s="279"/>
      <c r="CB329" s="280"/>
      <c r="CC329" s="280"/>
      <c r="CD329" s="280"/>
      <c r="CE329" s="280"/>
      <c r="CF329" s="280"/>
    </row>
    <row r="330" spans="1:84" s="326" customFormat="1" ht="12.95" customHeight="1" x14ac:dyDescent="0.25">
      <c r="A330" s="322"/>
      <c r="B330" s="312"/>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c r="AE330" s="318"/>
      <c r="AF330" s="318"/>
      <c r="AG330" s="318"/>
      <c r="AH330" s="318"/>
      <c r="AI330" s="318"/>
      <c r="AJ330" s="323"/>
      <c r="AK330" s="287"/>
      <c r="AL330" s="312"/>
      <c r="AM330" s="318"/>
      <c r="AN330" s="318"/>
      <c r="AO330" s="318"/>
      <c r="AP330" s="318"/>
      <c r="AQ330" s="318"/>
      <c r="AR330" s="318"/>
      <c r="AS330" s="318"/>
      <c r="AT330" s="318"/>
      <c r="AU330" s="318"/>
      <c r="AV330" s="318"/>
      <c r="AW330" s="318"/>
      <c r="AX330" s="318"/>
      <c r="AY330" s="318"/>
      <c r="AZ330" s="318"/>
      <c r="BA330" s="318"/>
      <c r="BB330" s="318"/>
      <c r="BC330" s="318"/>
      <c r="BD330" s="318"/>
      <c r="BE330" s="318"/>
      <c r="BF330" s="318"/>
      <c r="BG330" s="318"/>
      <c r="BH330" s="318"/>
      <c r="BI330" s="318"/>
      <c r="BJ330" s="318"/>
      <c r="BK330" s="318"/>
      <c r="BL330" s="318"/>
      <c r="BM330" s="318"/>
      <c r="BN330" s="318"/>
      <c r="BO330" s="318"/>
      <c r="BP330" s="318"/>
      <c r="BQ330" s="318"/>
      <c r="BR330" s="318"/>
      <c r="BS330" s="318"/>
      <c r="BT330" s="295"/>
      <c r="BU330" s="295"/>
      <c r="BV330" s="310"/>
      <c r="BW330" s="310"/>
      <c r="BX330" s="291"/>
      <c r="BY330" s="323"/>
      <c r="BZ330" s="279"/>
      <c r="CA330" s="279"/>
      <c r="CB330" s="280"/>
      <c r="CC330" s="280"/>
      <c r="CD330" s="280"/>
      <c r="CE330" s="280"/>
      <c r="CF330" s="280"/>
    </row>
    <row r="331" spans="1:84" s="326" customFormat="1" ht="15" customHeight="1" x14ac:dyDescent="0.25">
      <c r="A331" s="322" t="str">
        <f>subSTT</f>
        <v>2.17</v>
      </c>
      <c r="B331" s="312" t="s">
        <v>345</v>
      </c>
      <c r="C331" s="312" t="s">
        <v>629</v>
      </c>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c r="AH331" s="318"/>
      <c r="AI331" s="318"/>
      <c r="AJ331" s="323"/>
      <c r="AK331" s="287" t="str">
        <f>A331</f>
        <v>2.17</v>
      </c>
      <c r="AL331" s="312"/>
      <c r="AM331" s="312" t="s">
        <v>630</v>
      </c>
      <c r="AN331" s="318"/>
      <c r="AO331" s="318"/>
      <c r="AP331" s="318"/>
      <c r="AQ331" s="318"/>
      <c r="AR331" s="318"/>
      <c r="AS331" s="318"/>
      <c r="AT331" s="318"/>
      <c r="AU331" s="318"/>
      <c r="AV331" s="318"/>
      <c r="AW331" s="318"/>
      <c r="AX331" s="318"/>
      <c r="AY331" s="318"/>
      <c r="AZ331" s="318"/>
      <c r="BA331" s="318"/>
      <c r="BB331" s="318"/>
      <c r="BC331" s="318"/>
      <c r="BD331" s="318"/>
      <c r="BE331" s="318"/>
      <c r="BF331" s="318"/>
      <c r="BG331" s="318"/>
      <c r="BH331" s="318"/>
      <c r="BI331" s="318"/>
      <c r="BJ331" s="318"/>
      <c r="BK331" s="318"/>
      <c r="BL331" s="318"/>
      <c r="BM331" s="318"/>
      <c r="BN331" s="318"/>
      <c r="BO331" s="318"/>
      <c r="BP331" s="318"/>
      <c r="BQ331" s="318"/>
      <c r="BR331" s="318"/>
      <c r="BS331" s="318"/>
      <c r="BT331" s="295"/>
      <c r="BU331" s="295"/>
      <c r="BV331" s="310"/>
      <c r="BW331" s="310"/>
      <c r="BX331" s="291"/>
      <c r="BY331" s="323"/>
      <c r="BZ331" s="279"/>
      <c r="CA331" s="279"/>
      <c r="CB331" s="280"/>
      <c r="CC331" s="280"/>
      <c r="CD331" s="280"/>
      <c r="CE331" s="280"/>
      <c r="CF331" s="280"/>
    </row>
    <row r="332" spans="1:84" s="326" customFormat="1" ht="12.95" customHeight="1" x14ac:dyDescent="0.25">
      <c r="A332" s="322"/>
      <c r="B332" s="312"/>
      <c r="C332" s="324"/>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c r="AH332" s="318"/>
      <c r="AI332" s="318"/>
      <c r="AJ332" s="323"/>
      <c r="AK332" s="287"/>
      <c r="AL332" s="312"/>
      <c r="AM332" s="312"/>
      <c r="AN332" s="318"/>
      <c r="AO332" s="318"/>
      <c r="AP332" s="318"/>
      <c r="AQ332" s="318"/>
      <c r="AR332" s="318"/>
      <c r="AS332" s="318"/>
      <c r="AT332" s="318"/>
      <c r="AU332" s="318"/>
      <c r="AV332" s="318"/>
      <c r="AW332" s="318"/>
      <c r="AX332" s="318"/>
      <c r="AY332" s="318"/>
      <c r="AZ332" s="318"/>
      <c r="BA332" s="318"/>
      <c r="BB332" s="318"/>
      <c r="BC332" s="318"/>
      <c r="BD332" s="318"/>
      <c r="BE332" s="318"/>
      <c r="BF332" s="318"/>
      <c r="BG332" s="318"/>
      <c r="BH332" s="318"/>
      <c r="BI332" s="318"/>
      <c r="BJ332" s="318"/>
      <c r="BK332" s="318"/>
      <c r="BL332" s="318"/>
      <c r="BM332" s="318"/>
      <c r="BN332" s="318"/>
      <c r="BO332" s="318"/>
      <c r="BP332" s="318"/>
      <c r="BQ332" s="318"/>
      <c r="BR332" s="318"/>
      <c r="BS332" s="318"/>
      <c r="BT332" s="295"/>
      <c r="BU332" s="295"/>
      <c r="BV332" s="310"/>
      <c r="BW332" s="310"/>
      <c r="BX332" s="291"/>
      <c r="BY332" s="323"/>
      <c r="BZ332" s="279"/>
      <c r="CA332" s="279"/>
      <c r="CB332" s="280"/>
      <c r="CC332" s="280"/>
      <c r="CD332" s="280"/>
      <c r="CE332" s="280"/>
      <c r="CF332" s="280"/>
    </row>
    <row r="333" spans="1:84" s="326" customFormat="1" ht="15" customHeight="1" x14ac:dyDescent="0.25">
      <c r="A333" s="322"/>
      <c r="B333" s="312"/>
      <c r="C333" s="336" t="s">
        <v>631</v>
      </c>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c r="AH333" s="318"/>
      <c r="AI333" s="318"/>
      <c r="AJ333" s="323"/>
      <c r="AK333" s="287"/>
      <c r="AL333" s="312"/>
      <c r="AM333" s="336" t="s">
        <v>632</v>
      </c>
      <c r="AN333" s="318"/>
      <c r="AO333" s="318"/>
      <c r="AP333" s="318"/>
      <c r="AQ333" s="318"/>
      <c r="AR333" s="318"/>
      <c r="AS333" s="318"/>
      <c r="AT333" s="318"/>
      <c r="AU333" s="318"/>
      <c r="AV333" s="318"/>
      <c r="AW333" s="318"/>
      <c r="AX333" s="318"/>
      <c r="AY333" s="318"/>
      <c r="AZ333" s="318"/>
      <c r="BA333" s="318"/>
      <c r="BB333" s="318"/>
      <c r="BC333" s="318"/>
      <c r="BD333" s="318"/>
      <c r="BE333" s="318"/>
      <c r="BF333" s="318"/>
      <c r="BG333" s="318"/>
      <c r="BH333" s="318"/>
      <c r="BI333" s="318"/>
      <c r="BJ333" s="318"/>
      <c r="BK333" s="318"/>
      <c r="BL333" s="318"/>
      <c r="BM333" s="318"/>
      <c r="BN333" s="318"/>
      <c r="BO333" s="318"/>
      <c r="BP333" s="318"/>
      <c r="BQ333" s="318"/>
      <c r="BR333" s="318"/>
      <c r="BS333" s="318"/>
      <c r="BT333" s="295"/>
      <c r="BU333" s="295"/>
      <c r="BV333" s="310"/>
      <c r="BW333" s="310"/>
      <c r="BX333" s="291"/>
      <c r="BY333" s="323"/>
      <c r="BZ333" s="279"/>
      <c r="CA333" s="279"/>
      <c r="CB333" s="280"/>
      <c r="CC333" s="280"/>
      <c r="CD333" s="280"/>
      <c r="CE333" s="280"/>
      <c r="CF333" s="280"/>
    </row>
    <row r="334" spans="1:84" s="326" customFormat="1" ht="15" customHeight="1" x14ac:dyDescent="0.25">
      <c r="A334" s="322"/>
      <c r="B334" s="312"/>
      <c r="C334" s="1603" t="s">
        <v>633</v>
      </c>
      <c r="D334" s="1603"/>
      <c r="E334" s="1603"/>
      <c r="F334" s="1603"/>
      <c r="G334" s="1603"/>
      <c r="H334" s="1603"/>
      <c r="I334" s="1603"/>
      <c r="J334" s="1603"/>
      <c r="K334" s="1603"/>
      <c r="L334" s="1603"/>
      <c r="M334" s="1603"/>
      <c r="N334" s="1603"/>
      <c r="O334" s="1603"/>
      <c r="P334" s="1603"/>
      <c r="Q334" s="1603"/>
      <c r="R334" s="1603"/>
      <c r="S334" s="1603"/>
      <c r="T334" s="1603"/>
      <c r="U334" s="1603"/>
      <c r="V334" s="1603"/>
      <c r="W334" s="1603"/>
      <c r="X334" s="1603"/>
      <c r="Y334" s="1603"/>
      <c r="Z334" s="1603"/>
      <c r="AA334" s="1603"/>
      <c r="AB334" s="1603"/>
      <c r="AC334" s="1603"/>
      <c r="AD334" s="1603"/>
      <c r="AE334" s="1603"/>
      <c r="AF334" s="1603"/>
      <c r="AG334" s="1603"/>
      <c r="AH334" s="1603"/>
      <c r="AI334" s="1603"/>
      <c r="AJ334" s="323"/>
      <c r="AK334" s="287"/>
      <c r="AL334" s="312"/>
      <c r="AM334" s="1603" t="s">
        <v>634</v>
      </c>
      <c r="AN334" s="1603"/>
      <c r="AO334" s="1603"/>
      <c r="AP334" s="1603"/>
      <c r="AQ334" s="1603"/>
      <c r="AR334" s="1603"/>
      <c r="AS334" s="1603"/>
      <c r="AT334" s="1603"/>
      <c r="AU334" s="1603"/>
      <c r="AV334" s="1603"/>
      <c r="AW334" s="1603"/>
      <c r="AX334" s="1603"/>
      <c r="AY334" s="1603"/>
      <c r="AZ334" s="1603"/>
      <c r="BA334" s="1603"/>
      <c r="BB334" s="1603"/>
      <c r="BC334" s="1603"/>
      <c r="BD334" s="1603"/>
      <c r="BE334" s="1603"/>
      <c r="BF334" s="1603"/>
      <c r="BG334" s="1603"/>
      <c r="BH334" s="1603"/>
      <c r="BI334" s="1603"/>
      <c r="BJ334" s="1603"/>
      <c r="BK334" s="1603"/>
      <c r="BL334" s="1603"/>
      <c r="BM334" s="1603"/>
      <c r="BN334" s="1603"/>
      <c r="BO334" s="1603"/>
      <c r="BP334" s="1603"/>
      <c r="BQ334" s="1603"/>
      <c r="BR334" s="1603"/>
      <c r="BS334" s="1603"/>
      <c r="BT334" s="295"/>
      <c r="BU334" s="295"/>
      <c r="BV334" s="310"/>
      <c r="BW334" s="310"/>
      <c r="BX334" s="291"/>
      <c r="BY334" s="323"/>
      <c r="BZ334" s="279"/>
      <c r="CA334" s="279"/>
      <c r="CB334" s="280"/>
      <c r="CC334" s="280"/>
      <c r="CD334" s="280"/>
      <c r="CE334" s="280"/>
      <c r="CF334" s="280"/>
    </row>
    <row r="335" spans="1:84" s="326" customFormat="1" ht="27.95" customHeight="1" x14ac:dyDescent="0.25">
      <c r="A335" s="322"/>
      <c r="B335" s="312"/>
      <c r="C335" s="333" t="s">
        <v>355</v>
      </c>
      <c r="D335" s="1604" t="s">
        <v>635</v>
      </c>
      <c r="E335" s="1604"/>
      <c r="F335" s="1604"/>
      <c r="G335" s="1604"/>
      <c r="H335" s="1604"/>
      <c r="I335" s="1604"/>
      <c r="J335" s="1604"/>
      <c r="K335" s="1604"/>
      <c r="L335" s="1604"/>
      <c r="M335" s="1604"/>
      <c r="N335" s="1604"/>
      <c r="O335" s="1604"/>
      <c r="P335" s="1604"/>
      <c r="Q335" s="1604"/>
      <c r="R335" s="1604"/>
      <c r="S335" s="1604"/>
      <c r="T335" s="1604"/>
      <c r="U335" s="1604"/>
      <c r="V335" s="1604"/>
      <c r="W335" s="1604"/>
      <c r="X335" s="1604"/>
      <c r="Y335" s="1604"/>
      <c r="Z335" s="1604"/>
      <c r="AA335" s="1604"/>
      <c r="AB335" s="1604"/>
      <c r="AC335" s="1604"/>
      <c r="AD335" s="1604"/>
      <c r="AE335" s="1604"/>
      <c r="AF335" s="1604"/>
      <c r="AG335" s="1604"/>
      <c r="AH335" s="1604"/>
      <c r="AI335" s="1604"/>
      <c r="AJ335" s="323"/>
      <c r="AK335" s="287"/>
      <c r="AL335" s="312"/>
      <c r="AM335" s="333" t="s">
        <v>355</v>
      </c>
      <c r="AN335" s="1604" t="s">
        <v>636</v>
      </c>
      <c r="AO335" s="1604"/>
      <c r="AP335" s="1604"/>
      <c r="AQ335" s="1604"/>
      <c r="AR335" s="1604"/>
      <c r="AS335" s="1604"/>
      <c r="AT335" s="1604"/>
      <c r="AU335" s="1604"/>
      <c r="AV335" s="1604"/>
      <c r="AW335" s="1604"/>
      <c r="AX335" s="1604"/>
      <c r="AY335" s="1604"/>
      <c r="AZ335" s="1604"/>
      <c r="BA335" s="1604"/>
      <c r="BB335" s="1604"/>
      <c r="BC335" s="1604"/>
      <c r="BD335" s="1604"/>
      <c r="BE335" s="1604"/>
      <c r="BF335" s="1604"/>
      <c r="BG335" s="1604"/>
      <c r="BH335" s="1604"/>
      <c r="BI335" s="1604"/>
      <c r="BJ335" s="1604"/>
      <c r="BK335" s="1604"/>
      <c r="BL335" s="1604"/>
      <c r="BM335" s="1604"/>
      <c r="BN335" s="1604"/>
      <c r="BO335" s="1604"/>
      <c r="BP335" s="1604"/>
      <c r="BQ335" s="1604"/>
      <c r="BR335" s="1604"/>
      <c r="BS335" s="1604"/>
      <c r="BT335" s="295"/>
      <c r="BU335" s="295"/>
      <c r="BV335" s="310"/>
      <c r="BW335" s="310"/>
      <c r="BX335" s="291"/>
      <c r="BY335" s="323"/>
      <c r="BZ335" s="279"/>
      <c r="CA335" s="279"/>
      <c r="CB335" s="280"/>
      <c r="CC335" s="280"/>
      <c r="CD335" s="280"/>
      <c r="CE335" s="280"/>
      <c r="CF335" s="280"/>
    </row>
    <row r="336" spans="1:84" s="326" customFormat="1" ht="27.95" customHeight="1" x14ac:dyDescent="0.25">
      <c r="A336" s="322"/>
      <c r="B336" s="312"/>
      <c r="C336" s="333" t="s">
        <v>355</v>
      </c>
      <c r="D336" s="1604" t="str">
        <f>CONCATENATE(LoaiCT_V," không còn nắm giữ quyền quản lý hàng hóa như người sở hữu hàng hóa hoặc quyền kiểm soát hàng hóa;")</f>
        <v>Công ty không còn nắm giữ quyền quản lý hàng hóa như người sở hữu hàng hóa hoặc quyền kiểm soát hàng hóa;</v>
      </c>
      <c r="E336" s="1604"/>
      <c r="F336" s="1604"/>
      <c r="G336" s="1604"/>
      <c r="H336" s="1604"/>
      <c r="I336" s="1604"/>
      <c r="J336" s="1604"/>
      <c r="K336" s="1604"/>
      <c r="L336" s="1604"/>
      <c r="M336" s="1604"/>
      <c r="N336" s="1604"/>
      <c r="O336" s="1604"/>
      <c r="P336" s="1604"/>
      <c r="Q336" s="1604"/>
      <c r="R336" s="1604"/>
      <c r="S336" s="1604"/>
      <c r="T336" s="1604"/>
      <c r="U336" s="1604"/>
      <c r="V336" s="1604"/>
      <c r="W336" s="1604"/>
      <c r="X336" s="1604"/>
      <c r="Y336" s="1604"/>
      <c r="Z336" s="1604"/>
      <c r="AA336" s="1604"/>
      <c r="AB336" s="1604"/>
      <c r="AC336" s="1604"/>
      <c r="AD336" s="1604"/>
      <c r="AE336" s="1604"/>
      <c r="AF336" s="1604"/>
      <c r="AG336" s="1604"/>
      <c r="AH336" s="1604"/>
      <c r="AI336" s="1604"/>
      <c r="AJ336" s="323"/>
      <c r="AK336" s="287"/>
      <c r="AL336" s="312"/>
      <c r="AM336" s="333" t="s">
        <v>355</v>
      </c>
      <c r="AN336" s="1604" t="s">
        <v>637</v>
      </c>
      <c r="AO336" s="1604"/>
      <c r="AP336" s="1604"/>
      <c r="AQ336" s="1604"/>
      <c r="AR336" s="1604"/>
      <c r="AS336" s="1604"/>
      <c r="AT336" s="1604"/>
      <c r="AU336" s="1604"/>
      <c r="AV336" s="1604"/>
      <c r="AW336" s="1604"/>
      <c r="AX336" s="1604"/>
      <c r="AY336" s="1604"/>
      <c r="AZ336" s="1604"/>
      <c r="BA336" s="1604"/>
      <c r="BB336" s="1604"/>
      <c r="BC336" s="1604"/>
      <c r="BD336" s="1604"/>
      <c r="BE336" s="1604"/>
      <c r="BF336" s="1604"/>
      <c r="BG336" s="1604"/>
      <c r="BH336" s="1604"/>
      <c r="BI336" s="1604"/>
      <c r="BJ336" s="1604"/>
      <c r="BK336" s="1604"/>
      <c r="BL336" s="1604"/>
      <c r="BM336" s="1604"/>
      <c r="BN336" s="1604"/>
      <c r="BO336" s="1604"/>
      <c r="BP336" s="1604"/>
      <c r="BQ336" s="1604"/>
      <c r="BR336" s="1604"/>
      <c r="BS336" s="1604"/>
      <c r="BT336" s="295"/>
      <c r="BU336" s="295"/>
      <c r="BV336" s="310"/>
      <c r="BW336" s="310"/>
      <c r="BX336" s="291"/>
      <c r="BY336" s="323"/>
      <c r="BZ336" s="279"/>
      <c r="CA336" s="279"/>
      <c r="CB336" s="280"/>
      <c r="CC336" s="280"/>
      <c r="CD336" s="280"/>
      <c r="CE336" s="280"/>
      <c r="CF336" s="280"/>
    </row>
    <row r="337" spans="1:84" s="326" customFormat="1" ht="15" customHeight="1" x14ac:dyDescent="0.25">
      <c r="A337" s="322"/>
      <c r="B337" s="312"/>
      <c r="C337" s="333" t="s">
        <v>355</v>
      </c>
      <c r="D337" s="1604" t="s">
        <v>638</v>
      </c>
      <c r="E337" s="1604"/>
      <c r="F337" s="1604"/>
      <c r="G337" s="1604"/>
      <c r="H337" s="1604"/>
      <c r="I337" s="1604"/>
      <c r="J337" s="1604"/>
      <c r="K337" s="1604"/>
      <c r="L337" s="1604"/>
      <c r="M337" s="1604"/>
      <c r="N337" s="1604"/>
      <c r="O337" s="1604"/>
      <c r="P337" s="1604"/>
      <c r="Q337" s="1604"/>
      <c r="R337" s="1604"/>
      <c r="S337" s="1604"/>
      <c r="T337" s="1604"/>
      <c r="U337" s="1604"/>
      <c r="V337" s="1604"/>
      <c r="W337" s="1604"/>
      <c r="X337" s="1604"/>
      <c r="Y337" s="1604"/>
      <c r="Z337" s="1604"/>
      <c r="AA337" s="1604"/>
      <c r="AB337" s="1604"/>
      <c r="AC337" s="1604"/>
      <c r="AD337" s="1604"/>
      <c r="AE337" s="1604"/>
      <c r="AF337" s="1604"/>
      <c r="AG337" s="1604"/>
      <c r="AH337" s="1604"/>
      <c r="AI337" s="1604"/>
      <c r="AJ337" s="323"/>
      <c r="AK337" s="287"/>
      <c r="AL337" s="312"/>
      <c r="AM337" s="333" t="s">
        <v>355</v>
      </c>
      <c r="AN337" s="1604" t="s">
        <v>639</v>
      </c>
      <c r="AO337" s="1604"/>
      <c r="AP337" s="1604"/>
      <c r="AQ337" s="1604"/>
      <c r="AR337" s="1604"/>
      <c r="AS337" s="1604"/>
      <c r="AT337" s="1604"/>
      <c r="AU337" s="1604"/>
      <c r="AV337" s="1604"/>
      <c r="AW337" s="1604"/>
      <c r="AX337" s="1604"/>
      <c r="AY337" s="1604"/>
      <c r="AZ337" s="1604"/>
      <c r="BA337" s="1604"/>
      <c r="BB337" s="1604"/>
      <c r="BC337" s="1604"/>
      <c r="BD337" s="1604"/>
      <c r="BE337" s="1604"/>
      <c r="BF337" s="1604"/>
      <c r="BG337" s="1604"/>
      <c r="BH337" s="1604"/>
      <c r="BI337" s="1604"/>
      <c r="BJ337" s="1604"/>
      <c r="BK337" s="1604"/>
      <c r="BL337" s="1604"/>
      <c r="BM337" s="1604"/>
      <c r="BN337" s="1604"/>
      <c r="BO337" s="1604"/>
      <c r="BP337" s="1604"/>
      <c r="BQ337" s="1604"/>
      <c r="BR337" s="1604"/>
      <c r="BS337" s="1604"/>
      <c r="BT337" s="295"/>
      <c r="BU337" s="295"/>
      <c r="BV337" s="310"/>
      <c r="BW337" s="310"/>
      <c r="BX337" s="291"/>
      <c r="BY337" s="323"/>
      <c r="BZ337" s="279"/>
      <c r="CA337" s="279"/>
      <c r="CB337" s="280"/>
      <c r="CC337" s="280"/>
      <c r="CD337" s="280"/>
      <c r="CE337" s="280"/>
      <c r="CF337" s="280"/>
    </row>
    <row r="338" spans="1:84" s="326" customFormat="1" ht="15" customHeight="1" x14ac:dyDescent="0.25">
      <c r="A338" s="322"/>
      <c r="B338" s="312"/>
      <c r="C338" s="333" t="s">
        <v>355</v>
      </c>
      <c r="D338" s="1604" t="str">
        <f>CONCATENATE(LoaiCT_V," đã thu được hoặc sẽ thu được lợi ích kinh tế từ giao dịch bán hàng;")</f>
        <v>Công ty đã thu được hoặc sẽ thu được lợi ích kinh tế từ giao dịch bán hàng;</v>
      </c>
      <c r="E338" s="1604"/>
      <c r="F338" s="1604"/>
      <c r="G338" s="1604"/>
      <c r="H338" s="1604"/>
      <c r="I338" s="1604"/>
      <c r="J338" s="1604"/>
      <c r="K338" s="1604"/>
      <c r="L338" s="1604"/>
      <c r="M338" s="1604"/>
      <c r="N338" s="1604"/>
      <c r="O338" s="1604"/>
      <c r="P338" s="1604"/>
      <c r="Q338" s="1604"/>
      <c r="R338" s="1604"/>
      <c r="S338" s="1604"/>
      <c r="T338" s="1604"/>
      <c r="U338" s="1604"/>
      <c r="V338" s="1604"/>
      <c r="W338" s="1604"/>
      <c r="X338" s="1604"/>
      <c r="Y338" s="1604"/>
      <c r="Z338" s="1604"/>
      <c r="AA338" s="1604"/>
      <c r="AB338" s="1604"/>
      <c r="AC338" s="1604"/>
      <c r="AD338" s="1604"/>
      <c r="AE338" s="1604"/>
      <c r="AF338" s="1604"/>
      <c r="AG338" s="1604"/>
      <c r="AH338" s="1604"/>
      <c r="AI338" s="1604"/>
      <c r="AJ338" s="323"/>
      <c r="AK338" s="287"/>
      <c r="AL338" s="312"/>
      <c r="AM338" s="333" t="s">
        <v>355</v>
      </c>
      <c r="AN338" s="1604" t="s">
        <v>640</v>
      </c>
      <c r="AO338" s="1604"/>
      <c r="AP338" s="1604"/>
      <c r="AQ338" s="1604"/>
      <c r="AR338" s="1604"/>
      <c r="AS338" s="1604"/>
      <c r="AT338" s="1604"/>
      <c r="AU338" s="1604"/>
      <c r="AV338" s="1604"/>
      <c r="AW338" s="1604"/>
      <c r="AX338" s="1604"/>
      <c r="AY338" s="1604"/>
      <c r="AZ338" s="1604"/>
      <c r="BA338" s="1604"/>
      <c r="BB338" s="1604"/>
      <c r="BC338" s="1604"/>
      <c r="BD338" s="1604"/>
      <c r="BE338" s="1604"/>
      <c r="BF338" s="1604"/>
      <c r="BG338" s="1604"/>
      <c r="BH338" s="1604"/>
      <c r="BI338" s="1604"/>
      <c r="BJ338" s="1604"/>
      <c r="BK338" s="1604"/>
      <c r="BL338" s="1604"/>
      <c r="BM338" s="1604"/>
      <c r="BN338" s="1604"/>
      <c r="BO338" s="1604"/>
      <c r="BP338" s="1604"/>
      <c r="BQ338" s="1604"/>
      <c r="BR338" s="1604"/>
      <c r="BS338" s="1604"/>
      <c r="BT338" s="295"/>
      <c r="BU338" s="295"/>
      <c r="BV338" s="310"/>
      <c r="BW338" s="310"/>
      <c r="BX338" s="291"/>
      <c r="BY338" s="323"/>
      <c r="BZ338" s="279"/>
      <c r="CA338" s="279"/>
      <c r="CB338" s="280"/>
      <c r="CC338" s="280"/>
      <c r="CD338" s="280"/>
      <c r="CE338" s="280"/>
      <c r="CF338" s="280"/>
    </row>
    <row r="339" spans="1:84" s="326" customFormat="1" ht="15" customHeight="1" x14ac:dyDescent="0.25">
      <c r="A339" s="322"/>
      <c r="B339" s="312"/>
      <c r="C339" s="333" t="s">
        <v>355</v>
      </c>
      <c r="D339" s="1604" t="s">
        <v>641</v>
      </c>
      <c r="E339" s="1604"/>
      <c r="F339" s="1604"/>
      <c r="G339" s="1604"/>
      <c r="H339" s="1604"/>
      <c r="I339" s="1604"/>
      <c r="J339" s="1604"/>
      <c r="K339" s="1604"/>
      <c r="L339" s="1604"/>
      <c r="M339" s="1604"/>
      <c r="N339" s="1604"/>
      <c r="O339" s="1604"/>
      <c r="P339" s="1604"/>
      <c r="Q339" s="1604"/>
      <c r="R339" s="1604"/>
      <c r="S339" s="1604"/>
      <c r="T339" s="1604"/>
      <c r="U339" s="1604"/>
      <c r="V339" s="1604"/>
      <c r="W339" s="1604"/>
      <c r="X339" s="1604"/>
      <c r="Y339" s="1604"/>
      <c r="Z339" s="1604"/>
      <c r="AA339" s="1604"/>
      <c r="AB339" s="1604"/>
      <c r="AC339" s="1604"/>
      <c r="AD339" s="1604"/>
      <c r="AE339" s="1604"/>
      <c r="AF339" s="1604"/>
      <c r="AG339" s="1604"/>
      <c r="AH339" s="1604"/>
      <c r="AI339" s="1604"/>
      <c r="AJ339" s="323"/>
      <c r="AK339" s="287"/>
      <c r="AL339" s="312"/>
      <c r="AM339" s="333" t="s">
        <v>355</v>
      </c>
      <c r="AN339" s="1604" t="s">
        <v>642</v>
      </c>
      <c r="AO339" s="1604"/>
      <c r="AP339" s="1604"/>
      <c r="AQ339" s="1604"/>
      <c r="AR339" s="1604"/>
      <c r="AS339" s="1604"/>
      <c r="AT339" s="1604"/>
      <c r="AU339" s="1604"/>
      <c r="AV339" s="1604"/>
      <c r="AW339" s="1604"/>
      <c r="AX339" s="1604"/>
      <c r="AY339" s="1604"/>
      <c r="AZ339" s="1604"/>
      <c r="BA339" s="1604"/>
      <c r="BB339" s="1604"/>
      <c r="BC339" s="1604"/>
      <c r="BD339" s="1604"/>
      <c r="BE339" s="1604"/>
      <c r="BF339" s="1604"/>
      <c r="BG339" s="1604"/>
      <c r="BH339" s="1604"/>
      <c r="BI339" s="1604"/>
      <c r="BJ339" s="1604"/>
      <c r="BK339" s="1604"/>
      <c r="BL339" s="1604"/>
      <c r="BM339" s="1604"/>
      <c r="BN339" s="1604"/>
      <c r="BO339" s="1604"/>
      <c r="BP339" s="1604"/>
      <c r="BQ339" s="1604"/>
      <c r="BR339" s="1604"/>
      <c r="BS339" s="1604"/>
      <c r="BT339" s="295"/>
      <c r="BU339" s="295"/>
      <c r="BV339" s="310"/>
      <c r="BW339" s="310"/>
      <c r="BX339" s="291"/>
      <c r="BY339" s="323"/>
      <c r="BZ339" s="279"/>
      <c r="CA339" s="279"/>
      <c r="CB339" s="280"/>
      <c r="CC339" s="280"/>
      <c r="CD339" s="280"/>
      <c r="CE339" s="280"/>
      <c r="CF339" s="280"/>
    </row>
    <row r="340" spans="1:84" s="326" customFormat="1" ht="12.95" hidden="1" customHeight="1" x14ac:dyDescent="0.25">
      <c r="A340" s="322"/>
      <c r="B340" s="312"/>
      <c r="C340" s="333"/>
      <c r="D340" s="314"/>
      <c r="E340" s="314"/>
      <c r="F340" s="314"/>
      <c r="G340" s="314"/>
      <c r="H340" s="314"/>
      <c r="I340" s="314"/>
      <c r="J340" s="314"/>
      <c r="K340" s="314"/>
      <c r="L340" s="314"/>
      <c r="M340" s="314"/>
      <c r="N340" s="314"/>
      <c r="O340" s="314"/>
      <c r="P340" s="314"/>
      <c r="Q340" s="314"/>
      <c r="R340" s="314"/>
      <c r="S340" s="314"/>
      <c r="T340" s="314"/>
      <c r="U340" s="314"/>
      <c r="V340" s="314"/>
      <c r="W340" s="314"/>
      <c r="X340" s="314"/>
      <c r="Y340" s="314"/>
      <c r="Z340" s="314"/>
      <c r="AA340" s="314"/>
      <c r="AB340" s="314"/>
      <c r="AC340" s="314"/>
      <c r="AD340" s="314"/>
      <c r="AE340" s="314"/>
      <c r="AF340" s="314"/>
      <c r="AG340" s="314"/>
      <c r="AH340" s="314"/>
      <c r="AI340" s="314"/>
      <c r="AJ340" s="323"/>
      <c r="AK340" s="287"/>
      <c r="AL340" s="312"/>
      <c r="AM340" s="333"/>
      <c r="AN340" s="314"/>
      <c r="AO340" s="314"/>
      <c r="AP340" s="314"/>
      <c r="AQ340" s="314"/>
      <c r="AR340" s="314"/>
      <c r="AS340" s="314"/>
      <c r="AT340" s="314"/>
      <c r="AU340" s="314"/>
      <c r="AV340" s="314"/>
      <c r="AW340" s="314"/>
      <c r="AX340" s="314"/>
      <c r="AY340" s="314"/>
      <c r="AZ340" s="314"/>
      <c r="BA340" s="314"/>
      <c r="BB340" s="314"/>
      <c r="BC340" s="314"/>
      <c r="BD340" s="314"/>
      <c r="BE340" s="314"/>
      <c r="BF340" s="314"/>
      <c r="BG340" s="314"/>
      <c r="BH340" s="314"/>
      <c r="BI340" s="314"/>
      <c r="BJ340" s="314"/>
      <c r="BK340" s="314"/>
      <c r="BL340" s="314"/>
      <c r="BM340" s="314"/>
      <c r="BN340" s="314"/>
      <c r="BO340" s="314"/>
      <c r="BP340" s="314"/>
      <c r="BQ340" s="314"/>
      <c r="BR340" s="314"/>
      <c r="BS340" s="314"/>
      <c r="BT340" s="295"/>
      <c r="BU340" s="295"/>
      <c r="BV340" s="310"/>
      <c r="BW340" s="310"/>
      <c r="BX340" s="291"/>
      <c r="BY340" s="323"/>
      <c r="BZ340" s="279"/>
      <c r="CA340" s="279"/>
      <c r="CB340" s="280"/>
      <c r="CC340" s="280"/>
      <c r="CD340" s="280"/>
      <c r="CE340" s="280"/>
      <c r="CF340" s="280"/>
    </row>
    <row r="341" spans="1:84" s="326" customFormat="1" ht="15" hidden="1" customHeight="1" x14ac:dyDescent="0.25">
      <c r="A341" s="322"/>
      <c r="B341" s="312"/>
      <c r="C341" s="336" t="s">
        <v>643</v>
      </c>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c r="AH341" s="318"/>
      <c r="AI341" s="318"/>
      <c r="AJ341" s="323"/>
      <c r="AK341" s="287"/>
      <c r="AL341" s="312"/>
      <c r="AM341" s="336" t="s">
        <v>644</v>
      </c>
      <c r="AN341" s="318"/>
      <c r="AO341" s="318"/>
      <c r="AP341" s="318"/>
      <c r="AQ341" s="318"/>
      <c r="AR341" s="318"/>
      <c r="AS341" s="318"/>
      <c r="AT341" s="318"/>
      <c r="AU341" s="318"/>
      <c r="AV341" s="318"/>
      <c r="AW341" s="318"/>
      <c r="AX341" s="318"/>
      <c r="AY341" s="318"/>
      <c r="AZ341" s="318"/>
      <c r="BA341" s="318"/>
      <c r="BB341" s="318"/>
      <c r="BC341" s="318"/>
      <c r="BD341" s="318"/>
      <c r="BE341" s="318"/>
      <c r="BF341" s="318"/>
      <c r="BG341" s="318"/>
      <c r="BH341" s="318"/>
      <c r="BI341" s="318"/>
      <c r="BJ341" s="318"/>
      <c r="BK341" s="318"/>
      <c r="BL341" s="318"/>
      <c r="BM341" s="318"/>
      <c r="BN341" s="318"/>
      <c r="BO341" s="318"/>
      <c r="BP341" s="318"/>
      <c r="BQ341" s="318"/>
      <c r="BR341" s="318"/>
      <c r="BS341" s="318"/>
      <c r="BT341" s="295"/>
      <c r="BU341" s="295"/>
      <c r="BV341" s="310"/>
      <c r="BW341" s="310"/>
      <c r="BX341" s="291"/>
      <c r="BY341" s="323"/>
      <c r="BZ341" s="279"/>
      <c r="CA341" s="279"/>
      <c r="CB341" s="280"/>
      <c r="CC341" s="280"/>
      <c r="CD341" s="280"/>
      <c r="CE341" s="280"/>
      <c r="CF341" s="280"/>
    </row>
    <row r="342" spans="1:84" s="326" customFormat="1" ht="15" hidden="1" customHeight="1" x14ac:dyDescent="0.25">
      <c r="A342" s="322"/>
      <c r="B342" s="312"/>
      <c r="C342" s="1603" t="s">
        <v>645</v>
      </c>
      <c r="D342" s="1603"/>
      <c r="E342" s="1603"/>
      <c r="F342" s="1603"/>
      <c r="G342" s="1603"/>
      <c r="H342" s="1603"/>
      <c r="I342" s="1603"/>
      <c r="J342" s="1603"/>
      <c r="K342" s="1603"/>
      <c r="L342" s="1603"/>
      <c r="M342" s="1603"/>
      <c r="N342" s="1603"/>
      <c r="O342" s="1603"/>
      <c r="P342" s="1603"/>
      <c r="Q342" s="1603"/>
      <c r="R342" s="1603"/>
      <c r="S342" s="1603"/>
      <c r="T342" s="1603"/>
      <c r="U342" s="1603"/>
      <c r="V342" s="1603"/>
      <c r="W342" s="1603"/>
      <c r="X342" s="1603"/>
      <c r="Y342" s="1603"/>
      <c r="Z342" s="1603"/>
      <c r="AA342" s="1603"/>
      <c r="AB342" s="1603"/>
      <c r="AC342" s="1603"/>
      <c r="AD342" s="1603"/>
      <c r="AE342" s="1603"/>
      <c r="AF342" s="1603"/>
      <c r="AG342" s="1603"/>
      <c r="AH342" s="1603"/>
      <c r="AI342" s="1603"/>
      <c r="AJ342" s="323"/>
      <c r="AK342" s="287"/>
      <c r="AL342" s="312"/>
      <c r="AM342" s="1603" t="s">
        <v>646</v>
      </c>
      <c r="AN342" s="1603"/>
      <c r="AO342" s="1603"/>
      <c r="AP342" s="1603"/>
      <c r="AQ342" s="1603"/>
      <c r="AR342" s="1603"/>
      <c r="AS342" s="1603"/>
      <c r="AT342" s="1603"/>
      <c r="AU342" s="1603"/>
      <c r="AV342" s="1603"/>
      <c r="AW342" s="1603"/>
      <c r="AX342" s="1603"/>
      <c r="AY342" s="1603"/>
      <c r="AZ342" s="1603"/>
      <c r="BA342" s="1603"/>
      <c r="BB342" s="1603"/>
      <c r="BC342" s="1603"/>
      <c r="BD342" s="1603"/>
      <c r="BE342" s="1603"/>
      <c r="BF342" s="1603"/>
      <c r="BG342" s="1603"/>
      <c r="BH342" s="1603"/>
      <c r="BI342" s="1603"/>
      <c r="BJ342" s="1603"/>
      <c r="BK342" s="1603"/>
      <c r="BL342" s="1603"/>
      <c r="BM342" s="1603"/>
      <c r="BN342" s="1603"/>
      <c r="BO342" s="1603"/>
      <c r="BP342" s="1603"/>
      <c r="BQ342" s="1603"/>
      <c r="BR342" s="1603"/>
      <c r="BS342" s="1603"/>
      <c r="BT342" s="295"/>
      <c r="BU342" s="295"/>
      <c r="BV342" s="310"/>
      <c r="BW342" s="310"/>
      <c r="BX342" s="291"/>
      <c r="BY342" s="323"/>
      <c r="BZ342" s="279"/>
      <c r="CA342" s="279"/>
      <c r="CB342" s="280"/>
      <c r="CC342" s="280"/>
      <c r="CD342" s="280"/>
      <c r="CE342" s="280"/>
      <c r="CF342" s="280"/>
    </row>
    <row r="343" spans="1:84" s="326" customFormat="1" ht="15" hidden="1" customHeight="1" x14ac:dyDescent="0.25">
      <c r="A343" s="322"/>
      <c r="B343" s="312"/>
      <c r="C343" s="333" t="s">
        <v>355</v>
      </c>
      <c r="D343" s="1604" t="s">
        <v>638</v>
      </c>
      <c r="E343" s="1604"/>
      <c r="F343" s="1604"/>
      <c r="G343" s="1604"/>
      <c r="H343" s="1604"/>
      <c r="I343" s="1604"/>
      <c r="J343" s="1604"/>
      <c r="K343" s="1604"/>
      <c r="L343" s="1604"/>
      <c r="M343" s="1604"/>
      <c r="N343" s="1604"/>
      <c r="O343" s="1604"/>
      <c r="P343" s="1604"/>
      <c r="Q343" s="1604"/>
      <c r="R343" s="1604"/>
      <c r="S343" s="1604"/>
      <c r="T343" s="1604"/>
      <c r="U343" s="1604"/>
      <c r="V343" s="1604"/>
      <c r="W343" s="1604"/>
      <c r="X343" s="1604"/>
      <c r="Y343" s="1604"/>
      <c r="Z343" s="1604"/>
      <c r="AA343" s="1604"/>
      <c r="AB343" s="1604"/>
      <c r="AC343" s="1604"/>
      <c r="AD343" s="1604"/>
      <c r="AE343" s="1604"/>
      <c r="AF343" s="1604"/>
      <c r="AG343" s="1604"/>
      <c r="AH343" s="1604"/>
      <c r="AI343" s="1604"/>
      <c r="AJ343" s="323"/>
      <c r="AK343" s="287"/>
      <c r="AL343" s="312"/>
      <c r="AM343" s="333" t="s">
        <v>355</v>
      </c>
      <c r="AN343" s="1604" t="s">
        <v>647</v>
      </c>
      <c r="AO343" s="1604"/>
      <c r="AP343" s="1604"/>
      <c r="AQ343" s="1604"/>
      <c r="AR343" s="1604"/>
      <c r="AS343" s="1604"/>
      <c r="AT343" s="1604"/>
      <c r="AU343" s="1604"/>
      <c r="AV343" s="1604"/>
      <c r="AW343" s="1604"/>
      <c r="AX343" s="1604"/>
      <c r="AY343" s="1604"/>
      <c r="AZ343" s="1604"/>
      <c r="BA343" s="1604"/>
      <c r="BB343" s="1604"/>
      <c r="BC343" s="1604"/>
      <c r="BD343" s="1604"/>
      <c r="BE343" s="1604"/>
      <c r="BF343" s="1604"/>
      <c r="BG343" s="1604"/>
      <c r="BH343" s="1604"/>
      <c r="BI343" s="1604"/>
      <c r="BJ343" s="1604"/>
      <c r="BK343" s="1604"/>
      <c r="BL343" s="1604"/>
      <c r="BM343" s="1604"/>
      <c r="BN343" s="1604"/>
      <c r="BO343" s="1604"/>
      <c r="BP343" s="1604"/>
      <c r="BQ343" s="1604"/>
      <c r="BR343" s="1604"/>
      <c r="BS343" s="1604"/>
      <c r="BT343" s="295"/>
      <c r="BU343" s="295"/>
      <c r="BV343" s="310"/>
      <c r="BW343" s="310"/>
      <c r="BX343" s="291"/>
      <c r="BY343" s="323"/>
      <c r="BZ343" s="279"/>
      <c r="CA343" s="279"/>
      <c r="CB343" s="280"/>
      <c r="CC343" s="280"/>
      <c r="CD343" s="280"/>
      <c r="CE343" s="280"/>
      <c r="CF343" s="280"/>
    </row>
    <row r="344" spans="1:84" s="326" customFormat="1" ht="15" hidden="1" customHeight="1" x14ac:dyDescent="0.25">
      <c r="A344" s="322"/>
      <c r="B344" s="312"/>
      <c r="C344" s="333" t="s">
        <v>355</v>
      </c>
      <c r="D344" s="1604" t="s">
        <v>648</v>
      </c>
      <c r="E344" s="1604"/>
      <c r="F344" s="1604"/>
      <c r="G344" s="1604"/>
      <c r="H344" s="1604"/>
      <c r="I344" s="1604"/>
      <c r="J344" s="1604"/>
      <c r="K344" s="1604"/>
      <c r="L344" s="1604"/>
      <c r="M344" s="1604"/>
      <c r="N344" s="1604"/>
      <c r="O344" s="1604"/>
      <c r="P344" s="1604"/>
      <c r="Q344" s="1604"/>
      <c r="R344" s="1604"/>
      <c r="S344" s="1604"/>
      <c r="T344" s="1604"/>
      <c r="U344" s="1604"/>
      <c r="V344" s="1604"/>
      <c r="W344" s="1604"/>
      <c r="X344" s="1604"/>
      <c r="Y344" s="1604"/>
      <c r="Z344" s="1604"/>
      <c r="AA344" s="1604"/>
      <c r="AB344" s="1604"/>
      <c r="AC344" s="1604"/>
      <c r="AD344" s="1604"/>
      <c r="AE344" s="1604"/>
      <c r="AF344" s="1604"/>
      <c r="AG344" s="1604"/>
      <c r="AH344" s="1604"/>
      <c r="AI344" s="1604"/>
      <c r="AJ344" s="323"/>
      <c r="AK344" s="287"/>
      <c r="AL344" s="312"/>
      <c r="AM344" s="333" t="s">
        <v>355</v>
      </c>
      <c r="AN344" s="1604" t="s">
        <v>649</v>
      </c>
      <c r="AO344" s="1604"/>
      <c r="AP344" s="1604"/>
      <c r="AQ344" s="1604"/>
      <c r="AR344" s="1604"/>
      <c r="AS344" s="1604"/>
      <c r="AT344" s="1604"/>
      <c r="AU344" s="1604"/>
      <c r="AV344" s="1604"/>
      <c r="AW344" s="1604"/>
      <c r="AX344" s="1604"/>
      <c r="AY344" s="1604"/>
      <c r="AZ344" s="1604"/>
      <c r="BA344" s="1604"/>
      <c r="BB344" s="1604"/>
      <c r="BC344" s="1604"/>
      <c r="BD344" s="1604"/>
      <c r="BE344" s="1604"/>
      <c r="BF344" s="1604"/>
      <c r="BG344" s="1604"/>
      <c r="BH344" s="1604"/>
      <c r="BI344" s="1604"/>
      <c r="BJ344" s="1604"/>
      <c r="BK344" s="1604"/>
      <c r="BL344" s="1604"/>
      <c r="BM344" s="1604"/>
      <c r="BN344" s="1604"/>
      <c r="BO344" s="1604"/>
      <c r="BP344" s="1604"/>
      <c r="BQ344" s="1604"/>
      <c r="BR344" s="1604"/>
      <c r="BS344" s="1604"/>
      <c r="BT344" s="295"/>
      <c r="BU344" s="295"/>
      <c r="BV344" s="310"/>
      <c r="BW344" s="310"/>
      <c r="BX344" s="291"/>
      <c r="BY344" s="323"/>
      <c r="BZ344" s="279"/>
      <c r="CA344" s="279"/>
      <c r="CB344" s="280"/>
      <c r="CC344" s="280"/>
      <c r="CD344" s="280"/>
      <c r="CE344" s="280"/>
      <c r="CF344" s="280"/>
    </row>
    <row r="345" spans="1:84" s="326" customFormat="1" ht="15" hidden="1" customHeight="1" x14ac:dyDescent="0.25">
      <c r="A345" s="322"/>
      <c r="B345" s="312"/>
      <c r="C345" s="333" t="s">
        <v>355</v>
      </c>
      <c r="D345" s="1604" t="s">
        <v>650</v>
      </c>
      <c r="E345" s="1604"/>
      <c r="F345" s="1604"/>
      <c r="G345" s="1604"/>
      <c r="H345" s="1604"/>
      <c r="I345" s="1604"/>
      <c r="J345" s="1604"/>
      <c r="K345" s="1604"/>
      <c r="L345" s="1604"/>
      <c r="M345" s="1604"/>
      <c r="N345" s="1604"/>
      <c r="O345" s="1604"/>
      <c r="P345" s="1604"/>
      <c r="Q345" s="1604"/>
      <c r="R345" s="1604"/>
      <c r="S345" s="1604"/>
      <c r="T345" s="1604"/>
      <c r="U345" s="1604"/>
      <c r="V345" s="1604"/>
      <c r="W345" s="1604"/>
      <c r="X345" s="1604"/>
      <c r="Y345" s="1604"/>
      <c r="Z345" s="1604"/>
      <c r="AA345" s="1604"/>
      <c r="AB345" s="1604"/>
      <c r="AC345" s="1604"/>
      <c r="AD345" s="1604"/>
      <c r="AE345" s="1604"/>
      <c r="AF345" s="1604"/>
      <c r="AG345" s="1604"/>
      <c r="AH345" s="1604"/>
      <c r="AI345" s="1604"/>
      <c r="AJ345" s="323"/>
      <c r="AK345" s="287"/>
      <c r="AL345" s="312"/>
      <c r="AM345" s="333" t="s">
        <v>355</v>
      </c>
      <c r="AN345" s="1604" t="s">
        <v>651</v>
      </c>
      <c r="AO345" s="1604"/>
      <c r="AP345" s="1604"/>
      <c r="AQ345" s="1604"/>
      <c r="AR345" s="1604"/>
      <c r="AS345" s="1604"/>
      <c r="AT345" s="1604"/>
      <c r="AU345" s="1604"/>
      <c r="AV345" s="1604"/>
      <c r="AW345" s="1604"/>
      <c r="AX345" s="1604"/>
      <c r="AY345" s="1604"/>
      <c r="AZ345" s="1604"/>
      <c r="BA345" s="1604"/>
      <c r="BB345" s="1604"/>
      <c r="BC345" s="1604"/>
      <c r="BD345" s="1604"/>
      <c r="BE345" s="1604"/>
      <c r="BF345" s="1604"/>
      <c r="BG345" s="1604"/>
      <c r="BH345" s="1604"/>
      <c r="BI345" s="1604"/>
      <c r="BJ345" s="1604"/>
      <c r="BK345" s="1604"/>
      <c r="BL345" s="1604"/>
      <c r="BM345" s="1604"/>
      <c r="BN345" s="1604"/>
      <c r="BO345" s="1604"/>
      <c r="BP345" s="1604"/>
      <c r="BQ345" s="1604"/>
      <c r="BR345" s="1604"/>
      <c r="BS345" s="1604"/>
      <c r="BT345" s="295"/>
      <c r="BU345" s="295"/>
      <c r="BV345" s="310"/>
      <c r="BW345" s="310"/>
      <c r="BX345" s="291"/>
      <c r="BY345" s="323"/>
      <c r="BZ345" s="279"/>
      <c r="CA345" s="279"/>
      <c r="CB345" s="280"/>
      <c r="CC345" s="280"/>
      <c r="CD345" s="280"/>
      <c r="CE345" s="280"/>
      <c r="CF345" s="280"/>
    </row>
    <row r="346" spans="1:84" s="326" customFormat="1" ht="15" hidden="1" customHeight="1" x14ac:dyDescent="0.25">
      <c r="A346" s="322"/>
      <c r="B346" s="312"/>
      <c r="C346" s="333" t="s">
        <v>355</v>
      </c>
      <c r="D346" s="1604" t="s">
        <v>652</v>
      </c>
      <c r="E346" s="1604"/>
      <c r="F346" s="1604"/>
      <c r="G346" s="1604"/>
      <c r="H346" s="1604"/>
      <c r="I346" s="1604"/>
      <c r="J346" s="1604"/>
      <c r="K346" s="1604"/>
      <c r="L346" s="1604"/>
      <c r="M346" s="1604"/>
      <c r="N346" s="1604"/>
      <c r="O346" s="1604"/>
      <c r="P346" s="1604"/>
      <c r="Q346" s="1604"/>
      <c r="R346" s="1604"/>
      <c r="S346" s="1604"/>
      <c r="T346" s="1604"/>
      <c r="U346" s="1604"/>
      <c r="V346" s="1604"/>
      <c r="W346" s="1604"/>
      <c r="X346" s="1604"/>
      <c r="Y346" s="1604"/>
      <c r="Z346" s="1604"/>
      <c r="AA346" s="1604"/>
      <c r="AB346" s="1604"/>
      <c r="AC346" s="1604"/>
      <c r="AD346" s="1604"/>
      <c r="AE346" s="1604"/>
      <c r="AF346" s="1604"/>
      <c r="AG346" s="1604"/>
      <c r="AH346" s="1604"/>
      <c r="AI346" s="1604"/>
      <c r="AJ346" s="323"/>
      <c r="AK346" s="287"/>
      <c r="AL346" s="312"/>
      <c r="AM346" s="333" t="s">
        <v>355</v>
      </c>
      <c r="AN346" s="1604" t="s">
        <v>653</v>
      </c>
      <c r="AO346" s="1604"/>
      <c r="AP346" s="1604"/>
      <c r="AQ346" s="1604"/>
      <c r="AR346" s="1604"/>
      <c r="AS346" s="1604"/>
      <c r="AT346" s="1604"/>
      <c r="AU346" s="1604"/>
      <c r="AV346" s="1604"/>
      <c r="AW346" s="1604"/>
      <c r="AX346" s="1604"/>
      <c r="AY346" s="1604"/>
      <c r="AZ346" s="1604"/>
      <c r="BA346" s="1604"/>
      <c r="BB346" s="1604"/>
      <c r="BC346" s="1604"/>
      <c r="BD346" s="1604"/>
      <c r="BE346" s="1604"/>
      <c r="BF346" s="1604"/>
      <c r="BG346" s="1604"/>
      <c r="BH346" s="1604"/>
      <c r="BI346" s="1604"/>
      <c r="BJ346" s="1604"/>
      <c r="BK346" s="1604"/>
      <c r="BL346" s="1604"/>
      <c r="BM346" s="1604"/>
      <c r="BN346" s="1604"/>
      <c r="BO346" s="1604"/>
      <c r="BP346" s="1604"/>
      <c r="BQ346" s="1604"/>
      <c r="BR346" s="1604"/>
      <c r="BS346" s="1604"/>
      <c r="BT346" s="295"/>
      <c r="BU346" s="295"/>
      <c r="BV346" s="310"/>
      <c r="BW346" s="310"/>
      <c r="BX346" s="291"/>
      <c r="BY346" s="323"/>
      <c r="BZ346" s="279"/>
      <c r="CA346" s="279"/>
      <c r="CB346" s="280"/>
      <c r="CC346" s="280"/>
      <c r="CD346" s="280"/>
      <c r="CE346" s="280"/>
      <c r="CF346" s="280"/>
    </row>
    <row r="347" spans="1:84" s="326" customFormat="1" ht="12.95" hidden="1" customHeight="1" x14ac:dyDescent="0.25">
      <c r="A347" s="322"/>
      <c r="B347" s="312"/>
      <c r="C347" s="333"/>
      <c r="D347" s="314"/>
      <c r="E347" s="314"/>
      <c r="F347" s="314"/>
      <c r="G347" s="314"/>
      <c r="H347" s="314"/>
      <c r="I347" s="314"/>
      <c r="J347" s="314"/>
      <c r="K347" s="314"/>
      <c r="L347" s="314"/>
      <c r="M347" s="314"/>
      <c r="N347" s="314"/>
      <c r="O347" s="314"/>
      <c r="P347" s="314"/>
      <c r="Q347" s="314"/>
      <c r="R347" s="314"/>
      <c r="S347" s="314"/>
      <c r="T347" s="314"/>
      <c r="U347" s="314"/>
      <c r="V347" s="314"/>
      <c r="W347" s="314"/>
      <c r="X347" s="314"/>
      <c r="Y347" s="314"/>
      <c r="Z347" s="314"/>
      <c r="AA347" s="314"/>
      <c r="AB347" s="314"/>
      <c r="AC347" s="314"/>
      <c r="AD347" s="314"/>
      <c r="AE347" s="314"/>
      <c r="AF347" s="314"/>
      <c r="AG347" s="314"/>
      <c r="AH347" s="314"/>
      <c r="AI347" s="314"/>
      <c r="AJ347" s="323"/>
      <c r="AK347" s="287"/>
      <c r="AL347" s="312"/>
      <c r="AM347" s="333"/>
      <c r="AN347" s="314"/>
      <c r="AO347" s="314"/>
      <c r="AP347" s="314"/>
      <c r="AQ347" s="314"/>
      <c r="AR347" s="314"/>
      <c r="AS347" s="314"/>
      <c r="AT347" s="314"/>
      <c r="AU347" s="314"/>
      <c r="AV347" s="314"/>
      <c r="AW347" s="314"/>
      <c r="AX347" s="314"/>
      <c r="AY347" s="314"/>
      <c r="AZ347" s="314"/>
      <c r="BA347" s="314"/>
      <c r="BB347" s="314"/>
      <c r="BC347" s="314"/>
      <c r="BD347" s="314"/>
      <c r="BE347" s="314"/>
      <c r="BF347" s="314"/>
      <c r="BG347" s="314"/>
      <c r="BH347" s="314"/>
      <c r="BI347" s="314"/>
      <c r="BJ347" s="314"/>
      <c r="BK347" s="314"/>
      <c r="BL347" s="314"/>
      <c r="BM347" s="314"/>
      <c r="BN347" s="314"/>
      <c r="BO347" s="314"/>
      <c r="BP347" s="314"/>
      <c r="BQ347" s="314"/>
      <c r="BR347" s="314"/>
      <c r="BS347" s="314"/>
      <c r="BT347" s="295"/>
      <c r="BU347" s="295"/>
      <c r="BV347" s="310"/>
      <c r="BW347" s="310"/>
      <c r="BX347" s="291"/>
      <c r="BY347" s="323"/>
      <c r="BZ347" s="279"/>
      <c r="CA347" s="279"/>
      <c r="CB347" s="280"/>
      <c r="CC347" s="280"/>
      <c r="CD347" s="280"/>
      <c r="CE347" s="280"/>
      <c r="CF347" s="280"/>
    </row>
    <row r="348" spans="1:84" s="326" customFormat="1" ht="15" hidden="1" customHeight="1" x14ac:dyDescent="0.25">
      <c r="A348" s="322"/>
      <c r="B348" s="312"/>
      <c r="C348" s="1603" t="s">
        <v>654</v>
      </c>
      <c r="D348" s="1603"/>
      <c r="E348" s="1603"/>
      <c r="F348" s="1603"/>
      <c r="G348" s="1603"/>
      <c r="H348" s="1603"/>
      <c r="I348" s="1603"/>
      <c r="J348" s="1603"/>
      <c r="K348" s="1603"/>
      <c r="L348" s="1603"/>
      <c r="M348" s="1603"/>
      <c r="N348" s="1603"/>
      <c r="O348" s="1603"/>
      <c r="P348" s="1603"/>
      <c r="Q348" s="1603"/>
      <c r="R348" s="1603"/>
      <c r="S348" s="1603"/>
      <c r="T348" s="1603"/>
      <c r="U348" s="1603"/>
      <c r="V348" s="1603"/>
      <c r="W348" s="1603"/>
      <c r="X348" s="1603"/>
      <c r="Y348" s="1603"/>
      <c r="Z348" s="1603"/>
      <c r="AA348" s="1603"/>
      <c r="AB348" s="1603"/>
      <c r="AC348" s="1603"/>
      <c r="AD348" s="1603"/>
      <c r="AE348" s="1603"/>
      <c r="AF348" s="1603"/>
      <c r="AG348" s="1603"/>
      <c r="AH348" s="1603"/>
      <c r="AI348" s="1603"/>
      <c r="AJ348" s="323"/>
      <c r="AK348" s="287"/>
      <c r="AL348" s="312"/>
      <c r="AM348" s="1603" t="s">
        <v>655</v>
      </c>
      <c r="AN348" s="1603"/>
      <c r="AO348" s="1603"/>
      <c r="AP348" s="1603"/>
      <c r="AQ348" s="1603"/>
      <c r="AR348" s="1603"/>
      <c r="AS348" s="1603"/>
      <c r="AT348" s="1603"/>
      <c r="AU348" s="1603"/>
      <c r="AV348" s="1603"/>
      <c r="AW348" s="1603"/>
      <c r="AX348" s="1603"/>
      <c r="AY348" s="1603"/>
      <c r="AZ348" s="1603"/>
      <c r="BA348" s="1603"/>
      <c r="BB348" s="1603"/>
      <c r="BC348" s="1603"/>
      <c r="BD348" s="1603"/>
      <c r="BE348" s="1603"/>
      <c r="BF348" s="1603"/>
      <c r="BG348" s="1603"/>
      <c r="BH348" s="1603"/>
      <c r="BI348" s="1603"/>
      <c r="BJ348" s="1603"/>
      <c r="BK348" s="1603"/>
      <c r="BL348" s="1603"/>
      <c r="BM348" s="1603"/>
      <c r="BN348" s="1603"/>
      <c r="BO348" s="1603"/>
      <c r="BP348" s="1603"/>
      <c r="BQ348" s="1603"/>
      <c r="BR348" s="1603"/>
      <c r="BS348" s="1603"/>
      <c r="BT348" s="295"/>
      <c r="BU348" s="295"/>
      <c r="BV348" s="310"/>
      <c r="BW348" s="310"/>
      <c r="BX348" s="291"/>
      <c r="BY348" s="323"/>
      <c r="BZ348" s="279"/>
      <c r="CA348" s="279"/>
      <c r="CB348" s="280"/>
      <c r="CC348" s="280"/>
      <c r="CD348" s="280"/>
      <c r="CE348" s="280"/>
      <c r="CF348" s="280"/>
    </row>
    <row r="349" spans="1:84" s="326" customFormat="1" ht="12.95" hidden="1" customHeight="1" x14ac:dyDescent="0.25">
      <c r="A349" s="322"/>
      <c r="B349" s="312"/>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c r="AE349" s="318"/>
      <c r="AF349" s="318"/>
      <c r="AG349" s="318"/>
      <c r="AH349" s="318"/>
      <c r="AI349" s="318"/>
      <c r="AJ349" s="323"/>
      <c r="AK349" s="287"/>
      <c r="AL349" s="312"/>
      <c r="AM349" s="318"/>
      <c r="AN349" s="318"/>
      <c r="AO349" s="318"/>
      <c r="AP349" s="318"/>
      <c r="AQ349" s="318"/>
      <c r="AR349" s="318"/>
      <c r="AS349" s="318"/>
      <c r="AT349" s="318"/>
      <c r="AU349" s="318"/>
      <c r="AV349" s="318"/>
      <c r="AW349" s="318"/>
      <c r="AX349" s="318"/>
      <c r="AY349" s="318"/>
      <c r="AZ349" s="318"/>
      <c r="BA349" s="318"/>
      <c r="BB349" s="318"/>
      <c r="BC349" s="318"/>
      <c r="BD349" s="318"/>
      <c r="BE349" s="318"/>
      <c r="BF349" s="318"/>
      <c r="BG349" s="318"/>
      <c r="BH349" s="318"/>
      <c r="BI349" s="318"/>
      <c r="BJ349" s="318"/>
      <c r="BK349" s="318"/>
      <c r="BL349" s="318"/>
      <c r="BM349" s="318"/>
      <c r="BN349" s="318"/>
      <c r="BO349" s="318"/>
      <c r="BP349" s="318"/>
      <c r="BQ349" s="318"/>
      <c r="BR349" s="318"/>
      <c r="BS349" s="318"/>
      <c r="BT349" s="295"/>
      <c r="BU349" s="295"/>
      <c r="BV349" s="310"/>
      <c r="BW349" s="310"/>
      <c r="BX349" s="291"/>
      <c r="BY349" s="323"/>
      <c r="BZ349" s="279"/>
      <c r="CA349" s="279"/>
      <c r="CB349" s="280"/>
      <c r="CC349" s="280"/>
      <c r="CD349" s="280"/>
      <c r="CE349" s="280"/>
      <c r="CF349" s="280"/>
    </row>
    <row r="350" spans="1:84" s="329" customFormat="1" ht="15" hidden="1" customHeight="1" x14ac:dyDescent="0.25">
      <c r="A350" s="322"/>
      <c r="B350" s="312"/>
      <c r="C350" s="1609" t="s">
        <v>656</v>
      </c>
      <c r="D350" s="1609"/>
      <c r="E350" s="1609"/>
      <c r="F350" s="1609"/>
      <c r="G350" s="1609"/>
      <c r="H350" s="1609"/>
      <c r="I350" s="1609"/>
      <c r="J350" s="1609"/>
      <c r="K350" s="1609"/>
      <c r="L350" s="1609"/>
      <c r="M350" s="1609"/>
      <c r="N350" s="1609"/>
      <c r="O350" s="1609"/>
      <c r="P350" s="1609"/>
      <c r="Q350" s="1609"/>
      <c r="R350" s="1609"/>
      <c r="S350" s="1609"/>
      <c r="T350" s="1609"/>
      <c r="U350" s="1609"/>
      <c r="V350" s="1609"/>
      <c r="W350" s="1609"/>
      <c r="X350" s="1609"/>
      <c r="Y350" s="1609"/>
      <c r="Z350" s="1609"/>
      <c r="AA350" s="1609"/>
      <c r="AB350" s="1609"/>
      <c r="AC350" s="1609"/>
      <c r="AD350" s="1609"/>
      <c r="AE350" s="1609"/>
      <c r="AF350" s="1609"/>
      <c r="AG350" s="1609"/>
      <c r="AH350" s="1609"/>
      <c r="AI350" s="1609"/>
      <c r="AJ350" s="295"/>
      <c r="AK350" s="287"/>
      <c r="AL350" s="312"/>
      <c r="AM350" s="1609" t="s">
        <v>657</v>
      </c>
      <c r="AN350" s="1609"/>
      <c r="AO350" s="1609"/>
      <c r="AP350" s="1609"/>
      <c r="AQ350" s="1609"/>
      <c r="AR350" s="1609"/>
      <c r="AS350" s="1609"/>
      <c r="AT350" s="1609"/>
      <c r="AU350" s="1609"/>
      <c r="AV350" s="1609"/>
      <c r="AW350" s="1609"/>
      <c r="AX350" s="1609"/>
      <c r="AY350" s="1609"/>
      <c r="AZ350" s="1609"/>
      <c r="BA350" s="1609"/>
      <c r="BB350" s="1609"/>
      <c r="BC350" s="1609"/>
      <c r="BD350" s="1609"/>
      <c r="BE350" s="1609"/>
      <c r="BF350" s="1609"/>
      <c r="BG350" s="1609"/>
      <c r="BH350" s="1609"/>
      <c r="BI350" s="1609"/>
      <c r="BJ350" s="1609"/>
      <c r="BK350" s="1609"/>
      <c r="BL350" s="1609"/>
      <c r="BM350" s="1609"/>
      <c r="BN350" s="1609"/>
      <c r="BO350" s="1609"/>
      <c r="BP350" s="1609"/>
      <c r="BQ350" s="1609"/>
      <c r="BR350" s="1609"/>
      <c r="BS350" s="1609"/>
      <c r="BT350" s="295"/>
      <c r="BU350" s="295"/>
      <c r="BV350" s="310"/>
      <c r="BW350" s="310"/>
      <c r="BX350" s="300"/>
      <c r="BY350" s="295"/>
      <c r="BZ350" s="273"/>
      <c r="CA350" s="273"/>
      <c r="CB350" s="301"/>
      <c r="CC350" s="301"/>
      <c r="CD350" s="301"/>
      <c r="CE350" s="301"/>
      <c r="CF350" s="301"/>
    </row>
    <row r="351" spans="1:84" s="329" customFormat="1" ht="15" hidden="1" customHeight="1" x14ac:dyDescent="0.25">
      <c r="A351" s="322"/>
      <c r="B351" s="312"/>
      <c r="C351" s="1603" t="s">
        <v>658</v>
      </c>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295"/>
      <c r="AK351" s="287"/>
      <c r="AL351" s="312"/>
      <c r="AM351" s="1603" t="s">
        <v>659</v>
      </c>
      <c r="AN351" s="1603"/>
      <c r="AO351" s="1603"/>
      <c r="AP351" s="1603"/>
      <c r="AQ351" s="1603"/>
      <c r="AR351" s="1603"/>
      <c r="AS351" s="1603"/>
      <c r="AT351" s="1603"/>
      <c r="AU351" s="1603"/>
      <c r="AV351" s="1603"/>
      <c r="AW351" s="1603"/>
      <c r="AX351" s="1603"/>
      <c r="AY351" s="1603"/>
      <c r="AZ351" s="1603"/>
      <c r="BA351" s="1603"/>
      <c r="BB351" s="1603"/>
      <c r="BC351" s="1603"/>
      <c r="BD351" s="1603"/>
      <c r="BE351" s="1603"/>
      <c r="BF351" s="1603"/>
      <c r="BG351" s="1603"/>
      <c r="BH351" s="1603"/>
      <c r="BI351" s="1603"/>
      <c r="BJ351" s="1603"/>
      <c r="BK351" s="1603"/>
      <c r="BL351" s="1603"/>
      <c r="BM351" s="1603"/>
      <c r="BN351" s="1603"/>
      <c r="BO351" s="1603"/>
      <c r="BP351" s="1603"/>
      <c r="BQ351" s="1603"/>
      <c r="BR351" s="1603"/>
      <c r="BS351" s="1603"/>
      <c r="BT351" s="295"/>
      <c r="BU351" s="295"/>
      <c r="BV351" s="310"/>
      <c r="BW351" s="310"/>
      <c r="BX351" s="300"/>
      <c r="BY351" s="295"/>
      <c r="BZ351" s="273"/>
      <c r="CA351" s="273"/>
      <c r="CB351" s="301"/>
      <c r="CC351" s="301"/>
      <c r="CD351" s="301"/>
      <c r="CE351" s="301"/>
      <c r="CF351" s="301"/>
    </row>
    <row r="352" spans="1:84" s="326" customFormat="1" ht="27.95" hidden="1" customHeight="1" x14ac:dyDescent="0.25">
      <c r="A352" s="322"/>
      <c r="B352" s="312"/>
      <c r="C352" s="333" t="s">
        <v>355</v>
      </c>
      <c r="D352" s="1604" t="str">
        <f>CONCATENATE("Bất động sản đã hoàn thành toàn bộ và bàn giao cho người mua, "&amp;LoaiCT_V&amp;" đã chuyển giao rủi ro và lợi ích gắn liền với quyền sở hữu bất động sản cho người mua;")</f>
        <v>Bất động sản đã hoàn thành toàn bộ và bàn giao cho người mua, Công ty đã chuyển giao rủi ro và lợi ích gắn liền với quyền sở hữu bất động sản cho người mua;</v>
      </c>
      <c r="E352" s="1604"/>
      <c r="F352" s="1604"/>
      <c r="G352" s="1604"/>
      <c r="H352" s="1604"/>
      <c r="I352" s="1604"/>
      <c r="J352" s="1604"/>
      <c r="K352" s="1604"/>
      <c r="L352" s="1604"/>
      <c r="M352" s="1604"/>
      <c r="N352" s="1604"/>
      <c r="O352" s="1604"/>
      <c r="P352" s="1604"/>
      <c r="Q352" s="1604"/>
      <c r="R352" s="1604"/>
      <c r="S352" s="1604"/>
      <c r="T352" s="1604"/>
      <c r="U352" s="1604"/>
      <c r="V352" s="1604"/>
      <c r="W352" s="1604"/>
      <c r="X352" s="1604"/>
      <c r="Y352" s="1604"/>
      <c r="Z352" s="1604"/>
      <c r="AA352" s="1604"/>
      <c r="AB352" s="1604"/>
      <c r="AC352" s="1604"/>
      <c r="AD352" s="1604"/>
      <c r="AE352" s="1604"/>
      <c r="AF352" s="1604"/>
      <c r="AG352" s="1604"/>
      <c r="AH352" s="1604"/>
      <c r="AI352" s="1604"/>
      <c r="AJ352" s="323"/>
      <c r="AK352" s="287"/>
      <c r="AL352" s="312"/>
      <c r="AM352" s="333" t="s">
        <v>355</v>
      </c>
      <c r="AN352" s="1604" t="s">
        <v>660</v>
      </c>
      <c r="AO352" s="1604"/>
      <c r="AP352" s="1604"/>
      <c r="AQ352" s="1604"/>
      <c r="AR352" s="1604"/>
      <c r="AS352" s="1604"/>
      <c r="AT352" s="1604"/>
      <c r="AU352" s="1604"/>
      <c r="AV352" s="1604"/>
      <c r="AW352" s="1604"/>
      <c r="AX352" s="1604"/>
      <c r="AY352" s="1604"/>
      <c r="AZ352" s="1604"/>
      <c r="BA352" s="1604"/>
      <c r="BB352" s="1604"/>
      <c r="BC352" s="1604"/>
      <c r="BD352" s="1604"/>
      <c r="BE352" s="1604"/>
      <c r="BF352" s="1604"/>
      <c r="BG352" s="1604"/>
      <c r="BH352" s="1604"/>
      <c r="BI352" s="1604"/>
      <c r="BJ352" s="1604"/>
      <c r="BK352" s="1604"/>
      <c r="BL352" s="1604"/>
      <c r="BM352" s="1604"/>
      <c r="BN352" s="1604"/>
      <c r="BO352" s="1604"/>
      <c r="BP352" s="1604"/>
      <c r="BQ352" s="1604"/>
      <c r="BR352" s="1604"/>
      <c r="BS352" s="1604"/>
      <c r="BT352" s="295"/>
      <c r="BU352" s="295"/>
      <c r="BV352" s="310"/>
      <c r="BW352" s="310"/>
      <c r="BX352" s="291"/>
      <c r="BY352" s="323"/>
      <c r="BZ352" s="279"/>
      <c r="CA352" s="279"/>
      <c r="CB352" s="280"/>
      <c r="CC352" s="280"/>
      <c r="CD352" s="280"/>
      <c r="CE352" s="280"/>
      <c r="CF352" s="280"/>
    </row>
    <row r="353" spans="1:84" s="326" customFormat="1" ht="27.95" hidden="1" customHeight="1" x14ac:dyDescent="0.25">
      <c r="A353" s="322"/>
      <c r="B353" s="312"/>
      <c r="C353" s="333" t="s">
        <v>355</v>
      </c>
      <c r="D353" s="1604" t="str">
        <f>CONCATENATE(LoaiCT_V," không còn nắm giữ quyền quản lý bất động sản như người sở hữu bất động sản hoặc quyền kiểm soát bất động sản;")</f>
        <v>Công ty không còn nắm giữ quyền quản lý bất động sản như người sở hữu bất động sản hoặc quyền kiểm soát bất động sản;</v>
      </c>
      <c r="E353" s="1604"/>
      <c r="F353" s="1604"/>
      <c r="G353" s="1604"/>
      <c r="H353" s="1604"/>
      <c r="I353" s="1604"/>
      <c r="J353" s="1604"/>
      <c r="K353" s="1604"/>
      <c r="L353" s="1604"/>
      <c r="M353" s="1604"/>
      <c r="N353" s="1604"/>
      <c r="O353" s="1604"/>
      <c r="P353" s="1604"/>
      <c r="Q353" s="1604"/>
      <c r="R353" s="1604"/>
      <c r="S353" s="1604"/>
      <c r="T353" s="1604"/>
      <c r="U353" s="1604"/>
      <c r="V353" s="1604"/>
      <c r="W353" s="1604"/>
      <c r="X353" s="1604"/>
      <c r="Y353" s="1604"/>
      <c r="Z353" s="1604"/>
      <c r="AA353" s="1604"/>
      <c r="AB353" s="1604"/>
      <c r="AC353" s="1604"/>
      <c r="AD353" s="1604"/>
      <c r="AE353" s="1604"/>
      <c r="AF353" s="1604"/>
      <c r="AG353" s="1604"/>
      <c r="AH353" s="1604"/>
      <c r="AI353" s="1604"/>
      <c r="AJ353" s="323"/>
      <c r="AK353" s="287"/>
      <c r="AL353" s="312"/>
      <c r="AM353" s="333" t="s">
        <v>355</v>
      </c>
      <c r="AN353" s="1604" t="str">
        <f>CONCATENATE("The ",LoaiCT_E," no longer hold the right to manage the real estate as real estate‘s owners or the right to control the real estate;")</f>
        <v>The Corporation no longer hold the right to manage the real estate as real estate‘s owners or the right to control the real estate;</v>
      </c>
      <c r="AO353" s="1604"/>
      <c r="AP353" s="1604"/>
      <c r="AQ353" s="1604"/>
      <c r="AR353" s="1604"/>
      <c r="AS353" s="1604"/>
      <c r="AT353" s="1604"/>
      <c r="AU353" s="1604"/>
      <c r="AV353" s="1604"/>
      <c r="AW353" s="1604"/>
      <c r="AX353" s="1604"/>
      <c r="AY353" s="1604"/>
      <c r="AZ353" s="1604"/>
      <c r="BA353" s="1604"/>
      <c r="BB353" s="1604"/>
      <c r="BC353" s="1604"/>
      <c r="BD353" s="1604"/>
      <c r="BE353" s="1604"/>
      <c r="BF353" s="1604"/>
      <c r="BG353" s="1604"/>
      <c r="BH353" s="1604"/>
      <c r="BI353" s="1604"/>
      <c r="BJ353" s="1604"/>
      <c r="BK353" s="1604"/>
      <c r="BL353" s="1604"/>
      <c r="BM353" s="1604"/>
      <c r="BN353" s="1604"/>
      <c r="BO353" s="1604"/>
      <c r="BP353" s="1604"/>
      <c r="BQ353" s="1604"/>
      <c r="BR353" s="1604"/>
      <c r="BS353" s="1604"/>
      <c r="BT353" s="295"/>
      <c r="BU353" s="295"/>
      <c r="BV353" s="310"/>
      <c r="BW353" s="310"/>
      <c r="BX353" s="291"/>
      <c r="BY353" s="323"/>
      <c r="BZ353" s="279"/>
      <c r="CA353" s="279"/>
      <c r="CB353" s="280"/>
      <c r="CC353" s="280"/>
      <c r="CD353" s="280"/>
      <c r="CE353" s="280"/>
      <c r="CF353" s="280"/>
    </row>
    <row r="354" spans="1:84" s="326" customFormat="1" ht="15" hidden="1" customHeight="1" x14ac:dyDescent="0.25">
      <c r="A354" s="322"/>
      <c r="B354" s="312"/>
      <c r="C354" s="333" t="s">
        <v>355</v>
      </c>
      <c r="D354" s="1604" t="s">
        <v>638</v>
      </c>
      <c r="E354" s="1604"/>
      <c r="F354" s="1604"/>
      <c r="G354" s="1604"/>
      <c r="H354" s="1604"/>
      <c r="I354" s="1604"/>
      <c r="J354" s="1604"/>
      <c r="K354" s="1604"/>
      <c r="L354" s="1604"/>
      <c r="M354" s="1604"/>
      <c r="N354" s="1604"/>
      <c r="O354" s="1604"/>
      <c r="P354" s="1604"/>
      <c r="Q354" s="1604"/>
      <c r="R354" s="1604"/>
      <c r="S354" s="1604"/>
      <c r="T354" s="1604"/>
      <c r="U354" s="1604"/>
      <c r="V354" s="1604"/>
      <c r="W354" s="1604"/>
      <c r="X354" s="1604"/>
      <c r="Y354" s="1604"/>
      <c r="Z354" s="1604"/>
      <c r="AA354" s="1604"/>
      <c r="AB354" s="1604"/>
      <c r="AC354" s="1604"/>
      <c r="AD354" s="1604"/>
      <c r="AE354" s="1604"/>
      <c r="AF354" s="1604"/>
      <c r="AG354" s="1604"/>
      <c r="AH354" s="1604"/>
      <c r="AI354" s="1604"/>
      <c r="AJ354" s="323"/>
      <c r="AK354" s="287"/>
      <c r="AL354" s="312"/>
      <c r="AM354" s="333" t="s">
        <v>355</v>
      </c>
      <c r="AN354" s="1604" t="s">
        <v>661</v>
      </c>
      <c r="AO354" s="1604"/>
      <c r="AP354" s="1604"/>
      <c r="AQ354" s="1604"/>
      <c r="AR354" s="1604"/>
      <c r="AS354" s="1604"/>
      <c r="AT354" s="1604"/>
      <c r="AU354" s="1604"/>
      <c r="AV354" s="1604"/>
      <c r="AW354" s="1604"/>
      <c r="AX354" s="1604"/>
      <c r="AY354" s="1604"/>
      <c r="AZ354" s="1604"/>
      <c r="BA354" s="1604"/>
      <c r="BB354" s="1604"/>
      <c r="BC354" s="1604"/>
      <c r="BD354" s="1604"/>
      <c r="BE354" s="1604"/>
      <c r="BF354" s="1604"/>
      <c r="BG354" s="1604"/>
      <c r="BH354" s="1604"/>
      <c r="BI354" s="1604"/>
      <c r="BJ354" s="1604"/>
      <c r="BK354" s="1604"/>
      <c r="BL354" s="1604"/>
      <c r="BM354" s="1604"/>
      <c r="BN354" s="1604"/>
      <c r="BO354" s="1604"/>
      <c r="BP354" s="1604"/>
      <c r="BQ354" s="1604"/>
      <c r="BR354" s="1604"/>
      <c r="BS354" s="1604"/>
      <c r="BT354" s="295"/>
      <c r="BU354" s="295"/>
      <c r="BV354" s="310"/>
      <c r="BW354" s="310"/>
      <c r="BX354" s="291"/>
      <c r="BY354" s="323"/>
      <c r="BZ354" s="279"/>
      <c r="CA354" s="279"/>
      <c r="CB354" s="280"/>
      <c r="CC354" s="280"/>
      <c r="CD354" s="280"/>
      <c r="CE354" s="280"/>
      <c r="CF354" s="280"/>
    </row>
    <row r="355" spans="1:84" s="326" customFormat="1" ht="15" hidden="1" customHeight="1" x14ac:dyDescent="0.25">
      <c r="A355" s="322"/>
      <c r="B355" s="312"/>
      <c r="C355" s="333" t="s">
        <v>355</v>
      </c>
      <c r="D355" s="1604" t="str">
        <f>CONCATENATE(LoaiCT_V," đã thu được hoặc sẽ thu được lợi ích kinh tế từ giao dịch bán bất động sản;")</f>
        <v>Công ty đã thu được hoặc sẽ thu được lợi ích kinh tế từ giao dịch bán bất động sản;</v>
      </c>
      <c r="E355" s="1604"/>
      <c r="F355" s="1604"/>
      <c r="G355" s="1604"/>
      <c r="H355" s="1604"/>
      <c r="I355" s="1604"/>
      <c r="J355" s="1604"/>
      <c r="K355" s="1604"/>
      <c r="L355" s="1604"/>
      <c r="M355" s="1604"/>
      <c r="N355" s="1604"/>
      <c r="O355" s="1604"/>
      <c r="P355" s="1604"/>
      <c r="Q355" s="1604"/>
      <c r="R355" s="1604"/>
      <c r="S355" s="1604"/>
      <c r="T355" s="1604"/>
      <c r="U355" s="1604"/>
      <c r="V355" s="1604"/>
      <c r="W355" s="1604"/>
      <c r="X355" s="1604"/>
      <c r="Y355" s="1604"/>
      <c r="Z355" s="1604"/>
      <c r="AA355" s="1604"/>
      <c r="AB355" s="1604"/>
      <c r="AC355" s="1604"/>
      <c r="AD355" s="1604"/>
      <c r="AE355" s="1604"/>
      <c r="AF355" s="1604"/>
      <c r="AG355" s="1604"/>
      <c r="AH355" s="1604"/>
      <c r="AI355" s="1604"/>
      <c r="AJ355" s="323"/>
      <c r="AK355" s="287"/>
      <c r="AL355" s="312"/>
      <c r="AM355" s="333" t="s">
        <v>355</v>
      </c>
      <c r="AN355" s="1604" t="str">
        <f>CONCATENATE("The ",LoaiCT_E," have received or will receive economic benefits from the sales of the real estate;")</f>
        <v>The Corporation have received or will receive economic benefits from the sales of the real estate;</v>
      </c>
      <c r="AO355" s="1604"/>
      <c r="AP355" s="1604"/>
      <c r="AQ355" s="1604"/>
      <c r="AR355" s="1604"/>
      <c r="AS355" s="1604"/>
      <c r="AT355" s="1604"/>
      <c r="AU355" s="1604"/>
      <c r="AV355" s="1604"/>
      <c r="AW355" s="1604"/>
      <c r="AX355" s="1604"/>
      <c r="AY355" s="1604"/>
      <c r="AZ355" s="1604"/>
      <c r="BA355" s="1604"/>
      <c r="BB355" s="1604"/>
      <c r="BC355" s="1604"/>
      <c r="BD355" s="1604"/>
      <c r="BE355" s="1604"/>
      <c r="BF355" s="1604"/>
      <c r="BG355" s="1604"/>
      <c r="BH355" s="1604"/>
      <c r="BI355" s="1604"/>
      <c r="BJ355" s="1604"/>
      <c r="BK355" s="1604"/>
      <c r="BL355" s="1604"/>
      <c r="BM355" s="1604"/>
      <c r="BN355" s="1604"/>
      <c r="BO355" s="1604"/>
      <c r="BP355" s="1604"/>
      <c r="BQ355" s="1604"/>
      <c r="BR355" s="1604"/>
      <c r="BS355" s="1604"/>
      <c r="BT355" s="295"/>
      <c r="BU355" s="295"/>
      <c r="BV355" s="310"/>
      <c r="BW355" s="310"/>
      <c r="BX355" s="291"/>
      <c r="BY355" s="323"/>
      <c r="BZ355" s="279"/>
      <c r="CA355" s="279"/>
      <c r="CB355" s="280"/>
      <c r="CC355" s="280"/>
      <c r="CD355" s="280"/>
      <c r="CE355" s="280"/>
      <c r="CF355" s="280"/>
    </row>
    <row r="356" spans="1:84" s="326" customFormat="1" ht="15" hidden="1" customHeight="1" x14ac:dyDescent="0.25">
      <c r="A356" s="322"/>
      <c r="B356" s="312"/>
      <c r="C356" s="333" t="s">
        <v>355</v>
      </c>
      <c r="D356" s="1604" t="s">
        <v>662</v>
      </c>
      <c r="E356" s="1604"/>
      <c r="F356" s="1604"/>
      <c r="G356" s="1604"/>
      <c r="H356" s="1604"/>
      <c r="I356" s="1604"/>
      <c r="J356" s="1604"/>
      <c r="K356" s="1604"/>
      <c r="L356" s="1604"/>
      <c r="M356" s="1604"/>
      <c r="N356" s="1604"/>
      <c r="O356" s="1604"/>
      <c r="P356" s="1604"/>
      <c r="Q356" s="1604"/>
      <c r="R356" s="1604"/>
      <c r="S356" s="1604"/>
      <c r="T356" s="1604"/>
      <c r="U356" s="1604"/>
      <c r="V356" s="1604"/>
      <c r="W356" s="1604"/>
      <c r="X356" s="1604"/>
      <c r="Y356" s="1604"/>
      <c r="Z356" s="1604"/>
      <c r="AA356" s="1604"/>
      <c r="AB356" s="1604"/>
      <c r="AC356" s="1604"/>
      <c r="AD356" s="1604"/>
      <c r="AE356" s="1604"/>
      <c r="AF356" s="1604"/>
      <c r="AG356" s="1604"/>
      <c r="AH356" s="1604"/>
      <c r="AI356" s="1604"/>
      <c r="AJ356" s="323"/>
      <c r="AK356" s="287"/>
      <c r="AL356" s="312"/>
      <c r="AM356" s="333" t="s">
        <v>355</v>
      </c>
      <c r="AN356" s="1604" t="s">
        <v>663</v>
      </c>
      <c r="AO356" s="1604"/>
      <c r="AP356" s="1604"/>
      <c r="AQ356" s="1604"/>
      <c r="AR356" s="1604"/>
      <c r="AS356" s="1604"/>
      <c r="AT356" s="1604"/>
      <c r="AU356" s="1604"/>
      <c r="AV356" s="1604"/>
      <c r="AW356" s="1604"/>
      <c r="AX356" s="1604"/>
      <c r="AY356" s="1604"/>
      <c r="AZ356" s="1604"/>
      <c r="BA356" s="1604"/>
      <c r="BB356" s="1604"/>
      <c r="BC356" s="1604"/>
      <c r="BD356" s="1604"/>
      <c r="BE356" s="1604"/>
      <c r="BF356" s="1604"/>
      <c r="BG356" s="1604"/>
      <c r="BH356" s="1604"/>
      <c r="BI356" s="1604"/>
      <c r="BJ356" s="1604"/>
      <c r="BK356" s="1604"/>
      <c r="BL356" s="1604"/>
      <c r="BM356" s="1604"/>
      <c r="BN356" s="1604"/>
      <c r="BO356" s="1604"/>
      <c r="BP356" s="1604"/>
      <c r="BQ356" s="1604"/>
      <c r="BR356" s="1604"/>
      <c r="BS356" s="1604"/>
      <c r="BT356" s="295"/>
      <c r="BU356" s="295"/>
      <c r="BV356" s="310"/>
      <c r="BW356" s="310"/>
      <c r="BX356" s="291"/>
      <c r="BY356" s="323"/>
      <c r="BZ356" s="279"/>
      <c r="CA356" s="279"/>
      <c r="CB356" s="280"/>
      <c r="CC356" s="280"/>
      <c r="CD356" s="280"/>
      <c r="CE356" s="280"/>
      <c r="CF356" s="280"/>
    </row>
    <row r="357" spans="1:84" s="326" customFormat="1" ht="12" hidden="1" customHeight="1" x14ac:dyDescent="0.25">
      <c r="A357" s="322"/>
      <c r="B357" s="312"/>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318"/>
      <c r="AF357" s="318"/>
      <c r="AG357" s="318"/>
      <c r="AH357" s="318"/>
      <c r="AI357" s="318"/>
      <c r="AJ357" s="323"/>
      <c r="AK357" s="287"/>
      <c r="AL357" s="312"/>
      <c r="AM357" s="318"/>
      <c r="AN357" s="318"/>
      <c r="AO357" s="318"/>
      <c r="AP357" s="318"/>
      <c r="AQ357" s="318"/>
      <c r="AR357" s="318"/>
      <c r="AS357" s="318"/>
      <c r="AT357" s="318"/>
      <c r="AU357" s="318"/>
      <c r="AV357" s="318"/>
      <c r="AW357" s="318"/>
      <c r="AX357" s="318"/>
      <c r="AY357" s="318"/>
      <c r="AZ357" s="318"/>
      <c r="BA357" s="318"/>
      <c r="BB357" s="318"/>
      <c r="BC357" s="318"/>
      <c r="BD357" s="318"/>
      <c r="BE357" s="318"/>
      <c r="BF357" s="318"/>
      <c r="BG357" s="318"/>
      <c r="BH357" s="318"/>
      <c r="BI357" s="318"/>
      <c r="BJ357" s="318"/>
      <c r="BK357" s="318"/>
      <c r="BL357" s="318"/>
      <c r="BM357" s="318"/>
      <c r="BN357" s="318"/>
      <c r="BO357" s="318"/>
      <c r="BP357" s="318"/>
      <c r="BQ357" s="318"/>
      <c r="BR357" s="318"/>
      <c r="BS357" s="318"/>
      <c r="BT357" s="295"/>
      <c r="BU357" s="295"/>
      <c r="BV357" s="310"/>
      <c r="BW357" s="310"/>
      <c r="BX357" s="291"/>
      <c r="BY357" s="323"/>
      <c r="BZ357" s="279"/>
      <c r="CA357" s="279"/>
      <c r="CB357" s="280"/>
      <c r="CC357" s="280"/>
      <c r="CD357" s="280"/>
      <c r="CE357" s="280"/>
      <c r="CF357" s="280"/>
    </row>
    <row r="358" spans="1:84" s="326" customFormat="1" ht="29.25" hidden="1" customHeight="1" x14ac:dyDescent="0.25">
      <c r="A358" s="322"/>
      <c r="B358" s="312"/>
      <c r="C358" s="1603" t="str">
        <f>CONCATENATE("Trường hợp bán hàng hóa bất động sản theo hình thức khách hàng tự hoàn thiện hoặc ",LoaiCT_V," hoàn thiện theo yêu cầu của khách hàng thì được ghi doanh thu khi hoàn thành bàn giao phần xây thô cho khách hàng.")</f>
        <v>Trường hợp bán hàng hóa bất động sản theo hình thức khách hàng tự hoàn thiện hoặc Công ty hoàn thiện theo yêu cầu của khách hàng thì được ghi doanh thu khi hoàn thành bàn giao phần xây thô cho khách hàng.</v>
      </c>
      <c r="D358" s="1603"/>
      <c r="E358" s="1603"/>
      <c r="F358" s="1603"/>
      <c r="G358" s="1603"/>
      <c r="H358" s="1603"/>
      <c r="I358" s="1603"/>
      <c r="J358" s="1603"/>
      <c r="K358" s="1603"/>
      <c r="L358" s="1603"/>
      <c r="M358" s="1603"/>
      <c r="N358" s="1603"/>
      <c r="O358" s="1603"/>
      <c r="P358" s="1603"/>
      <c r="Q358" s="1603"/>
      <c r="R358" s="1603"/>
      <c r="S358" s="1603"/>
      <c r="T358" s="1603"/>
      <c r="U358" s="1603"/>
      <c r="V358" s="1603"/>
      <c r="W358" s="1603"/>
      <c r="X358" s="1603"/>
      <c r="Y358" s="1603"/>
      <c r="Z358" s="1603"/>
      <c r="AA358" s="1603"/>
      <c r="AB358" s="1603"/>
      <c r="AC358" s="1603"/>
      <c r="AD358" s="1603"/>
      <c r="AE358" s="1603"/>
      <c r="AF358" s="1603"/>
      <c r="AG358" s="1603"/>
      <c r="AH358" s="1603"/>
      <c r="AI358" s="1603"/>
      <c r="AJ358" s="323"/>
      <c r="AK358" s="287"/>
      <c r="AL358" s="312"/>
      <c r="AM358" s="1603" t="str">
        <f>CONCATENATE("In case of real estate sales in the form of customer self-improvement or the ",LoaiCT_E," finishes interior of the real estate in accordance with requirements of customers, the revenue is recorded when completed and transferred of raw building to customers.")</f>
        <v>In case of real estate sales in the form of customer self-improvement or the Corporation finishes interior of the real estate in accordance with requirements of customers, the revenue is recorded when completed and transferred of raw building to customers.</v>
      </c>
      <c r="AN358" s="1603"/>
      <c r="AO358" s="1603"/>
      <c r="AP358" s="1603"/>
      <c r="AQ358" s="1603"/>
      <c r="AR358" s="1603"/>
      <c r="AS358" s="1603"/>
      <c r="AT358" s="1603"/>
      <c r="AU358" s="1603"/>
      <c r="AV358" s="1603"/>
      <c r="AW358" s="1603"/>
      <c r="AX358" s="1603"/>
      <c r="AY358" s="1603"/>
      <c r="AZ358" s="1603"/>
      <c r="BA358" s="1603"/>
      <c r="BB358" s="1603"/>
      <c r="BC358" s="1603"/>
      <c r="BD358" s="1603"/>
      <c r="BE358" s="1603"/>
      <c r="BF358" s="1603"/>
      <c r="BG358" s="1603"/>
      <c r="BH358" s="1603"/>
      <c r="BI358" s="1603"/>
      <c r="BJ358" s="1603"/>
      <c r="BK358" s="1603"/>
      <c r="BL358" s="1603"/>
      <c r="BM358" s="1603"/>
      <c r="BN358" s="1603"/>
      <c r="BO358" s="1603"/>
      <c r="BP358" s="1603"/>
      <c r="BQ358" s="1603"/>
      <c r="BR358" s="1603"/>
      <c r="BS358" s="1603"/>
      <c r="BT358" s="295"/>
      <c r="BU358" s="295"/>
      <c r="BV358" s="310"/>
      <c r="BW358" s="310"/>
      <c r="BX358" s="291"/>
      <c r="BY358" s="323"/>
      <c r="BZ358" s="279"/>
      <c r="CA358" s="279"/>
      <c r="CB358" s="280"/>
      <c r="CC358" s="280"/>
      <c r="CD358" s="280"/>
      <c r="CE358" s="280"/>
      <c r="CF358" s="280"/>
    </row>
    <row r="359" spans="1:84" s="326" customFormat="1" ht="12" hidden="1" customHeight="1" x14ac:dyDescent="0.25">
      <c r="A359" s="322"/>
      <c r="B359" s="312"/>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c r="AE359" s="318"/>
      <c r="AF359" s="318"/>
      <c r="AG359" s="318"/>
      <c r="AH359" s="318"/>
      <c r="AI359" s="318"/>
      <c r="AJ359" s="323"/>
      <c r="AK359" s="287"/>
      <c r="AL359" s="312"/>
      <c r="AM359" s="318"/>
      <c r="AN359" s="318"/>
      <c r="AO359" s="318"/>
      <c r="AP359" s="318"/>
      <c r="AQ359" s="318"/>
      <c r="AR359" s="318"/>
      <c r="AS359" s="318"/>
      <c r="AT359" s="318"/>
      <c r="AU359" s="318"/>
      <c r="AV359" s="318"/>
      <c r="AW359" s="318"/>
      <c r="AX359" s="318"/>
      <c r="AY359" s="318"/>
      <c r="AZ359" s="318"/>
      <c r="BA359" s="318"/>
      <c r="BB359" s="318"/>
      <c r="BC359" s="318"/>
      <c r="BD359" s="318"/>
      <c r="BE359" s="318"/>
      <c r="BF359" s="318"/>
      <c r="BG359" s="318"/>
      <c r="BH359" s="318"/>
      <c r="BI359" s="318"/>
      <c r="BJ359" s="318"/>
      <c r="BK359" s="318"/>
      <c r="BL359" s="318"/>
      <c r="BM359" s="318"/>
      <c r="BN359" s="318"/>
      <c r="BO359" s="318"/>
      <c r="BP359" s="318"/>
      <c r="BQ359" s="318"/>
      <c r="BR359" s="318"/>
      <c r="BS359" s="318"/>
      <c r="BT359" s="295"/>
      <c r="BU359" s="295"/>
      <c r="BV359" s="310"/>
      <c r="BW359" s="310"/>
      <c r="BX359" s="291"/>
      <c r="BY359" s="323"/>
      <c r="BZ359" s="279"/>
      <c r="CA359" s="279"/>
      <c r="CB359" s="280"/>
      <c r="CC359" s="280"/>
      <c r="CD359" s="280"/>
      <c r="CE359" s="280"/>
      <c r="CF359" s="280"/>
    </row>
    <row r="360" spans="1:84" s="326" customFormat="1" ht="27.95" hidden="1" customHeight="1" x14ac:dyDescent="0.25">
      <c r="A360" s="322"/>
      <c r="B360" s="312"/>
      <c r="C360" s="1603" t="str">
        <f>CONCATENATE("Đối với bất động sản phân lô bán nền đã chuyển giao nền đất cho khách hàng, ",LoaiCT_V," được ghi nhận doanh thu với phần nền đất đã bán khi thỏa mãn đồng thời các điều kiện sau:")</f>
        <v>Đối với bất động sản phân lô bán nền đã chuyển giao nền đất cho khách hàng, Công ty được ghi nhận doanh thu với phần nền đất đã bán khi thỏa mãn đồng thời các điều kiện sau:</v>
      </c>
      <c r="D360" s="1603"/>
      <c r="E360" s="1603"/>
      <c r="F360" s="1603"/>
      <c r="G360" s="1603"/>
      <c r="H360" s="1603"/>
      <c r="I360" s="1603"/>
      <c r="J360" s="1603"/>
      <c r="K360" s="1603"/>
      <c r="L360" s="1603"/>
      <c r="M360" s="1603"/>
      <c r="N360" s="1603"/>
      <c r="O360" s="1603"/>
      <c r="P360" s="1603"/>
      <c r="Q360" s="1603"/>
      <c r="R360" s="1603"/>
      <c r="S360" s="1603"/>
      <c r="T360" s="1603"/>
      <c r="U360" s="1603"/>
      <c r="V360" s="1603"/>
      <c r="W360" s="1603"/>
      <c r="X360" s="1603"/>
      <c r="Y360" s="1603"/>
      <c r="Z360" s="1603"/>
      <c r="AA360" s="1603"/>
      <c r="AB360" s="1603"/>
      <c r="AC360" s="1603"/>
      <c r="AD360" s="1603"/>
      <c r="AE360" s="1603"/>
      <c r="AF360" s="1603"/>
      <c r="AG360" s="1603"/>
      <c r="AH360" s="1603"/>
      <c r="AI360" s="1603"/>
      <c r="AJ360" s="323"/>
      <c r="AK360" s="287"/>
      <c r="AL360" s="312"/>
      <c r="AM360" s="1603" t="str">
        <f>CONCATENATE("For real estate divided into plots for sale, the ",LoaiCT_E," is recorded revenues for the plot sold if satisfy the following conditions:")</f>
        <v>For real estate divided into plots for sale, the Corporation is recorded revenues for the plot sold if satisfy the following conditions:</v>
      </c>
      <c r="AN360" s="1603"/>
      <c r="AO360" s="1603"/>
      <c r="AP360" s="1603"/>
      <c r="AQ360" s="1603"/>
      <c r="AR360" s="1603"/>
      <c r="AS360" s="1603"/>
      <c r="AT360" s="1603"/>
      <c r="AU360" s="1603"/>
      <c r="AV360" s="1603"/>
      <c r="AW360" s="1603"/>
      <c r="AX360" s="1603"/>
      <c r="AY360" s="1603"/>
      <c r="AZ360" s="1603"/>
      <c r="BA360" s="1603"/>
      <c r="BB360" s="1603"/>
      <c r="BC360" s="1603"/>
      <c r="BD360" s="1603"/>
      <c r="BE360" s="1603"/>
      <c r="BF360" s="1603"/>
      <c r="BG360" s="1603"/>
      <c r="BH360" s="1603"/>
      <c r="BI360" s="1603"/>
      <c r="BJ360" s="1603"/>
      <c r="BK360" s="1603"/>
      <c r="BL360" s="1603"/>
      <c r="BM360" s="1603"/>
      <c r="BN360" s="1603"/>
      <c r="BO360" s="1603"/>
      <c r="BP360" s="1603"/>
      <c r="BQ360" s="1603"/>
      <c r="BR360" s="1603"/>
      <c r="BS360" s="1603"/>
      <c r="BT360" s="295"/>
      <c r="BU360" s="295"/>
      <c r="BV360" s="310"/>
      <c r="BW360" s="310"/>
      <c r="BX360" s="291"/>
      <c r="BY360" s="323"/>
      <c r="BZ360" s="279"/>
      <c r="CA360" s="279"/>
      <c r="CB360" s="280"/>
      <c r="CC360" s="280"/>
      <c r="CD360" s="280"/>
      <c r="CE360" s="280"/>
      <c r="CF360" s="280"/>
    </row>
    <row r="361" spans="1:84" s="326" customFormat="1" ht="15" hidden="1" customHeight="1" x14ac:dyDescent="0.25">
      <c r="A361" s="322"/>
      <c r="B361" s="312"/>
      <c r="C361" s="333" t="s">
        <v>355</v>
      </c>
      <c r="D361" s="1604" t="s">
        <v>664</v>
      </c>
      <c r="E361" s="1604"/>
      <c r="F361" s="1604"/>
      <c r="G361" s="1604"/>
      <c r="H361" s="1604"/>
      <c r="I361" s="1604"/>
      <c r="J361" s="1604"/>
      <c r="K361" s="1604"/>
      <c r="L361" s="1604"/>
      <c r="M361" s="1604"/>
      <c r="N361" s="1604"/>
      <c r="O361" s="1604"/>
      <c r="P361" s="1604"/>
      <c r="Q361" s="1604"/>
      <c r="R361" s="1604"/>
      <c r="S361" s="1604"/>
      <c r="T361" s="1604"/>
      <c r="U361" s="1604"/>
      <c r="V361" s="1604"/>
      <c r="W361" s="1604"/>
      <c r="X361" s="1604"/>
      <c r="Y361" s="1604"/>
      <c r="Z361" s="1604"/>
      <c r="AA361" s="1604"/>
      <c r="AB361" s="1604"/>
      <c r="AC361" s="1604"/>
      <c r="AD361" s="1604"/>
      <c r="AE361" s="1604"/>
      <c r="AF361" s="1604"/>
      <c r="AG361" s="1604"/>
      <c r="AH361" s="1604"/>
      <c r="AI361" s="1604"/>
      <c r="AJ361" s="323"/>
      <c r="AK361" s="287"/>
      <c r="AL361" s="312"/>
      <c r="AM361" s="333" t="s">
        <v>355</v>
      </c>
      <c r="AN361" s="1604" t="s">
        <v>665</v>
      </c>
      <c r="AO361" s="1604"/>
      <c r="AP361" s="1604"/>
      <c r="AQ361" s="1604"/>
      <c r="AR361" s="1604"/>
      <c r="AS361" s="1604"/>
      <c r="AT361" s="1604"/>
      <c r="AU361" s="1604"/>
      <c r="AV361" s="1604"/>
      <c r="AW361" s="1604"/>
      <c r="AX361" s="1604"/>
      <c r="AY361" s="1604"/>
      <c r="AZ361" s="1604"/>
      <c r="BA361" s="1604"/>
      <c r="BB361" s="1604"/>
      <c r="BC361" s="1604"/>
      <c r="BD361" s="1604"/>
      <c r="BE361" s="1604"/>
      <c r="BF361" s="1604"/>
      <c r="BG361" s="1604"/>
      <c r="BH361" s="1604"/>
      <c r="BI361" s="1604"/>
      <c r="BJ361" s="1604"/>
      <c r="BK361" s="1604"/>
      <c r="BL361" s="1604"/>
      <c r="BM361" s="1604"/>
      <c r="BN361" s="1604"/>
      <c r="BO361" s="1604"/>
      <c r="BP361" s="1604"/>
      <c r="BQ361" s="1604"/>
      <c r="BR361" s="1604"/>
      <c r="BS361" s="1604"/>
      <c r="BT361" s="295"/>
      <c r="BU361" s="295"/>
      <c r="BV361" s="310"/>
      <c r="BW361" s="310"/>
      <c r="BX361" s="291"/>
      <c r="BY361" s="323"/>
      <c r="BZ361" s="279"/>
      <c r="CA361" s="279"/>
      <c r="CB361" s="280"/>
      <c r="CC361" s="280"/>
      <c r="CD361" s="280"/>
      <c r="CE361" s="280"/>
      <c r="CF361" s="280"/>
    </row>
    <row r="362" spans="1:84" s="326" customFormat="1" ht="15" hidden="1" customHeight="1" x14ac:dyDescent="0.25">
      <c r="A362" s="322"/>
      <c r="B362" s="312"/>
      <c r="C362" s="333" t="s">
        <v>355</v>
      </c>
      <c r="D362" s="1604" t="s">
        <v>638</v>
      </c>
      <c r="E362" s="1604"/>
      <c r="F362" s="1604"/>
      <c r="G362" s="1604"/>
      <c r="H362" s="1604"/>
      <c r="I362" s="1604"/>
      <c r="J362" s="1604"/>
      <c r="K362" s="1604"/>
      <c r="L362" s="1604"/>
      <c r="M362" s="1604"/>
      <c r="N362" s="1604"/>
      <c r="O362" s="1604"/>
      <c r="P362" s="1604"/>
      <c r="Q362" s="1604"/>
      <c r="R362" s="1604"/>
      <c r="S362" s="1604"/>
      <c r="T362" s="1604"/>
      <c r="U362" s="1604"/>
      <c r="V362" s="1604"/>
      <c r="W362" s="1604"/>
      <c r="X362" s="1604"/>
      <c r="Y362" s="1604"/>
      <c r="Z362" s="1604"/>
      <c r="AA362" s="1604"/>
      <c r="AB362" s="1604"/>
      <c r="AC362" s="1604"/>
      <c r="AD362" s="1604"/>
      <c r="AE362" s="1604"/>
      <c r="AF362" s="1604"/>
      <c r="AG362" s="1604"/>
      <c r="AH362" s="1604"/>
      <c r="AI362" s="1604"/>
      <c r="AJ362" s="323"/>
      <c r="AK362" s="287"/>
      <c r="AL362" s="312"/>
      <c r="AM362" s="333" t="s">
        <v>355</v>
      </c>
      <c r="AN362" s="1604" t="s">
        <v>666</v>
      </c>
      <c r="AO362" s="1604"/>
      <c r="AP362" s="1604"/>
      <c r="AQ362" s="1604"/>
      <c r="AR362" s="1604"/>
      <c r="AS362" s="1604"/>
      <c r="AT362" s="1604"/>
      <c r="AU362" s="1604"/>
      <c r="AV362" s="1604"/>
      <c r="AW362" s="1604"/>
      <c r="AX362" s="1604"/>
      <c r="AY362" s="1604"/>
      <c r="AZ362" s="1604"/>
      <c r="BA362" s="1604"/>
      <c r="BB362" s="1604"/>
      <c r="BC362" s="1604"/>
      <c r="BD362" s="1604"/>
      <c r="BE362" s="1604"/>
      <c r="BF362" s="1604"/>
      <c r="BG362" s="1604"/>
      <c r="BH362" s="1604"/>
      <c r="BI362" s="1604"/>
      <c r="BJ362" s="1604"/>
      <c r="BK362" s="1604"/>
      <c r="BL362" s="1604"/>
      <c r="BM362" s="1604"/>
      <c r="BN362" s="1604"/>
      <c r="BO362" s="1604"/>
      <c r="BP362" s="1604"/>
      <c r="BQ362" s="1604"/>
      <c r="BR362" s="1604"/>
      <c r="BS362" s="1604"/>
      <c r="BT362" s="295"/>
      <c r="BU362" s="295"/>
      <c r="BV362" s="310"/>
      <c r="BW362" s="310"/>
      <c r="BX362" s="291"/>
      <c r="BY362" s="323"/>
      <c r="BZ362" s="279"/>
      <c r="CA362" s="279"/>
      <c r="CB362" s="280"/>
      <c r="CC362" s="280"/>
      <c r="CD362" s="280"/>
      <c r="CE362" s="280"/>
      <c r="CF362" s="280"/>
    </row>
    <row r="363" spans="1:84" s="326" customFormat="1" ht="15" hidden="1" customHeight="1" x14ac:dyDescent="0.25">
      <c r="A363" s="322"/>
      <c r="B363" s="312"/>
      <c r="C363" s="333" t="s">
        <v>355</v>
      </c>
      <c r="D363" s="1604" t="s">
        <v>667</v>
      </c>
      <c r="E363" s="1604"/>
      <c r="F363" s="1604"/>
      <c r="G363" s="1604"/>
      <c r="H363" s="1604"/>
      <c r="I363" s="1604"/>
      <c r="J363" s="1604"/>
      <c r="K363" s="1604"/>
      <c r="L363" s="1604"/>
      <c r="M363" s="1604"/>
      <c r="N363" s="1604"/>
      <c r="O363" s="1604"/>
      <c r="P363" s="1604"/>
      <c r="Q363" s="1604"/>
      <c r="R363" s="1604"/>
      <c r="S363" s="1604"/>
      <c r="T363" s="1604"/>
      <c r="U363" s="1604"/>
      <c r="V363" s="1604"/>
      <c r="W363" s="1604"/>
      <c r="X363" s="1604"/>
      <c r="Y363" s="1604"/>
      <c r="Z363" s="1604"/>
      <c r="AA363" s="1604"/>
      <c r="AB363" s="1604"/>
      <c r="AC363" s="1604"/>
      <c r="AD363" s="1604"/>
      <c r="AE363" s="1604"/>
      <c r="AF363" s="1604"/>
      <c r="AG363" s="1604"/>
      <c r="AH363" s="1604"/>
      <c r="AI363" s="1604"/>
      <c r="AJ363" s="323"/>
      <c r="AK363" s="287"/>
      <c r="AL363" s="312"/>
      <c r="AM363" s="333" t="s">
        <v>355</v>
      </c>
      <c r="AN363" s="1604" t="s">
        <v>668</v>
      </c>
      <c r="AO363" s="1604"/>
      <c r="AP363" s="1604"/>
      <c r="AQ363" s="1604"/>
      <c r="AR363" s="1604"/>
      <c r="AS363" s="1604"/>
      <c r="AT363" s="1604"/>
      <c r="AU363" s="1604"/>
      <c r="AV363" s="1604"/>
      <c r="AW363" s="1604"/>
      <c r="AX363" s="1604"/>
      <c r="AY363" s="1604"/>
      <c r="AZ363" s="1604"/>
      <c r="BA363" s="1604"/>
      <c r="BB363" s="1604"/>
      <c r="BC363" s="1604"/>
      <c r="BD363" s="1604"/>
      <c r="BE363" s="1604"/>
      <c r="BF363" s="1604"/>
      <c r="BG363" s="1604"/>
      <c r="BH363" s="1604"/>
      <c r="BI363" s="1604"/>
      <c r="BJ363" s="1604"/>
      <c r="BK363" s="1604"/>
      <c r="BL363" s="1604"/>
      <c r="BM363" s="1604"/>
      <c r="BN363" s="1604"/>
      <c r="BO363" s="1604"/>
      <c r="BP363" s="1604"/>
      <c r="BQ363" s="1604"/>
      <c r="BR363" s="1604"/>
      <c r="BS363" s="1604"/>
      <c r="BT363" s="295"/>
      <c r="BU363" s="295"/>
      <c r="BV363" s="310"/>
      <c r="BW363" s="310"/>
      <c r="BX363" s="291"/>
      <c r="BY363" s="323"/>
      <c r="BZ363" s="279"/>
      <c r="CA363" s="279"/>
      <c r="CB363" s="280"/>
      <c r="CC363" s="280"/>
      <c r="CD363" s="280"/>
      <c r="CE363" s="280"/>
      <c r="CF363" s="280"/>
    </row>
    <row r="364" spans="1:84" s="326" customFormat="1" ht="15" hidden="1" customHeight="1" x14ac:dyDescent="0.25">
      <c r="A364" s="322"/>
      <c r="B364" s="312"/>
      <c r="C364" s="333" t="s">
        <v>355</v>
      </c>
      <c r="D364" s="1604" t="str">
        <f>CONCATENATE(LoaiCT_V," đã thu hoặc chắc chắn thu được lợi ích kinh tế từ giao dịch bán nền đất.")</f>
        <v>Công ty đã thu hoặc chắc chắn thu được lợi ích kinh tế từ giao dịch bán nền đất.</v>
      </c>
      <c r="E364" s="1604"/>
      <c r="F364" s="1604"/>
      <c r="G364" s="1604"/>
      <c r="H364" s="1604"/>
      <c r="I364" s="1604"/>
      <c r="J364" s="1604"/>
      <c r="K364" s="1604"/>
      <c r="L364" s="1604"/>
      <c r="M364" s="1604"/>
      <c r="N364" s="1604"/>
      <c r="O364" s="1604"/>
      <c r="P364" s="1604"/>
      <c r="Q364" s="1604"/>
      <c r="R364" s="1604"/>
      <c r="S364" s="1604"/>
      <c r="T364" s="1604"/>
      <c r="U364" s="1604"/>
      <c r="V364" s="1604"/>
      <c r="W364" s="1604"/>
      <c r="X364" s="1604"/>
      <c r="Y364" s="1604"/>
      <c r="Z364" s="1604"/>
      <c r="AA364" s="1604"/>
      <c r="AB364" s="1604"/>
      <c r="AC364" s="1604"/>
      <c r="AD364" s="1604"/>
      <c r="AE364" s="1604"/>
      <c r="AF364" s="1604"/>
      <c r="AG364" s="1604"/>
      <c r="AH364" s="1604"/>
      <c r="AI364" s="1604"/>
      <c r="AJ364" s="323"/>
      <c r="AK364" s="287"/>
      <c r="AL364" s="312"/>
      <c r="AM364" s="333" t="s">
        <v>355</v>
      </c>
      <c r="AN364" s="1604" t="str">
        <f>CONCATENATE("The ",LoaiCT_E," has received or will receive economic benefits from sales of the plots.")</f>
        <v>The Corporation has received or will receive economic benefits from sales of the plots.</v>
      </c>
      <c r="AO364" s="1604"/>
      <c r="AP364" s="1604"/>
      <c r="AQ364" s="1604"/>
      <c r="AR364" s="1604"/>
      <c r="AS364" s="1604"/>
      <c r="AT364" s="1604"/>
      <c r="AU364" s="1604"/>
      <c r="AV364" s="1604"/>
      <c r="AW364" s="1604"/>
      <c r="AX364" s="1604"/>
      <c r="AY364" s="1604"/>
      <c r="AZ364" s="1604"/>
      <c r="BA364" s="1604"/>
      <c r="BB364" s="1604"/>
      <c r="BC364" s="1604"/>
      <c r="BD364" s="1604"/>
      <c r="BE364" s="1604"/>
      <c r="BF364" s="1604"/>
      <c r="BG364" s="1604"/>
      <c r="BH364" s="1604"/>
      <c r="BI364" s="1604"/>
      <c r="BJ364" s="1604"/>
      <c r="BK364" s="1604"/>
      <c r="BL364" s="1604"/>
      <c r="BM364" s="1604"/>
      <c r="BN364" s="1604"/>
      <c r="BO364" s="1604"/>
      <c r="BP364" s="1604"/>
      <c r="BQ364" s="1604"/>
      <c r="BR364" s="1604"/>
      <c r="BS364" s="1604"/>
      <c r="BT364" s="295"/>
      <c r="BU364" s="295"/>
      <c r="BV364" s="310"/>
      <c r="BW364" s="310"/>
      <c r="BX364" s="291"/>
      <c r="BY364" s="323"/>
      <c r="BZ364" s="279"/>
      <c r="CA364" s="279"/>
      <c r="CB364" s="280"/>
      <c r="CC364" s="280"/>
      <c r="CD364" s="280"/>
      <c r="CE364" s="280"/>
      <c r="CF364" s="280"/>
    </row>
    <row r="365" spans="1:84" s="326" customFormat="1" ht="12" hidden="1" customHeight="1" x14ac:dyDescent="0.25">
      <c r="A365" s="322"/>
      <c r="B365" s="312"/>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c r="AH365" s="318"/>
      <c r="AI365" s="318"/>
      <c r="AJ365" s="323"/>
      <c r="AK365" s="287"/>
      <c r="AL365" s="312"/>
      <c r="AM365" s="318"/>
      <c r="AN365" s="318"/>
      <c r="AO365" s="318"/>
      <c r="AP365" s="318"/>
      <c r="AQ365" s="318"/>
      <c r="AR365" s="318"/>
      <c r="AS365" s="318"/>
      <c r="AT365" s="318"/>
      <c r="AU365" s="318"/>
      <c r="AV365" s="318"/>
      <c r="AW365" s="318"/>
      <c r="AX365" s="318"/>
      <c r="AY365" s="318"/>
      <c r="AZ365" s="318"/>
      <c r="BA365" s="318"/>
      <c r="BB365" s="318"/>
      <c r="BC365" s="318"/>
      <c r="BD365" s="318"/>
      <c r="BE365" s="318"/>
      <c r="BF365" s="318"/>
      <c r="BG365" s="318"/>
      <c r="BH365" s="318"/>
      <c r="BI365" s="318"/>
      <c r="BJ365" s="318"/>
      <c r="BK365" s="318"/>
      <c r="BL365" s="318"/>
      <c r="BM365" s="318"/>
      <c r="BN365" s="318"/>
      <c r="BO365" s="318"/>
      <c r="BP365" s="318"/>
      <c r="BQ365" s="318"/>
      <c r="BR365" s="318"/>
      <c r="BS365" s="318"/>
      <c r="BT365" s="295"/>
      <c r="BU365" s="295"/>
      <c r="BV365" s="310"/>
      <c r="BW365" s="310"/>
      <c r="BX365" s="291"/>
      <c r="BY365" s="323"/>
      <c r="BZ365" s="279"/>
      <c r="CA365" s="279"/>
      <c r="CB365" s="280"/>
      <c r="CC365" s="280"/>
      <c r="CD365" s="280"/>
      <c r="CE365" s="280"/>
      <c r="CF365" s="280"/>
    </row>
    <row r="366" spans="1:84" s="326" customFormat="1" ht="15" hidden="1" customHeight="1" x14ac:dyDescent="0.25">
      <c r="A366" s="322"/>
      <c r="B366" s="312"/>
      <c r="C366" s="337" t="s">
        <v>669</v>
      </c>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318"/>
      <c r="AF366" s="318"/>
      <c r="AG366" s="318"/>
      <c r="AH366" s="318"/>
      <c r="AI366" s="318"/>
      <c r="AJ366" s="323"/>
      <c r="AK366" s="287"/>
      <c r="AL366" s="312"/>
      <c r="AM366" s="337" t="s">
        <v>670</v>
      </c>
      <c r="AN366" s="318"/>
      <c r="AO366" s="318"/>
      <c r="AP366" s="318"/>
      <c r="AQ366" s="318"/>
      <c r="AR366" s="318"/>
      <c r="AS366" s="318"/>
      <c r="AT366" s="318"/>
      <c r="AU366" s="318"/>
      <c r="AV366" s="318"/>
      <c r="AW366" s="318"/>
      <c r="AX366" s="318"/>
      <c r="AY366" s="318"/>
      <c r="AZ366" s="318"/>
      <c r="BA366" s="318"/>
      <c r="BB366" s="318"/>
      <c r="BC366" s="318"/>
      <c r="BD366" s="318"/>
      <c r="BE366" s="318"/>
      <c r="BF366" s="318"/>
      <c r="BG366" s="318"/>
      <c r="BH366" s="318"/>
      <c r="BI366" s="318"/>
      <c r="BJ366" s="318"/>
      <c r="BK366" s="318"/>
      <c r="BL366" s="318"/>
      <c r="BM366" s="318"/>
      <c r="BN366" s="318"/>
      <c r="BO366" s="318"/>
      <c r="BP366" s="318"/>
      <c r="BQ366" s="318"/>
      <c r="BR366" s="318"/>
      <c r="BS366" s="318"/>
      <c r="BT366" s="295"/>
      <c r="BU366" s="295"/>
      <c r="BV366" s="310"/>
      <c r="BW366" s="310"/>
      <c r="BX366" s="291"/>
      <c r="BY366" s="323"/>
      <c r="BZ366" s="279"/>
      <c r="CA366" s="279"/>
      <c r="CB366" s="280"/>
      <c r="CC366" s="280"/>
      <c r="CD366" s="280"/>
      <c r="CE366" s="280"/>
      <c r="CF366" s="280"/>
    </row>
    <row r="367" spans="1:84" s="326" customFormat="1" ht="66.95" hidden="1" customHeight="1" x14ac:dyDescent="0.25">
      <c r="A367" s="322"/>
      <c r="B367" s="312"/>
      <c r="C367" s="333" t="s">
        <v>355</v>
      </c>
      <c r="D367" s="1604" t="str">
        <f>"Trường hợp hợp đồng xây dựng quy định nhà thầu được thanh toán theo tiến độ kế hoạch, khi kết quả thực hiện hợp đồng xây dựng được ước tính một cách"&amp;" đáng tin cậy, thì doanh thu của hợp đồng xây dựng được ghi nhận tương ứng với phần công việc đã hoàn thành do "&amp;LoaiCT_V&amp;" tự xác định vào ngày lập "&amp;Loai_BC_V&amp;" mà không phụ thuộc vào hóa đơn thanh toán theo tiến độ kế hoạch đã lập hay chưa và số tiền ghi trên hóa đơn là bao nhiêu."</f>
        <v>Trường hợp hợp đồng xây dựng quy định nhà thầu được thanh toán theo tiến độ kế hoạch, khi kết quả thực hiện hợp đồng xây dựng được ước tính một cách đáng tin cậy, thì doanh thu của hợp đồng xây dựng được ghi nhận tương ứng với phần công việc đã hoàn thành do Công ty tự xác định vào ngày lập Báo cáo tài chính mà không phụ thuộc vào hóa đơn thanh toán theo tiến độ kế hoạch đã lập hay chưa và số tiền ghi trên hóa đơn là bao nhiêu.</v>
      </c>
      <c r="E367" s="1604"/>
      <c r="F367" s="1604"/>
      <c r="G367" s="1604"/>
      <c r="H367" s="1604"/>
      <c r="I367" s="1604"/>
      <c r="J367" s="1604"/>
      <c r="K367" s="1604"/>
      <c r="L367" s="1604"/>
      <c r="M367" s="1604"/>
      <c r="N367" s="1604"/>
      <c r="O367" s="1604"/>
      <c r="P367" s="1604"/>
      <c r="Q367" s="1604"/>
      <c r="R367" s="1604"/>
      <c r="S367" s="1604"/>
      <c r="T367" s="1604"/>
      <c r="U367" s="1604"/>
      <c r="V367" s="1604"/>
      <c r="W367" s="1604"/>
      <c r="X367" s="1604"/>
      <c r="Y367" s="1604"/>
      <c r="Z367" s="1604"/>
      <c r="AA367" s="1604"/>
      <c r="AB367" s="1604"/>
      <c r="AC367" s="1604"/>
      <c r="AD367" s="1604"/>
      <c r="AE367" s="1604"/>
      <c r="AF367" s="1604"/>
      <c r="AG367" s="1604"/>
      <c r="AH367" s="1604"/>
      <c r="AI367" s="1604"/>
      <c r="AJ367" s="323"/>
      <c r="AK367" s="287"/>
      <c r="AL367" s="312"/>
      <c r="AM367" s="333" t="s">
        <v>355</v>
      </c>
      <c r="AN367" s="1604" t="str">
        <f>CONCATENATE("In case the construction contract defines that the contractor shall be entitled to payment basing on the progress, ","when achieved results of construction contract are estimated reliably, then turnover from the construction contract is recorded proportionally to part of works finished, determined by the ",LoaiCT_E," on the date of financial statement without depending on the bills under the progress made or not and the amount on the bills.")</f>
        <v>In case the construction contract defines that the contractor shall be entitled to payment basing on the progress, when achieved results of construction contract are estimated reliably, then turnover from the construction contract is recorded proportionally to part of works finished, determined by the Corporation on the date of financial statement without depending on the bills under the progress made or not and the amount on the bills.</v>
      </c>
      <c r="AO367" s="1604"/>
      <c r="AP367" s="1604"/>
      <c r="AQ367" s="1604"/>
      <c r="AR367" s="1604"/>
      <c r="AS367" s="1604"/>
      <c r="AT367" s="1604"/>
      <c r="AU367" s="1604"/>
      <c r="AV367" s="1604"/>
      <c r="AW367" s="1604"/>
      <c r="AX367" s="1604"/>
      <c r="AY367" s="1604"/>
      <c r="AZ367" s="1604"/>
      <c r="BA367" s="1604"/>
      <c r="BB367" s="1604"/>
      <c r="BC367" s="1604"/>
      <c r="BD367" s="1604"/>
      <c r="BE367" s="1604"/>
      <c r="BF367" s="1604"/>
      <c r="BG367" s="1604"/>
      <c r="BH367" s="1604"/>
      <c r="BI367" s="1604"/>
      <c r="BJ367" s="1604"/>
      <c r="BK367" s="1604"/>
      <c r="BL367" s="1604"/>
      <c r="BM367" s="1604"/>
      <c r="BN367" s="1604"/>
      <c r="BO367" s="1604"/>
      <c r="BP367" s="1604"/>
      <c r="BQ367" s="1604"/>
      <c r="BR367" s="1604"/>
      <c r="BS367" s="1604"/>
      <c r="BT367" s="295"/>
      <c r="BU367" s="295"/>
      <c r="BV367" s="310"/>
      <c r="BW367" s="310"/>
      <c r="BX367" s="291"/>
      <c r="BY367" s="323"/>
      <c r="BZ367" s="279"/>
      <c r="CA367" s="279"/>
      <c r="CB367" s="280"/>
      <c r="CC367" s="280"/>
      <c r="CD367" s="280"/>
      <c r="CE367" s="280"/>
      <c r="CF367" s="280"/>
    </row>
    <row r="368" spans="1:84" s="326" customFormat="1" ht="12.95" hidden="1" customHeight="1" x14ac:dyDescent="0.25">
      <c r="A368" s="322"/>
      <c r="B368" s="312"/>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c r="AH368" s="318"/>
      <c r="AI368" s="318"/>
      <c r="AJ368" s="323"/>
      <c r="AK368" s="287"/>
      <c r="AL368" s="312"/>
      <c r="AM368" s="318"/>
      <c r="AN368" s="318"/>
      <c r="AO368" s="318"/>
      <c r="AP368" s="318"/>
      <c r="AQ368" s="318"/>
      <c r="AR368" s="318"/>
      <c r="AS368" s="318"/>
      <c r="AT368" s="318"/>
      <c r="AU368" s="318"/>
      <c r="AV368" s="318"/>
      <c r="AW368" s="318"/>
      <c r="AX368" s="318"/>
      <c r="AY368" s="318"/>
      <c r="AZ368" s="318"/>
      <c r="BA368" s="318"/>
      <c r="BB368" s="318"/>
      <c r="BC368" s="318"/>
      <c r="BD368" s="318"/>
      <c r="BE368" s="318"/>
      <c r="BF368" s="318"/>
      <c r="BG368" s="318"/>
      <c r="BH368" s="318"/>
      <c r="BI368" s="318"/>
      <c r="BJ368" s="318"/>
      <c r="BK368" s="318"/>
      <c r="BL368" s="318"/>
      <c r="BM368" s="318"/>
      <c r="BN368" s="318"/>
      <c r="BO368" s="318"/>
      <c r="BP368" s="318"/>
      <c r="BQ368" s="318"/>
      <c r="BR368" s="318"/>
      <c r="BS368" s="318"/>
      <c r="BT368" s="295"/>
      <c r="BU368" s="295"/>
      <c r="BV368" s="310"/>
      <c r="BW368" s="310"/>
      <c r="BX368" s="291"/>
      <c r="BY368" s="323"/>
      <c r="BZ368" s="279"/>
      <c r="CA368" s="279"/>
      <c r="CB368" s="280"/>
      <c r="CC368" s="280"/>
      <c r="CD368" s="280"/>
      <c r="CE368" s="280"/>
      <c r="CF368" s="280"/>
    </row>
    <row r="369" spans="1:84" s="326" customFormat="1" ht="54.95" hidden="1" customHeight="1" x14ac:dyDescent="0.25">
      <c r="A369" s="322"/>
      <c r="B369" s="312"/>
      <c r="C369" s="333" t="s">
        <v>355</v>
      </c>
      <c r="D369" s="1606" t="s">
        <v>671</v>
      </c>
      <c r="E369" s="1604"/>
      <c r="F369" s="1604"/>
      <c r="G369" s="1604"/>
      <c r="H369" s="1604"/>
      <c r="I369" s="1604"/>
      <c r="J369" s="1604"/>
      <c r="K369" s="1604"/>
      <c r="L369" s="1604"/>
      <c r="M369" s="1604"/>
      <c r="N369" s="1604"/>
      <c r="O369" s="1604"/>
      <c r="P369" s="1604"/>
      <c r="Q369" s="1604"/>
      <c r="R369" s="1604"/>
      <c r="S369" s="1604"/>
      <c r="T369" s="1604"/>
      <c r="U369" s="1604"/>
      <c r="V369" s="1604"/>
      <c r="W369" s="1604"/>
      <c r="X369" s="1604"/>
      <c r="Y369" s="1604"/>
      <c r="Z369" s="1604"/>
      <c r="AA369" s="1604"/>
      <c r="AB369" s="1604"/>
      <c r="AC369" s="1604"/>
      <c r="AD369" s="1604"/>
      <c r="AE369" s="1604"/>
      <c r="AF369" s="1604"/>
      <c r="AG369" s="1604"/>
      <c r="AH369" s="1604"/>
      <c r="AI369" s="1604"/>
      <c r="AJ369" s="323"/>
      <c r="AK369" s="287"/>
      <c r="AL369" s="312"/>
      <c r="AM369" s="333" t="s">
        <v>355</v>
      </c>
      <c r="AN369" s="1604" t="s">
        <v>672</v>
      </c>
      <c r="AO369" s="1604"/>
      <c r="AP369" s="1604"/>
      <c r="AQ369" s="1604"/>
      <c r="AR369" s="1604"/>
      <c r="AS369" s="1604"/>
      <c r="AT369" s="1604"/>
      <c r="AU369" s="1604"/>
      <c r="AV369" s="1604"/>
      <c r="AW369" s="1604"/>
      <c r="AX369" s="1604"/>
      <c r="AY369" s="1604"/>
      <c r="AZ369" s="1604"/>
      <c r="BA369" s="1604"/>
      <c r="BB369" s="1604"/>
      <c r="BC369" s="1604"/>
      <c r="BD369" s="1604"/>
      <c r="BE369" s="1604"/>
      <c r="BF369" s="1604"/>
      <c r="BG369" s="1604"/>
      <c r="BH369" s="1604"/>
      <c r="BI369" s="1604"/>
      <c r="BJ369" s="1604"/>
      <c r="BK369" s="1604"/>
      <c r="BL369" s="1604"/>
      <c r="BM369" s="1604"/>
      <c r="BN369" s="1604"/>
      <c r="BO369" s="1604"/>
      <c r="BP369" s="1604"/>
      <c r="BQ369" s="1604"/>
      <c r="BR369" s="1604"/>
      <c r="BS369" s="1604"/>
      <c r="BT369" s="295"/>
      <c r="BU369" s="295"/>
      <c r="BV369" s="310"/>
      <c r="BW369" s="310"/>
      <c r="BX369" s="291"/>
      <c r="BY369" s="323"/>
      <c r="BZ369" s="279"/>
      <c r="CA369" s="279"/>
      <c r="CB369" s="280"/>
      <c r="CC369" s="280"/>
      <c r="CD369" s="280"/>
      <c r="CE369" s="280"/>
      <c r="CF369" s="280"/>
    </row>
    <row r="370" spans="1:84" s="326" customFormat="1" ht="12.95" customHeight="1" x14ac:dyDescent="0.25">
      <c r="A370" s="322"/>
      <c r="B370" s="312"/>
      <c r="C370" s="331"/>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23"/>
      <c r="AK370" s="287"/>
      <c r="AL370" s="312"/>
      <c r="AM370" s="331"/>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8"/>
      <c r="BR370" s="338"/>
      <c r="BS370" s="338"/>
      <c r="BT370" s="295"/>
      <c r="BU370" s="295"/>
      <c r="BV370" s="310"/>
      <c r="BW370" s="310"/>
      <c r="BX370" s="291"/>
      <c r="BY370" s="323"/>
      <c r="BZ370" s="279"/>
      <c r="CA370" s="279"/>
      <c r="CB370" s="280"/>
      <c r="CC370" s="280"/>
      <c r="CD370" s="280"/>
      <c r="CE370" s="280"/>
      <c r="CF370" s="280"/>
    </row>
    <row r="371" spans="1:84" s="326" customFormat="1" ht="15" customHeight="1" x14ac:dyDescent="0.25">
      <c r="A371" s="322"/>
      <c r="B371" s="312"/>
      <c r="C371" s="337" t="s">
        <v>673</v>
      </c>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c r="AH371" s="318"/>
      <c r="AI371" s="318"/>
      <c r="AJ371" s="323"/>
      <c r="AK371" s="287"/>
      <c r="AL371" s="312"/>
      <c r="AM371" s="337" t="s">
        <v>674</v>
      </c>
      <c r="AN371" s="318"/>
      <c r="AO371" s="318"/>
      <c r="AP371" s="318"/>
      <c r="AQ371" s="318"/>
      <c r="AR371" s="318"/>
      <c r="AS371" s="318"/>
      <c r="AT371" s="318"/>
      <c r="AU371" s="318"/>
      <c r="AV371" s="318"/>
      <c r="AW371" s="318"/>
      <c r="AX371" s="318"/>
      <c r="AY371" s="318"/>
      <c r="AZ371" s="318"/>
      <c r="BA371" s="318"/>
      <c r="BB371" s="318"/>
      <c r="BC371" s="318"/>
      <c r="BD371" s="318"/>
      <c r="BE371" s="318"/>
      <c r="BF371" s="318"/>
      <c r="BG371" s="318"/>
      <c r="BH371" s="318"/>
      <c r="BI371" s="318"/>
      <c r="BJ371" s="318"/>
      <c r="BK371" s="318"/>
      <c r="BL371" s="318"/>
      <c r="BM371" s="318"/>
      <c r="BN371" s="318"/>
      <c r="BO371" s="318"/>
      <c r="BP371" s="318"/>
      <c r="BQ371" s="318"/>
      <c r="BR371" s="318"/>
      <c r="BS371" s="318"/>
      <c r="BT371" s="295"/>
      <c r="BU371" s="295"/>
      <c r="BV371" s="310"/>
      <c r="BW371" s="310"/>
      <c r="BX371" s="291"/>
      <c r="BY371" s="323"/>
      <c r="BZ371" s="279"/>
      <c r="CA371" s="279"/>
      <c r="CB371" s="280"/>
      <c r="CC371" s="280"/>
      <c r="CD371" s="280"/>
      <c r="CE371" s="280"/>
      <c r="CF371" s="280"/>
    </row>
    <row r="372" spans="1:84" s="326" customFormat="1" ht="27.95" customHeight="1" x14ac:dyDescent="0.25">
      <c r="A372" s="322"/>
      <c r="B372" s="312"/>
      <c r="C372" s="1603" t="s">
        <v>675</v>
      </c>
      <c r="D372" s="1603"/>
      <c r="E372" s="1603"/>
      <c r="F372" s="1603"/>
      <c r="G372" s="1603"/>
      <c r="H372" s="1603"/>
      <c r="I372" s="1603"/>
      <c r="J372" s="1603"/>
      <c r="K372" s="1603"/>
      <c r="L372" s="1603"/>
      <c r="M372" s="1603"/>
      <c r="N372" s="1603"/>
      <c r="O372" s="1603"/>
      <c r="P372" s="1603"/>
      <c r="Q372" s="1603"/>
      <c r="R372" s="1603"/>
      <c r="S372" s="1603"/>
      <c r="T372" s="1603"/>
      <c r="U372" s="1603"/>
      <c r="V372" s="1603"/>
      <c r="W372" s="1603"/>
      <c r="X372" s="1603"/>
      <c r="Y372" s="1603"/>
      <c r="Z372" s="1603"/>
      <c r="AA372" s="1603"/>
      <c r="AB372" s="1603"/>
      <c r="AC372" s="1603"/>
      <c r="AD372" s="1603"/>
      <c r="AE372" s="1603"/>
      <c r="AF372" s="1603"/>
      <c r="AG372" s="1603"/>
      <c r="AH372" s="1603"/>
      <c r="AI372" s="1603"/>
      <c r="AJ372" s="323"/>
      <c r="AK372" s="287"/>
      <c r="AL372" s="312"/>
      <c r="AM372" s="1603" t="s">
        <v>676</v>
      </c>
      <c r="AN372" s="1603"/>
      <c r="AO372" s="1603"/>
      <c r="AP372" s="1603"/>
      <c r="AQ372" s="1603"/>
      <c r="AR372" s="1603"/>
      <c r="AS372" s="1603"/>
      <c r="AT372" s="1603"/>
      <c r="AU372" s="1603"/>
      <c r="AV372" s="1603"/>
      <c r="AW372" s="1603"/>
      <c r="AX372" s="1603"/>
      <c r="AY372" s="1603"/>
      <c r="AZ372" s="1603"/>
      <c r="BA372" s="1603"/>
      <c r="BB372" s="1603"/>
      <c r="BC372" s="1603"/>
      <c r="BD372" s="1603"/>
      <c r="BE372" s="1603"/>
      <c r="BF372" s="1603"/>
      <c r="BG372" s="1603"/>
      <c r="BH372" s="1603"/>
      <c r="BI372" s="1603"/>
      <c r="BJ372" s="1603"/>
      <c r="BK372" s="1603"/>
      <c r="BL372" s="1603"/>
      <c r="BM372" s="1603"/>
      <c r="BN372" s="1603"/>
      <c r="BO372" s="1603"/>
      <c r="BP372" s="1603"/>
      <c r="BQ372" s="1603"/>
      <c r="BR372" s="1603"/>
      <c r="BS372" s="1603"/>
      <c r="BT372" s="295"/>
      <c r="BU372" s="295"/>
      <c r="BV372" s="310"/>
      <c r="BW372" s="310"/>
      <c r="BX372" s="291"/>
      <c r="BY372" s="323"/>
      <c r="BZ372" s="279"/>
      <c r="CA372" s="279"/>
      <c r="CB372" s="280"/>
      <c r="CC372" s="280"/>
      <c r="CD372" s="280"/>
      <c r="CE372" s="280"/>
      <c r="CF372" s="280"/>
    </row>
    <row r="373" spans="1:84" s="326" customFormat="1" ht="15" customHeight="1" x14ac:dyDescent="0.25">
      <c r="A373" s="322"/>
      <c r="B373" s="312"/>
      <c r="C373" s="333" t="s">
        <v>355</v>
      </c>
      <c r="D373" s="1603" t="s">
        <v>677</v>
      </c>
      <c r="E373" s="1603"/>
      <c r="F373" s="1603"/>
      <c r="G373" s="1603"/>
      <c r="H373" s="1603"/>
      <c r="I373" s="1603"/>
      <c r="J373" s="1603"/>
      <c r="K373" s="1603"/>
      <c r="L373" s="1603"/>
      <c r="M373" s="1603"/>
      <c r="N373" s="1603"/>
      <c r="O373" s="1603"/>
      <c r="P373" s="1603"/>
      <c r="Q373" s="1603"/>
      <c r="R373" s="1603"/>
      <c r="S373" s="1603"/>
      <c r="T373" s="1603"/>
      <c r="U373" s="1603"/>
      <c r="V373" s="1603"/>
      <c r="W373" s="1603"/>
      <c r="X373" s="1603"/>
      <c r="Y373" s="1603"/>
      <c r="Z373" s="1603"/>
      <c r="AA373" s="1603"/>
      <c r="AB373" s="1603"/>
      <c r="AC373" s="1603"/>
      <c r="AD373" s="1603"/>
      <c r="AE373" s="1603"/>
      <c r="AF373" s="1603"/>
      <c r="AG373" s="1603"/>
      <c r="AH373" s="1603"/>
      <c r="AI373" s="1603"/>
      <c r="AJ373" s="323"/>
      <c r="AK373" s="287"/>
      <c r="AL373" s="312"/>
      <c r="AM373" s="333" t="s">
        <v>355</v>
      </c>
      <c r="AN373" s="1603" t="s">
        <v>640</v>
      </c>
      <c r="AO373" s="1603"/>
      <c r="AP373" s="1603"/>
      <c r="AQ373" s="1603"/>
      <c r="AR373" s="1603"/>
      <c r="AS373" s="1603"/>
      <c r="AT373" s="1603"/>
      <c r="AU373" s="1603"/>
      <c r="AV373" s="1603"/>
      <c r="AW373" s="1603"/>
      <c r="AX373" s="1603"/>
      <c r="AY373" s="1603"/>
      <c r="AZ373" s="1603"/>
      <c r="BA373" s="1603"/>
      <c r="BB373" s="1603"/>
      <c r="BC373" s="1603"/>
      <c r="BD373" s="1603"/>
      <c r="BE373" s="1603"/>
      <c r="BF373" s="1603"/>
      <c r="BG373" s="1603"/>
      <c r="BH373" s="1603"/>
      <c r="BI373" s="1603"/>
      <c r="BJ373" s="1603"/>
      <c r="BK373" s="1603"/>
      <c r="BL373" s="1603"/>
      <c r="BM373" s="1603"/>
      <c r="BN373" s="1603"/>
      <c r="BO373" s="1603"/>
      <c r="BP373" s="1603"/>
      <c r="BQ373" s="1603"/>
      <c r="BR373" s="1603"/>
      <c r="BS373" s="1603"/>
      <c r="BT373" s="295"/>
      <c r="BU373" s="295"/>
      <c r="BV373" s="310"/>
      <c r="BW373" s="310"/>
      <c r="BX373" s="291"/>
      <c r="BY373" s="323"/>
      <c r="BZ373" s="279"/>
      <c r="CA373" s="279"/>
      <c r="CB373" s="280"/>
      <c r="CC373" s="280"/>
      <c r="CD373" s="280"/>
      <c r="CE373" s="280"/>
      <c r="CF373" s="280"/>
    </row>
    <row r="374" spans="1:84" s="326" customFormat="1" ht="15" customHeight="1" x14ac:dyDescent="0.25">
      <c r="A374" s="322"/>
      <c r="B374" s="312"/>
      <c r="C374" s="333" t="s">
        <v>355</v>
      </c>
      <c r="D374" s="1603" t="s">
        <v>678</v>
      </c>
      <c r="E374" s="1603"/>
      <c r="F374" s="1603"/>
      <c r="G374" s="1603"/>
      <c r="H374" s="1603"/>
      <c r="I374" s="1603"/>
      <c r="J374" s="1603"/>
      <c r="K374" s="1603"/>
      <c r="L374" s="1603"/>
      <c r="M374" s="1603"/>
      <c r="N374" s="1603"/>
      <c r="O374" s="1603"/>
      <c r="P374" s="1603"/>
      <c r="Q374" s="1603"/>
      <c r="R374" s="1603"/>
      <c r="S374" s="1603"/>
      <c r="T374" s="1603"/>
      <c r="U374" s="1603"/>
      <c r="V374" s="1603"/>
      <c r="W374" s="1603"/>
      <c r="X374" s="1603"/>
      <c r="Y374" s="1603"/>
      <c r="Z374" s="1603"/>
      <c r="AA374" s="1603"/>
      <c r="AB374" s="1603"/>
      <c r="AC374" s="1603"/>
      <c r="AD374" s="1603"/>
      <c r="AE374" s="1603"/>
      <c r="AF374" s="1603"/>
      <c r="AG374" s="1603"/>
      <c r="AH374" s="1603"/>
      <c r="AI374" s="1603"/>
      <c r="AJ374" s="323"/>
      <c r="AK374" s="287"/>
      <c r="AL374" s="312"/>
      <c r="AM374" s="333" t="s">
        <v>355</v>
      </c>
      <c r="AN374" s="1603" t="s">
        <v>679</v>
      </c>
      <c r="AO374" s="1603"/>
      <c r="AP374" s="1603"/>
      <c r="AQ374" s="1603"/>
      <c r="AR374" s="1603"/>
      <c r="AS374" s="1603"/>
      <c r="AT374" s="1603"/>
      <c r="AU374" s="1603"/>
      <c r="AV374" s="1603"/>
      <c r="AW374" s="1603"/>
      <c r="AX374" s="1603"/>
      <c r="AY374" s="1603"/>
      <c r="AZ374" s="1603"/>
      <c r="BA374" s="1603"/>
      <c r="BB374" s="1603"/>
      <c r="BC374" s="1603"/>
      <c r="BD374" s="1603"/>
      <c r="BE374" s="1603"/>
      <c r="BF374" s="1603"/>
      <c r="BG374" s="1603"/>
      <c r="BH374" s="1603"/>
      <c r="BI374" s="1603"/>
      <c r="BJ374" s="1603"/>
      <c r="BK374" s="1603"/>
      <c r="BL374" s="1603"/>
      <c r="BM374" s="1603"/>
      <c r="BN374" s="1603"/>
      <c r="BO374" s="1603"/>
      <c r="BP374" s="1603"/>
      <c r="BQ374" s="1603"/>
      <c r="BR374" s="1603"/>
      <c r="BS374" s="1603"/>
      <c r="BT374" s="295"/>
      <c r="BU374" s="295"/>
      <c r="BV374" s="310"/>
      <c r="BW374" s="310"/>
      <c r="BX374" s="291"/>
      <c r="BY374" s="323"/>
      <c r="BZ374" s="279"/>
      <c r="CA374" s="279"/>
      <c r="CB374" s="280"/>
      <c r="CC374" s="280"/>
      <c r="CD374" s="280"/>
      <c r="CE374" s="280"/>
      <c r="CF374" s="280"/>
    </row>
    <row r="375" spans="1:84" s="326" customFormat="1" ht="12.95" customHeight="1" x14ac:dyDescent="0.25">
      <c r="A375" s="322"/>
      <c r="B375" s="312"/>
      <c r="C375" s="333"/>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c r="AH375" s="318"/>
      <c r="AI375" s="318"/>
      <c r="AJ375" s="323"/>
      <c r="AK375" s="287"/>
      <c r="AL375" s="312"/>
      <c r="AM375" s="333"/>
      <c r="AN375" s="318"/>
      <c r="AO375" s="318"/>
      <c r="AP375" s="318"/>
      <c r="AQ375" s="318"/>
      <c r="AR375" s="318"/>
      <c r="AS375" s="318"/>
      <c r="AT375" s="318"/>
      <c r="AU375" s="318"/>
      <c r="AV375" s="318"/>
      <c r="AW375" s="318"/>
      <c r="AX375" s="318"/>
      <c r="AY375" s="318"/>
      <c r="AZ375" s="318"/>
      <c r="BA375" s="318"/>
      <c r="BB375" s="318"/>
      <c r="BC375" s="318"/>
      <c r="BD375" s="318"/>
      <c r="BE375" s="318"/>
      <c r="BF375" s="318"/>
      <c r="BG375" s="318"/>
      <c r="BH375" s="318"/>
      <c r="BI375" s="318"/>
      <c r="BJ375" s="318"/>
      <c r="BK375" s="318"/>
      <c r="BL375" s="318"/>
      <c r="BM375" s="318"/>
      <c r="BN375" s="318"/>
      <c r="BO375" s="318"/>
      <c r="BP375" s="318"/>
      <c r="BQ375" s="318"/>
      <c r="BR375" s="318"/>
      <c r="BS375" s="318"/>
      <c r="BT375" s="295"/>
      <c r="BU375" s="295"/>
      <c r="BV375" s="310"/>
      <c r="BW375" s="310"/>
      <c r="BX375" s="291"/>
      <c r="BY375" s="323"/>
      <c r="BZ375" s="279"/>
      <c r="CA375" s="279"/>
      <c r="CB375" s="280"/>
      <c r="CC375" s="280"/>
      <c r="CD375" s="280"/>
      <c r="CE375" s="280"/>
      <c r="CF375" s="280"/>
    </row>
    <row r="376" spans="1:84" s="326" customFormat="1" ht="27.95" customHeight="1" x14ac:dyDescent="0.25">
      <c r="A376" s="322"/>
      <c r="B376" s="312"/>
      <c r="C376" s="1606" t="str">
        <f>CONCATENATE("Cổ tức, lợi nhuận được chia được ghi nhận khi ",LoaiCT_V," được quyền nhận cổ tức hoặc được quyền nhận lợi nhuận từ việc góp vốn.")</f>
        <v>Cổ tức, lợi nhuận được chia được ghi nhận khi Công ty được quyền nhận cổ tức hoặc được quyền nhận lợi nhuận từ việc góp vốn.</v>
      </c>
      <c r="D376" s="1607"/>
      <c r="E376" s="1607"/>
      <c r="F376" s="1607"/>
      <c r="G376" s="1607"/>
      <c r="H376" s="1607"/>
      <c r="I376" s="1607"/>
      <c r="J376" s="1607"/>
      <c r="K376" s="1607"/>
      <c r="L376" s="1607"/>
      <c r="M376" s="1607"/>
      <c r="N376" s="1607"/>
      <c r="O376" s="1607"/>
      <c r="P376" s="1607"/>
      <c r="Q376" s="1607"/>
      <c r="R376" s="1607"/>
      <c r="S376" s="1607"/>
      <c r="T376" s="1607"/>
      <c r="U376" s="1607"/>
      <c r="V376" s="1607"/>
      <c r="W376" s="1607"/>
      <c r="X376" s="1607"/>
      <c r="Y376" s="1607"/>
      <c r="Z376" s="1607"/>
      <c r="AA376" s="1607"/>
      <c r="AB376" s="1607"/>
      <c r="AC376" s="1607"/>
      <c r="AD376" s="1607"/>
      <c r="AE376" s="1607"/>
      <c r="AF376" s="1607"/>
      <c r="AG376" s="1607"/>
      <c r="AH376" s="1607"/>
      <c r="AI376" s="1607"/>
      <c r="AJ376" s="323"/>
      <c r="AK376" s="287"/>
      <c r="AL376" s="312"/>
      <c r="AM376" s="1606" t="s">
        <v>680</v>
      </c>
      <c r="AN376" s="1607"/>
      <c r="AO376" s="1607"/>
      <c r="AP376" s="1607"/>
      <c r="AQ376" s="1607"/>
      <c r="AR376" s="1607"/>
      <c r="AS376" s="1607"/>
      <c r="AT376" s="1607"/>
      <c r="AU376" s="1607"/>
      <c r="AV376" s="1607"/>
      <c r="AW376" s="1607"/>
      <c r="AX376" s="1607"/>
      <c r="AY376" s="1607"/>
      <c r="AZ376" s="1607"/>
      <c r="BA376" s="1607"/>
      <c r="BB376" s="1607"/>
      <c r="BC376" s="1607"/>
      <c r="BD376" s="1607"/>
      <c r="BE376" s="1607"/>
      <c r="BF376" s="1607"/>
      <c r="BG376" s="1607"/>
      <c r="BH376" s="1607"/>
      <c r="BI376" s="1607"/>
      <c r="BJ376" s="1607"/>
      <c r="BK376" s="1607"/>
      <c r="BL376" s="1607"/>
      <c r="BM376" s="1607"/>
      <c r="BN376" s="1607"/>
      <c r="BO376" s="1607"/>
      <c r="BP376" s="1607"/>
      <c r="BQ376" s="1607"/>
      <c r="BR376" s="1607"/>
      <c r="BS376" s="1607"/>
      <c r="BT376" s="295"/>
      <c r="BU376" s="295"/>
      <c r="BV376" s="310"/>
      <c r="BW376" s="310"/>
      <c r="BX376" s="291"/>
      <c r="BY376" s="323"/>
      <c r="BZ376" s="279"/>
      <c r="CA376" s="279"/>
      <c r="CB376" s="280"/>
      <c r="CC376" s="280"/>
      <c r="CD376" s="280"/>
      <c r="CE376" s="280"/>
      <c r="CF376" s="280"/>
    </row>
    <row r="377" spans="1:84" s="329" customFormat="1" ht="12.95" customHeight="1" x14ac:dyDescent="0.25">
      <c r="A377" s="322"/>
      <c r="B377" s="312"/>
      <c r="C377" s="1606"/>
      <c r="D377" s="1607"/>
      <c r="E377" s="1607"/>
      <c r="F377" s="1607"/>
      <c r="G377" s="1607"/>
      <c r="H377" s="1607"/>
      <c r="I377" s="1607"/>
      <c r="J377" s="1607"/>
      <c r="K377" s="1607"/>
      <c r="L377" s="1607"/>
      <c r="M377" s="1607"/>
      <c r="N377" s="1607"/>
      <c r="O377" s="1607"/>
      <c r="P377" s="1607"/>
      <c r="Q377" s="1607"/>
      <c r="R377" s="1607"/>
      <c r="S377" s="1607"/>
      <c r="T377" s="1607"/>
      <c r="U377" s="1607"/>
      <c r="V377" s="1607"/>
      <c r="W377" s="1607"/>
      <c r="X377" s="1607"/>
      <c r="Y377" s="1607"/>
      <c r="Z377" s="1607"/>
      <c r="AA377" s="1607"/>
      <c r="AB377" s="1607"/>
      <c r="AC377" s="1607"/>
      <c r="AD377" s="1607"/>
      <c r="AE377" s="1607"/>
      <c r="AF377" s="1607"/>
      <c r="AG377" s="1607"/>
      <c r="AH377" s="1607"/>
      <c r="AI377" s="1607"/>
      <c r="AJ377" s="295"/>
      <c r="AK377" s="287"/>
      <c r="AL377" s="312"/>
      <c r="AM377" s="1606"/>
      <c r="AN377" s="1607"/>
      <c r="AO377" s="1607"/>
      <c r="AP377" s="1607"/>
      <c r="AQ377" s="1607"/>
      <c r="AR377" s="1607"/>
      <c r="AS377" s="1607"/>
      <c r="AT377" s="1607"/>
      <c r="AU377" s="1607"/>
      <c r="AV377" s="1607"/>
      <c r="AW377" s="1607"/>
      <c r="AX377" s="1607"/>
      <c r="AY377" s="1607"/>
      <c r="AZ377" s="1607"/>
      <c r="BA377" s="1607"/>
      <c r="BB377" s="1607"/>
      <c r="BC377" s="1607"/>
      <c r="BD377" s="1607"/>
      <c r="BE377" s="1607"/>
      <c r="BF377" s="1607"/>
      <c r="BG377" s="1607"/>
      <c r="BH377" s="1607"/>
      <c r="BI377" s="1607"/>
      <c r="BJ377" s="1607"/>
      <c r="BK377" s="1607"/>
      <c r="BL377" s="1607"/>
      <c r="BM377" s="1607"/>
      <c r="BN377" s="1607"/>
      <c r="BO377" s="1607"/>
      <c r="BP377" s="1607"/>
      <c r="BQ377" s="1607"/>
      <c r="BR377" s="1607"/>
      <c r="BS377" s="1607"/>
      <c r="BT377" s="295"/>
      <c r="BU377" s="295"/>
      <c r="BV377" s="310"/>
      <c r="BW377" s="310"/>
      <c r="BX377" s="300"/>
      <c r="BY377" s="295"/>
      <c r="BZ377" s="273"/>
      <c r="CA377" s="273"/>
      <c r="CB377" s="301"/>
      <c r="CC377" s="301"/>
      <c r="CD377" s="301"/>
      <c r="CE377" s="301"/>
      <c r="CF377" s="301"/>
    </row>
    <row r="378" spans="1:84" s="329" customFormat="1" ht="42" customHeight="1" x14ac:dyDescent="0.25">
      <c r="A378" s="322"/>
      <c r="B378" s="312"/>
      <c r="C378" s="1606" t="str">
        <f>CONCATENATE("Cổ phiếu thưởng hay cổ tức trả bằng cổ phiếu: Không ghi nhận khoản thu nhập khi quyền được nhận cổ phiếu thưởng hay cổ tức bằng cổ phiếu được xác lập, "&amp;"số lượng cổ phiếu thưởng hay cổ tức bằng cổ phiếu nhận được thuyết minh trên "&amp;Loai_BC_V&amp;" có liên quan.")</f>
        <v>Cổ phiếu thưởng hay cổ tức trả bằng cổ phiếu: Không ghi nhận khoản thu nhập khi quyền được nhận cổ phiếu thưởng hay cổ tức bằng cổ phiếu được xác lập, số lượng cổ phiếu thưởng hay cổ tức bằng cổ phiếu nhận được thuyết minh trên Báo cáo tài chính có liên quan.</v>
      </c>
      <c r="D378" s="1608"/>
      <c r="E378" s="1608"/>
      <c r="F378" s="1608"/>
      <c r="G378" s="1608"/>
      <c r="H378" s="1608"/>
      <c r="I378" s="1608"/>
      <c r="J378" s="1608"/>
      <c r="K378" s="1608"/>
      <c r="L378" s="1608"/>
      <c r="M378" s="1608"/>
      <c r="N378" s="1608"/>
      <c r="O378" s="1608"/>
      <c r="P378" s="1608"/>
      <c r="Q378" s="1608"/>
      <c r="R378" s="1608"/>
      <c r="S378" s="1608"/>
      <c r="T378" s="1608"/>
      <c r="U378" s="1608"/>
      <c r="V378" s="1608"/>
      <c r="W378" s="1608"/>
      <c r="X378" s="1608"/>
      <c r="Y378" s="1608"/>
      <c r="Z378" s="1608"/>
      <c r="AA378" s="1608"/>
      <c r="AB378" s="1608"/>
      <c r="AC378" s="1608"/>
      <c r="AD378" s="1608"/>
      <c r="AE378" s="1608"/>
      <c r="AF378" s="1608"/>
      <c r="AG378" s="1608"/>
      <c r="AH378" s="1608"/>
      <c r="AI378" s="1608"/>
      <c r="AJ378" s="295"/>
      <c r="AK378" s="287"/>
      <c r="AL378" s="312"/>
      <c r="AM378" s="1606" t="str">
        <f>CONCATENATE("Bonus shares or dividends paid by stocks: No earnings are recognized when the rights to receive bonus shares or stock dividend is established, ","the number of bonus shares or dividends paid by stocks will be presented on the related Note to ",Loai_BC_E,".")</f>
        <v>Bonus shares or dividends paid by stocks: No earnings are recognized when the rights to receive bonus shares or stock dividend is established, the number of bonus shares or dividends paid by stocks will be presented on the related Note to Separate Financial Statements.</v>
      </c>
      <c r="AN378" s="1607"/>
      <c r="AO378" s="1607"/>
      <c r="AP378" s="1607"/>
      <c r="AQ378" s="1607"/>
      <c r="AR378" s="1607"/>
      <c r="AS378" s="1607"/>
      <c r="AT378" s="1607"/>
      <c r="AU378" s="1607"/>
      <c r="AV378" s="1607"/>
      <c r="AW378" s="1607"/>
      <c r="AX378" s="1607"/>
      <c r="AY378" s="1607"/>
      <c r="AZ378" s="1607"/>
      <c r="BA378" s="1607"/>
      <c r="BB378" s="1607"/>
      <c r="BC378" s="1607"/>
      <c r="BD378" s="1607"/>
      <c r="BE378" s="1607"/>
      <c r="BF378" s="1607"/>
      <c r="BG378" s="1607"/>
      <c r="BH378" s="1607"/>
      <c r="BI378" s="1607"/>
      <c r="BJ378" s="1607"/>
      <c r="BK378" s="1607"/>
      <c r="BL378" s="1607"/>
      <c r="BM378" s="1607"/>
      <c r="BN378" s="1607"/>
      <c r="BO378" s="1607"/>
      <c r="BP378" s="1607"/>
      <c r="BQ378" s="1607"/>
      <c r="BR378" s="1607"/>
      <c r="BS378" s="1607"/>
      <c r="BT378" s="295"/>
      <c r="BU378" s="295"/>
      <c r="BV378" s="310"/>
      <c r="BW378" s="310"/>
      <c r="BX378" s="300"/>
      <c r="BY378" s="295"/>
      <c r="BZ378" s="273"/>
      <c r="CA378" s="273"/>
      <c r="CB378" s="301"/>
      <c r="CC378" s="301"/>
      <c r="CD378" s="301"/>
      <c r="CE378" s="301"/>
      <c r="CF378" s="301"/>
    </row>
    <row r="379" spans="1:84" s="329" customFormat="1" ht="2.1" customHeight="1" x14ac:dyDescent="0.25">
      <c r="A379" s="322"/>
      <c r="B379" s="312"/>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c r="AH379" s="318"/>
      <c r="AI379" s="318"/>
      <c r="AJ379" s="295"/>
      <c r="AK379" s="287"/>
      <c r="AL379" s="312"/>
      <c r="AM379" s="318"/>
      <c r="AN379" s="318"/>
      <c r="AO379" s="318"/>
      <c r="AP379" s="318"/>
      <c r="AQ379" s="318"/>
      <c r="AR379" s="318"/>
      <c r="AS379" s="318"/>
      <c r="AT379" s="318"/>
      <c r="AU379" s="318"/>
      <c r="AV379" s="318"/>
      <c r="AW379" s="318"/>
      <c r="AX379" s="318"/>
      <c r="AY379" s="318"/>
      <c r="AZ379" s="318"/>
      <c r="BA379" s="318"/>
      <c r="BB379" s="318"/>
      <c r="BC379" s="318"/>
      <c r="BD379" s="318"/>
      <c r="BE379" s="318"/>
      <c r="BF379" s="318"/>
      <c r="BG379" s="318"/>
      <c r="BH379" s="318"/>
      <c r="BI379" s="318"/>
      <c r="BJ379" s="318"/>
      <c r="BK379" s="318"/>
      <c r="BL379" s="318"/>
      <c r="BM379" s="318"/>
      <c r="BN379" s="318"/>
      <c r="BO379" s="318"/>
      <c r="BP379" s="318"/>
      <c r="BQ379" s="318"/>
      <c r="BR379" s="318"/>
      <c r="BS379" s="318"/>
      <c r="BT379" s="295"/>
      <c r="BU379" s="295"/>
      <c r="BV379" s="310"/>
      <c r="BW379" s="310"/>
      <c r="BX379" s="300"/>
      <c r="BY379" s="295"/>
      <c r="BZ379" s="273"/>
      <c r="CA379" s="273"/>
      <c r="CB379" s="301"/>
      <c r="CC379" s="301"/>
      <c r="CD379" s="301"/>
      <c r="CE379" s="301"/>
      <c r="CF379" s="301"/>
    </row>
    <row r="380" spans="1:84" s="329" customFormat="1" ht="12.95" hidden="1" customHeight="1" x14ac:dyDescent="0.25">
      <c r="A380" s="322"/>
      <c r="B380" s="312"/>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c r="AH380" s="318"/>
      <c r="AI380" s="318"/>
      <c r="AJ380" s="295"/>
      <c r="AK380" s="287"/>
      <c r="AL380" s="312"/>
      <c r="AM380" s="318"/>
      <c r="AN380" s="318"/>
      <c r="AO380" s="318"/>
      <c r="AP380" s="318"/>
      <c r="AQ380" s="318"/>
      <c r="AR380" s="318"/>
      <c r="AS380" s="318"/>
      <c r="AT380" s="318"/>
      <c r="AU380" s="318"/>
      <c r="AV380" s="318"/>
      <c r="AW380" s="318"/>
      <c r="AX380" s="318"/>
      <c r="AY380" s="318"/>
      <c r="AZ380" s="318"/>
      <c r="BA380" s="318"/>
      <c r="BB380" s="318"/>
      <c r="BC380" s="318"/>
      <c r="BD380" s="318"/>
      <c r="BE380" s="318"/>
      <c r="BF380" s="318"/>
      <c r="BG380" s="318"/>
      <c r="BH380" s="318"/>
      <c r="BI380" s="318"/>
      <c r="BJ380" s="318"/>
      <c r="BK380" s="318"/>
      <c r="BL380" s="318"/>
      <c r="BM380" s="318"/>
      <c r="BN380" s="318"/>
      <c r="BO380" s="318"/>
      <c r="BP380" s="318"/>
      <c r="BQ380" s="318"/>
      <c r="BR380" s="318"/>
      <c r="BS380" s="318"/>
      <c r="BT380" s="295"/>
      <c r="BU380" s="295"/>
      <c r="BV380" s="310"/>
      <c r="BW380" s="310"/>
      <c r="BX380" s="300"/>
      <c r="BY380" s="295"/>
      <c r="BZ380" s="273"/>
      <c r="CA380" s="273"/>
      <c r="CB380" s="301"/>
      <c r="CC380" s="301"/>
      <c r="CD380" s="301"/>
      <c r="CE380" s="301"/>
      <c r="CF380" s="301"/>
    </row>
    <row r="381" spans="1:84" s="326" customFormat="1" ht="15" hidden="1" customHeight="1" x14ac:dyDescent="0.25">
      <c r="A381" s="322" t="str">
        <f>subSTT</f>
        <v>2.17</v>
      </c>
      <c r="B381" s="312" t="s">
        <v>345</v>
      </c>
      <c r="C381" s="312" t="s">
        <v>681</v>
      </c>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c r="AH381" s="295"/>
      <c r="AI381" s="295"/>
      <c r="AJ381" s="323"/>
      <c r="AK381" s="287" t="str">
        <f>A381</f>
        <v>2.17</v>
      </c>
      <c r="AL381" s="312" t="s">
        <v>345</v>
      </c>
      <c r="AM381" s="312" t="s">
        <v>682</v>
      </c>
      <c r="AN381" s="295"/>
      <c r="AO381" s="295"/>
      <c r="AP381" s="295"/>
      <c r="AQ381" s="295"/>
      <c r="AR381" s="295"/>
      <c r="AS381" s="295"/>
      <c r="AT381" s="295"/>
      <c r="AU381" s="295"/>
      <c r="AV381" s="295"/>
      <c r="AW381" s="295"/>
      <c r="AX381" s="295"/>
      <c r="AY381" s="295"/>
      <c r="AZ381" s="295"/>
      <c r="BA381" s="295"/>
      <c r="BB381" s="295"/>
      <c r="BC381" s="295"/>
      <c r="BD381" s="295"/>
      <c r="BE381" s="295"/>
      <c r="BF381" s="295"/>
      <c r="BG381" s="295"/>
      <c r="BH381" s="295"/>
      <c r="BI381" s="295"/>
      <c r="BJ381" s="295"/>
      <c r="BK381" s="295"/>
      <c r="BL381" s="295"/>
      <c r="BM381" s="295"/>
      <c r="BN381" s="295"/>
      <c r="BO381" s="295"/>
      <c r="BP381" s="295"/>
      <c r="BQ381" s="295"/>
      <c r="BR381" s="295"/>
      <c r="BS381" s="295"/>
      <c r="BT381" s="295"/>
      <c r="BU381" s="295"/>
      <c r="BV381" s="310"/>
      <c r="BW381" s="310"/>
      <c r="BX381" s="291"/>
      <c r="BY381" s="323"/>
      <c r="BZ381" s="279"/>
      <c r="CA381" s="279"/>
      <c r="CB381" s="280"/>
      <c r="CC381" s="280"/>
      <c r="CD381" s="280"/>
      <c r="CE381" s="280"/>
      <c r="CF381" s="280"/>
    </row>
    <row r="382" spans="1:84" s="326" customFormat="1" ht="15" hidden="1" customHeight="1" x14ac:dyDescent="0.25">
      <c r="A382" s="322"/>
      <c r="B382" s="312"/>
      <c r="C382" s="324" t="s">
        <v>683</v>
      </c>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318"/>
      <c r="AF382" s="318"/>
      <c r="AG382" s="318"/>
      <c r="AH382" s="318"/>
      <c r="AI382" s="318"/>
      <c r="AJ382" s="323"/>
      <c r="AK382" s="287"/>
      <c r="AL382" s="312"/>
      <c r="AM382" s="324" t="s">
        <v>683</v>
      </c>
      <c r="AN382" s="318"/>
      <c r="AO382" s="318"/>
      <c r="AP382" s="318"/>
      <c r="AQ382" s="318"/>
      <c r="AR382" s="318"/>
      <c r="AS382" s="318"/>
      <c r="AT382" s="318"/>
      <c r="AU382" s="318"/>
      <c r="AV382" s="318"/>
      <c r="AW382" s="318"/>
      <c r="AX382" s="318"/>
      <c r="AY382" s="318"/>
      <c r="AZ382" s="318"/>
      <c r="BA382" s="318"/>
      <c r="BB382" s="318"/>
      <c r="BC382" s="318"/>
      <c r="BD382" s="318"/>
      <c r="BE382" s="318"/>
      <c r="BF382" s="318"/>
      <c r="BG382" s="318"/>
      <c r="BH382" s="318"/>
      <c r="BI382" s="318"/>
      <c r="BJ382" s="318"/>
      <c r="BK382" s="318"/>
      <c r="BL382" s="318"/>
      <c r="BM382" s="318"/>
      <c r="BN382" s="318"/>
      <c r="BO382" s="318"/>
      <c r="BP382" s="318"/>
      <c r="BQ382" s="318"/>
      <c r="BR382" s="318"/>
      <c r="BS382" s="318"/>
      <c r="BT382" s="295"/>
      <c r="BU382" s="295"/>
      <c r="BV382" s="310"/>
      <c r="BW382" s="310"/>
      <c r="BX382" s="291"/>
      <c r="BY382" s="323"/>
      <c r="BZ382" s="279"/>
      <c r="CA382" s="279"/>
      <c r="CB382" s="280"/>
      <c r="CC382" s="280"/>
      <c r="CD382" s="280"/>
      <c r="CE382" s="280"/>
      <c r="CF382" s="280"/>
    </row>
    <row r="383" spans="1:84" s="326" customFormat="1" ht="27.95" hidden="1" customHeight="1" x14ac:dyDescent="0.25">
      <c r="A383" s="322"/>
      <c r="B383" s="312"/>
      <c r="C383" s="1603" t="s">
        <v>684</v>
      </c>
      <c r="D383" s="1603"/>
      <c r="E383" s="1603"/>
      <c r="F383" s="1603"/>
      <c r="G383" s="1603"/>
      <c r="H383" s="1603"/>
      <c r="I383" s="1603"/>
      <c r="J383" s="1603"/>
      <c r="K383" s="1603"/>
      <c r="L383" s="1603"/>
      <c r="M383" s="1603"/>
      <c r="N383" s="1603"/>
      <c r="O383" s="1603"/>
      <c r="P383" s="1603"/>
      <c r="Q383" s="1603"/>
      <c r="R383" s="1603"/>
      <c r="S383" s="1603"/>
      <c r="T383" s="1603"/>
      <c r="U383" s="1603"/>
      <c r="V383" s="1603"/>
      <c r="W383" s="1603"/>
      <c r="X383" s="1603"/>
      <c r="Y383" s="1603"/>
      <c r="Z383" s="1603"/>
      <c r="AA383" s="1603"/>
      <c r="AB383" s="1603"/>
      <c r="AC383" s="1603"/>
      <c r="AD383" s="1603"/>
      <c r="AE383" s="1603"/>
      <c r="AF383" s="1603"/>
      <c r="AG383" s="1603"/>
      <c r="AH383" s="1603"/>
      <c r="AI383" s="1603"/>
      <c r="AJ383" s="323"/>
      <c r="AK383" s="287"/>
      <c r="AL383" s="312"/>
      <c r="AM383" s="1603" t="s">
        <v>685</v>
      </c>
      <c r="AN383" s="1603"/>
      <c r="AO383" s="1603"/>
      <c r="AP383" s="1603"/>
      <c r="AQ383" s="1603"/>
      <c r="AR383" s="1603"/>
      <c r="AS383" s="1603"/>
      <c r="AT383" s="1603"/>
      <c r="AU383" s="1603"/>
      <c r="AV383" s="1603"/>
      <c r="AW383" s="1603"/>
      <c r="AX383" s="1603"/>
      <c r="AY383" s="1603"/>
      <c r="AZ383" s="1603"/>
      <c r="BA383" s="1603"/>
      <c r="BB383" s="1603"/>
      <c r="BC383" s="1603"/>
      <c r="BD383" s="1603"/>
      <c r="BE383" s="1603"/>
      <c r="BF383" s="1603"/>
      <c r="BG383" s="1603"/>
      <c r="BH383" s="1603"/>
      <c r="BI383" s="1603"/>
      <c r="BJ383" s="1603"/>
      <c r="BK383" s="1603"/>
      <c r="BL383" s="1603"/>
      <c r="BM383" s="1603"/>
      <c r="BN383" s="1603"/>
      <c r="BO383" s="1603"/>
      <c r="BP383" s="1603"/>
      <c r="BQ383" s="1603"/>
      <c r="BR383" s="1603"/>
      <c r="BS383" s="1603"/>
      <c r="BT383" s="295"/>
      <c r="BU383" s="295"/>
      <c r="BV383" s="310"/>
      <c r="BW383" s="310"/>
      <c r="BX383" s="291"/>
      <c r="BY383" s="323"/>
      <c r="BZ383" s="279"/>
      <c r="CA383" s="279"/>
      <c r="CB383" s="280"/>
      <c r="CC383" s="280"/>
      <c r="CD383" s="280"/>
      <c r="CE383" s="280"/>
      <c r="CF383" s="280"/>
    </row>
    <row r="384" spans="1:84" s="326" customFormat="1" ht="12.95" hidden="1" customHeight="1" x14ac:dyDescent="0.25">
      <c r="A384" s="322"/>
      <c r="B384" s="312"/>
      <c r="C384" s="1603"/>
      <c r="D384" s="1603"/>
      <c r="E384" s="1603"/>
      <c r="F384" s="1603"/>
      <c r="G384" s="1603"/>
      <c r="H384" s="1603"/>
      <c r="I384" s="1603"/>
      <c r="J384" s="1603"/>
      <c r="K384" s="1603"/>
      <c r="L384" s="1603"/>
      <c r="M384" s="1603"/>
      <c r="N384" s="1603"/>
      <c r="O384" s="1603"/>
      <c r="P384" s="1603"/>
      <c r="Q384" s="1603"/>
      <c r="R384" s="1603"/>
      <c r="S384" s="1603"/>
      <c r="T384" s="1603"/>
      <c r="U384" s="1603"/>
      <c r="V384" s="1603"/>
      <c r="W384" s="1603"/>
      <c r="X384" s="1603"/>
      <c r="Y384" s="1603"/>
      <c r="Z384" s="1603"/>
      <c r="AA384" s="1603"/>
      <c r="AB384" s="1603"/>
      <c r="AC384" s="1603"/>
      <c r="AD384" s="1603"/>
      <c r="AE384" s="1603"/>
      <c r="AF384" s="1603"/>
      <c r="AG384" s="1603"/>
      <c r="AH384" s="1603"/>
      <c r="AI384" s="1603"/>
      <c r="AJ384" s="323"/>
      <c r="AK384" s="287"/>
      <c r="AL384" s="312"/>
      <c r="AM384" s="1603"/>
      <c r="AN384" s="1603"/>
      <c r="AO384" s="1603"/>
      <c r="AP384" s="1603"/>
      <c r="AQ384" s="1603"/>
      <c r="AR384" s="1603"/>
      <c r="AS384" s="1603"/>
      <c r="AT384" s="1603"/>
      <c r="AU384" s="1603"/>
      <c r="AV384" s="1603"/>
      <c r="AW384" s="1603"/>
      <c r="AX384" s="1603"/>
      <c r="AY384" s="1603"/>
      <c r="AZ384" s="1603"/>
      <c r="BA384" s="1603"/>
      <c r="BB384" s="1603"/>
      <c r="BC384" s="1603"/>
      <c r="BD384" s="1603"/>
      <c r="BE384" s="1603"/>
      <c r="BF384" s="1603"/>
      <c r="BG384" s="1603"/>
      <c r="BH384" s="1603"/>
      <c r="BI384" s="1603"/>
      <c r="BJ384" s="1603"/>
      <c r="BK384" s="1603"/>
      <c r="BL384" s="1603"/>
      <c r="BM384" s="1603"/>
      <c r="BN384" s="1603"/>
      <c r="BO384" s="1603"/>
      <c r="BP384" s="1603"/>
      <c r="BQ384" s="1603"/>
      <c r="BR384" s="1603"/>
      <c r="BS384" s="1603"/>
      <c r="BT384" s="295"/>
      <c r="BU384" s="295"/>
      <c r="BV384" s="310"/>
      <c r="BW384" s="310"/>
      <c r="BX384" s="291"/>
      <c r="BY384" s="323"/>
      <c r="BZ384" s="279"/>
      <c r="CA384" s="279"/>
      <c r="CB384" s="280"/>
      <c r="CC384" s="280"/>
      <c r="CD384" s="280"/>
      <c r="CE384" s="280"/>
      <c r="CF384" s="280"/>
    </row>
    <row r="385" spans="1:84" s="326" customFormat="1" ht="84.75" hidden="1" customHeight="1" x14ac:dyDescent="0.25">
      <c r="A385" s="322"/>
      <c r="B385" s="312"/>
      <c r="C385" s="1603" t="str">
        <f>CONCATENATE("Các khoản chiết khấu thương mại, giảm giá hàng bán, hàng bán bị trả lại phát sinh cùng kỳ tiêu thụ sản phẩm, hàng hóa dịch vụ được điều chỉnh giảm doanh thu của kỳ phát sinh. "&amp;"Trường hợp sản phẩm, hàng hoá, dịch vụ đã tiêu thụ từ các kỳ trước, đến kỳ sau mới phát sinh các khoản giảm trừ doanh thu thì được ghi giảm doanh thu theo nguyên tắc: nếu phát sinh trước thời điểm phát hành "&amp;Loai_BC_V&amp;" thì ghi giảm doanh thu trên "&amp;Loai_BC_V&amp;" của kỳ lập báo cáo, và nếu phát sinh sau thời điểm phát hành ",Loai_BC_V," thì ghi giảm doanh thu của kỳ phát sinh.")</f>
        <v>Các khoản chiết khấu thương mại, giảm giá hàng bán, hàng bán bị trả lại phát sinh cùng kỳ tiêu thụ sản phẩm, hàng hóa dịch vụ được điều chỉnh giảm doanh thu của kỳ phát sinh. Trường hợp sản phẩm, hàng hoá, dịch vụ đã tiêu thụ từ các kỳ trước, đến kỳ sau mới phát sinh các khoản giảm trừ doanh thu thì được ghi giảm doanh thu theo nguyên tắc: nếu phát sinh trước thời điểm phát hành Báo cáo tài chính thì ghi giảm doanh thu trên Báo cáo tài chính của kỳ lập báo cáo, và nếu phát sinh sau thời điểm phát hành Báo cáo tài chính thì ghi giảm doanh thu của kỳ phát sinh.</v>
      </c>
      <c r="D385" s="1603"/>
      <c r="E385" s="1603"/>
      <c r="F385" s="1603"/>
      <c r="G385" s="1603"/>
      <c r="H385" s="1603"/>
      <c r="I385" s="1603"/>
      <c r="J385" s="1603"/>
      <c r="K385" s="1603"/>
      <c r="L385" s="1603"/>
      <c r="M385" s="1603"/>
      <c r="N385" s="1603"/>
      <c r="O385" s="1603"/>
      <c r="P385" s="1603"/>
      <c r="Q385" s="1603"/>
      <c r="R385" s="1603"/>
      <c r="S385" s="1603"/>
      <c r="T385" s="1603"/>
      <c r="U385" s="1603"/>
      <c r="V385" s="1603"/>
      <c r="W385" s="1603"/>
      <c r="X385" s="1603"/>
      <c r="Y385" s="1603"/>
      <c r="Z385" s="1603"/>
      <c r="AA385" s="1603"/>
      <c r="AB385" s="1603"/>
      <c r="AC385" s="1603"/>
      <c r="AD385" s="1603"/>
      <c r="AE385" s="1603"/>
      <c r="AF385" s="1603"/>
      <c r="AG385" s="1603"/>
      <c r="AH385" s="1603"/>
      <c r="AI385" s="1603"/>
      <c r="AJ385" s="323"/>
      <c r="AK385" s="287"/>
      <c r="AL385" s="312"/>
      <c r="AM385" s="1603" t="str">
        <f>CONCATENATE("Trade discounts, sales allowances and sales returns incurred in the same period of consumption of products, goods and services are adjusted a decrease in revenue in the incurring period. In case products, ","goods and services are sold from the previous periods, until the next period are incurred deductible items, the ",Loai_BC_E," records a decrease in revenue under the principles: If incurred prior to the issuance of the ",Loai_BC_E," then record a decrease in revenue on the ",Loai_BC_E," of the reporting period (the previous period); and if incurred after the release of ",Loai_BC_E," then record a decrease in revenue of incurring period (the next period).")</f>
        <v>Trade discounts, sales allowances and sales returns incurred in the same period of consumption of products, goods and services are adjusted a decrease in revenue in the incurring period. In case products, goods and services are sold from the previous periods, until the next period are incurred deductible items, the Separate Financial Statements records a decrease in revenue under the principles: If incurred prior to the issuance of the Separate Financial Statements then record a decrease in revenue on the Separate Financial Statements of the reporting period (the previous period); and if incurred after the release of Separate Financial Statements then record a decrease in revenue of incurring period (the next period).</v>
      </c>
      <c r="AN385" s="1603"/>
      <c r="AO385" s="1603"/>
      <c r="AP385" s="1603"/>
      <c r="AQ385" s="1603"/>
      <c r="AR385" s="1603"/>
      <c r="AS385" s="1603"/>
      <c r="AT385" s="1603"/>
      <c r="AU385" s="1603"/>
      <c r="AV385" s="1603"/>
      <c r="AW385" s="1603"/>
      <c r="AX385" s="1603"/>
      <c r="AY385" s="1603"/>
      <c r="AZ385" s="1603"/>
      <c r="BA385" s="1603"/>
      <c r="BB385" s="1603"/>
      <c r="BC385" s="1603"/>
      <c r="BD385" s="1603"/>
      <c r="BE385" s="1603"/>
      <c r="BF385" s="1603"/>
      <c r="BG385" s="1603"/>
      <c r="BH385" s="1603"/>
      <c r="BI385" s="1603"/>
      <c r="BJ385" s="1603"/>
      <c r="BK385" s="1603"/>
      <c r="BL385" s="1603"/>
      <c r="BM385" s="1603"/>
      <c r="BN385" s="1603"/>
      <c r="BO385" s="1603"/>
      <c r="BP385" s="1603"/>
      <c r="BQ385" s="1603"/>
      <c r="BR385" s="1603"/>
      <c r="BS385" s="1603"/>
      <c r="BT385" s="295"/>
      <c r="BU385" s="295"/>
      <c r="BV385" s="310"/>
      <c r="BW385" s="310"/>
      <c r="BX385" s="291"/>
      <c r="BY385" s="323"/>
      <c r="BZ385" s="279"/>
      <c r="CA385" s="279"/>
      <c r="CB385" s="280"/>
      <c r="CC385" s="280"/>
      <c r="CD385" s="280"/>
      <c r="CE385" s="280"/>
      <c r="CF385" s="280"/>
    </row>
    <row r="386" spans="1:84" s="326" customFormat="1" ht="2.1" hidden="1" customHeight="1" x14ac:dyDescent="0.25">
      <c r="A386" s="322"/>
      <c r="B386" s="312"/>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c r="AH386" s="318"/>
      <c r="AI386" s="318"/>
      <c r="AJ386" s="323"/>
      <c r="AK386" s="287"/>
      <c r="AL386" s="312"/>
      <c r="AM386" s="318"/>
      <c r="AN386" s="318"/>
      <c r="AO386" s="318"/>
      <c r="AP386" s="318"/>
      <c r="AQ386" s="318"/>
      <c r="AR386" s="318"/>
      <c r="AS386" s="318"/>
      <c r="AT386" s="318"/>
      <c r="AU386" s="318"/>
      <c r="AV386" s="318"/>
      <c r="AW386" s="318"/>
      <c r="AX386" s="318"/>
      <c r="AY386" s="318"/>
      <c r="AZ386" s="318"/>
      <c r="BA386" s="318"/>
      <c r="BB386" s="318"/>
      <c r="BC386" s="318"/>
      <c r="BD386" s="318"/>
      <c r="BE386" s="318"/>
      <c r="BF386" s="318"/>
      <c r="BG386" s="318"/>
      <c r="BH386" s="318"/>
      <c r="BI386" s="318"/>
      <c r="BJ386" s="318"/>
      <c r="BK386" s="318"/>
      <c r="BL386" s="318"/>
      <c r="BM386" s="318"/>
      <c r="BN386" s="318"/>
      <c r="BO386" s="318"/>
      <c r="BP386" s="318"/>
      <c r="BQ386" s="318"/>
      <c r="BR386" s="318"/>
      <c r="BS386" s="318"/>
      <c r="BT386" s="295"/>
      <c r="BU386" s="295"/>
      <c r="BV386" s="310"/>
      <c r="BW386" s="310"/>
      <c r="BX386" s="291"/>
      <c r="BY386" s="323"/>
      <c r="BZ386" s="279"/>
      <c r="CA386" s="279"/>
      <c r="CB386" s="280"/>
      <c r="CC386" s="280"/>
      <c r="CD386" s="280"/>
      <c r="CE386" s="280"/>
      <c r="CF386" s="280"/>
    </row>
    <row r="387" spans="1:84" s="326" customFormat="1" ht="12.95" customHeight="1" x14ac:dyDescent="0.25">
      <c r="A387" s="322"/>
      <c r="B387" s="312"/>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c r="AH387" s="318"/>
      <c r="AI387" s="318"/>
      <c r="AJ387" s="323"/>
      <c r="AK387" s="287"/>
      <c r="AL387" s="312"/>
      <c r="AM387" s="318"/>
      <c r="AN387" s="318"/>
      <c r="AO387" s="318"/>
      <c r="AP387" s="318"/>
      <c r="AQ387" s="318"/>
      <c r="AR387" s="318"/>
      <c r="AS387" s="318"/>
      <c r="AT387" s="318"/>
      <c r="AU387" s="318"/>
      <c r="AV387" s="318"/>
      <c r="AW387" s="318"/>
      <c r="AX387" s="318"/>
      <c r="AY387" s="318"/>
      <c r="AZ387" s="318"/>
      <c r="BA387" s="318"/>
      <c r="BB387" s="318"/>
      <c r="BC387" s="318"/>
      <c r="BD387" s="318"/>
      <c r="BE387" s="318"/>
      <c r="BF387" s="318"/>
      <c r="BG387" s="318"/>
      <c r="BH387" s="318"/>
      <c r="BI387" s="318"/>
      <c r="BJ387" s="318"/>
      <c r="BK387" s="318"/>
      <c r="BL387" s="318"/>
      <c r="BM387" s="318"/>
      <c r="BN387" s="318"/>
      <c r="BO387" s="318"/>
      <c r="BP387" s="318"/>
      <c r="BQ387" s="318"/>
      <c r="BR387" s="318"/>
      <c r="BS387" s="318"/>
      <c r="BT387" s="295"/>
      <c r="BU387" s="295"/>
      <c r="BV387" s="310"/>
      <c r="BW387" s="310"/>
      <c r="BX387" s="291"/>
      <c r="BY387" s="323"/>
      <c r="BZ387" s="279"/>
      <c r="CA387" s="279"/>
      <c r="CB387" s="280"/>
      <c r="CC387" s="280"/>
      <c r="CD387" s="280"/>
      <c r="CE387" s="280"/>
      <c r="CF387" s="280"/>
    </row>
    <row r="388" spans="1:84" s="326" customFormat="1" ht="15" customHeight="1" x14ac:dyDescent="0.25">
      <c r="A388" s="322" t="str">
        <f>subSTT</f>
        <v>2.18</v>
      </c>
      <c r="B388" s="312" t="s">
        <v>345</v>
      </c>
      <c r="C388" s="312" t="s">
        <v>686</v>
      </c>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295"/>
      <c r="AF388" s="295"/>
      <c r="AG388" s="295"/>
      <c r="AH388" s="295"/>
      <c r="AI388" s="295"/>
      <c r="AJ388" s="323"/>
      <c r="AK388" s="287" t="str">
        <f>A388</f>
        <v>2.18</v>
      </c>
      <c r="AL388" s="312" t="s">
        <v>345</v>
      </c>
      <c r="AM388" s="312" t="s">
        <v>687</v>
      </c>
      <c r="AN388" s="295"/>
      <c r="AO388" s="295"/>
      <c r="AP388" s="295"/>
      <c r="AQ388" s="295"/>
      <c r="AR388" s="295"/>
      <c r="AS388" s="295"/>
      <c r="AT388" s="295"/>
      <c r="AU388" s="295"/>
      <c r="AV388" s="295"/>
      <c r="AW388" s="295"/>
      <c r="AX388" s="295"/>
      <c r="AY388" s="295"/>
      <c r="AZ388" s="295"/>
      <c r="BA388" s="295"/>
      <c r="BB388" s="295"/>
      <c r="BC388" s="295"/>
      <c r="BD388" s="295"/>
      <c r="BE388" s="295"/>
      <c r="BF388" s="295"/>
      <c r="BG388" s="295"/>
      <c r="BH388" s="295"/>
      <c r="BI388" s="295"/>
      <c r="BJ388" s="295"/>
      <c r="BK388" s="295"/>
      <c r="BL388" s="295"/>
      <c r="BM388" s="295"/>
      <c r="BN388" s="295"/>
      <c r="BO388" s="295"/>
      <c r="BP388" s="295"/>
      <c r="BQ388" s="295"/>
      <c r="BR388" s="295"/>
      <c r="BS388" s="295"/>
      <c r="BT388" s="295"/>
      <c r="BU388" s="295"/>
      <c r="BV388" s="310"/>
      <c r="BW388" s="310"/>
      <c r="BX388" s="291"/>
      <c r="BY388" s="323"/>
      <c r="BZ388" s="279"/>
      <c r="CA388" s="279"/>
      <c r="CB388" s="280"/>
      <c r="CC388" s="280"/>
      <c r="CD388" s="280"/>
      <c r="CE388" s="280"/>
      <c r="CF388" s="280"/>
    </row>
    <row r="389" spans="1:84" s="326" customFormat="1" ht="15" customHeight="1" x14ac:dyDescent="0.25">
      <c r="A389" s="322"/>
      <c r="B389" s="312"/>
      <c r="C389" s="324"/>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c r="AH389" s="318"/>
      <c r="AI389" s="318"/>
      <c r="AJ389" s="323"/>
      <c r="AK389" s="287"/>
      <c r="AL389" s="312"/>
      <c r="AM389" s="324"/>
      <c r="AN389" s="318"/>
      <c r="AO389" s="318"/>
      <c r="AP389" s="318"/>
      <c r="AQ389" s="318"/>
      <c r="AR389" s="318"/>
      <c r="AS389" s="318"/>
      <c r="AT389" s="318"/>
      <c r="AU389" s="318"/>
      <c r="AV389" s="318"/>
      <c r="AW389" s="318"/>
      <c r="AX389" s="318"/>
      <c r="AY389" s="318"/>
      <c r="AZ389" s="318"/>
      <c r="BA389" s="318"/>
      <c r="BB389" s="318"/>
      <c r="BC389" s="318"/>
      <c r="BD389" s="318"/>
      <c r="BE389" s="318"/>
      <c r="BF389" s="318"/>
      <c r="BG389" s="318"/>
      <c r="BH389" s="318"/>
      <c r="BI389" s="318"/>
      <c r="BJ389" s="318"/>
      <c r="BK389" s="318"/>
      <c r="BL389" s="318"/>
      <c r="BM389" s="318"/>
      <c r="BN389" s="318"/>
      <c r="BO389" s="318"/>
      <c r="BP389" s="318"/>
      <c r="BQ389" s="318"/>
      <c r="BR389" s="318"/>
      <c r="BS389" s="318"/>
      <c r="BT389" s="295"/>
      <c r="BU389" s="295"/>
      <c r="BV389" s="310"/>
      <c r="BW389" s="310"/>
      <c r="BX389" s="291"/>
      <c r="BY389" s="323"/>
      <c r="BZ389" s="279"/>
      <c r="CA389" s="279"/>
      <c r="CB389" s="280"/>
      <c r="CC389" s="280"/>
      <c r="CD389" s="280"/>
      <c r="CE389" s="280"/>
      <c r="CF389" s="280"/>
    </row>
    <row r="390" spans="1:84" s="326" customFormat="1" ht="56.1" customHeight="1" x14ac:dyDescent="0.25">
      <c r="A390" s="322"/>
      <c r="B390" s="312"/>
      <c r="C390" s="1603" t="s">
        <v>688</v>
      </c>
      <c r="D390" s="1603"/>
      <c r="E390" s="1603"/>
      <c r="F390" s="1603"/>
      <c r="G390" s="1603"/>
      <c r="H390" s="1603"/>
      <c r="I390" s="1603"/>
      <c r="J390" s="1603"/>
      <c r="K390" s="1603"/>
      <c r="L390" s="1603"/>
      <c r="M390" s="1603"/>
      <c r="N390" s="1603"/>
      <c r="O390" s="1603"/>
      <c r="P390" s="1603"/>
      <c r="Q390" s="1603"/>
      <c r="R390" s="1603"/>
      <c r="S390" s="1603"/>
      <c r="T390" s="1603"/>
      <c r="U390" s="1603"/>
      <c r="V390" s="1603"/>
      <c r="W390" s="1603"/>
      <c r="X390" s="1603"/>
      <c r="Y390" s="1603"/>
      <c r="Z390" s="1603"/>
      <c r="AA390" s="1603"/>
      <c r="AB390" s="1603"/>
      <c r="AC390" s="1603"/>
      <c r="AD390" s="1603"/>
      <c r="AE390" s="1603"/>
      <c r="AF390" s="1603"/>
      <c r="AG390" s="1603"/>
      <c r="AH390" s="1603"/>
      <c r="AI390" s="1603"/>
      <c r="AJ390" s="323"/>
      <c r="AK390" s="287"/>
      <c r="AL390" s="312"/>
      <c r="AM390" s="1603" t="s">
        <v>689</v>
      </c>
      <c r="AN390" s="1603"/>
      <c r="AO390" s="1603"/>
      <c r="AP390" s="1603"/>
      <c r="AQ390" s="1603"/>
      <c r="AR390" s="1603"/>
      <c r="AS390" s="1603"/>
      <c r="AT390" s="1603"/>
      <c r="AU390" s="1603"/>
      <c r="AV390" s="1603"/>
      <c r="AW390" s="1603"/>
      <c r="AX390" s="1603"/>
      <c r="AY390" s="1603"/>
      <c r="AZ390" s="1603"/>
      <c r="BA390" s="1603"/>
      <c r="BB390" s="1603"/>
      <c r="BC390" s="1603"/>
      <c r="BD390" s="1603"/>
      <c r="BE390" s="1603"/>
      <c r="BF390" s="1603"/>
      <c r="BG390" s="1603"/>
      <c r="BH390" s="1603"/>
      <c r="BI390" s="1603"/>
      <c r="BJ390" s="1603"/>
      <c r="BK390" s="1603"/>
      <c r="BL390" s="1603"/>
      <c r="BM390" s="1603"/>
      <c r="BN390" s="1603"/>
      <c r="BO390" s="1603"/>
      <c r="BP390" s="1603"/>
      <c r="BQ390" s="1603"/>
      <c r="BR390" s="1603"/>
      <c r="BS390" s="1603"/>
      <c r="BT390" s="295"/>
      <c r="BU390" s="295"/>
      <c r="BV390" s="310"/>
      <c r="BW390" s="310"/>
      <c r="BX390" s="291"/>
      <c r="BY390" s="323"/>
      <c r="BZ390" s="279"/>
      <c r="CA390" s="279"/>
      <c r="CB390" s="280"/>
      <c r="CC390" s="280"/>
      <c r="CD390" s="280"/>
      <c r="CE390" s="280"/>
      <c r="CF390" s="280"/>
    </row>
    <row r="391" spans="1:84" s="326" customFormat="1" ht="14.1" hidden="1" customHeight="1" x14ac:dyDescent="0.25">
      <c r="A391" s="322"/>
      <c r="B391" s="312"/>
      <c r="C391" s="1603"/>
      <c r="D391" s="1603"/>
      <c r="E391" s="1603"/>
      <c r="F391" s="1603"/>
      <c r="G391" s="1603"/>
      <c r="H391" s="1603"/>
      <c r="I391" s="1603"/>
      <c r="J391" s="1603"/>
      <c r="K391" s="1603"/>
      <c r="L391" s="1603"/>
      <c r="M391" s="1603"/>
      <c r="N391" s="1603"/>
      <c r="O391" s="1603"/>
      <c r="P391" s="1603"/>
      <c r="Q391" s="1603"/>
      <c r="R391" s="1603"/>
      <c r="S391" s="1603"/>
      <c r="T391" s="1603"/>
      <c r="U391" s="1603"/>
      <c r="V391" s="1603"/>
      <c r="W391" s="1603"/>
      <c r="X391" s="1603"/>
      <c r="Y391" s="1603"/>
      <c r="Z391" s="1603"/>
      <c r="AA391" s="1603"/>
      <c r="AB391" s="1603"/>
      <c r="AC391" s="1603"/>
      <c r="AD391" s="1603"/>
      <c r="AE391" s="1603"/>
      <c r="AF391" s="1603"/>
      <c r="AG391" s="1603"/>
      <c r="AH391" s="1603"/>
      <c r="AI391" s="1603"/>
      <c r="AJ391" s="323"/>
      <c r="AK391" s="287"/>
      <c r="AL391" s="312"/>
      <c r="AM391" s="295"/>
      <c r="AN391" s="318"/>
      <c r="AO391" s="318"/>
      <c r="AP391" s="318"/>
      <c r="AQ391" s="318"/>
      <c r="AR391" s="318"/>
      <c r="AS391" s="318"/>
      <c r="AT391" s="318"/>
      <c r="AU391" s="318"/>
      <c r="AV391" s="318"/>
      <c r="AW391" s="318"/>
      <c r="AX391" s="318"/>
      <c r="AY391" s="318"/>
      <c r="AZ391" s="318"/>
      <c r="BA391" s="318"/>
      <c r="BB391" s="318"/>
      <c r="BC391" s="318"/>
      <c r="BD391" s="318"/>
      <c r="BE391" s="318"/>
      <c r="BF391" s="318"/>
      <c r="BG391" s="318"/>
      <c r="BH391" s="318"/>
      <c r="BI391" s="318"/>
      <c r="BJ391" s="318"/>
      <c r="BK391" s="318"/>
      <c r="BL391" s="318"/>
      <c r="BM391" s="318"/>
      <c r="BN391" s="318"/>
      <c r="BO391" s="318"/>
      <c r="BP391" s="318"/>
      <c r="BQ391" s="318"/>
      <c r="BR391" s="318"/>
      <c r="BS391" s="318"/>
      <c r="BT391" s="295"/>
      <c r="BU391" s="295"/>
      <c r="BV391" s="310"/>
      <c r="BW391" s="310"/>
      <c r="BX391" s="291"/>
      <c r="BY391" s="323"/>
      <c r="BZ391" s="279"/>
      <c r="CA391" s="279"/>
      <c r="CB391" s="280"/>
      <c r="CC391" s="280"/>
      <c r="CD391" s="280"/>
      <c r="CE391" s="280"/>
      <c r="CF391" s="280"/>
    </row>
    <row r="392" spans="1:84" s="326" customFormat="1" ht="14.1" hidden="1" customHeight="1" x14ac:dyDescent="0.25">
      <c r="A392" s="322"/>
      <c r="B392" s="312"/>
      <c r="C392" s="1603" t="s">
        <v>690</v>
      </c>
      <c r="D392" s="1603"/>
      <c r="E392" s="1603"/>
      <c r="F392" s="1603"/>
      <c r="G392" s="1603"/>
      <c r="H392" s="1603"/>
      <c r="I392" s="1603"/>
      <c r="J392" s="1603"/>
      <c r="K392" s="1603"/>
      <c r="L392" s="1603"/>
      <c r="M392" s="1603"/>
      <c r="N392" s="1603"/>
      <c r="O392" s="1603"/>
      <c r="P392" s="1603"/>
      <c r="Q392" s="1603"/>
      <c r="R392" s="1603"/>
      <c r="S392" s="1603"/>
      <c r="T392" s="1603"/>
      <c r="U392" s="1603"/>
      <c r="V392" s="1603"/>
      <c r="W392" s="1603"/>
      <c r="X392" s="1603"/>
      <c r="Y392" s="1603"/>
      <c r="Z392" s="1603"/>
      <c r="AA392" s="1603"/>
      <c r="AB392" s="1603"/>
      <c r="AC392" s="1603"/>
      <c r="AD392" s="1603"/>
      <c r="AE392" s="1603"/>
      <c r="AF392" s="1603"/>
      <c r="AG392" s="1603"/>
      <c r="AH392" s="1603"/>
      <c r="AI392" s="1603"/>
      <c r="AJ392" s="323"/>
      <c r="AK392" s="287"/>
      <c r="AL392" s="312"/>
      <c r="AM392" s="295" t="s">
        <v>691</v>
      </c>
      <c r="AN392" s="318"/>
      <c r="AO392" s="318"/>
      <c r="AP392" s="318"/>
      <c r="AQ392" s="318"/>
      <c r="AR392" s="318"/>
      <c r="AS392" s="318"/>
      <c r="AT392" s="318"/>
      <c r="AU392" s="318"/>
      <c r="AV392" s="318"/>
      <c r="AW392" s="318"/>
      <c r="AX392" s="318"/>
      <c r="AY392" s="318"/>
      <c r="AZ392" s="318"/>
      <c r="BA392" s="318"/>
      <c r="BB392" s="318"/>
      <c r="BC392" s="318"/>
      <c r="BD392" s="318"/>
      <c r="BE392" s="318"/>
      <c r="BF392" s="318"/>
      <c r="BG392" s="318"/>
      <c r="BH392" s="318"/>
      <c r="BI392" s="318"/>
      <c r="BJ392" s="318"/>
      <c r="BK392" s="318"/>
      <c r="BL392" s="318"/>
      <c r="BM392" s="318"/>
      <c r="BN392" s="318"/>
      <c r="BO392" s="318"/>
      <c r="BP392" s="318"/>
      <c r="BQ392" s="318"/>
      <c r="BR392" s="318"/>
      <c r="BS392" s="318"/>
      <c r="BT392" s="295"/>
      <c r="BU392" s="295"/>
      <c r="BV392" s="310"/>
      <c r="BW392" s="310"/>
      <c r="BX392" s="291"/>
      <c r="BY392" s="323"/>
      <c r="BZ392" s="279"/>
      <c r="CA392" s="279"/>
      <c r="CB392" s="280"/>
      <c r="CC392" s="280"/>
      <c r="CD392" s="280"/>
      <c r="CE392" s="280"/>
      <c r="CF392" s="280"/>
    </row>
    <row r="393" spans="1:84" s="326" customFormat="1" ht="12.95" hidden="1" customHeight="1" x14ac:dyDescent="0.25">
      <c r="A393" s="322"/>
      <c r="B393" s="312"/>
      <c r="C393" s="1603"/>
      <c r="D393" s="1603"/>
      <c r="E393" s="1603"/>
      <c r="F393" s="1603"/>
      <c r="G393" s="1603"/>
      <c r="H393" s="1603"/>
      <c r="I393" s="1603"/>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c r="AE393" s="1603"/>
      <c r="AF393" s="1603"/>
      <c r="AG393" s="1603"/>
      <c r="AH393" s="1603"/>
      <c r="AI393" s="1603"/>
      <c r="AJ393" s="323"/>
      <c r="AK393" s="287"/>
      <c r="AL393" s="312"/>
      <c r="AM393" s="1603"/>
      <c r="AN393" s="1603"/>
      <c r="AO393" s="1603"/>
      <c r="AP393" s="1603"/>
      <c r="AQ393" s="1603"/>
      <c r="AR393" s="1603"/>
      <c r="AS393" s="1603"/>
      <c r="AT393" s="1603"/>
      <c r="AU393" s="1603"/>
      <c r="AV393" s="1603"/>
      <c r="AW393" s="1603"/>
      <c r="AX393" s="1603"/>
      <c r="AY393" s="1603"/>
      <c r="AZ393" s="1603"/>
      <c r="BA393" s="1603"/>
      <c r="BB393" s="1603"/>
      <c r="BC393" s="1603"/>
      <c r="BD393" s="1603"/>
      <c r="BE393" s="1603"/>
      <c r="BF393" s="1603"/>
      <c r="BG393" s="1603"/>
      <c r="BH393" s="1603"/>
      <c r="BI393" s="1603"/>
      <c r="BJ393" s="1603"/>
      <c r="BK393" s="1603"/>
      <c r="BL393" s="1603"/>
      <c r="BM393" s="1603"/>
      <c r="BN393" s="1603"/>
      <c r="BO393" s="1603"/>
      <c r="BP393" s="1603"/>
      <c r="BQ393" s="1603"/>
      <c r="BR393" s="1603"/>
      <c r="BS393" s="1603"/>
      <c r="BT393" s="295"/>
      <c r="BU393" s="295"/>
      <c r="BV393" s="310"/>
      <c r="BW393" s="310"/>
      <c r="BX393" s="291"/>
      <c r="BY393" s="323"/>
      <c r="BZ393" s="279"/>
      <c r="CA393" s="279"/>
      <c r="CB393" s="280"/>
      <c r="CC393" s="280"/>
      <c r="CD393" s="280"/>
      <c r="CE393" s="280"/>
      <c r="CF393" s="280"/>
    </row>
    <row r="394" spans="1:84" s="326" customFormat="1" ht="27.95" hidden="1" customHeight="1" x14ac:dyDescent="0.25">
      <c r="A394" s="322"/>
      <c r="B394" s="312"/>
      <c r="C394" s="1605" t="s">
        <v>692</v>
      </c>
      <c r="D394" s="1605"/>
      <c r="E394" s="1605"/>
      <c r="F394" s="1605"/>
      <c r="G394" s="1605"/>
      <c r="H394" s="1605"/>
      <c r="I394" s="1605"/>
      <c r="J394" s="1605"/>
      <c r="K394" s="1605"/>
      <c r="L394" s="1605"/>
      <c r="M394" s="1605"/>
      <c r="N394" s="1605"/>
      <c r="O394" s="1605"/>
      <c r="P394" s="1605"/>
      <c r="Q394" s="1605"/>
      <c r="R394" s="1605"/>
      <c r="S394" s="1605"/>
      <c r="T394" s="1605"/>
      <c r="U394" s="1605"/>
      <c r="V394" s="1605"/>
      <c r="W394" s="1605"/>
      <c r="X394" s="1605"/>
      <c r="Y394" s="1605"/>
      <c r="Z394" s="1605"/>
      <c r="AA394" s="1605"/>
      <c r="AB394" s="1605"/>
      <c r="AC394" s="1605"/>
      <c r="AD394" s="1605"/>
      <c r="AE394" s="1605"/>
      <c r="AF394" s="1605"/>
      <c r="AG394" s="1605"/>
      <c r="AH394" s="1605"/>
      <c r="AI394" s="1605"/>
      <c r="AJ394" s="323"/>
      <c r="AK394" s="287"/>
      <c r="AL394" s="312"/>
      <c r="AM394" s="1605" t="s">
        <v>692</v>
      </c>
      <c r="AN394" s="1605"/>
      <c r="AO394" s="1605"/>
      <c r="AP394" s="1605"/>
      <c r="AQ394" s="1605"/>
      <c r="AR394" s="1605"/>
      <c r="AS394" s="1605"/>
      <c r="AT394" s="1605"/>
      <c r="AU394" s="1605"/>
      <c r="AV394" s="1605"/>
      <c r="AW394" s="1605"/>
      <c r="AX394" s="1605"/>
      <c r="AY394" s="1605"/>
      <c r="AZ394" s="1605"/>
      <c r="BA394" s="1605"/>
      <c r="BB394" s="1605"/>
      <c r="BC394" s="1605"/>
      <c r="BD394" s="1605"/>
      <c r="BE394" s="1605"/>
      <c r="BF394" s="1605"/>
      <c r="BG394" s="1605"/>
      <c r="BH394" s="1605"/>
      <c r="BI394" s="1605"/>
      <c r="BJ394" s="1605"/>
      <c r="BK394" s="1605"/>
      <c r="BL394" s="1605"/>
      <c r="BM394" s="1605"/>
      <c r="BN394" s="1605"/>
      <c r="BO394" s="1605"/>
      <c r="BP394" s="1605"/>
      <c r="BQ394" s="1605"/>
      <c r="BR394" s="1605"/>
      <c r="BS394" s="1605"/>
      <c r="BT394" s="295"/>
      <c r="BU394" s="295"/>
      <c r="BV394" s="310"/>
      <c r="BW394" s="310"/>
      <c r="BX394" s="291"/>
      <c r="BY394" s="323"/>
      <c r="BZ394" s="279"/>
      <c r="CA394" s="279"/>
      <c r="CB394" s="280"/>
      <c r="CC394" s="280"/>
      <c r="CD394" s="280"/>
      <c r="CE394" s="280"/>
      <c r="CF394" s="280"/>
    </row>
    <row r="395" spans="1:84" s="326" customFormat="1" ht="14.1" hidden="1" customHeight="1" x14ac:dyDescent="0.25">
      <c r="A395" s="322"/>
      <c r="B395" s="312"/>
      <c r="C395" s="1603" t="s">
        <v>693</v>
      </c>
      <c r="D395" s="1603"/>
      <c r="E395" s="1603"/>
      <c r="F395" s="1603"/>
      <c r="G395" s="1603"/>
      <c r="H395" s="1603"/>
      <c r="I395" s="1603"/>
      <c r="J395" s="1603"/>
      <c r="K395" s="1603"/>
      <c r="L395" s="1603"/>
      <c r="M395" s="1603"/>
      <c r="N395" s="1603"/>
      <c r="O395" s="1603"/>
      <c r="P395" s="1603"/>
      <c r="Q395" s="1603"/>
      <c r="R395" s="1603"/>
      <c r="S395" s="1603"/>
      <c r="T395" s="1603"/>
      <c r="U395" s="1603"/>
      <c r="V395" s="1603"/>
      <c r="W395" s="1603"/>
      <c r="X395" s="1603"/>
      <c r="Y395" s="1603"/>
      <c r="Z395" s="1603"/>
      <c r="AA395" s="1603"/>
      <c r="AB395" s="1603"/>
      <c r="AC395" s="1603"/>
      <c r="AD395" s="1603"/>
      <c r="AE395" s="1603"/>
      <c r="AF395" s="1603"/>
      <c r="AG395" s="1603"/>
      <c r="AH395" s="1603"/>
      <c r="AI395" s="1603"/>
      <c r="AJ395" s="323"/>
      <c r="AK395" s="287"/>
      <c r="AL395" s="312"/>
      <c r="AM395" s="295" t="s">
        <v>694</v>
      </c>
      <c r="AN395" s="318"/>
      <c r="AO395" s="318"/>
      <c r="AP395" s="318"/>
      <c r="AQ395" s="318"/>
      <c r="AR395" s="318"/>
      <c r="AS395" s="318"/>
      <c r="AT395" s="318"/>
      <c r="AU395" s="318"/>
      <c r="AV395" s="318"/>
      <c r="AW395" s="318"/>
      <c r="AX395" s="318"/>
      <c r="AY395" s="318"/>
      <c r="AZ395" s="318"/>
      <c r="BA395" s="318"/>
      <c r="BB395" s="318"/>
      <c r="BC395" s="318"/>
      <c r="BD395" s="318"/>
      <c r="BE395" s="318"/>
      <c r="BF395" s="318"/>
      <c r="BG395" s="318"/>
      <c r="BH395" s="318"/>
      <c r="BI395" s="318"/>
      <c r="BJ395" s="318"/>
      <c r="BK395" s="318"/>
      <c r="BL395" s="318"/>
      <c r="BM395" s="318"/>
      <c r="BN395" s="318"/>
      <c r="BO395" s="318"/>
      <c r="BP395" s="318"/>
      <c r="BQ395" s="318"/>
      <c r="BR395" s="318"/>
      <c r="BS395" s="318"/>
      <c r="BT395" s="295"/>
      <c r="BU395" s="295"/>
      <c r="BV395" s="310"/>
      <c r="BW395" s="310"/>
      <c r="BX395" s="291"/>
      <c r="BY395" s="323"/>
      <c r="BZ395" s="279"/>
      <c r="CA395" s="279"/>
      <c r="CB395" s="280"/>
      <c r="CC395" s="280"/>
      <c r="CD395" s="280"/>
      <c r="CE395" s="280"/>
      <c r="CF395" s="280"/>
    </row>
    <row r="396" spans="1:84" s="326" customFormat="1" ht="27.95" hidden="1" customHeight="1" x14ac:dyDescent="0.25">
      <c r="A396" s="322"/>
      <c r="B396" s="312"/>
      <c r="C396" s="333" t="s">
        <v>355</v>
      </c>
      <c r="D396" s="1604" t="s">
        <v>695</v>
      </c>
      <c r="E396" s="1604"/>
      <c r="F396" s="1604"/>
      <c r="G396" s="1604"/>
      <c r="H396" s="1604"/>
      <c r="I396" s="1604"/>
      <c r="J396" s="1604"/>
      <c r="K396" s="1604"/>
      <c r="L396" s="1604"/>
      <c r="M396" s="1604"/>
      <c r="N396" s="1604"/>
      <c r="O396" s="1604"/>
      <c r="P396" s="1604"/>
      <c r="Q396" s="1604"/>
      <c r="R396" s="1604"/>
      <c r="S396" s="1604"/>
      <c r="T396" s="1604"/>
      <c r="U396" s="1604"/>
      <c r="V396" s="1604"/>
      <c r="W396" s="1604"/>
      <c r="X396" s="1604"/>
      <c r="Y396" s="1604"/>
      <c r="Z396" s="1604"/>
      <c r="AA396" s="1604"/>
      <c r="AB396" s="1604"/>
      <c r="AC396" s="1604"/>
      <c r="AD396" s="1604"/>
      <c r="AE396" s="1604"/>
      <c r="AF396" s="1604"/>
      <c r="AG396" s="1604"/>
      <c r="AH396" s="1604"/>
      <c r="AI396" s="1604"/>
      <c r="AJ396" s="323"/>
      <c r="AK396" s="287"/>
      <c r="AL396" s="312"/>
      <c r="AM396" s="333" t="s">
        <v>355</v>
      </c>
      <c r="AN396" s="1604" t="s">
        <v>696</v>
      </c>
      <c r="AO396" s="1604"/>
      <c r="AP396" s="1604"/>
      <c r="AQ396" s="1604"/>
      <c r="AR396" s="1604"/>
      <c r="AS396" s="1604"/>
      <c r="AT396" s="1604"/>
      <c r="AU396" s="1604"/>
      <c r="AV396" s="1604"/>
      <c r="AW396" s="1604"/>
      <c r="AX396" s="1604"/>
      <c r="AY396" s="1604"/>
      <c r="AZ396" s="1604"/>
      <c r="BA396" s="1604"/>
      <c r="BB396" s="1604"/>
      <c r="BC396" s="1604"/>
      <c r="BD396" s="1604"/>
      <c r="BE396" s="1604"/>
      <c r="BF396" s="1604"/>
      <c r="BG396" s="1604"/>
      <c r="BH396" s="1604"/>
      <c r="BI396" s="1604"/>
      <c r="BJ396" s="1604"/>
      <c r="BK396" s="1604"/>
      <c r="BL396" s="1604"/>
      <c r="BM396" s="1604"/>
      <c r="BN396" s="1604"/>
      <c r="BO396" s="1604"/>
      <c r="BP396" s="1604"/>
      <c r="BQ396" s="1604"/>
      <c r="BR396" s="1604"/>
      <c r="BS396" s="1604"/>
      <c r="BT396" s="295"/>
      <c r="BU396" s="295"/>
      <c r="BV396" s="310"/>
      <c r="BW396" s="310"/>
      <c r="BX396" s="291"/>
      <c r="BY396" s="323"/>
      <c r="BZ396" s="279"/>
      <c r="CA396" s="279"/>
      <c r="CB396" s="280"/>
      <c r="CC396" s="280"/>
      <c r="CD396" s="280"/>
      <c r="CE396" s="280"/>
      <c r="CF396" s="280"/>
    </row>
    <row r="397" spans="1:84" s="326" customFormat="1" ht="27.95" hidden="1" customHeight="1" x14ac:dyDescent="0.25">
      <c r="A397" s="322"/>
      <c r="B397" s="312"/>
      <c r="C397" s="333" t="s">
        <v>355</v>
      </c>
      <c r="D397" s="1604" t="s">
        <v>697</v>
      </c>
      <c r="E397" s="1604"/>
      <c r="F397" s="1604"/>
      <c r="G397" s="1604"/>
      <c r="H397" s="1604"/>
      <c r="I397" s="1604"/>
      <c r="J397" s="1604"/>
      <c r="K397" s="1604"/>
      <c r="L397" s="1604"/>
      <c r="M397" s="1604"/>
      <c r="N397" s="1604"/>
      <c r="O397" s="1604"/>
      <c r="P397" s="1604"/>
      <c r="Q397" s="1604"/>
      <c r="R397" s="1604"/>
      <c r="S397" s="1604"/>
      <c r="T397" s="1604"/>
      <c r="U397" s="1604"/>
      <c r="V397" s="1604"/>
      <c r="W397" s="1604"/>
      <c r="X397" s="1604"/>
      <c r="Y397" s="1604"/>
      <c r="Z397" s="1604"/>
      <c r="AA397" s="1604"/>
      <c r="AB397" s="1604"/>
      <c r="AC397" s="1604"/>
      <c r="AD397" s="1604"/>
      <c r="AE397" s="1604"/>
      <c r="AF397" s="1604"/>
      <c r="AG397" s="1604"/>
      <c r="AH397" s="1604"/>
      <c r="AI397" s="1604"/>
      <c r="AJ397" s="323"/>
      <c r="AK397" s="287"/>
      <c r="AL397" s="312"/>
      <c r="AM397" s="333" t="s">
        <v>355</v>
      </c>
      <c r="AN397" s="1604" t="s">
        <v>698</v>
      </c>
      <c r="AO397" s="1604"/>
      <c r="AP397" s="1604"/>
      <c r="AQ397" s="1604"/>
      <c r="AR397" s="1604"/>
      <c r="AS397" s="1604"/>
      <c r="AT397" s="1604"/>
      <c r="AU397" s="1604"/>
      <c r="AV397" s="1604"/>
      <c r="AW397" s="1604"/>
      <c r="AX397" s="1604"/>
      <c r="AY397" s="1604"/>
      <c r="AZ397" s="1604"/>
      <c r="BA397" s="1604"/>
      <c r="BB397" s="1604"/>
      <c r="BC397" s="1604"/>
      <c r="BD397" s="1604"/>
      <c r="BE397" s="1604"/>
      <c r="BF397" s="1604"/>
      <c r="BG397" s="1604"/>
      <c r="BH397" s="1604"/>
      <c r="BI397" s="1604"/>
      <c r="BJ397" s="1604"/>
      <c r="BK397" s="1604"/>
      <c r="BL397" s="1604"/>
      <c r="BM397" s="1604"/>
      <c r="BN397" s="1604"/>
      <c r="BO397" s="1604"/>
      <c r="BP397" s="1604"/>
      <c r="BQ397" s="1604"/>
      <c r="BR397" s="1604"/>
      <c r="BS397" s="1604"/>
      <c r="BT397" s="295"/>
      <c r="BU397" s="295"/>
      <c r="BV397" s="310"/>
      <c r="BW397" s="310"/>
      <c r="BX397" s="291"/>
      <c r="BY397" s="323"/>
      <c r="BZ397" s="279"/>
      <c r="CA397" s="279"/>
      <c r="CB397" s="280"/>
      <c r="CC397" s="280"/>
      <c r="CD397" s="280"/>
      <c r="CE397" s="280"/>
      <c r="CF397" s="280"/>
    </row>
    <row r="398" spans="1:84" s="326" customFormat="1" ht="42" hidden="1" customHeight="1" x14ac:dyDescent="0.25">
      <c r="A398" s="322"/>
      <c r="B398" s="312"/>
      <c r="C398" s="333" t="s">
        <v>355</v>
      </c>
      <c r="D398" s="1604" t="s">
        <v>699</v>
      </c>
      <c r="E398" s="1604"/>
      <c r="F398" s="1604"/>
      <c r="G398" s="1604"/>
      <c r="H398" s="1604"/>
      <c r="I398" s="1604"/>
      <c r="J398" s="1604"/>
      <c r="K398" s="1604"/>
      <c r="L398" s="1604"/>
      <c r="M398" s="1604"/>
      <c r="N398" s="1604"/>
      <c r="O398" s="1604"/>
      <c r="P398" s="1604"/>
      <c r="Q398" s="1604"/>
      <c r="R398" s="1604"/>
      <c r="S398" s="1604"/>
      <c r="T398" s="1604"/>
      <c r="U398" s="1604"/>
      <c r="V398" s="1604"/>
      <c r="W398" s="1604"/>
      <c r="X398" s="1604"/>
      <c r="Y398" s="1604"/>
      <c r="Z398" s="1604"/>
      <c r="AA398" s="1604"/>
      <c r="AB398" s="1604"/>
      <c r="AC398" s="1604"/>
      <c r="AD398" s="1604"/>
      <c r="AE398" s="1604"/>
      <c r="AF398" s="1604"/>
      <c r="AG398" s="1604"/>
      <c r="AH398" s="1604"/>
      <c r="AI398" s="1604"/>
      <c r="AJ398" s="323"/>
      <c r="AK398" s="287"/>
      <c r="AL398" s="312"/>
      <c r="AM398" s="333" t="s">
        <v>355</v>
      </c>
      <c r="AN398" s="1604" t="s">
        <v>700</v>
      </c>
      <c r="AO398" s="1604"/>
      <c r="AP398" s="1604"/>
      <c r="AQ398" s="1604"/>
      <c r="AR398" s="1604"/>
      <c r="AS398" s="1604"/>
      <c r="AT398" s="1604"/>
      <c r="AU398" s="1604"/>
      <c r="AV398" s="1604"/>
      <c r="AW398" s="1604"/>
      <c r="AX398" s="1604"/>
      <c r="AY398" s="1604"/>
      <c r="AZ398" s="1604"/>
      <c r="BA398" s="1604"/>
      <c r="BB398" s="1604"/>
      <c r="BC398" s="1604"/>
      <c r="BD398" s="1604"/>
      <c r="BE398" s="1604"/>
      <c r="BF398" s="1604"/>
      <c r="BG398" s="1604"/>
      <c r="BH398" s="1604"/>
      <c r="BI398" s="1604"/>
      <c r="BJ398" s="1604"/>
      <c r="BK398" s="1604"/>
      <c r="BL398" s="1604"/>
      <c r="BM398" s="1604"/>
      <c r="BN398" s="1604"/>
      <c r="BO398" s="1604"/>
      <c r="BP398" s="1604"/>
      <c r="BQ398" s="1604"/>
      <c r="BR398" s="1604"/>
      <c r="BS398" s="1604"/>
      <c r="BT398" s="295"/>
      <c r="BU398" s="295"/>
      <c r="BV398" s="310"/>
      <c r="BW398" s="310"/>
      <c r="BX398" s="291"/>
      <c r="BY398" s="323"/>
      <c r="BZ398" s="279"/>
      <c r="CA398" s="279"/>
      <c r="CB398" s="280"/>
      <c r="CC398" s="280"/>
      <c r="CD398" s="280"/>
      <c r="CE398" s="280"/>
      <c r="CF398" s="280"/>
    </row>
    <row r="399" spans="1:84" s="326" customFormat="1" ht="2.1" hidden="1" customHeight="1" x14ac:dyDescent="0.25">
      <c r="A399" s="322"/>
      <c r="B399" s="312"/>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c r="AH399" s="318"/>
      <c r="AI399" s="318"/>
      <c r="AJ399" s="323"/>
      <c r="AK399" s="287"/>
      <c r="AL399" s="312"/>
      <c r="AM399" s="318"/>
      <c r="AN399" s="318"/>
      <c r="AO399" s="318"/>
      <c r="AP399" s="318"/>
      <c r="AQ399" s="318"/>
      <c r="AR399" s="318"/>
      <c r="AS399" s="318"/>
      <c r="AT399" s="318"/>
      <c r="AU399" s="318"/>
      <c r="AV399" s="318"/>
      <c r="AW399" s="318"/>
      <c r="AX399" s="318"/>
      <c r="AY399" s="318"/>
      <c r="AZ399" s="318"/>
      <c r="BA399" s="318"/>
      <c r="BB399" s="318"/>
      <c r="BC399" s="318"/>
      <c r="BD399" s="318"/>
      <c r="BE399" s="318"/>
      <c r="BF399" s="318"/>
      <c r="BG399" s="318"/>
      <c r="BH399" s="318"/>
      <c r="BI399" s="318"/>
      <c r="BJ399" s="318"/>
      <c r="BK399" s="318"/>
      <c r="BL399" s="318"/>
      <c r="BM399" s="318"/>
      <c r="BN399" s="318"/>
      <c r="BO399" s="318"/>
      <c r="BP399" s="318"/>
      <c r="BQ399" s="318"/>
      <c r="BR399" s="318"/>
      <c r="BS399" s="318"/>
      <c r="BT399" s="295"/>
      <c r="BU399" s="295"/>
      <c r="BV399" s="310"/>
      <c r="BW399" s="310"/>
      <c r="BX399" s="291"/>
      <c r="BY399" s="323"/>
      <c r="BZ399" s="279"/>
      <c r="CA399" s="279"/>
      <c r="CB399" s="280"/>
      <c r="CC399" s="280"/>
      <c r="CD399" s="280"/>
      <c r="CE399" s="280"/>
      <c r="CF399" s="280"/>
    </row>
    <row r="400" spans="1:84" s="326" customFormat="1" ht="12.95" customHeight="1" x14ac:dyDescent="0.25">
      <c r="A400" s="322"/>
      <c r="B400" s="312"/>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c r="AH400" s="318"/>
      <c r="AI400" s="318"/>
      <c r="AJ400" s="323"/>
      <c r="AK400" s="287"/>
      <c r="AL400" s="312"/>
      <c r="AM400" s="318"/>
      <c r="AN400" s="318"/>
      <c r="AO400" s="318"/>
      <c r="AP400" s="318"/>
      <c r="AQ400" s="318"/>
      <c r="AR400" s="318"/>
      <c r="AS400" s="318"/>
      <c r="AT400" s="318"/>
      <c r="AU400" s="318"/>
      <c r="AV400" s="318"/>
      <c r="AW400" s="318"/>
      <c r="AX400" s="318"/>
      <c r="AY400" s="318"/>
      <c r="AZ400" s="318"/>
      <c r="BA400" s="318"/>
      <c r="BB400" s="318"/>
      <c r="BC400" s="318"/>
      <c r="BD400" s="318"/>
      <c r="BE400" s="318"/>
      <c r="BF400" s="318"/>
      <c r="BG400" s="318"/>
      <c r="BH400" s="318"/>
      <c r="BI400" s="318"/>
      <c r="BJ400" s="318"/>
      <c r="BK400" s="318"/>
      <c r="BL400" s="318"/>
      <c r="BM400" s="318"/>
      <c r="BN400" s="318"/>
      <c r="BO400" s="318"/>
      <c r="BP400" s="318"/>
      <c r="BQ400" s="318"/>
      <c r="BR400" s="318"/>
      <c r="BS400" s="318"/>
      <c r="BT400" s="295"/>
      <c r="BU400" s="295"/>
      <c r="BV400" s="310"/>
      <c r="BW400" s="310"/>
      <c r="BX400" s="291"/>
      <c r="BY400" s="323"/>
      <c r="BZ400" s="279"/>
      <c r="CA400" s="279"/>
      <c r="CB400" s="280"/>
      <c r="CC400" s="280"/>
      <c r="CD400" s="280"/>
      <c r="CE400" s="280"/>
      <c r="CF400" s="280"/>
    </row>
    <row r="401" spans="1:84" s="326" customFormat="1" ht="15" customHeight="1" x14ac:dyDescent="0.25">
      <c r="A401" s="322" t="str">
        <f>subSTT</f>
        <v>2.19</v>
      </c>
      <c r="B401" s="312" t="s">
        <v>345</v>
      </c>
      <c r="C401" s="312" t="s">
        <v>701</v>
      </c>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c r="AH401" s="295"/>
      <c r="AI401" s="295"/>
      <c r="AJ401" s="323"/>
      <c r="AK401" s="287" t="str">
        <f>A401</f>
        <v>2.19</v>
      </c>
      <c r="AL401" s="312" t="s">
        <v>345</v>
      </c>
      <c r="AM401" s="312" t="s">
        <v>702</v>
      </c>
      <c r="AN401" s="295"/>
      <c r="AO401" s="295"/>
      <c r="AP401" s="295"/>
      <c r="AQ401" s="295"/>
      <c r="AR401" s="295"/>
      <c r="AS401" s="295"/>
      <c r="AT401" s="295"/>
      <c r="AU401" s="295"/>
      <c r="AV401" s="295"/>
      <c r="AW401" s="295"/>
      <c r="AX401" s="295"/>
      <c r="AY401" s="295"/>
      <c r="AZ401" s="295"/>
      <c r="BA401" s="295"/>
      <c r="BB401" s="295"/>
      <c r="BC401" s="295"/>
      <c r="BD401" s="295"/>
      <c r="BE401" s="295"/>
      <c r="BF401" s="295"/>
      <c r="BG401" s="295"/>
      <c r="BH401" s="295"/>
      <c r="BI401" s="295"/>
      <c r="BJ401" s="295"/>
      <c r="BK401" s="295"/>
      <c r="BL401" s="295"/>
      <c r="BM401" s="295"/>
      <c r="BN401" s="295"/>
      <c r="BO401" s="295"/>
      <c r="BP401" s="295"/>
      <c r="BQ401" s="295"/>
      <c r="BR401" s="295"/>
      <c r="BS401" s="295"/>
      <c r="BT401" s="295"/>
      <c r="BU401" s="295"/>
      <c r="BV401" s="310"/>
      <c r="BW401" s="310"/>
      <c r="BX401" s="291"/>
      <c r="BY401" s="323"/>
      <c r="BZ401" s="279"/>
      <c r="CA401" s="279"/>
      <c r="CB401" s="280"/>
      <c r="CC401" s="280"/>
      <c r="CD401" s="280"/>
      <c r="CE401" s="280"/>
      <c r="CF401" s="280"/>
    </row>
    <row r="402" spans="1:84" s="326" customFormat="1" ht="12.95" customHeight="1" x14ac:dyDescent="0.25">
      <c r="A402" s="322"/>
      <c r="B402" s="312"/>
      <c r="C402" s="324"/>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c r="AE402" s="318"/>
      <c r="AF402" s="318"/>
      <c r="AG402" s="318"/>
      <c r="AH402" s="318"/>
      <c r="AI402" s="318"/>
      <c r="AJ402" s="323"/>
      <c r="AK402" s="287"/>
      <c r="AL402" s="312"/>
      <c r="AM402" s="324"/>
      <c r="AN402" s="318"/>
      <c r="AO402" s="318"/>
      <c r="AP402" s="318"/>
      <c r="AQ402" s="318"/>
      <c r="AR402" s="318"/>
      <c r="AS402" s="318"/>
      <c r="AT402" s="318"/>
      <c r="AU402" s="318"/>
      <c r="AV402" s="318"/>
      <c r="AW402" s="318"/>
      <c r="AX402" s="318"/>
      <c r="AY402" s="318"/>
      <c r="AZ402" s="318"/>
      <c r="BA402" s="318"/>
      <c r="BB402" s="318"/>
      <c r="BC402" s="318"/>
      <c r="BD402" s="318"/>
      <c r="BE402" s="318"/>
      <c r="BF402" s="318"/>
      <c r="BG402" s="318"/>
      <c r="BH402" s="318"/>
      <c r="BI402" s="318"/>
      <c r="BJ402" s="318"/>
      <c r="BK402" s="318"/>
      <c r="BL402" s="318"/>
      <c r="BM402" s="318"/>
      <c r="BN402" s="318"/>
      <c r="BO402" s="318"/>
      <c r="BP402" s="318"/>
      <c r="BQ402" s="318"/>
      <c r="BR402" s="318"/>
      <c r="BS402" s="318"/>
      <c r="BT402" s="295"/>
      <c r="BU402" s="295"/>
      <c r="BV402" s="310"/>
      <c r="BW402" s="310"/>
      <c r="BX402" s="291"/>
      <c r="BY402" s="323"/>
      <c r="BZ402" s="279"/>
      <c r="CA402" s="279"/>
      <c r="CB402" s="280"/>
      <c r="CC402" s="280"/>
      <c r="CD402" s="280"/>
      <c r="CE402" s="280"/>
      <c r="CF402" s="280"/>
    </row>
    <row r="403" spans="1:84" s="326" customFormat="1" ht="15" customHeight="1" x14ac:dyDescent="0.25">
      <c r="A403" s="322"/>
      <c r="B403" s="312"/>
      <c r="C403" s="295" t="s">
        <v>703</v>
      </c>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c r="AE403" s="318"/>
      <c r="AF403" s="318"/>
      <c r="AG403" s="318"/>
      <c r="AH403" s="318"/>
      <c r="AI403" s="318"/>
      <c r="AJ403" s="323"/>
      <c r="AK403" s="287"/>
      <c r="AL403" s="312"/>
      <c r="AM403" s="295" t="s">
        <v>704</v>
      </c>
      <c r="AN403" s="318"/>
      <c r="AO403" s="318"/>
      <c r="AP403" s="318"/>
      <c r="AQ403" s="318"/>
      <c r="AR403" s="318"/>
      <c r="AS403" s="318"/>
      <c r="AT403" s="318"/>
      <c r="AU403" s="318"/>
      <c r="AV403" s="318"/>
      <c r="AW403" s="318"/>
      <c r="AX403" s="318"/>
      <c r="AY403" s="318"/>
      <c r="AZ403" s="318"/>
      <c r="BA403" s="318"/>
      <c r="BB403" s="318"/>
      <c r="BC403" s="318"/>
      <c r="BD403" s="318"/>
      <c r="BE403" s="318"/>
      <c r="BF403" s="318"/>
      <c r="BG403" s="318"/>
      <c r="BH403" s="318"/>
      <c r="BI403" s="318"/>
      <c r="BJ403" s="318"/>
      <c r="BK403" s="318"/>
      <c r="BL403" s="318"/>
      <c r="BM403" s="318"/>
      <c r="BN403" s="318"/>
      <c r="BO403" s="318"/>
      <c r="BP403" s="318"/>
      <c r="BQ403" s="318"/>
      <c r="BR403" s="318"/>
      <c r="BS403" s="318"/>
      <c r="BT403" s="295"/>
      <c r="BU403" s="295"/>
      <c r="BV403" s="310"/>
      <c r="BW403" s="310"/>
      <c r="BX403" s="291"/>
      <c r="BY403" s="323"/>
      <c r="BZ403" s="279"/>
      <c r="CA403" s="279"/>
      <c r="CB403" s="280"/>
      <c r="CC403" s="280"/>
      <c r="CD403" s="280"/>
      <c r="CE403" s="280"/>
      <c r="CF403" s="280"/>
    </row>
    <row r="404" spans="1:84" s="326" customFormat="1" ht="15" customHeight="1" x14ac:dyDescent="0.25">
      <c r="A404" s="322"/>
      <c r="B404" s="312"/>
      <c r="C404" s="333" t="s">
        <v>355</v>
      </c>
      <c r="D404" s="1603" t="s">
        <v>705</v>
      </c>
      <c r="E404" s="1603"/>
      <c r="F404" s="1603"/>
      <c r="G404" s="1603"/>
      <c r="H404" s="1603"/>
      <c r="I404" s="1603"/>
      <c r="J404" s="1603"/>
      <c r="K404" s="1603"/>
      <c r="L404" s="1603"/>
      <c r="M404" s="1603"/>
      <c r="N404" s="1603"/>
      <c r="O404" s="1603"/>
      <c r="P404" s="1603"/>
      <c r="Q404" s="1603"/>
      <c r="R404" s="1603"/>
      <c r="S404" s="1603"/>
      <c r="T404" s="1603"/>
      <c r="U404" s="1603"/>
      <c r="V404" s="1603"/>
      <c r="W404" s="1603"/>
      <c r="X404" s="1603"/>
      <c r="Y404" s="1603"/>
      <c r="Z404" s="1603"/>
      <c r="AA404" s="1603"/>
      <c r="AB404" s="1603"/>
      <c r="AC404" s="1603"/>
      <c r="AD404" s="1603"/>
      <c r="AE404" s="1603"/>
      <c r="AF404" s="1603"/>
      <c r="AG404" s="1603"/>
      <c r="AH404" s="1603"/>
      <c r="AI404" s="1603"/>
      <c r="AJ404" s="323"/>
      <c r="AK404" s="287"/>
      <c r="AL404" s="312"/>
      <c r="AM404" s="333" t="s">
        <v>355</v>
      </c>
      <c r="AN404" s="1603" t="s">
        <v>706</v>
      </c>
      <c r="AO404" s="1603"/>
      <c r="AP404" s="1603"/>
      <c r="AQ404" s="1603"/>
      <c r="AR404" s="1603"/>
      <c r="AS404" s="1603"/>
      <c r="AT404" s="1603"/>
      <c r="AU404" s="1603"/>
      <c r="AV404" s="1603"/>
      <c r="AW404" s="1603"/>
      <c r="AX404" s="1603"/>
      <c r="AY404" s="1603"/>
      <c r="AZ404" s="1603"/>
      <c r="BA404" s="1603"/>
      <c r="BB404" s="1603"/>
      <c r="BC404" s="1603"/>
      <c r="BD404" s="1603"/>
      <c r="BE404" s="1603"/>
      <c r="BF404" s="1603"/>
      <c r="BG404" s="1603"/>
      <c r="BH404" s="1603"/>
      <c r="BI404" s="1603"/>
      <c r="BJ404" s="1603"/>
      <c r="BK404" s="1603"/>
      <c r="BL404" s="1603"/>
      <c r="BM404" s="1603"/>
      <c r="BN404" s="1603"/>
      <c r="BO404" s="1603"/>
      <c r="BP404" s="1603"/>
      <c r="BQ404" s="1603"/>
      <c r="BR404" s="1603"/>
      <c r="BS404" s="1603"/>
      <c r="BT404" s="295"/>
      <c r="BU404" s="295"/>
      <c r="BV404" s="310"/>
      <c r="BW404" s="310"/>
      <c r="BX404" s="291"/>
      <c r="BY404" s="323"/>
      <c r="BZ404" s="279"/>
      <c r="CA404" s="279"/>
      <c r="CB404" s="280"/>
      <c r="CC404" s="280"/>
      <c r="CD404" s="280"/>
      <c r="CE404" s="280"/>
      <c r="CF404" s="280"/>
    </row>
    <row r="405" spans="1:84" s="326" customFormat="1" ht="15" customHeight="1" x14ac:dyDescent="0.25">
      <c r="A405" s="322"/>
      <c r="B405" s="312"/>
      <c r="C405" s="333" t="s">
        <v>355</v>
      </c>
      <c r="D405" s="1603" t="s">
        <v>707</v>
      </c>
      <c r="E405" s="1603"/>
      <c r="F405" s="1603"/>
      <c r="G405" s="1603"/>
      <c r="H405" s="1603"/>
      <c r="I405" s="1603"/>
      <c r="J405" s="1603"/>
      <c r="K405" s="1603"/>
      <c r="L405" s="1603"/>
      <c r="M405" s="1603"/>
      <c r="N405" s="1603"/>
      <c r="O405" s="1603"/>
      <c r="P405" s="1603"/>
      <c r="Q405" s="1603"/>
      <c r="R405" s="1603"/>
      <c r="S405" s="1603"/>
      <c r="T405" s="1603"/>
      <c r="U405" s="1603"/>
      <c r="V405" s="1603"/>
      <c r="W405" s="1603"/>
      <c r="X405" s="1603"/>
      <c r="Y405" s="1603"/>
      <c r="Z405" s="1603"/>
      <c r="AA405" s="1603"/>
      <c r="AB405" s="1603"/>
      <c r="AC405" s="1603"/>
      <c r="AD405" s="1603"/>
      <c r="AE405" s="1603"/>
      <c r="AF405" s="1603"/>
      <c r="AG405" s="1603"/>
      <c r="AH405" s="1603"/>
      <c r="AI405" s="1603"/>
      <c r="AJ405" s="323"/>
      <c r="AK405" s="287"/>
      <c r="AL405" s="312"/>
      <c r="AM405" s="333" t="s">
        <v>355</v>
      </c>
      <c r="AN405" s="1603" t="s">
        <v>708</v>
      </c>
      <c r="AO405" s="1603"/>
      <c r="AP405" s="1603"/>
      <c r="AQ405" s="1603"/>
      <c r="AR405" s="1603"/>
      <c r="AS405" s="1603"/>
      <c r="AT405" s="1603"/>
      <c r="AU405" s="1603"/>
      <c r="AV405" s="1603"/>
      <c r="AW405" s="1603"/>
      <c r="AX405" s="1603"/>
      <c r="AY405" s="1603"/>
      <c r="AZ405" s="1603"/>
      <c r="BA405" s="1603"/>
      <c r="BB405" s="1603"/>
      <c r="BC405" s="1603"/>
      <c r="BD405" s="1603"/>
      <c r="BE405" s="1603"/>
      <c r="BF405" s="1603"/>
      <c r="BG405" s="1603"/>
      <c r="BH405" s="1603"/>
      <c r="BI405" s="1603"/>
      <c r="BJ405" s="1603"/>
      <c r="BK405" s="1603"/>
      <c r="BL405" s="1603"/>
      <c r="BM405" s="1603"/>
      <c r="BN405" s="1603"/>
      <c r="BO405" s="1603"/>
      <c r="BP405" s="1603"/>
      <c r="BQ405" s="1603"/>
      <c r="BR405" s="1603"/>
      <c r="BS405" s="1603"/>
      <c r="BT405" s="295"/>
      <c r="BU405" s="295"/>
      <c r="BV405" s="310"/>
      <c r="BW405" s="310"/>
      <c r="BX405" s="291"/>
      <c r="BY405" s="323"/>
      <c r="BZ405" s="279"/>
      <c r="CA405" s="279"/>
      <c r="CB405" s="280"/>
      <c r="CC405" s="280"/>
      <c r="CD405" s="280"/>
      <c r="CE405" s="280"/>
      <c r="CF405" s="280"/>
    </row>
    <row r="406" spans="1:84" s="326" customFormat="1" ht="15" hidden="1" customHeight="1" x14ac:dyDescent="0.25">
      <c r="A406" s="322"/>
      <c r="B406" s="312"/>
      <c r="C406" s="333" t="s">
        <v>355</v>
      </c>
      <c r="D406" s="1603" t="s">
        <v>709</v>
      </c>
      <c r="E406" s="1603"/>
      <c r="F406" s="1603"/>
      <c r="G406" s="1603"/>
      <c r="H406" s="1603"/>
      <c r="I406" s="1603"/>
      <c r="J406" s="1603"/>
      <c r="K406" s="1603"/>
      <c r="L406" s="1603"/>
      <c r="M406" s="1603"/>
      <c r="N406" s="1603"/>
      <c r="O406" s="1603"/>
      <c r="P406" s="1603"/>
      <c r="Q406" s="1603"/>
      <c r="R406" s="1603"/>
      <c r="S406" s="1603"/>
      <c r="T406" s="1603"/>
      <c r="U406" s="1603"/>
      <c r="V406" s="1603"/>
      <c r="W406" s="1603"/>
      <c r="X406" s="1603"/>
      <c r="Y406" s="1603"/>
      <c r="Z406" s="1603"/>
      <c r="AA406" s="1603"/>
      <c r="AB406" s="1603"/>
      <c r="AC406" s="1603"/>
      <c r="AD406" s="1603"/>
      <c r="AE406" s="1603"/>
      <c r="AF406" s="1603"/>
      <c r="AG406" s="1603"/>
      <c r="AH406" s="1603"/>
      <c r="AI406" s="1603"/>
      <c r="AJ406" s="323"/>
      <c r="AK406" s="287"/>
      <c r="AL406" s="312"/>
      <c r="AM406" s="333" t="s">
        <v>355</v>
      </c>
      <c r="AN406" s="1603" t="s">
        <v>710</v>
      </c>
      <c r="AO406" s="1603"/>
      <c r="AP406" s="1603"/>
      <c r="AQ406" s="1603"/>
      <c r="AR406" s="1603"/>
      <c r="AS406" s="1603"/>
      <c r="AT406" s="1603"/>
      <c r="AU406" s="1603"/>
      <c r="AV406" s="1603"/>
      <c r="AW406" s="1603"/>
      <c r="AX406" s="1603"/>
      <c r="AY406" s="1603"/>
      <c r="AZ406" s="1603"/>
      <c r="BA406" s="1603"/>
      <c r="BB406" s="1603"/>
      <c r="BC406" s="1603"/>
      <c r="BD406" s="1603"/>
      <c r="BE406" s="1603"/>
      <c r="BF406" s="1603"/>
      <c r="BG406" s="1603"/>
      <c r="BH406" s="1603"/>
      <c r="BI406" s="1603"/>
      <c r="BJ406" s="1603"/>
      <c r="BK406" s="1603"/>
      <c r="BL406" s="1603"/>
      <c r="BM406" s="1603"/>
      <c r="BN406" s="1603"/>
      <c r="BO406" s="1603"/>
      <c r="BP406" s="1603"/>
      <c r="BQ406" s="1603"/>
      <c r="BR406" s="1603"/>
      <c r="BS406" s="1603"/>
      <c r="BT406" s="295"/>
      <c r="BU406" s="295"/>
      <c r="BV406" s="310"/>
      <c r="BW406" s="310"/>
      <c r="BX406" s="291"/>
      <c r="BY406" s="323"/>
      <c r="BZ406" s="279"/>
      <c r="CA406" s="279"/>
      <c r="CB406" s="280"/>
      <c r="CC406" s="280"/>
      <c r="CD406" s="280"/>
      <c r="CE406" s="280"/>
      <c r="CF406" s="280"/>
    </row>
    <row r="407" spans="1:84" s="326" customFormat="1" ht="15" customHeight="1" x14ac:dyDescent="0.25">
      <c r="A407" s="322"/>
      <c r="B407" s="312"/>
      <c r="C407" s="333" t="s">
        <v>355</v>
      </c>
      <c r="D407" s="1603" t="s">
        <v>711</v>
      </c>
      <c r="E407" s="1603"/>
      <c r="F407" s="1603"/>
      <c r="G407" s="1603"/>
      <c r="H407" s="1603"/>
      <c r="I407" s="1603"/>
      <c r="J407" s="1603"/>
      <c r="K407" s="1603"/>
      <c r="L407" s="1603"/>
      <c r="M407" s="1603"/>
      <c r="N407" s="1603"/>
      <c r="O407" s="1603"/>
      <c r="P407" s="1603"/>
      <c r="Q407" s="1603"/>
      <c r="R407" s="1603"/>
      <c r="S407" s="1603"/>
      <c r="T407" s="1603"/>
      <c r="U407" s="1603"/>
      <c r="V407" s="1603"/>
      <c r="W407" s="1603"/>
      <c r="X407" s="1603"/>
      <c r="Y407" s="1603"/>
      <c r="Z407" s="1603"/>
      <c r="AA407" s="1603"/>
      <c r="AB407" s="1603"/>
      <c r="AC407" s="1603"/>
      <c r="AD407" s="1603"/>
      <c r="AE407" s="1603"/>
      <c r="AF407" s="1603"/>
      <c r="AG407" s="1603"/>
      <c r="AH407" s="1603"/>
      <c r="AI407" s="1603"/>
      <c r="AJ407" s="323"/>
      <c r="AK407" s="287"/>
      <c r="AL407" s="312"/>
      <c r="AM407" s="333" t="s">
        <v>355</v>
      </c>
      <c r="AN407" s="1603" t="s">
        <v>712</v>
      </c>
      <c r="AO407" s="1603"/>
      <c r="AP407" s="1603"/>
      <c r="AQ407" s="1603"/>
      <c r="AR407" s="1603"/>
      <c r="AS407" s="1603"/>
      <c r="AT407" s="1603"/>
      <c r="AU407" s="1603"/>
      <c r="AV407" s="1603"/>
      <c r="AW407" s="1603"/>
      <c r="AX407" s="1603"/>
      <c r="AY407" s="1603"/>
      <c r="AZ407" s="1603"/>
      <c r="BA407" s="1603"/>
      <c r="BB407" s="1603"/>
      <c r="BC407" s="1603"/>
      <c r="BD407" s="1603"/>
      <c r="BE407" s="1603"/>
      <c r="BF407" s="1603"/>
      <c r="BG407" s="1603"/>
      <c r="BH407" s="1603"/>
      <c r="BI407" s="1603"/>
      <c r="BJ407" s="1603"/>
      <c r="BK407" s="1603"/>
      <c r="BL407" s="1603"/>
      <c r="BM407" s="1603"/>
      <c r="BN407" s="1603"/>
      <c r="BO407" s="1603"/>
      <c r="BP407" s="1603"/>
      <c r="BQ407" s="1603"/>
      <c r="BR407" s="1603"/>
      <c r="BS407" s="1603"/>
      <c r="BT407" s="295"/>
      <c r="BU407" s="295"/>
      <c r="BV407" s="310"/>
      <c r="BW407" s="310"/>
      <c r="BX407" s="291"/>
      <c r="BY407" s="323"/>
      <c r="BZ407" s="279"/>
      <c r="CA407" s="279"/>
      <c r="CB407" s="280"/>
      <c r="CC407" s="280"/>
      <c r="CD407" s="280"/>
      <c r="CE407" s="280"/>
      <c r="CF407" s="280"/>
    </row>
    <row r="408" spans="1:84" s="326" customFormat="1" ht="15" customHeight="1" x14ac:dyDescent="0.25">
      <c r="A408" s="322"/>
      <c r="B408" s="312"/>
      <c r="C408" s="1603" t="s">
        <v>713</v>
      </c>
      <c r="D408" s="1603"/>
      <c r="E408" s="1603"/>
      <c r="F408" s="1603"/>
      <c r="G408" s="1603"/>
      <c r="H408" s="1603"/>
      <c r="I408" s="1603"/>
      <c r="J408" s="1603"/>
      <c r="K408" s="1603"/>
      <c r="L408" s="1603"/>
      <c r="M408" s="1603"/>
      <c r="N408" s="1603"/>
      <c r="O408" s="1603"/>
      <c r="P408" s="1603"/>
      <c r="Q408" s="1603"/>
      <c r="R408" s="1603"/>
      <c r="S408" s="1603"/>
      <c r="T408" s="1603"/>
      <c r="U408" s="1603"/>
      <c r="V408" s="1603"/>
      <c r="W408" s="1603"/>
      <c r="X408" s="1603"/>
      <c r="Y408" s="1603"/>
      <c r="Z408" s="1603"/>
      <c r="AA408" s="1603"/>
      <c r="AB408" s="1603"/>
      <c r="AC408" s="1603"/>
      <c r="AD408" s="1603"/>
      <c r="AE408" s="1603"/>
      <c r="AF408" s="1603"/>
      <c r="AG408" s="1603"/>
      <c r="AH408" s="1603"/>
      <c r="AI408" s="1603"/>
      <c r="AJ408" s="323"/>
      <c r="AK408" s="287"/>
      <c r="AL408" s="312"/>
      <c r="AM408" s="1603" t="s">
        <v>714</v>
      </c>
      <c r="AN408" s="1603"/>
      <c r="AO408" s="1603"/>
      <c r="AP408" s="1603"/>
      <c r="AQ408" s="1603"/>
      <c r="AR408" s="1603"/>
      <c r="AS408" s="1603"/>
      <c r="AT408" s="1603"/>
      <c r="AU408" s="1603"/>
      <c r="AV408" s="1603"/>
      <c r="AW408" s="1603"/>
      <c r="AX408" s="1603"/>
      <c r="AY408" s="1603"/>
      <c r="AZ408" s="1603"/>
      <c r="BA408" s="1603"/>
      <c r="BB408" s="1603"/>
      <c r="BC408" s="1603"/>
      <c r="BD408" s="1603"/>
      <c r="BE408" s="1603"/>
      <c r="BF408" s="1603"/>
      <c r="BG408" s="1603"/>
      <c r="BH408" s="1603"/>
      <c r="BI408" s="1603"/>
      <c r="BJ408" s="1603"/>
      <c r="BK408" s="1603"/>
      <c r="BL408" s="1603"/>
      <c r="BM408" s="1603"/>
      <c r="BN408" s="1603"/>
      <c r="BO408" s="1603"/>
      <c r="BP408" s="1603"/>
      <c r="BQ408" s="1603"/>
      <c r="BR408" s="1603"/>
      <c r="BS408" s="1603"/>
      <c r="BT408" s="295"/>
      <c r="BU408" s="295"/>
      <c r="BV408" s="310"/>
      <c r="BW408" s="310"/>
      <c r="BX408" s="291"/>
      <c r="BY408" s="323"/>
      <c r="BZ408" s="279"/>
      <c r="CA408" s="279"/>
      <c r="CB408" s="280"/>
      <c r="CC408" s="280"/>
      <c r="CD408" s="280"/>
      <c r="CE408" s="280"/>
      <c r="CF408" s="280"/>
    </row>
    <row r="409" spans="1:84" s="326" customFormat="1" ht="2.1" customHeight="1" x14ac:dyDescent="0.25">
      <c r="A409" s="322"/>
      <c r="B409" s="312"/>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c r="AE409" s="318"/>
      <c r="AF409" s="318"/>
      <c r="AG409" s="318"/>
      <c r="AH409" s="318"/>
      <c r="AI409" s="318"/>
      <c r="AJ409" s="323"/>
      <c r="AK409" s="287"/>
      <c r="AL409" s="312"/>
      <c r="AM409" s="318"/>
      <c r="AN409" s="318"/>
      <c r="AO409" s="318"/>
      <c r="AP409" s="318"/>
      <c r="AQ409" s="318"/>
      <c r="AR409" s="318"/>
      <c r="AS409" s="318"/>
      <c r="AT409" s="318"/>
      <c r="AU409" s="318"/>
      <c r="AV409" s="318"/>
      <c r="AW409" s="318"/>
      <c r="AX409" s="318"/>
      <c r="AY409" s="318"/>
      <c r="AZ409" s="318"/>
      <c r="BA409" s="318"/>
      <c r="BB409" s="318"/>
      <c r="BC409" s="318"/>
      <c r="BD409" s="318"/>
      <c r="BE409" s="318"/>
      <c r="BF409" s="318"/>
      <c r="BG409" s="318"/>
      <c r="BH409" s="318"/>
      <c r="BI409" s="318"/>
      <c r="BJ409" s="318"/>
      <c r="BK409" s="318"/>
      <c r="BL409" s="318"/>
      <c r="BM409" s="318"/>
      <c r="BN409" s="318"/>
      <c r="BO409" s="318"/>
      <c r="BP409" s="318"/>
      <c r="BQ409" s="318"/>
      <c r="BR409" s="318"/>
      <c r="BS409" s="318"/>
      <c r="BT409" s="295"/>
      <c r="BU409" s="295"/>
      <c r="BV409" s="310"/>
      <c r="BW409" s="310"/>
      <c r="BX409" s="291"/>
      <c r="BY409" s="323"/>
      <c r="BZ409" s="279"/>
      <c r="CA409" s="279"/>
      <c r="CB409" s="280"/>
      <c r="CC409" s="280"/>
      <c r="CD409" s="280"/>
      <c r="CE409" s="280"/>
      <c r="CF409" s="280"/>
    </row>
    <row r="410" spans="1:84" s="326" customFormat="1" ht="12.95" customHeight="1" x14ac:dyDescent="0.25">
      <c r="A410" s="322"/>
      <c r="B410" s="312"/>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c r="AE410" s="318"/>
      <c r="AF410" s="318"/>
      <c r="AG410" s="318"/>
      <c r="AH410" s="318"/>
      <c r="AI410" s="318"/>
      <c r="AJ410" s="323"/>
      <c r="AK410" s="287"/>
      <c r="AL410" s="312"/>
      <c r="AM410" s="318"/>
      <c r="AN410" s="318"/>
      <c r="AO410" s="318"/>
      <c r="AP410" s="318"/>
      <c r="AQ410" s="318"/>
      <c r="AR410" s="318"/>
      <c r="AS410" s="318"/>
      <c r="AT410" s="318"/>
      <c r="AU410" s="318"/>
      <c r="AV410" s="318"/>
      <c r="AW410" s="318"/>
      <c r="AX410" s="318"/>
      <c r="AY410" s="318"/>
      <c r="AZ410" s="318"/>
      <c r="BA410" s="318"/>
      <c r="BB410" s="318"/>
      <c r="BC410" s="318"/>
      <c r="BD410" s="318"/>
      <c r="BE410" s="318"/>
      <c r="BF410" s="318"/>
      <c r="BG410" s="318"/>
      <c r="BH410" s="318"/>
      <c r="BI410" s="318"/>
      <c r="BJ410" s="318"/>
      <c r="BK410" s="318"/>
      <c r="BL410" s="318"/>
      <c r="BM410" s="318"/>
      <c r="BN410" s="318"/>
      <c r="BO410" s="318"/>
      <c r="BP410" s="318"/>
      <c r="BQ410" s="318"/>
      <c r="BR410" s="318"/>
      <c r="BS410" s="318"/>
      <c r="BT410" s="295"/>
      <c r="BU410" s="295"/>
      <c r="BV410" s="310"/>
      <c r="BW410" s="310"/>
      <c r="BX410" s="291"/>
      <c r="BY410" s="323"/>
      <c r="BZ410" s="279"/>
      <c r="CA410" s="279"/>
      <c r="CB410" s="280"/>
      <c r="CC410" s="280"/>
      <c r="CD410" s="280"/>
      <c r="CE410" s="280"/>
      <c r="CF410" s="280"/>
    </row>
    <row r="411" spans="1:84" s="326" customFormat="1" ht="15" customHeight="1" x14ac:dyDescent="0.25">
      <c r="A411" s="322" t="str">
        <f>subSTT</f>
        <v>2.20</v>
      </c>
      <c r="B411" s="312" t="s">
        <v>345</v>
      </c>
      <c r="C411" s="312" t="s">
        <v>715</v>
      </c>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c r="AH411" s="318"/>
      <c r="AI411" s="318"/>
      <c r="AJ411" s="323"/>
      <c r="AK411" s="287" t="str">
        <f>A411</f>
        <v>2.20</v>
      </c>
      <c r="AL411" s="312" t="s">
        <v>345</v>
      </c>
      <c r="AM411" s="312" t="s">
        <v>716</v>
      </c>
      <c r="AN411" s="318"/>
      <c r="AO411" s="318"/>
      <c r="AP411" s="318"/>
      <c r="AQ411" s="318"/>
      <c r="AR411" s="318"/>
      <c r="AS411" s="318"/>
      <c r="AT411" s="318"/>
      <c r="AU411" s="318"/>
      <c r="AV411" s="318"/>
      <c r="AW411" s="318"/>
      <c r="AX411" s="318"/>
      <c r="AY411" s="318"/>
      <c r="AZ411" s="318"/>
      <c r="BA411" s="318"/>
      <c r="BB411" s="318"/>
      <c r="BC411" s="318"/>
      <c r="BD411" s="318"/>
      <c r="BE411" s="318"/>
      <c r="BF411" s="318"/>
      <c r="BG411" s="318"/>
      <c r="BH411" s="318"/>
      <c r="BI411" s="318"/>
      <c r="BJ411" s="318"/>
      <c r="BK411" s="318"/>
      <c r="BL411" s="318"/>
      <c r="BM411" s="318"/>
      <c r="BN411" s="318"/>
      <c r="BO411" s="318"/>
      <c r="BP411" s="318"/>
      <c r="BQ411" s="318"/>
      <c r="BR411" s="318"/>
      <c r="BS411" s="318"/>
      <c r="BT411" s="295"/>
      <c r="BU411" s="295"/>
      <c r="BV411" s="310"/>
      <c r="BW411" s="310"/>
      <c r="BX411" s="291"/>
      <c r="BY411" s="323"/>
      <c r="BZ411" s="279"/>
      <c r="CA411" s="279"/>
      <c r="CB411" s="280"/>
      <c r="CC411" s="280"/>
      <c r="CD411" s="280"/>
      <c r="CE411" s="280"/>
      <c r="CF411" s="280"/>
    </row>
    <row r="412" spans="1:84" s="326" customFormat="1" ht="12.95" hidden="1" customHeight="1" x14ac:dyDescent="0.25">
      <c r="A412" s="322"/>
      <c r="B412" s="312"/>
      <c r="C412" s="324"/>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c r="AH412" s="318"/>
      <c r="AI412" s="318"/>
      <c r="AJ412" s="323"/>
      <c r="AK412" s="287"/>
      <c r="AL412" s="312"/>
      <c r="AM412" s="324"/>
      <c r="AN412" s="318"/>
      <c r="AO412" s="318"/>
      <c r="AP412" s="318"/>
      <c r="AQ412" s="318"/>
      <c r="AR412" s="318"/>
      <c r="AS412" s="318"/>
      <c r="AT412" s="318"/>
      <c r="AU412" s="318"/>
      <c r="AV412" s="318"/>
      <c r="AW412" s="318"/>
      <c r="AX412" s="318"/>
      <c r="AY412" s="318"/>
      <c r="AZ412" s="318"/>
      <c r="BA412" s="318"/>
      <c r="BB412" s="318"/>
      <c r="BC412" s="318"/>
      <c r="BD412" s="318"/>
      <c r="BE412" s="318"/>
      <c r="BF412" s="318"/>
      <c r="BG412" s="318"/>
      <c r="BH412" s="318"/>
      <c r="BI412" s="318"/>
      <c r="BJ412" s="318"/>
      <c r="BK412" s="318"/>
      <c r="BL412" s="318"/>
      <c r="BM412" s="318"/>
      <c r="BN412" s="318"/>
      <c r="BO412" s="318"/>
      <c r="BP412" s="318"/>
      <c r="BQ412" s="318"/>
      <c r="BR412" s="318"/>
      <c r="BS412" s="318"/>
      <c r="BT412" s="295"/>
      <c r="BU412" s="295"/>
      <c r="BV412" s="310"/>
      <c r="BW412" s="310"/>
      <c r="BX412" s="291"/>
      <c r="BY412" s="323"/>
      <c r="BZ412" s="279"/>
      <c r="CA412" s="279"/>
      <c r="CB412" s="280"/>
      <c r="CC412" s="280"/>
      <c r="CD412" s="280"/>
      <c r="CE412" s="280"/>
      <c r="CF412" s="280"/>
    </row>
    <row r="413" spans="1:84" s="326" customFormat="1" ht="15" hidden="1" customHeight="1" x14ac:dyDescent="0.25">
      <c r="A413" s="322"/>
      <c r="B413" s="312"/>
      <c r="C413" s="295" t="s">
        <v>717</v>
      </c>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c r="AH413" s="318"/>
      <c r="AI413" s="318"/>
      <c r="AJ413" s="323"/>
      <c r="AK413" s="287"/>
      <c r="AL413" s="312"/>
      <c r="AM413" s="295" t="s">
        <v>718</v>
      </c>
      <c r="AN413" s="318"/>
      <c r="AO413" s="318"/>
      <c r="AP413" s="318"/>
      <c r="AQ413" s="318"/>
      <c r="AR413" s="318"/>
      <c r="AS413" s="318"/>
      <c r="AT413" s="318"/>
      <c r="AU413" s="318"/>
      <c r="AV413" s="318"/>
      <c r="AW413" s="318"/>
      <c r="AX413" s="318"/>
      <c r="AY413" s="318"/>
      <c r="AZ413" s="318"/>
      <c r="BA413" s="318"/>
      <c r="BB413" s="318"/>
      <c r="BC413" s="318"/>
      <c r="BD413" s="318"/>
      <c r="BE413" s="318"/>
      <c r="BF413" s="318"/>
      <c r="BG413" s="318"/>
      <c r="BH413" s="318"/>
      <c r="BI413" s="318"/>
      <c r="BJ413" s="318"/>
      <c r="BK413" s="318"/>
      <c r="BL413" s="318"/>
      <c r="BM413" s="318"/>
      <c r="BN413" s="318"/>
      <c r="BO413" s="318"/>
      <c r="BP413" s="318"/>
      <c r="BQ413" s="318"/>
      <c r="BR413" s="318"/>
      <c r="BS413" s="318"/>
      <c r="BT413" s="295"/>
      <c r="BU413" s="295"/>
      <c r="BV413" s="310"/>
      <c r="BW413" s="310"/>
      <c r="BX413" s="291"/>
      <c r="BY413" s="323"/>
      <c r="BZ413" s="279"/>
      <c r="CA413" s="279"/>
      <c r="CB413" s="280"/>
      <c r="CC413" s="280"/>
      <c r="CD413" s="280"/>
      <c r="CE413" s="280"/>
      <c r="CF413" s="280"/>
    </row>
    <row r="414" spans="1:84" s="326" customFormat="1" ht="42" hidden="1" customHeight="1" x14ac:dyDescent="0.25">
      <c r="A414" s="322"/>
      <c r="B414" s="312"/>
      <c r="C414" s="1603" t="s">
        <v>719</v>
      </c>
      <c r="D414" s="1603"/>
      <c r="E414" s="1603"/>
      <c r="F414" s="1603"/>
      <c r="G414" s="1603"/>
      <c r="H414" s="1603"/>
      <c r="I414" s="1603"/>
      <c r="J414" s="1603"/>
      <c r="K414" s="1603"/>
      <c r="L414" s="1603"/>
      <c r="M414" s="1603"/>
      <c r="N414" s="1603"/>
      <c r="O414" s="1603"/>
      <c r="P414" s="1603"/>
      <c r="Q414" s="1603"/>
      <c r="R414" s="1603"/>
      <c r="S414" s="1603"/>
      <c r="T414" s="1603"/>
      <c r="U414" s="1603"/>
      <c r="V414" s="1603"/>
      <c r="W414" s="1603"/>
      <c r="X414" s="1603"/>
      <c r="Y414" s="1603"/>
      <c r="Z414" s="1603"/>
      <c r="AA414" s="1603"/>
      <c r="AB414" s="1603"/>
      <c r="AC414" s="1603"/>
      <c r="AD414" s="1603"/>
      <c r="AE414" s="1603"/>
      <c r="AF414" s="1603"/>
      <c r="AG414" s="1603"/>
      <c r="AH414" s="1603"/>
      <c r="AI414" s="1603"/>
      <c r="AJ414" s="323"/>
      <c r="AK414" s="287"/>
      <c r="AL414" s="312"/>
      <c r="AM414" s="1603" t="s">
        <v>720</v>
      </c>
      <c r="AN414" s="1603"/>
      <c r="AO414" s="1603"/>
      <c r="AP414" s="1603"/>
      <c r="AQ414" s="1603"/>
      <c r="AR414" s="1603"/>
      <c r="AS414" s="1603"/>
      <c r="AT414" s="1603"/>
      <c r="AU414" s="1603"/>
      <c r="AV414" s="1603"/>
      <c r="AW414" s="1603"/>
      <c r="AX414" s="1603"/>
      <c r="AY414" s="1603"/>
      <c r="AZ414" s="1603"/>
      <c r="BA414" s="1603"/>
      <c r="BB414" s="1603"/>
      <c r="BC414" s="1603"/>
      <c r="BD414" s="1603"/>
      <c r="BE414" s="1603"/>
      <c r="BF414" s="1603"/>
      <c r="BG414" s="1603"/>
      <c r="BH414" s="1603"/>
      <c r="BI414" s="1603"/>
      <c r="BJ414" s="1603"/>
      <c r="BK414" s="1603"/>
      <c r="BL414" s="1603"/>
      <c r="BM414" s="1603"/>
      <c r="BN414" s="1603"/>
      <c r="BO414" s="1603"/>
      <c r="BP414" s="1603"/>
      <c r="BQ414" s="1603"/>
      <c r="BR414" s="1603"/>
      <c r="BS414" s="1603"/>
      <c r="BT414" s="295"/>
      <c r="BU414" s="295"/>
      <c r="BV414" s="310"/>
      <c r="BW414" s="310"/>
      <c r="BX414" s="291"/>
      <c r="BY414" s="323"/>
      <c r="BZ414" s="279"/>
      <c r="CA414" s="279"/>
      <c r="CB414" s="280"/>
      <c r="CC414" s="280"/>
      <c r="CD414" s="280"/>
      <c r="CE414" s="280"/>
      <c r="CF414" s="280"/>
    </row>
    <row r="415" spans="1:84" s="326" customFormat="1" ht="12.95" hidden="1" customHeight="1" x14ac:dyDescent="0.25">
      <c r="A415" s="322"/>
      <c r="B415" s="312"/>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318"/>
      <c r="AF415" s="318"/>
      <c r="AG415" s="318"/>
      <c r="AH415" s="318"/>
      <c r="AI415" s="318"/>
      <c r="AJ415" s="323"/>
      <c r="AK415" s="287"/>
      <c r="AL415" s="312"/>
      <c r="AM415" s="318"/>
      <c r="AN415" s="318"/>
      <c r="AO415" s="318"/>
      <c r="AP415" s="318"/>
      <c r="AQ415" s="318"/>
      <c r="AR415" s="318"/>
      <c r="AS415" s="318"/>
      <c r="AT415" s="318"/>
      <c r="AU415" s="318"/>
      <c r="AV415" s="318"/>
      <c r="AW415" s="318"/>
      <c r="AX415" s="318"/>
      <c r="AY415" s="318"/>
      <c r="AZ415" s="318"/>
      <c r="BA415" s="318"/>
      <c r="BB415" s="318"/>
      <c r="BC415" s="318"/>
      <c r="BD415" s="318"/>
      <c r="BE415" s="318"/>
      <c r="BF415" s="318"/>
      <c r="BG415" s="318"/>
      <c r="BH415" s="318"/>
      <c r="BI415" s="318"/>
      <c r="BJ415" s="318"/>
      <c r="BK415" s="318"/>
      <c r="BL415" s="318"/>
      <c r="BM415" s="318"/>
      <c r="BN415" s="318"/>
      <c r="BO415" s="318"/>
      <c r="BP415" s="318"/>
      <c r="BQ415" s="318"/>
      <c r="BR415" s="318"/>
      <c r="BS415" s="318"/>
      <c r="BT415" s="295"/>
      <c r="BU415" s="295"/>
      <c r="BV415" s="310"/>
      <c r="BW415" s="310"/>
      <c r="BX415" s="291"/>
      <c r="BY415" s="323"/>
      <c r="BZ415" s="279"/>
      <c r="CA415" s="279"/>
      <c r="CB415" s="280"/>
      <c r="CC415" s="280"/>
      <c r="CD415" s="280"/>
      <c r="CE415" s="280"/>
      <c r="CF415" s="280"/>
    </row>
    <row r="416" spans="1:84" s="326" customFormat="1" ht="54.95" hidden="1" customHeight="1" x14ac:dyDescent="0.25">
      <c r="A416" s="322"/>
      <c r="B416" s="312"/>
      <c r="C416" s="1603" t="s">
        <v>721</v>
      </c>
      <c r="D416" s="1603"/>
      <c r="E416" s="1603"/>
      <c r="F416" s="1603"/>
      <c r="G416" s="1603"/>
      <c r="H416" s="1603"/>
      <c r="I416" s="1603"/>
      <c r="J416" s="1603"/>
      <c r="K416" s="1603"/>
      <c r="L416" s="1603"/>
      <c r="M416" s="1603"/>
      <c r="N416" s="1603"/>
      <c r="O416" s="1603"/>
      <c r="P416" s="1603"/>
      <c r="Q416" s="1603"/>
      <c r="R416" s="1603"/>
      <c r="S416" s="1603"/>
      <c r="T416" s="1603"/>
      <c r="U416" s="1603"/>
      <c r="V416" s="1603"/>
      <c r="W416" s="1603"/>
      <c r="X416" s="1603"/>
      <c r="Y416" s="1603"/>
      <c r="Z416" s="1603"/>
      <c r="AA416" s="1603"/>
      <c r="AB416" s="1603"/>
      <c r="AC416" s="1603"/>
      <c r="AD416" s="1603"/>
      <c r="AE416" s="1603"/>
      <c r="AF416" s="1603"/>
      <c r="AG416" s="1603"/>
      <c r="AH416" s="1603"/>
      <c r="AI416" s="1603"/>
      <c r="AJ416" s="323"/>
      <c r="AK416" s="287"/>
      <c r="AL416" s="312"/>
      <c r="AM416" s="1604" t="s">
        <v>722</v>
      </c>
      <c r="AN416" s="1603"/>
      <c r="AO416" s="1603"/>
      <c r="AP416" s="1603"/>
      <c r="AQ416" s="1603"/>
      <c r="AR416" s="1603"/>
      <c r="AS416" s="1603"/>
      <c r="AT416" s="1603"/>
      <c r="AU416" s="1603"/>
      <c r="AV416" s="1603"/>
      <c r="AW416" s="1603"/>
      <c r="AX416" s="1603"/>
      <c r="AY416" s="1603"/>
      <c r="AZ416" s="1603"/>
      <c r="BA416" s="1603"/>
      <c r="BB416" s="1603"/>
      <c r="BC416" s="1603"/>
      <c r="BD416" s="1603"/>
      <c r="BE416" s="1603"/>
      <c r="BF416" s="1603"/>
      <c r="BG416" s="1603"/>
      <c r="BH416" s="1603"/>
      <c r="BI416" s="1603"/>
      <c r="BJ416" s="1603"/>
      <c r="BK416" s="1603"/>
      <c r="BL416" s="1603"/>
      <c r="BM416" s="1603"/>
      <c r="BN416" s="1603"/>
      <c r="BO416" s="1603"/>
      <c r="BP416" s="1603"/>
      <c r="BQ416" s="1603"/>
      <c r="BR416" s="1603"/>
      <c r="BS416" s="1603"/>
      <c r="BT416" s="295"/>
      <c r="BU416" s="295"/>
      <c r="BV416" s="310"/>
      <c r="BW416" s="310"/>
      <c r="BX416" s="291"/>
      <c r="BY416" s="323"/>
      <c r="BZ416" s="279"/>
      <c r="CA416" s="279"/>
      <c r="CB416" s="280"/>
      <c r="CC416" s="280"/>
      <c r="CD416" s="280"/>
      <c r="CE416" s="280"/>
      <c r="CF416" s="280"/>
    </row>
    <row r="417" spans="1:84" s="326" customFormat="1" ht="12.95" hidden="1" customHeight="1" x14ac:dyDescent="0.25">
      <c r="A417" s="322"/>
      <c r="B417" s="312"/>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c r="AE417" s="318"/>
      <c r="AF417" s="318"/>
      <c r="AG417" s="318"/>
      <c r="AH417" s="318"/>
      <c r="AI417" s="318"/>
      <c r="AJ417" s="323"/>
      <c r="AK417" s="287"/>
      <c r="AL417" s="312"/>
      <c r="AM417" s="318"/>
      <c r="AN417" s="318"/>
      <c r="AO417" s="318"/>
      <c r="AP417" s="318"/>
      <c r="AQ417" s="318"/>
      <c r="AR417" s="318"/>
      <c r="AS417" s="318"/>
      <c r="AT417" s="318"/>
      <c r="AU417" s="318"/>
      <c r="AV417" s="318"/>
      <c r="AW417" s="318"/>
      <c r="AX417" s="318"/>
      <c r="AY417" s="318"/>
      <c r="AZ417" s="318"/>
      <c r="BA417" s="318"/>
      <c r="BB417" s="318"/>
      <c r="BC417" s="318"/>
      <c r="BD417" s="318"/>
      <c r="BE417" s="318"/>
      <c r="BF417" s="318"/>
      <c r="BG417" s="318"/>
      <c r="BH417" s="318"/>
      <c r="BI417" s="318"/>
      <c r="BJ417" s="318"/>
      <c r="BK417" s="318"/>
      <c r="BL417" s="318"/>
      <c r="BM417" s="318"/>
      <c r="BN417" s="318"/>
      <c r="BO417" s="318"/>
      <c r="BP417" s="318"/>
      <c r="BQ417" s="318"/>
      <c r="BR417" s="318"/>
      <c r="BS417" s="318"/>
      <c r="BT417" s="295"/>
      <c r="BU417" s="295"/>
      <c r="BV417" s="310"/>
      <c r="BW417" s="310"/>
      <c r="BX417" s="291"/>
      <c r="BY417" s="323"/>
      <c r="BZ417" s="279"/>
      <c r="CA417" s="279"/>
      <c r="CB417" s="280"/>
      <c r="CC417" s="280"/>
      <c r="CD417" s="280"/>
      <c r="CE417" s="280"/>
      <c r="CF417" s="280"/>
    </row>
    <row r="418" spans="1:84" s="329" customFormat="1" ht="42" hidden="1" customHeight="1" x14ac:dyDescent="0.25">
      <c r="A418" s="322"/>
      <c r="B418" s="312"/>
      <c r="C418" s="1604" t="s">
        <v>723</v>
      </c>
      <c r="D418" s="1603"/>
      <c r="E418" s="1603"/>
      <c r="F418" s="1603"/>
      <c r="G418" s="1603"/>
      <c r="H418" s="1603"/>
      <c r="I418" s="1603"/>
      <c r="J418" s="1603"/>
      <c r="K418" s="1603"/>
      <c r="L418" s="1603"/>
      <c r="M418" s="1603"/>
      <c r="N418" s="1603"/>
      <c r="O418" s="1603"/>
      <c r="P418" s="1603"/>
      <c r="Q418" s="1603"/>
      <c r="R418" s="1603"/>
      <c r="S418" s="1603"/>
      <c r="T418" s="1603"/>
      <c r="U418" s="1603"/>
      <c r="V418" s="1603"/>
      <c r="W418" s="1603"/>
      <c r="X418" s="1603"/>
      <c r="Y418" s="1603"/>
      <c r="Z418" s="1603"/>
      <c r="AA418" s="1603"/>
      <c r="AB418" s="1603"/>
      <c r="AC418" s="1603"/>
      <c r="AD418" s="1603"/>
      <c r="AE418" s="1603"/>
      <c r="AF418" s="1603"/>
      <c r="AG418" s="1603"/>
      <c r="AH418" s="1603"/>
      <c r="AI418" s="1603"/>
      <c r="AJ418" s="295"/>
      <c r="AK418" s="287"/>
      <c r="AL418" s="312"/>
      <c r="AM418" s="1604" t="s">
        <v>724</v>
      </c>
      <c r="AN418" s="1603"/>
      <c r="AO418" s="1603"/>
      <c r="AP418" s="1603"/>
      <c r="AQ418" s="1603"/>
      <c r="AR418" s="1603"/>
      <c r="AS418" s="1603"/>
      <c r="AT418" s="1603"/>
      <c r="AU418" s="1603"/>
      <c r="AV418" s="1603"/>
      <c r="AW418" s="1603"/>
      <c r="AX418" s="1603"/>
      <c r="AY418" s="1603"/>
      <c r="AZ418" s="1603"/>
      <c r="BA418" s="1603"/>
      <c r="BB418" s="1603"/>
      <c r="BC418" s="1603"/>
      <c r="BD418" s="1603"/>
      <c r="BE418" s="1603"/>
      <c r="BF418" s="1603"/>
      <c r="BG418" s="1603"/>
      <c r="BH418" s="1603"/>
      <c r="BI418" s="1603"/>
      <c r="BJ418" s="1603"/>
      <c r="BK418" s="1603"/>
      <c r="BL418" s="1603"/>
      <c r="BM418" s="1603"/>
      <c r="BN418" s="1603"/>
      <c r="BO418" s="1603"/>
      <c r="BP418" s="1603"/>
      <c r="BQ418" s="1603"/>
      <c r="BR418" s="1603"/>
      <c r="BS418" s="1603"/>
      <c r="BT418" s="295"/>
      <c r="BU418" s="295"/>
      <c r="BV418" s="310"/>
      <c r="BW418" s="310"/>
      <c r="BX418" s="300"/>
      <c r="BY418" s="295"/>
      <c r="BZ418" s="273"/>
      <c r="CA418" s="273"/>
      <c r="CB418" s="301"/>
      <c r="CC418" s="301"/>
      <c r="CD418" s="301"/>
      <c r="CE418" s="301"/>
      <c r="CF418" s="301"/>
    </row>
    <row r="419" spans="1:84" s="326" customFormat="1" ht="12.95" hidden="1" customHeight="1" x14ac:dyDescent="0.25">
      <c r="A419" s="322"/>
      <c r="B419" s="312"/>
      <c r="C419" s="314"/>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c r="AE419" s="318"/>
      <c r="AF419" s="318"/>
      <c r="AG419" s="318"/>
      <c r="AH419" s="318"/>
      <c r="AI419" s="318"/>
      <c r="AJ419" s="323"/>
      <c r="AK419" s="287"/>
      <c r="AL419" s="312"/>
      <c r="AM419" s="318"/>
      <c r="AN419" s="318"/>
      <c r="AO419" s="318"/>
      <c r="AP419" s="318"/>
      <c r="AQ419" s="318"/>
      <c r="AR419" s="318"/>
      <c r="AS419" s="318"/>
      <c r="AT419" s="318"/>
      <c r="AU419" s="318"/>
      <c r="AV419" s="318"/>
      <c r="AW419" s="318"/>
      <c r="AX419" s="318"/>
      <c r="AY419" s="318"/>
      <c r="AZ419" s="318"/>
      <c r="BA419" s="318"/>
      <c r="BB419" s="318"/>
      <c r="BC419" s="318"/>
      <c r="BD419" s="318"/>
      <c r="BE419" s="318"/>
      <c r="BF419" s="318"/>
      <c r="BG419" s="318"/>
      <c r="BH419" s="318"/>
      <c r="BI419" s="318"/>
      <c r="BJ419" s="318"/>
      <c r="BK419" s="318"/>
      <c r="BL419" s="318"/>
      <c r="BM419" s="318"/>
      <c r="BN419" s="318"/>
      <c r="BO419" s="318"/>
      <c r="BP419" s="318"/>
      <c r="BQ419" s="318"/>
      <c r="BR419" s="318"/>
      <c r="BS419" s="318"/>
      <c r="BT419" s="295"/>
      <c r="BU419" s="295"/>
      <c r="BV419" s="310"/>
      <c r="BW419" s="310"/>
      <c r="BX419" s="291"/>
      <c r="BY419" s="323"/>
      <c r="BZ419" s="279"/>
      <c r="CA419" s="279"/>
      <c r="CB419" s="280"/>
      <c r="CC419" s="280"/>
      <c r="CD419" s="280"/>
      <c r="CE419" s="280"/>
      <c r="CF419" s="280"/>
    </row>
    <row r="420" spans="1:84" s="326" customFormat="1" ht="15" hidden="1" customHeight="1" x14ac:dyDescent="0.25">
      <c r="A420" s="322"/>
      <c r="B420" s="312"/>
      <c r="C420" s="295" t="s">
        <v>725</v>
      </c>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c r="AE420" s="318"/>
      <c r="AF420" s="318"/>
      <c r="AG420" s="318"/>
      <c r="AH420" s="318"/>
      <c r="AI420" s="318"/>
      <c r="AJ420" s="323"/>
      <c r="AK420" s="287"/>
      <c r="AL420" s="312"/>
      <c r="AM420" s="295" t="s">
        <v>726</v>
      </c>
      <c r="AN420" s="318"/>
      <c r="AO420" s="318"/>
      <c r="AP420" s="318"/>
      <c r="AQ420" s="318"/>
      <c r="AR420" s="318"/>
      <c r="AS420" s="318"/>
      <c r="AT420" s="318"/>
      <c r="AU420" s="318"/>
      <c r="AV420" s="318"/>
      <c r="AW420" s="318"/>
      <c r="AX420" s="318"/>
      <c r="AY420" s="318"/>
      <c r="AZ420" s="318"/>
      <c r="BA420" s="318"/>
      <c r="BB420" s="318"/>
      <c r="BC420" s="318"/>
      <c r="BD420" s="318"/>
      <c r="BE420" s="318"/>
      <c r="BF420" s="318"/>
      <c r="BG420" s="318"/>
      <c r="BH420" s="318"/>
      <c r="BI420" s="318"/>
      <c r="BJ420" s="318"/>
      <c r="BK420" s="318"/>
      <c r="BL420" s="318"/>
      <c r="BM420" s="318"/>
      <c r="BN420" s="318"/>
      <c r="BO420" s="318"/>
      <c r="BP420" s="318"/>
      <c r="BQ420" s="318"/>
      <c r="BR420" s="318"/>
      <c r="BS420" s="318"/>
      <c r="BT420" s="295"/>
      <c r="BU420" s="295"/>
      <c r="BV420" s="310"/>
      <c r="BW420" s="310"/>
      <c r="BX420" s="291"/>
      <c r="BY420" s="323"/>
      <c r="BZ420" s="279"/>
      <c r="CA420" s="279"/>
      <c r="CB420" s="280"/>
      <c r="CC420" s="280"/>
      <c r="CD420" s="280"/>
      <c r="CE420" s="280"/>
      <c r="CF420" s="280"/>
    </row>
    <row r="421" spans="1:84" s="326" customFormat="1" ht="14.1" customHeight="1" x14ac:dyDescent="0.25">
      <c r="A421" s="322"/>
      <c r="B421" s="312"/>
      <c r="C421" s="295"/>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c r="AE421" s="318"/>
      <c r="AF421" s="318"/>
      <c r="AG421" s="318"/>
      <c r="AH421" s="318"/>
      <c r="AI421" s="318"/>
      <c r="AJ421" s="323"/>
      <c r="AK421" s="287"/>
      <c r="AL421" s="312"/>
      <c r="AM421" s="295"/>
      <c r="AN421" s="318"/>
      <c r="AO421" s="318"/>
      <c r="AP421" s="318"/>
      <c r="AQ421" s="318"/>
      <c r="AR421" s="318"/>
      <c r="AS421" s="318"/>
      <c r="AT421" s="318"/>
      <c r="AU421" s="318"/>
      <c r="AV421" s="318"/>
      <c r="AW421" s="318"/>
      <c r="AX421" s="318"/>
      <c r="AY421" s="318"/>
      <c r="AZ421" s="318"/>
      <c r="BA421" s="318"/>
      <c r="BB421" s="318"/>
      <c r="BC421" s="318"/>
      <c r="BD421" s="318"/>
      <c r="BE421" s="318"/>
      <c r="BF421" s="318"/>
      <c r="BG421" s="318"/>
      <c r="BH421" s="318"/>
      <c r="BI421" s="318"/>
      <c r="BJ421" s="318"/>
      <c r="BK421" s="318"/>
      <c r="BL421" s="318"/>
      <c r="BM421" s="318"/>
      <c r="BN421" s="318"/>
      <c r="BO421" s="318"/>
      <c r="BP421" s="318"/>
      <c r="BQ421" s="318"/>
      <c r="BR421" s="318"/>
      <c r="BS421" s="318"/>
      <c r="BT421" s="295"/>
      <c r="BU421" s="295"/>
      <c r="BV421" s="310"/>
      <c r="BW421" s="310"/>
      <c r="BX421" s="291"/>
      <c r="BY421" s="323"/>
      <c r="BZ421" s="279"/>
      <c r="CA421" s="279"/>
      <c r="CB421" s="280"/>
      <c r="CC421" s="280"/>
      <c r="CD421" s="280"/>
      <c r="CE421" s="280"/>
      <c r="CF421" s="280"/>
    </row>
    <row r="422" spans="1:84" s="326" customFormat="1" ht="27.95" customHeight="1" x14ac:dyDescent="0.25">
      <c r="A422" s="322"/>
      <c r="B422" s="312"/>
      <c r="C422" s="1603" t="s">
        <v>727</v>
      </c>
      <c r="D422" s="1603"/>
      <c r="E422" s="1603"/>
      <c r="F422" s="1603"/>
      <c r="G422" s="1603"/>
      <c r="H422" s="1603"/>
      <c r="I422" s="1603"/>
      <c r="J422" s="1603"/>
      <c r="K422" s="1603"/>
      <c r="L422" s="1603"/>
      <c r="M422" s="1603"/>
      <c r="N422" s="1603"/>
      <c r="O422" s="1603"/>
      <c r="P422" s="1603"/>
      <c r="Q422" s="1603"/>
      <c r="R422" s="1603"/>
      <c r="S422" s="1603"/>
      <c r="T422" s="1603"/>
      <c r="U422" s="1603"/>
      <c r="V422" s="1603"/>
      <c r="W422" s="1603"/>
      <c r="X422" s="1603"/>
      <c r="Y422" s="1603"/>
      <c r="Z422" s="1603"/>
      <c r="AA422" s="1603"/>
      <c r="AB422" s="1603"/>
      <c r="AC422" s="1603"/>
      <c r="AD422" s="1603"/>
      <c r="AE422" s="1603"/>
      <c r="AF422" s="1603"/>
      <c r="AG422" s="1603"/>
      <c r="AH422" s="1603"/>
      <c r="AI422" s="1603"/>
      <c r="AJ422" s="323"/>
      <c r="AK422" s="287"/>
      <c r="AL422" s="312"/>
      <c r="AM422" s="1603" t="s">
        <v>728</v>
      </c>
      <c r="AN422" s="1603"/>
      <c r="AO422" s="1603"/>
      <c r="AP422" s="1603"/>
      <c r="AQ422" s="1603"/>
      <c r="AR422" s="1603"/>
      <c r="AS422" s="1603"/>
      <c r="AT422" s="1603"/>
      <c r="AU422" s="1603"/>
      <c r="AV422" s="1603"/>
      <c r="AW422" s="1603"/>
      <c r="AX422" s="1603"/>
      <c r="AY422" s="1603"/>
      <c r="AZ422" s="1603"/>
      <c r="BA422" s="1603"/>
      <c r="BB422" s="1603"/>
      <c r="BC422" s="1603"/>
      <c r="BD422" s="1603"/>
      <c r="BE422" s="1603"/>
      <c r="BF422" s="1603"/>
      <c r="BG422" s="1603"/>
      <c r="BH422" s="1603"/>
      <c r="BI422" s="1603"/>
      <c r="BJ422" s="1603"/>
      <c r="BK422" s="1603"/>
      <c r="BL422" s="1603"/>
      <c r="BM422" s="1603"/>
      <c r="BN422" s="1603"/>
      <c r="BO422" s="1603"/>
      <c r="BP422" s="1603"/>
      <c r="BQ422" s="1603"/>
      <c r="BR422" s="1603"/>
      <c r="BS422" s="1603"/>
      <c r="BT422" s="295"/>
      <c r="BU422" s="295"/>
      <c r="BV422" s="310"/>
      <c r="BW422" s="310"/>
      <c r="BX422" s="291"/>
      <c r="BY422" s="323"/>
      <c r="BZ422" s="279"/>
      <c r="CA422" s="279"/>
      <c r="CB422" s="280"/>
      <c r="CC422" s="280"/>
      <c r="CD422" s="280"/>
      <c r="CE422" s="280"/>
      <c r="CF422" s="280"/>
    </row>
    <row r="423" spans="1:84" s="326" customFormat="1" ht="12.95" hidden="1" customHeight="1" x14ac:dyDescent="0.25">
      <c r="A423" s="322"/>
      <c r="B423" s="312"/>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318"/>
      <c r="AF423" s="318"/>
      <c r="AG423" s="318"/>
      <c r="AH423" s="318"/>
      <c r="AI423" s="318"/>
      <c r="AJ423" s="323"/>
      <c r="AK423" s="287"/>
      <c r="AL423" s="312"/>
      <c r="AM423" s="318"/>
      <c r="AN423" s="318"/>
      <c r="AO423" s="318"/>
      <c r="AP423" s="318"/>
      <c r="AQ423" s="318"/>
      <c r="AR423" s="318"/>
      <c r="AS423" s="318"/>
      <c r="AT423" s="318"/>
      <c r="AU423" s="318"/>
      <c r="AV423" s="318"/>
      <c r="AW423" s="318"/>
      <c r="AX423" s="318"/>
      <c r="AY423" s="318"/>
      <c r="AZ423" s="318"/>
      <c r="BA423" s="318"/>
      <c r="BB423" s="318"/>
      <c r="BC423" s="318"/>
      <c r="BD423" s="318"/>
      <c r="BE423" s="318"/>
      <c r="BF423" s="318"/>
      <c r="BG423" s="318"/>
      <c r="BH423" s="318"/>
      <c r="BI423" s="318"/>
      <c r="BJ423" s="318"/>
      <c r="BK423" s="318"/>
      <c r="BL423" s="318"/>
      <c r="BM423" s="318"/>
      <c r="BN423" s="318"/>
      <c r="BO423" s="318"/>
      <c r="BP423" s="318"/>
      <c r="BQ423" s="318"/>
      <c r="BR423" s="318"/>
      <c r="BS423" s="318"/>
      <c r="BT423" s="295"/>
      <c r="BU423" s="295"/>
      <c r="BV423" s="310"/>
      <c r="BW423" s="310"/>
      <c r="BX423" s="291"/>
      <c r="BY423" s="323"/>
      <c r="BZ423" s="279"/>
      <c r="CA423" s="279"/>
      <c r="CB423" s="280"/>
      <c r="CC423" s="280"/>
      <c r="CD423" s="280"/>
      <c r="CE423" s="280"/>
      <c r="CF423" s="280"/>
    </row>
    <row r="424" spans="1:84" s="326" customFormat="1" ht="27.95" hidden="1" customHeight="1" x14ac:dyDescent="0.25">
      <c r="A424" s="322"/>
      <c r="B424" s="312"/>
      <c r="C424" s="1603" t="s">
        <v>729</v>
      </c>
      <c r="D424" s="1603"/>
      <c r="E424" s="1603"/>
      <c r="F424" s="1603"/>
      <c r="G424" s="1603"/>
      <c r="H424" s="1603"/>
      <c r="I424" s="1603"/>
      <c r="J424" s="1603"/>
      <c r="K424" s="1603"/>
      <c r="L424" s="1603"/>
      <c r="M424" s="1603"/>
      <c r="N424" s="1603"/>
      <c r="O424" s="1603"/>
      <c r="P424" s="1603"/>
      <c r="Q424" s="1603"/>
      <c r="R424" s="1603"/>
      <c r="S424" s="1603"/>
      <c r="T424" s="1603"/>
      <c r="U424" s="1603"/>
      <c r="V424" s="1603"/>
      <c r="W424" s="1603"/>
      <c r="X424" s="1603"/>
      <c r="Y424" s="1603"/>
      <c r="Z424" s="1603"/>
      <c r="AA424" s="1603"/>
      <c r="AB424" s="1603"/>
      <c r="AC424" s="1603"/>
      <c r="AD424" s="1603"/>
      <c r="AE424" s="1603"/>
      <c r="AF424" s="1603"/>
      <c r="AG424" s="1603"/>
      <c r="AH424" s="1603"/>
      <c r="AI424" s="1603"/>
      <c r="AJ424" s="323"/>
      <c r="AK424" s="287"/>
      <c r="AL424" s="312"/>
      <c r="AM424" s="1603" t="s">
        <v>730</v>
      </c>
      <c r="AN424" s="1603"/>
      <c r="AO424" s="1603"/>
      <c r="AP424" s="1603"/>
      <c r="AQ424" s="1603"/>
      <c r="AR424" s="1603"/>
      <c r="AS424" s="1603"/>
      <c r="AT424" s="1603"/>
      <c r="AU424" s="1603"/>
      <c r="AV424" s="1603"/>
      <c r="AW424" s="1603"/>
      <c r="AX424" s="1603"/>
      <c r="AY424" s="1603"/>
      <c r="AZ424" s="1603"/>
      <c r="BA424" s="1603"/>
      <c r="BB424" s="1603"/>
      <c r="BC424" s="1603"/>
      <c r="BD424" s="1603"/>
      <c r="BE424" s="1603"/>
      <c r="BF424" s="1603"/>
      <c r="BG424" s="1603"/>
      <c r="BH424" s="1603"/>
      <c r="BI424" s="1603"/>
      <c r="BJ424" s="1603"/>
      <c r="BK424" s="1603"/>
      <c r="BL424" s="1603"/>
      <c r="BM424" s="1603"/>
      <c r="BN424" s="1603"/>
      <c r="BO424" s="1603"/>
      <c r="BP424" s="1603"/>
      <c r="BQ424" s="1603"/>
      <c r="BR424" s="1603"/>
      <c r="BS424" s="1603"/>
      <c r="BT424" s="295"/>
      <c r="BU424" s="295"/>
      <c r="BV424" s="310"/>
      <c r="BW424" s="310"/>
      <c r="BX424" s="291"/>
      <c r="BY424" s="323"/>
      <c r="BZ424" s="279"/>
      <c r="CA424" s="279"/>
      <c r="CB424" s="280"/>
      <c r="CC424" s="280"/>
      <c r="CD424" s="280"/>
      <c r="CE424" s="280"/>
      <c r="CF424" s="280"/>
    </row>
    <row r="425" spans="1:84" s="326" customFormat="1" ht="12.95" hidden="1" customHeight="1" x14ac:dyDescent="0.25">
      <c r="A425" s="322"/>
      <c r="B425" s="312"/>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c r="AI425" s="318"/>
      <c r="AJ425" s="323"/>
      <c r="AK425" s="287"/>
      <c r="AL425" s="312"/>
      <c r="AM425" s="318"/>
      <c r="AN425" s="318"/>
      <c r="AO425" s="318"/>
      <c r="AP425" s="318"/>
      <c r="AQ425" s="318"/>
      <c r="AR425" s="318"/>
      <c r="AS425" s="318"/>
      <c r="AT425" s="318"/>
      <c r="AU425" s="318"/>
      <c r="AV425" s="318"/>
      <c r="AW425" s="318"/>
      <c r="AX425" s="318"/>
      <c r="AY425" s="318"/>
      <c r="AZ425" s="318"/>
      <c r="BA425" s="318"/>
      <c r="BB425" s="318"/>
      <c r="BC425" s="318"/>
      <c r="BD425" s="318"/>
      <c r="BE425" s="318"/>
      <c r="BF425" s="318"/>
      <c r="BG425" s="318"/>
      <c r="BH425" s="318"/>
      <c r="BI425" s="318"/>
      <c r="BJ425" s="318"/>
      <c r="BK425" s="318"/>
      <c r="BL425" s="318"/>
      <c r="BM425" s="318"/>
      <c r="BN425" s="318"/>
      <c r="BO425" s="318"/>
      <c r="BP425" s="318"/>
      <c r="BQ425" s="318"/>
      <c r="BR425" s="318"/>
      <c r="BS425" s="318"/>
      <c r="BT425" s="295"/>
      <c r="BU425" s="295"/>
      <c r="BV425" s="310"/>
      <c r="BW425" s="310"/>
      <c r="BX425" s="291"/>
      <c r="BY425" s="323"/>
      <c r="BZ425" s="279"/>
      <c r="CA425" s="279"/>
      <c r="CB425" s="280"/>
      <c r="CC425" s="280"/>
      <c r="CD425" s="280"/>
      <c r="CE425" s="280"/>
      <c r="CF425" s="280"/>
    </row>
    <row r="426" spans="1:84" s="329" customFormat="1" ht="15" hidden="1" customHeight="1" x14ac:dyDescent="0.25">
      <c r="A426" s="322"/>
      <c r="B426" s="312"/>
      <c r="C426" s="1604" t="s">
        <v>731</v>
      </c>
      <c r="D426" s="1603"/>
      <c r="E426" s="1603"/>
      <c r="F426" s="1603"/>
      <c r="G426" s="1603"/>
      <c r="H426" s="1603"/>
      <c r="I426" s="1603"/>
      <c r="J426" s="1603"/>
      <c r="K426" s="1603"/>
      <c r="L426" s="1603"/>
      <c r="M426" s="1603"/>
      <c r="N426" s="1603"/>
      <c r="O426" s="1603"/>
      <c r="P426" s="1603"/>
      <c r="Q426" s="1603"/>
      <c r="R426" s="1603"/>
      <c r="S426" s="1603"/>
      <c r="T426" s="1603"/>
      <c r="U426" s="1603"/>
      <c r="V426" s="1603"/>
      <c r="W426" s="1603"/>
      <c r="X426" s="1603"/>
      <c r="Y426" s="1603"/>
      <c r="Z426" s="1603"/>
      <c r="AA426" s="1603"/>
      <c r="AB426" s="1603"/>
      <c r="AC426" s="1603"/>
      <c r="AD426" s="1603"/>
      <c r="AE426" s="1603"/>
      <c r="AF426" s="1603"/>
      <c r="AG426" s="1603"/>
      <c r="AH426" s="1603"/>
      <c r="AI426" s="1603"/>
      <c r="AJ426" s="295"/>
      <c r="AK426" s="287"/>
      <c r="AL426" s="312"/>
      <c r="AM426" s="1604" t="s">
        <v>732</v>
      </c>
      <c r="AN426" s="1603"/>
      <c r="AO426" s="1603"/>
      <c r="AP426" s="1603"/>
      <c r="AQ426" s="1603"/>
      <c r="AR426" s="1603"/>
      <c r="AS426" s="1603"/>
      <c r="AT426" s="1603"/>
      <c r="AU426" s="1603"/>
      <c r="AV426" s="1603"/>
      <c r="AW426" s="1603"/>
      <c r="AX426" s="1603"/>
      <c r="AY426" s="1603"/>
      <c r="AZ426" s="1603"/>
      <c r="BA426" s="1603"/>
      <c r="BB426" s="1603"/>
      <c r="BC426" s="1603"/>
      <c r="BD426" s="1603"/>
      <c r="BE426" s="1603"/>
      <c r="BF426" s="1603"/>
      <c r="BG426" s="1603"/>
      <c r="BH426" s="1603"/>
      <c r="BI426" s="1603"/>
      <c r="BJ426" s="1603"/>
      <c r="BK426" s="1603"/>
      <c r="BL426" s="1603"/>
      <c r="BM426" s="1603"/>
      <c r="BN426" s="1603"/>
      <c r="BO426" s="1603"/>
      <c r="BP426" s="1603"/>
      <c r="BQ426" s="1603"/>
      <c r="BR426" s="1603"/>
      <c r="BS426" s="1603"/>
      <c r="BT426" s="295"/>
      <c r="BU426" s="295"/>
      <c r="BV426" s="310"/>
      <c r="BW426" s="310"/>
      <c r="BX426" s="300"/>
      <c r="BY426" s="295"/>
      <c r="BZ426" s="273"/>
      <c r="CA426" s="273"/>
      <c r="CB426" s="301"/>
      <c r="CC426" s="301"/>
      <c r="CD426" s="301"/>
      <c r="CE426" s="301"/>
      <c r="CF426" s="301"/>
    </row>
    <row r="427" spans="1:84" s="329" customFormat="1" ht="12.95" hidden="1" customHeight="1" x14ac:dyDescent="0.25">
      <c r="A427" s="322"/>
      <c r="B427" s="312"/>
      <c r="C427" s="314"/>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c r="AE427" s="318"/>
      <c r="AF427" s="318"/>
      <c r="AG427" s="318"/>
      <c r="AH427" s="318"/>
      <c r="AI427" s="318"/>
      <c r="AJ427" s="295"/>
      <c r="AK427" s="287"/>
      <c r="AL427" s="312"/>
      <c r="AM427" s="314"/>
      <c r="AN427" s="318"/>
      <c r="AO427" s="318"/>
      <c r="AP427" s="318"/>
      <c r="AQ427" s="318"/>
      <c r="AR427" s="318"/>
      <c r="AS427" s="318"/>
      <c r="AT427" s="318"/>
      <c r="AU427" s="318"/>
      <c r="AV427" s="318"/>
      <c r="AW427" s="318"/>
      <c r="AX427" s="318"/>
      <c r="AY427" s="318"/>
      <c r="AZ427" s="318"/>
      <c r="BA427" s="318"/>
      <c r="BB427" s="318"/>
      <c r="BC427" s="318"/>
      <c r="BD427" s="318"/>
      <c r="BE427" s="318"/>
      <c r="BF427" s="318"/>
      <c r="BG427" s="318"/>
      <c r="BH427" s="318"/>
      <c r="BI427" s="318"/>
      <c r="BJ427" s="318"/>
      <c r="BK427" s="318"/>
      <c r="BL427" s="318"/>
      <c r="BM427" s="318"/>
      <c r="BN427" s="318"/>
      <c r="BO427" s="318"/>
      <c r="BP427" s="318"/>
      <c r="BQ427" s="318"/>
      <c r="BR427" s="318"/>
      <c r="BS427" s="318"/>
      <c r="BT427" s="295"/>
      <c r="BU427" s="295"/>
      <c r="BV427" s="310"/>
      <c r="BW427" s="310"/>
      <c r="BX427" s="300"/>
      <c r="BY427" s="295"/>
      <c r="BZ427" s="273"/>
      <c r="CA427" s="273"/>
      <c r="CB427" s="301"/>
      <c r="CC427" s="301"/>
      <c r="CD427" s="301"/>
      <c r="CE427" s="301"/>
      <c r="CF427" s="301"/>
    </row>
    <row r="428" spans="1:84" s="326" customFormat="1" ht="15" hidden="1" customHeight="1" x14ac:dyDescent="0.25">
      <c r="A428" s="322"/>
      <c r="B428" s="312"/>
      <c r="C428" s="295" t="s">
        <v>733</v>
      </c>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c r="AE428" s="318"/>
      <c r="AF428" s="318"/>
      <c r="AG428" s="318"/>
      <c r="AH428" s="318"/>
      <c r="AI428" s="318"/>
      <c r="AJ428" s="323"/>
      <c r="AK428" s="287"/>
      <c r="AL428" s="312"/>
      <c r="AM428" s="295" t="s">
        <v>734</v>
      </c>
      <c r="AN428" s="318"/>
      <c r="AO428" s="318"/>
      <c r="AP428" s="318"/>
      <c r="AQ428" s="318"/>
      <c r="AR428" s="318"/>
      <c r="AS428" s="318"/>
      <c r="AT428" s="318"/>
      <c r="AU428" s="318"/>
      <c r="AV428" s="318"/>
      <c r="AW428" s="318"/>
      <c r="AX428" s="318"/>
      <c r="AY428" s="318"/>
      <c r="AZ428" s="318"/>
      <c r="BA428" s="318"/>
      <c r="BB428" s="318"/>
      <c r="BC428" s="318"/>
      <c r="BD428" s="318"/>
      <c r="BE428" s="318"/>
      <c r="BF428" s="318"/>
      <c r="BG428" s="318"/>
      <c r="BH428" s="318"/>
      <c r="BI428" s="318"/>
      <c r="BJ428" s="318"/>
      <c r="BK428" s="318"/>
      <c r="BL428" s="318"/>
      <c r="BM428" s="318"/>
      <c r="BN428" s="318"/>
      <c r="BO428" s="318"/>
      <c r="BP428" s="318"/>
      <c r="BQ428" s="318"/>
      <c r="BR428" s="318"/>
      <c r="BS428" s="318"/>
      <c r="BT428" s="295"/>
      <c r="BU428" s="295"/>
      <c r="BV428" s="310"/>
      <c r="BW428" s="310"/>
      <c r="BX428" s="291"/>
      <c r="BY428" s="323"/>
      <c r="BZ428" s="279"/>
      <c r="CA428" s="279"/>
      <c r="CB428" s="280"/>
      <c r="CC428" s="280"/>
      <c r="CD428" s="280"/>
      <c r="CE428" s="280"/>
      <c r="CF428" s="280"/>
    </row>
    <row r="429" spans="1:84" s="326" customFormat="1" ht="54.95" hidden="1" customHeight="1" x14ac:dyDescent="0.25">
      <c r="A429" s="322"/>
      <c r="B429" s="312"/>
      <c r="C429" s="1604" t="str">
        <f>CONCATENATE("Theo Quyết định số..ngày (hoặc văn bản cho phép hưởng ưu đãi có liên quan), ",LoaiCT_V," chịu thuế thu nhập doanh nghiệp theo mức thuế suất …% tính từ năm … đến năm… và …% cho những năm tiếp theo.
Mức giảm thuế trên không áp dụng với các khoản thu nhập khác. Các khoản thu nhập khác này chịu mức thuế suất …%. [xoá bỏ nếu không có]")</f>
        <v>Theo Quyết định số..ngày (hoặc văn bản cho phép hưởng ưu đãi có liên quan), Công ty chịu thuế thu nhập doanh nghiệp theo mức thuế suất …% tính từ năm … đến năm… và …% cho những năm tiếp theo.
Mức giảm thuế trên không áp dụng với các khoản thu nhập khác. Các khoản thu nhập khác này chịu mức thuế suất …%. [xoá bỏ nếu không có]</v>
      </c>
      <c r="D429" s="1603"/>
      <c r="E429" s="1603"/>
      <c r="F429" s="1603"/>
      <c r="G429" s="1603"/>
      <c r="H429" s="1603"/>
      <c r="I429" s="1603"/>
      <c r="J429" s="1603"/>
      <c r="K429" s="1603"/>
      <c r="L429" s="1603"/>
      <c r="M429" s="1603"/>
      <c r="N429" s="1603"/>
      <c r="O429" s="1603"/>
      <c r="P429" s="1603"/>
      <c r="Q429" s="1603"/>
      <c r="R429" s="1603"/>
      <c r="S429" s="1603"/>
      <c r="T429" s="1603"/>
      <c r="U429" s="1603"/>
      <c r="V429" s="1603"/>
      <c r="W429" s="1603"/>
      <c r="X429" s="1603"/>
      <c r="Y429" s="1603"/>
      <c r="Z429" s="1603"/>
      <c r="AA429" s="1603"/>
      <c r="AB429" s="1603"/>
      <c r="AC429" s="1603"/>
      <c r="AD429" s="1603"/>
      <c r="AE429" s="1603"/>
      <c r="AF429" s="1603"/>
      <c r="AG429" s="1603"/>
      <c r="AH429" s="1603"/>
      <c r="AI429" s="1603"/>
      <c r="AJ429" s="323"/>
      <c r="AK429" s="287"/>
      <c r="AL429" s="312"/>
      <c r="AM429" s="1604" t="s">
        <v>735</v>
      </c>
      <c r="AN429" s="1603"/>
      <c r="AO429" s="1603"/>
      <c r="AP429" s="1603"/>
      <c r="AQ429" s="1603"/>
      <c r="AR429" s="1603"/>
      <c r="AS429" s="1603"/>
      <c r="AT429" s="1603"/>
      <c r="AU429" s="1603"/>
      <c r="AV429" s="1603"/>
      <c r="AW429" s="1603"/>
      <c r="AX429" s="1603"/>
      <c r="AY429" s="1603"/>
      <c r="AZ429" s="1603"/>
      <c r="BA429" s="1603"/>
      <c r="BB429" s="1603"/>
      <c r="BC429" s="1603"/>
      <c r="BD429" s="1603"/>
      <c r="BE429" s="1603"/>
      <c r="BF429" s="1603"/>
      <c r="BG429" s="1603"/>
      <c r="BH429" s="1603"/>
      <c r="BI429" s="1603"/>
      <c r="BJ429" s="1603"/>
      <c r="BK429" s="1603"/>
      <c r="BL429" s="1603"/>
      <c r="BM429" s="1603"/>
      <c r="BN429" s="1603"/>
      <c r="BO429" s="1603"/>
      <c r="BP429" s="1603"/>
      <c r="BQ429" s="1603"/>
      <c r="BR429" s="1603"/>
      <c r="BS429" s="1603"/>
      <c r="BT429" s="295"/>
      <c r="BU429" s="295"/>
      <c r="BV429" s="310"/>
      <c r="BW429" s="310"/>
      <c r="BX429" s="291"/>
      <c r="BY429" s="323"/>
      <c r="BZ429" s="279"/>
      <c r="CA429" s="279"/>
      <c r="CB429" s="280"/>
      <c r="CC429" s="280"/>
      <c r="CD429" s="280"/>
      <c r="CE429" s="280"/>
      <c r="CF429" s="280"/>
    </row>
    <row r="430" spans="1:84" s="329" customFormat="1" ht="2.1" hidden="1" customHeight="1" x14ac:dyDescent="0.25">
      <c r="A430" s="322"/>
      <c r="B430" s="312"/>
      <c r="C430" s="314"/>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c r="AE430" s="318"/>
      <c r="AF430" s="318"/>
      <c r="AG430" s="318"/>
      <c r="AH430" s="318"/>
      <c r="AI430" s="318"/>
      <c r="AJ430" s="295"/>
      <c r="AK430" s="287"/>
      <c r="AL430" s="312"/>
      <c r="AM430" s="314"/>
      <c r="AN430" s="318"/>
      <c r="AO430" s="318"/>
      <c r="AP430" s="318"/>
      <c r="AQ430" s="318"/>
      <c r="AR430" s="318"/>
      <c r="AS430" s="318"/>
      <c r="AT430" s="318"/>
      <c r="AU430" s="318"/>
      <c r="AV430" s="318"/>
      <c r="AW430" s="318"/>
      <c r="AX430" s="318"/>
      <c r="AY430" s="318"/>
      <c r="AZ430" s="318"/>
      <c r="BA430" s="318"/>
      <c r="BB430" s="318"/>
      <c r="BC430" s="318"/>
      <c r="BD430" s="318"/>
      <c r="BE430" s="318"/>
      <c r="BF430" s="318"/>
      <c r="BG430" s="318"/>
      <c r="BH430" s="318"/>
      <c r="BI430" s="318"/>
      <c r="BJ430" s="318"/>
      <c r="BK430" s="318"/>
      <c r="BL430" s="318"/>
      <c r="BM430" s="318"/>
      <c r="BN430" s="318"/>
      <c r="BO430" s="318"/>
      <c r="BP430" s="318"/>
      <c r="BQ430" s="318"/>
      <c r="BR430" s="318"/>
      <c r="BS430" s="318"/>
      <c r="BT430" s="295"/>
      <c r="BU430" s="295"/>
      <c r="BV430" s="310"/>
      <c r="BW430" s="310"/>
      <c r="BX430" s="300"/>
      <c r="BY430" s="295"/>
      <c r="BZ430" s="273"/>
      <c r="CA430" s="273"/>
      <c r="CB430" s="301"/>
      <c r="CC430" s="301"/>
      <c r="CD430" s="301"/>
      <c r="CE430" s="301"/>
      <c r="CF430" s="301"/>
    </row>
    <row r="431" spans="1:84" s="326" customFormat="1" ht="12.95" customHeight="1" x14ac:dyDescent="0.25">
      <c r="A431" s="322"/>
      <c r="B431" s="312"/>
      <c r="C431" s="314"/>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318"/>
      <c r="AF431" s="318"/>
      <c r="AG431" s="318"/>
      <c r="AH431" s="318"/>
      <c r="AI431" s="318"/>
      <c r="AJ431" s="323"/>
      <c r="AK431" s="287"/>
      <c r="AL431" s="312"/>
      <c r="AM431" s="318"/>
      <c r="AN431" s="318"/>
      <c r="AO431" s="318"/>
      <c r="AP431" s="318"/>
      <c r="AQ431" s="318"/>
      <c r="AR431" s="318"/>
      <c r="AS431" s="318"/>
      <c r="AT431" s="318"/>
      <c r="AU431" s="318"/>
      <c r="AV431" s="318"/>
      <c r="AW431" s="318"/>
      <c r="AX431" s="318"/>
      <c r="AY431" s="318"/>
      <c r="AZ431" s="318"/>
      <c r="BA431" s="318"/>
      <c r="BB431" s="318"/>
      <c r="BC431" s="318"/>
      <c r="BD431" s="318"/>
      <c r="BE431" s="318"/>
      <c r="BF431" s="318"/>
      <c r="BG431" s="318"/>
      <c r="BH431" s="318"/>
      <c r="BI431" s="318"/>
      <c r="BJ431" s="318"/>
      <c r="BK431" s="318"/>
      <c r="BL431" s="318"/>
      <c r="BM431" s="318"/>
      <c r="BN431" s="318"/>
      <c r="BO431" s="318"/>
      <c r="BP431" s="318"/>
      <c r="BQ431" s="318"/>
      <c r="BR431" s="318"/>
      <c r="BS431" s="318"/>
      <c r="BT431" s="295"/>
      <c r="BU431" s="295"/>
      <c r="BV431" s="310"/>
      <c r="BW431" s="310"/>
      <c r="BX431" s="291"/>
      <c r="BY431" s="323"/>
      <c r="BZ431" s="279"/>
      <c r="CA431" s="279"/>
      <c r="CB431" s="280"/>
      <c r="CC431" s="280"/>
      <c r="CD431" s="280"/>
      <c r="CE431" s="280"/>
      <c r="CF431" s="280"/>
    </row>
    <row r="432" spans="1:84" s="326" customFormat="1" ht="15" customHeight="1" x14ac:dyDescent="0.25">
      <c r="A432" s="322" t="str">
        <f>subSTT</f>
        <v>2.21</v>
      </c>
      <c r="B432" s="312" t="s">
        <v>345</v>
      </c>
      <c r="C432" s="339" t="s">
        <v>736</v>
      </c>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318"/>
      <c r="AF432" s="318"/>
      <c r="AG432" s="318"/>
      <c r="AH432" s="318"/>
      <c r="AI432" s="318"/>
      <c r="AJ432" s="323"/>
      <c r="AK432" s="287" t="str">
        <f>A432</f>
        <v>2.21</v>
      </c>
      <c r="AL432" s="312" t="s">
        <v>345</v>
      </c>
      <c r="AM432" s="339" t="s">
        <v>737</v>
      </c>
      <c r="AN432" s="318"/>
      <c r="AO432" s="318"/>
      <c r="AP432" s="318"/>
      <c r="AQ432" s="318"/>
      <c r="AR432" s="318"/>
      <c r="AS432" s="318"/>
      <c r="AT432" s="318"/>
      <c r="AU432" s="318"/>
      <c r="AV432" s="318"/>
      <c r="AW432" s="318"/>
      <c r="AX432" s="318"/>
      <c r="AY432" s="318"/>
      <c r="AZ432" s="318"/>
      <c r="BA432" s="318"/>
      <c r="BB432" s="318"/>
      <c r="BC432" s="318"/>
      <c r="BD432" s="318"/>
      <c r="BE432" s="318"/>
      <c r="BF432" s="318"/>
      <c r="BG432" s="318"/>
      <c r="BH432" s="318"/>
      <c r="BI432" s="318"/>
      <c r="BJ432" s="318"/>
      <c r="BK432" s="318"/>
      <c r="BL432" s="318"/>
      <c r="BM432" s="318"/>
      <c r="BN432" s="318"/>
      <c r="BO432" s="318"/>
      <c r="BP432" s="318"/>
      <c r="BQ432" s="318"/>
      <c r="BR432" s="318"/>
      <c r="BS432" s="318"/>
      <c r="BT432" s="295"/>
      <c r="BU432" s="295"/>
      <c r="BV432" s="310"/>
      <c r="BW432" s="310"/>
      <c r="BX432" s="291"/>
      <c r="BY432" s="323"/>
      <c r="BZ432" s="279"/>
      <c r="CA432" s="279"/>
      <c r="CB432" s="280"/>
      <c r="CC432" s="280"/>
      <c r="CD432" s="280"/>
      <c r="CE432" s="280"/>
      <c r="CF432" s="280"/>
    </row>
    <row r="433" spans="1:84" s="326" customFormat="1" ht="12.95" customHeight="1" x14ac:dyDescent="0.25">
      <c r="A433" s="322"/>
      <c r="B433" s="312"/>
      <c r="C433" s="324"/>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c r="AH433" s="318"/>
      <c r="AI433" s="318"/>
      <c r="AJ433" s="323"/>
      <c r="AK433" s="287"/>
      <c r="AL433" s="312"/>
      <c r="AM433" s="324"/>
      <c r="AN433" s="318"/>
      <c r="AO433" s="318"/>
      <c r="AP433" s="318"/>
      <c r="AQ433" s="318"/>
      <c r="AR433" s="318"/>
      <c r="AS433" s="318"/>
      <c r="AT433" s="318"/>
      <c r="AU433" s="318"/>
      <c r="AV433" s="318"/>
      <c r="AW433" s="318"/>
      <c r="AX433" s="318"/>
      <c r="AY433" s="318"/>
      <c r="AZ433" s="318"/>
      <c r="BA433" s="318"/>
      <c r="BB433" s="318"/>
      <c r="BC433" s="318"/>
      <c r="BD433" s="318"/>
      <c r="BE433" s="318"/>
      <c r="BF433" s="318"/>
      <c r="BG433" s="318"/>
      <c r="BH433" s="318"/>
      <c r="BI433" s="318"/>
      <c r="BJ433" s="318"/>
      <c r="BK433" s="318"/>
      <c r="BL433" s="318"/>
      <c r="BM433" s="318"/>
      <c r="BN433" s="318"/>
      <c r="BO433" s="318"/>
      <c r="BP433" s="318"/>
      <c r="BQ433" s="318"/>
      <c r="BR433" s="318"/>
      <c r="BS433" s="318"/>
      <c r="BT433" s="295"/>
      <c r="BU433" s="295"/>
      <c r="BV433" s="310"/>
      <c r="BW433" s="310"/>
      <c r="BX433" s="291"/>
      <c r="BY433" s="323"/>
      <c r="BZ433" s="279"/>
      <c r="CA433" s="279"/>
      <c r="CB433" s="280"/>
      <c r="CC433" s="280"/>
      <c r="CD433" s="280"/>
      <c r="CE433" s="280"/>
      <c r="CF433" s="280"/>
    </row>
    <row r="434" spans="1:84" s="329" customFormat="1" ht="29.25" customHeight="1" x14ac:dyDescent="0.25">
      <c r="A434" s="322"/>
      <c r="B434" s="312"/>
      <c r="C434" s="1603" t="str">
        <f>CONCATENATE("Các bên được coi là liên quan nếu bên đó có khả năng kiểm soát hoặc có ảnh hưởng đáng kể đối với bên kia trong việc ra quyết định về các chính sách tài chính và hoạt động. Các bên liên quan của ",LoaiCT_V," bao gồm:")</f>
        <v>Các bên được coi là liên quan nếu bên đó có khả năng kiểm soát hoặc có ảnh hưởng đáng kể đối với bên kia trong việc ra quyết định về các chính sách tài chính và hoạt động. Các bên liên quan của Công ty bao gồm:</v>
      </c>
      <c r="D434" s="1603"/>
      <c r="E434" s="1603"/>
      <c r="F434" s="1603"/>
      <c r="G434" s="1603"/>
      <c r="H434" s="1603"/>
      <c r="I434" s="1603"/>
      <c r="J434" s="1603"/>
      <c r="K434" s="1603"/>
      <c r="L434" s="1603"/>
      <c r="M434" s="1603"/>
      <c r="N434" s="1603"/>
      <c r="O434" s="1603"/>
      <c r="P434" s="1603"/>
      <c r="Q434" s="1603"/>
      <c r="R434" s="1603"/>
      <c r="S434" s="1603"/>
      <c r="T434" s="1603"/>
      <c r="U434" s="1603"/>
      <c r="V434" s="1603"/>
      <c r="W434" s="1603"/>
      <c r="X434" s="1603"/>
      <c r="Y434" s="1603"/>
      <c r="Z434" s="1603"/>
      <c r="AA434" s="1603"/>
      <c r="AB434" s="1603"/>
      <c r="AC434" s="1603"/>
      <c r="AD434" s="1603"/>
      <c r="AE434" s="1603"/>
      <c r="AF434" s="1603"/>
      <c r="AG434" s="1603"/>
      <c r="AH434" s="1603"/>
      <c r="AI434" s="1603"/>
      <c r="AJ434" s="295"/>
      <c r="AK434" s="287"/>
      <c r="AL434" s="312"/>
      <c r="AM434" s="1603" t="str">
        <f>CONCATENATE("The parties are regarded as related parties if that party has the ability to control or significantly influence the other party in making decisions about the financial policies and activities. The ",LoaiCT_E,"'s related parties include:")</f>
        <v>The parties are regarded as related parties if that party has the ability to control or significantly influence the other party in making decisions about the financial policies and activities. The Corporation's related parties include:</v>
      </c>
      <c r="AN434" s="1603"/>
      <c r="AO434" s="1603"/>
      <c r="AP434" s="1603"/>
      <c r="AQ434" s="1603"/>
      <c r="AR434" s="1603"/>
      <c r="AS434" s="1603"/>
      <c r="AT434" s="1603"/>
      <c r="AU434" s="1603"/>
      <c r="AV434" s="1603"/>
      <c r="AW434" s="1603"/>
      <c r="AX434" s="1603"/>
      <c r="AY434" s="1603"/>
      <c r="AZ434" s="1603"/>
      <c r="BA434" s="1603"/>
      <c r="BB434" s="1603"/>
      <c r="BC434" s="1603"/>
      <c r="BD434" s="1603"/>
      <c r="BE434" s="1603"/>
      <c r="BF434" s="1603"/>
      <c r="BG434" s="1603"/>
      <c r="BH434" s="1603"/>
      <c r="BI434" s="1603"/>
      <c r="BJ434" s="1603"/>
      <c r="BK434" s="1603"/>
      <c r="BL434" s="1603"/>
      <c r="BM434" s="1603"/>
      <c r="BN434" s="1603"/>
      <c r="BO434" s="1603"/>
      <c r="BP434" s="1603"/>
      <c r="BQ434" s="1603"/>
      <c r="BR434" s="1603"/>
      <c r="BS434" s="1603"/>
      <c r="BT434" s="295"/>
      <c r="BU434" s="295"/>
      <c r="BV434" s="310"/>
      <c r="BW434" s="310"/>
      <c r="BX434" s="300"/>
      <c r="BY434" s="295"/>
      <c r="BZ434" s="273"/>
      <c r="CA434" s="273"/>
      <c r="CB434" s="301"/>
      <c r="CC434" s="301"/>
      <c r="CD434" s="301"/>
      <c r="CE434" s="301"/>
      <c r="CF434" s="301"/>
    </row>
    <row r="435" spans="1:84" s="326" customFormat="1" ht="29.1" customHeight="1" x14ac:dyDescent="0.25">
      <c r="A435" s="322"/>
      <c r="B435" s="312"/>
      <c r="C435" s="333" t="s">
        <v>355</v>
      </c>
      <c r="D435" s="1603" t="str">
        <f>CONCATENATE("Các doanh nghiệp trực tiếp hay gián tiếp qua một hoặc nhiều trung gian, có quyền kiểm soát ",LoaiCT_V," hoặc chịu sự kiểm soát của ",LoaiCT_V,", hoặc cùng chung sự kiểm soát với ",LoaiCT_V,".")</f>
        <v>Các doanh nghiệp trực tiếp hay gián tiếp qua một hoặc nhiều trung gian, có quyền kiểm soát Công ty hoặc chịu sự kiểm soát của Công ty, hoặc cùng chung sự kiểm soát với Công ty.</v>
      </c>
      <c r="E435" s="1603"/>
      <c r="F435" s="1603"/>
      <c r="G435" s="1603"/>
      <c r="H435" s="1603"/>
      <c r="I435" s="1603"/>
      <c r="J435" s="1603"/>
      <c r="K435" s="1603"/>
      <c r="L435" s="1603"/>
      <c r="M435" s="1603"/>
      <c r="N435" s="1603"/>
      <c r="O435" s="1603"/>
      <c r="P435" s="1603"/>
      <c r="Q435" s="1603"/>
      <c r="R435" s="1603"/>
      <c r="S435" s="1603"/>
      <c r="T435" s="1603"/>
      <c r="U435" s="1603"/>
      <c r="V435" s="1603"/>
      <c r="W435" s="1603"/>
      <c r="X435" s="1603"/>
      <c r="Y435" s="1603"/>
      <c r="Z435" s="1603"/>
      <c r="AA435" s="1603"/>
      <c r="AB435" s="1603"/>
      <c r="AC435" s="1603"/>
      <c r="AD435" s="1603"/>
      <c r="AE435" s="1603"/>
      <c r="AF435" s="1603"/>
      <c r="AG435" s="1603"/>
      <c r="AH435" s="1603"/>
      <c r="AI435" s="1603"/>
      <c r="AJ435" s="323"/>
      <c r="AK435" s="287"/>
      <c r="AL435" s="312"/>
      <c r="AM435" s="333" t="s">
        <v>355</v>
      </c>
      <c r="AN435" s="1603" t="str">
        <f>CONCATENATE("Enterprises, directly or indirectly through one or more intermediaries, having control over the ",LoaiCT_E," or being under the control of the ",LoaiCT_E,", or being under common control with the ",LoaiCT_E,", including the ",LoaiCT_E,"'s parent, subsidiaries and affiliated companies;")</f>
        <v>Enterprises, directly or indirectly through one or more intermediaries, having control over the Corporation or being under the control of the Corporation, or being under common control with the Corporation, including the Corporation's parent, subsidiaries and affiliated companies;</v>
      </c>
      <c r="AO435" s="1603"/>
      <c r="AP435" s="1603"/>
      <c r="AQ435" s="1603"/>
      <c r="AR435" s="1603"/>
      <c r="AS435" s="1603"/>
      <c r="AT435" s="1603"/>
      <c r="AU435" s="1603"/>
      <c r="AV435" s="1603"/>
      <c r="AW435" s="1603"/>
      <c r="AX435" s="1603"/>
      <c r="AY435" s="1603"/>
      <c r="AZ435" s="1603"/>
      <c r="BA435" s="1603"/>
      <c r="BB435" s="1603"/>
      <c r="BC435" s="1603"/>
      <c r="BD435" s="1603"/>
      <c r="BE435" s="1603"/>
      <c r="BF435" s="1603"/>
      <c r="BG435" s="1603"/>
      <c r="BH435" s="1603"/>
      <c r="BI435" s="1603"/>
      <c r="BJ435" s="1603"/>
      <c r="BK435" s="1603"/>
      <c r="BL435" s="1603"/>
      <c r="BM435" s="1603"/>
      <c r="BN435" s="1603"/>
      <c r="BO435" s="1603"/>
      <c r="BP435" s="1603"/>
      <c r="BQ435" s="1603"/>
      <c r="BR435" s="1603"/>
      <c r="BS435" s="1603"/>
      <c r="BT435" s="295"/>
      <c r="BU435" s="295"/>
      <c r="BV435" s="310"/>
      <c r="BW435" s="310"/>
      <c r="BX435" s="291"/>
      <c r="BY435" s="323"/>
      <c r="BZ435" s="279"/>
      <c r="CA435" s="279"/>
      <c r="CB435" s="280"/>
      <c r="CC435" s="280"/>
      <c r="CD435" s="280"/>
      <c r="CE435" s="280"/>
      <c r="CF435" s="280"/>
    </row>
    <row r="436" spans="1:84" s="326" customFormat="1" ht="42" customHeight="1" x14ac:dyDescent="0.25">
      <c r="A436" s="322"/>
      <c r="B436" s="312"/>
      <c r="C436" s="333" t="s">
        <v>355</v>
      </c>
      <c r="D436" s="1603" t="str">
        <f>CONCATENATE("Các cá nhân trực tiếp hoặc gián tiếp nắm quyền biểu quyết của ",LoaiCT_V," mà có ảnh hưởng đáng kể đối với ",LoaiCT_V,", những nhân sự quản lý chủ chốt của ",LoaiCT_V,", những thành viên mật thiết trong gia đình của các cá nhân này;")</f>
        <v>Các cá nhân trực tiếp hoặc gián tiếp nắm quyền biểu quyết của Công ty mà có ảnh hưởng đáng kể đối với Công ty, những nhân sự quản lý chủ chốt của Công ty, những thành viên mật thiết trong gia đình của các cá nhân này;</v>
      </c>
      <c r="E436" s="1603"/>
      <c r="F436" s="1603"/>
      <c r="G436" s="1603"/>
      <c r="H436" s="1603"/>
      <c r="I436" s="1603"/>
      <c r="J436" s="1603"/>
      <c r="K436" s="1603"/>
      <c r="L436" s="1603"/>
      <c r="M436" s="1603"/>
      <c r="N436" s="1603"/>
      <c r="O436" s="1603"/>
      <c r="P436" s="1603"/>
      <c r="Q436" s="1603"/>
      <c r="R436" s="1603"/>
      <c r="S436" s="1603"/>
      <c r="T436" s="1603"/>
      <c r="U436" s="1603"/>
      <c r="V436" s="1603"/>
      <c r="W436" s="1603"/>
      <c r="X436" s="1603"/>
      <c r="Y436" s="1603"/>
      <c r="Z436" s="1603"/>
      <c r="AA436" s="1603"/>
      <c r="AB436" s="1603"/>
      <c r="AC436" s="1603"/>
      <c r="AD436" s="1603"/>
      <c r="AE436" s="1603"/>
      <c r="AF436" s="1603"/>
      <c r="AG436" s="1603"/>
      <c r="AH436" s="1603"/>
      <c r="AI436" s="1603"/>
      <c r="AJ436" s="323"/>
      <c r="AK436" s="287"/>
      <c r="AL436" s="312"/>
      <c r="AM436" s="333" t="s">
        <v>355</v>
      </c>
      <c r="AN436" s="1603" t="str">
        <f>CONCATENATE("Individuals, directly or indirectly, holding voting power of the ",LoaiCT_E," that have a significant influence on the ",LoaiCT_E,", key management personnel including directors and employees of the ",LoaiCT_E,", the close family members of these individuals;")</f>
        <v>Individuals, directly or indirectly, holding voting power of the Corporation that have a significant influence on the Corporation, key management personnel including directors and employees of the Corporation, the close family members of these individuals;</v>
      </c>
      <c r="AO436" s="1603"/>
      <c r="AP436" s="1603"/>
      <c r="AQ436" s="1603"/>
      <c r="AR436" s="1603"/>
      <c r="AS436" s="1603"/>
      <c r="AT436" s="1603"/>
      <c r="AU436" s="1603"/>
      <c r="AV436" s="1603"/>
      <c r="AW436" s="1603"/>
      <c r="AX436" s="1603"/>
      <c r="AY436" s="1603"/>
      <c r="AZ436" s="1603"/>
      <c r="BA436" s="1603"/>
      <c r="BB436" s="1603"/>
      <c r="BC436" s="1603"/>
      <c r="BD436" s="1603"/>
      <c r="BE436" s="1603"/>
      <c r="BF436" s="1603"/>
      <c r="BG436" s="1603"/>
      <c r="BH436" s="1603"/>
      <c r="BI436" s="1603"/>
      <c r="BJ436" s="1603"/>
      <c r="BK436" s="1603"/>
      <c r="BL436" s="1603"/>
      <c r="BM436" s="1603"/>
      <c r="BN436" s="1603"/>
      <c r="BO436" s="1603"/>
      <c r="BP436" s="1603"/>
      <c r="BQ436" s="1603"/>
      <c r="BR436" s="1603"/>
      <c r="BS436" s="1603"/>
      <c r="BT436" s="295"/>
      <c r="BU436" s="295"/>
      <c r="BV436" s="310"/>
      <c r="BW436" s="310"/>
      <c r="BX436" s="291"/>
      <c r="BY436" s="323"/>
      <c r="BZ436" s="279"/>
      <c r="CA436" s="279"/>
      <c r="CB436" s="280"/>
      <c r="CC436" s="280"/>
      <c r="CD436" s="280"/>
      <c r="CE436" s="280"/>
      <c r="CF436" s="280"/>
    </row>
    <row r="437" spans="1:84" s="326" customFormat="1" ht="27.95" customHeight="1" x14ac:dyDescent="0.25">
      <c r="A437" s="322"/>
      <c r="B437" s="312"/>
      <c r="C437" s="333" t="s">
        <v>355</v>
      </c>
      <c r="D437" s="1603" t="str">
        <f>CONCATENATE("Các doanh nghiệp do các cá nhân nêu trên nắm trực tiếp hoặc gián tiếp phần quan trọng quyền biểu quyết hoặc có ảnh hưởng đáng kể tới các doanh nghiệp này.")</f>
        <v>Các doanh nghiệp do các cá nhân nêu trên nắm trực tiếp hoặc gián tiếp phần quan trọng quyền biểu quyết hoặc có ảnh hưởng đáng kể tới các doanh nghiệp này.</v>
      </c>
      <c r="E437" s="1603"/>
      <c r="F437" s="1603"/>
      <c r="G437" s="1603"/>
      <c r="H437" s="1603"/>
      <c r="I437" s="1603"/>
      <c r="J437" s="1603"/>
      <c r="K437" s="1603"/>
      <c r="L437" s="1603"/>
      <c r="M437" s="1603"/>
      <c r="N437" s="1603"/>
      <c r="O437" s="1603"/>
      <c r="P437" s="1603"/>
      <c r="Q437" s="1603"/>
      <c r="R437" s="1603"/>
      <c r="S437" s="1603"/>
      <c r="T437" s="1603"/>
      <c r="U437" s="1603"/>
      <c r="V437" s="1603"/>
      <c r="W437" s="1603"/>
      <c r="X437" s="1603"/>
      <c r="Y437" s="1603"/>
      <c r="Z437" s="1603"/>
      <c r="AA437" s="1603"/>
      <c r="AB437" s="1603"/>
      <c r="AC437" s="1603"/>
      <c r="AD437" s="1603"/>
      <c r="AE437" s="1603"/>
      <c r="AF437" s="1603"/>
      <c r="AG437" s="1603"/>
      <c r="AH437" s="1603"/>
      <c r="AI437" s="1603"/>
      <c r="AJ437" s="323"/>
      <c r="AK437" s="287"/>
      <c r="AL437" s="312"/>
      <c r="AM437" s="333" t="s">
        <v>355</v>
      </c>
      <c r="AN437" s="1603" t="str">
        <f>CONCATENATE("Enterprises due to the above-mentioned individuals directly or indirectly hold an important part of the voting rights or have significant influence on the ",LoaiCT_E,".")</f>
        <v>Enterprises due to the above-mentioned individuals directly or indirectly hold an important part of the voting rights or have significant influence on the Corporation.</v>
      </c>
      <c r="AO437" s="1603"/>
      <c r="AP437" s="1603"/>
      <c r="AQ437" s="1603"/>
      <c r="AR437" s="1603"/>
      <c r="AS437" s="1603"/>
      <c r="AT437" s="1603"/>
      <c r="AU437" s="1603"/>
      <c r="AV437" s="1603"/>
      <c r="AW437" s="1603"/>
      <c r="AX437" s="1603"/>
      <c r="AY437" s="1603"/>
      <c r="AZ437" s="1603"/>
      <c r="BA437" s="1603"/>
      <c r="BB437" s="1603"/>
      <c r="BC437" s="1603"/>
      <c r="BD437" s="1603"/>
      <c r="BE437" s="1603"/>
      <c r="BF437" s="1603"/>
      <c r="BG437" s="1603"/>
      <c r="BH437" s="1603"/>
      <c r="BI437" s="1603"/>
      <c r="BJ437" s="1603"/>
      <c r="BK437" s="1603"/>
      <c r="BL437" s="1603"/>
      <c r="BM437" s="1603"/>
      <c r="BN437" s="1603"/>
      <c r="BO437" s="1603"/>
      <c r="BP437" s="1603"/>
      <c r="BQ437" s="1603"/>
      <c r="BR437" s="1603"/>
      <c r="BS437" s="1603"/>
      <c r="BT437" s="295"/>
      <c r="BU437" s="295"/>
      <c r="BV437" s="310"/>
      <c r="BW437" s="310"/>
      <c r="BX437" s="291"/>
      <c r="BY437" s="323"/>
      <c r="BZ437" s="279"/>
      <c r="CA437" s="279"/>
      <c r="CB437" s="280"/>
      <c r="CC437" s="280"/>
      <c r="CD437" s="280"/>
      <c r="CE437" s="280"/>
      <c r="CF437" s="280"/>
    </row>
    <row r="438" spans="1:84" s="326" customFormat="1" ht="12.95" customHeight="1" x14ac:dyDescent="0.25">
      <c r="A438" s="322"/>
      <c r="B438" s="312"/>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c r="AH438" s="318"/>
      <c r="AI438" s="318"/>
      <c r="AJ438" s="323"/>
      <c r="AK438" s="287"/>
      <c r="AL438" s="312"/>
      <c r="AM438" s="318"/>
      <c r="AN438" s="318"/>
      <c r="AO438" s="318"/>
      <c r="AP438" s="318"/>
      <c r="AQ438" s="318"/>
      <c r="AR438" s="318"/>
      <c r="AS438" s="318"/>
      <c r="AT438" s="318"/>
      <c r="AU438" s="318"/>
      <c r="AV438" s="318"/>
      <c r="AW438" s="318"/>
      <c r="AX438" s="318"/>
      <c r="AY438" s="318"/>
      <c r="AZ438" s="318"/>
      <c r="BA438" s="318"/>
      <c r="BB438" s="318"/>
      <c r="BC438" s="318"/>
      <c r="BD438" s="318"/>
      <c r="BE438" s="318"/>
      <c r="BF438" s="318"/>
      <c r="BG438" s="318"/>
      <c r="BH438" s="318"/>
      <c r="BI438" s="318"/>
      <c r="BJ438" s="318"/>
      <c r="BK438" s="318"/>
      <c r="BL438" s="318"/>
      <c r="BM438" s="318"/>
      <c r="BN438" s="318"/>
      <c r="BO438" s="318"/>
      <c r="BP438" s="318"/>
      <c r="BQ438" s="318"/>
      <c r="BR438" s="318"/>
      <c r="BS438" s="318"/>
      <c r="BT438" s="295"/>
      <c r="BU438" s="295"/>
      <c r="BV438" s="310"/>
      <c r="BW438" s="310"/>
      <c r="BX438" s="291"/>
      <c r="BY438" s="323"/>
      <c r="BZ438" s="279"/>
      <c r="CA438" s="279"/>
      <c r="CB438" s="280"/>
      <c r="CC438" s="280"/>
      <c r="CD438" s="280"/>
      <c r="CE438" s="280"/>
      <c r="CF438" s="280"/>
    </row>
    <row r="439" spans="1:84" s="329" customFormat="1" ht="27.75" customHeight="1" x14ac:dyDescent="0.25">
      <c r="A439" s="322"/>
      <c r="B439" s="312"/>
      <c r="C439" s="1603" t="str">
        <f>CONCATENATE("Trong việc xem xét từng mối quan hệ của các bên liên quan để phục vụ cho việc lập và trình bày ",Loai_BC_V,", ",LoaiCT_V," chú ý tới bản chất của mối quan hệ hơn là hình thức pháp lý của các quan hệ đó.")</f>
        <v>Trong việc xem xét từng mối quan hệ của các bên liên quan để phục vụ cho việc lập và trình bày Báo cáo tài chính, Công ty chú ý tới bản chất của mối quan hệ hơn là hình thức pháp lý của các quan hệ đó.</v>
      </c>
      <c r="D439" s="1603"/>
      <c r="E439" s="1603"/>
      <c r="F439" s="1603"/>
      <c r="G439" s="1603"/>
      <c r="H439" s="1603"/>
      <c r="I439" s="1603"/>
      <c r="J439" s="1603"/>
      <c r="K439" s="1603"/>
      <c r="L439" s="1603"/>
      <c r="M439" s="1603"/>
      <c r="N439" s="1603"/>
      <c r="O439" s="1603"/>
      <c r="P439" s="1603"/>
      <c r="Q439" s="1603"/>
      <c r="R439" s="1603"/>
      <c r="S439" s="1603"/>
      <c r="T439" s="1603"/>
      <c r="U439" s="1603"/>
      <c r="V439" s="1603"/>
      <c r="W439" s="1603"/>
      <c r="X439" s="1603"/>
      <c r="Y439" s="1603"/>
      <c r="Z439" s="1603"/>
      <c r="AA439" s="1603"/>
      <c r="AB439" s="1603"/>
      <c r="AC439" s="1603"/>
      <c r="AD439" s="1603"/>
      <c r="AE439" s="1603"/>
      <c r="AF439" s="1603"/>
      <c r="AG439" s="1603"/>
      <c r="AH439" s="1603"/>
      <c r="AI439" s="1603"/>
      <c r="AJ439" s="295"/>
      <c r="AK439" s="287"/>
      <c r="AL439" s="312"/>
      <c r="AM439" s="1603" t="str">
        <f>CONCATENATE("In considering the relationship of related parties to serve for the preparation and presentation of ",Loai_BC_E,", the ",LoaiCT_E," should consider the nature of the relationship rather than the legal form of the relationship.")</f>
        <v>In considering the relationship of related parties to serve for the preparation and presentation of Separate Financial Statements, the Corporation should consider the nature of the relationship rather than the legal form of the relationship.</v>
      </c>
      <c r="AN439" s="1603"/>
      <c r="AO439" s="1603"/>
      <c r="AP439" s="1603"/>
      <c r="AQ439" s="1603"/>
      <c r="AR439" s="1603"/>
      <c r="AS439" s="1603"/>
      <c r="AT439" s="1603"/>
      <c r="AU439" s="1603"/>
      <c r="AV439" s="1603"/>
      <c r="AW439" s="1603"/>
      <c r="AX439" s="1603"/>
      <c r="AY439" s="1603"/>
      <c r="AZ439" s="1603"/>
      <c r="BA439" s="1603"/>
      <c r="BB439" s="1603"/>
      <c r="BC439" s="1603"/>
      <c r="BD439" s="1603"/>
      <c r="BE439" s="1603"/>
      <c r="BF439" s="1603"/>
      <c r="BG439" s="1603"/>
      <c r="BH439" s="1603"/>
      <c r="BI439" s="1603"/>
      <c r="BJ439" s="1603"/>
      <c r="BK439" s="1603"/>
      <c r="BL439" s="1603"/>
      <c r="BM439" s="1603"/>
      <c r="BN439" s="1603"/>
      <c r="BO439" s="1603"/>
      <c r="BP439" s="1603"/>
      <c r="BQ439" s="1603"/>
      <c r="BR439" s="1603"/>
      <c r="BS439" s="1603"/>
      <c r="BT439" s="295"/>
      <c r="BU439" s="295"/>
      <c r="BV439" s="310"/>
      <c r="BW439" s="310"/>
      <c r="BX439" s="300"/>
      <c r="BY439" s="295"/>
      <c r="BZ439" s="273"/>
      <c r="CA439" s="273"/>
      <c r="CB439" s="301"/>
      <c r="CC439" s="301"/>
      <c r="CD439" s="301"/>
      <c r="CE439" s="301"/>
      <c r="CF439" s="301"/>
    </row>
    <row r="440" spans="1:84" s="326" customFormat="1" ht="2.1" customHeight="1" x14ac:dyDescent="0.25">
      <c r="A440" s="322"/>
      <c r="B440" s="312"/>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c r="AE440" s="318"/>
      <c r="AF440" s="318"/>
      <c r="AG440" s="318"/>
      <c r="AH440" s="318"/>
      <c r="AI440" s="318"/>
      <c r="AJ440" s="323"/>
      <c r="AK440" s="287"/>
      <c r="AL440" s="312"/>
      <c r="AM440" s="318"/>
      <c r="AN440" s="318"/>
      <c r="AO440" s="318"/>
      <c r="AP440" s="318"/>
      <c r="AQ440" s="318"/>
      <c r="AR440" s="318"/>
      <c r="AS440" s="318"/>
      <c r="AT440" s="318"/>
      <c r="AU440" s="318"/>
      <c r="AV440" s="318"/>
      <c r="AW440" s="318"/>
      <c r="AX440" s="318"/>
      <c r="AY440" s="318"/>
      <c r="AZ440" s="318"/>
      <c r="BA440" s="318"/>
      <c r="BB440" s="318"/>
      <c r="BC440" s="318"/>
      <c r="BD440" s="318"/>
      <c r="BE440" s="318"/>
      <c r="BF440" s="318"/>
      <c r="BG440" s="318"/>
      <c r="BH440" s="318"/>
      <c r="BI440" s="318"/>
      <c r="BJ440" s="318"/>
      <c r="BK440" s="318"/>
      <c r="BL440" s="318"/>
      <c r="BM440" s="318"/>
      <c r="BN440" s="318"/>
      <c r="BO440" s="318"/>
      <c r="BP440" s="318"/>
      <c r="BQ440" s="318"/>
      <c r="BR440" s="318"/>
      <c r="BS440" s="318"/>
      <c r="BT440" s="295"/>
      <c r="BU440" s="295"/>
      <c r="BV440" s="310"/>
      <c r="BW440" s="310"/>
      <c r="BX440" s="291"/>
      <c r="BY440" s="323"/>
      <c r="BZ440" s="279"/>
      <c r="CA440" s="279"/>
      <c r="CB440" s="280"/>
      <c r="CC440" s="280"/>
      <c r="CD440" s="280"/>
      <c r="CE440" s="280"/>
      <c r="CF440" s="280"/>
    </row>
    <row r="441" spans="1:84" s="326" customFormat="1" ht="12.95" hidden="1" customHeight="1" x14ac:dyDescent="0.25">
      <c r="A441" s="322"/>
      <c r="B441" s="312"/>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318"/>
      <c r="AF441" s="318"/>
      <c r="AG441" s="318"/>
      <c r="AH441" s="318"/>
      <c r="AI441" s="318"/>
      <c r="AJ441" s="323"/>
      <c r="AK441" s="287"/>
      <c r="AL441" s="312"/>
      <c r="AM441" s="318"/>
      <c r="AN441" s="318"/>
      <c r="AO441" s="318"/>
      <c r="AP441" s="318"/>
      <c r="AQ441" s="318"/>
      <c r="AR441" s="318"/>
      <c r="AS441" s="318"/>
      <c r="AT441" s="318"/>
      <c r="AU441" s="318"/>
      <c r="AV441" s="318"/>
      <c r="AW441" s="318"/>
      <c r="AX441" s="318"/>
      <c r="AY441" s="318"/>
      <c r="AZ441" s="318"/>
      <c r="BA441" s="318"/>
      <c r="BB441" s="318"/>
      <c r="BC441" s="318"/>
      <c r="BD441" s="318"/>
      <c r="BE441" s="318"/>
      <c r="BF441" s="318"/>
      <c r="BG441" s="318"/>
      <c r="BH441" s="318"/>
      <c r="BI441" s="318"/>
      <c r="BJ441" s="318"/>
      <c r="BK441" s="318"/>
      <c r="BL441" s="318"/>
      <c r="BM441" s="318"/>
      <c r="BN441" s="318"/>
      <c r="BO441" s="318"/>
      <c r="BP441" s="318"/>
      <c r="BQ441" s="318"/>
      <c r="BR441" s="318"/>
      <c r="BS441" s="318"/>
      <c r="BT441" s="295"/>
      <c r="BU441" s="295"/>
      <c r="BV441" s="310"/>
      <c r="BW441" s="310"/>
      <c r="BX441" s="291"/>
      <c r="BY441" s="323"/>
      <c r="BZ441" s="279"/>
      <c r="CA441" s="279"/>
      <c r="CB441" s="280"/>
      <c r="CC441" s="280"/>
      <c r="CD441" s="280"/>
      <c r="CE441" s="280"/>
      <c r="CF441" s="280"/>
    </row>
    <row r="442" spans="1:84" s="326" customFormat="1" ht="15" hidden="1" customHeight="1" x14ac:dyDescent="0.25">
      <c r="A442" s="322" t="str">
        <f>subSTT</f>
        <v>2.21</v>
      </c>
      <c r="B442" s="312" t="s">
        <v>345</v>
      </c>
      <c r="C442" s="312" t="s">
        <v>738</v>
      </c>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c r="AH442" s="318"/>
      <c r="AI442" s="318"/>
      <c r="AJ442" s="323"/>
      <c r="AK442" s="287" t="str">
        <f>A442</f>
        <v>2.21</v>
      </c>
      <c r="AL442" s="312" t="s">
        <v>345</v>
      </c>
      <c r="AM442" s="312" t="s">
        <v>739</v>
      </c>
      <c r="AN442" s="318"/>
      <c r="AO442" s="318"/>
      <c r="AP442" s="318"/>
      <c r="AQ442" s="318"/>
      <c r="AR442" s="318"/>
      <c r="AS442" s="318"/>
      <c r="AT442" s="318"/>
      <c r="AU442" s="318"/>
      <c r="AV442" s="318"/>
      <c r="AW442" s="318"/>
      <c r="AX442" s="318"/>
      <c r="AY442" s="318"/>
      <c r="AZ442" s="318"/>
      <c r="BA442" s="318"/>
      <c r="BB442" s="318"/>
      <c r="BC442" s="318"/>
      <c r="BD442" s="318"/>
      <c r="BE442" s="318"/>
      <c r="BF442" s="318"/>
      <c r="BG442" s="318"/>
      <c r="BH442" s="318"/>
      <c r="BI442" s="318"/>
      <c r="BJ442" s="318"/>
      <c r="BK442" s="318"/>
      <c r="BL442" s="318"/>
      <c r="BM442" s="318"/>
      <c r="BN442" s="318"/>
      <c r="BO442" s="318"/>
      <c r="BP442" s="318"/>
      <c r="BQ442" s="318"/>
      <c r="BR442" s="318"/>
      <c r="BS442" s="318"/>
      <c r="BT442" s="295"/>
      <c r="BU442" s="295"/>
      <c r="BV442" s="310"/>
      <c r="BW442" s="310"/>
      <c r="BX442" s="291"/>
      <c r="BY442" s="323"/>
      <c r="BZ442" s="279"/>
      <c r="CA442" s="279"/>
      <c r="CB442" s="280"/>
      <c r="CC442" s="280"/>
      <c r="CD442" s="280"/>
      <c r="CE442" s="280"/>
      <c r="CF442" s="280"/>
    </row>
    <row r="443" spans="1:84" s="326" customFormat="1" ht="14.1" hidden="1" customHeight="1" x14ac:dyDescent="0.25">
      <c r="A443" s="322"/>
      <c r="B443" s="312"/>
      <c r="C443" s="324" t="s">
        <v>740</v>
      </c>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c r="AH443" s="318"/>
      <c r="AI443" s="318"/>
      <c r="AJ443" s="323"/>
      <c r="AK443" s="287"/>
      <c r="AL443" s="312"/>
      <c r="AM443" s="324" t="s">
        <v>740</v>
      </c>
      <c r="AN443" s="318"/>
      <c r="AO443" s="318"/>
      <c r="AP443" s="318"/>
      <c r="AQ443" s="318"/>
      <c r="AR443" s="318"/>
      <c r="AS443" s="318"/>
      <c r="AT443" s="318"/>
      <c r="AU443" s="318"/>
      <c r="AV443" s="318"/>
      <c r="AW443" s="318"/>
      <c r="AX443" s="318"/>
      <c r="AY443" s="318"/>
      <c r="AZ443" s="318"/>
      <c r="BA443" s="318"/>
      <c r="BB443" s="318"/>
      <c r="BC443" s="318"/>
      <c r="BD443" s="318"/>
      <c r="BE443" s="318"/>
      <c r="BF443" s="318"/>
      <c r="BG443" s="318"/>
      <c r="BH443" s="318"/>
      <c r="BI443" s="318"/>
      <c r="BJ443" s="318"/>
      <c r="BK443" s="318"/>
      <c r="BL443" s="318"/>
      <c r="BM443" s="318"/>
      <c r="BN443" s="318"/>
      <c r="BO443" s="318"/>
      <c r="BP443" s="318"/>
      <c r="BQ443" s="318"/>
      <c r="BR443" s="318"/>
      <c r="BS443" s="318"/>
      <c r="BT443" s="295"/>
      <c r="BU443" s="295"/>
      <c r="BV443" s="310"/>
      <c r="BW443" s="310"/>
      <c r="BX443" s="291"/>
      <c r="BY443" s="323"/>
      <c r="BZ443" s="279"/>
      <c r="CA443" s="279"/>
      <c r="CB443" s="280"/>
      <c r="CC443" s="280"/>
      <c r="CD443" s="280"/>
      <c r="CE443" s="280"/>
      <c r="CF443" s="280"/>
    </row>
    <row r="444" spans="1:84" s="326" customFormat="1" ht="15" hidden="1" customHeight="1" x14ac:dyDescent="0.25">
      <c r="A444" s="322"/>
      <c r="B444" s="312"/>
      <c r="C444" s="1602" t="s">
        <v>741</v>
      </c>
      <c r="D444" s="1602"/>
      <c r="E444" s="1602"/>
      <c r="F444" s="1602"/>
      <c r="G444" s="1602"/>
      <c r="H444" s="1602"/>
      <c r="I444" s="1602"/>
      <c r="J444" s="1602"/>
      <c r="K444" s="1602"/>
      <c r="L444" s="1602"/>
      <c r="M444" s="1602"/>
      <c r="N444" s="1602"/>
      <c r="O444" s="1602"/>
      <c r="P444" s="1602"/>
      <c r="Q444" s="1602"/>
      <c r="R444" s="1602"/>
      <c r="S444" s="1602"/>
      <c r="T444" s="1602"/>
      <c r="U444" s="1602"/>
      <c r="V444" s="1602"/>
      <c r="W444" s="1602"/>
      <c r="X444" s="1602"/>
      <c r="Y444" s="1602"/>
      <c r="Z444" s="1602"/>
      <c r="AA444" s="1602"/>
      <c r="AB444" s="1602"/>
      <c r="AC444" s="1602"/>
      <c r="AD444" s="1602"/>
      <c r="AE444" s="1602"/>
      <c r="AF444" s="1602"/>
      <c r="AG444" s="1602"/>
      <c r="AH444" s="1602"/>
      <c r="AI444" s="1602"/>
      <c r="AJ444" s="323"/>
      <c r="AK444" s="287"/>
      <c r="AL444" s="312"/>
      <c r="AM444" s="1602" t="s">
        <v>741</v>
      </c>
      <c r="AN444" s="1602"/>
      <c r="AO444" s="1602"/>
      <c r="AP444" s="1602"/>
      <c r="AQ444" s="1602"/>
      <c r="AR444" s="1602"/>
      <c r="AS444" s="1602"/>
      <c r="AT444" s="1602"/>
      <c r="AU444" s="1602"/>
      <c r="AV444" s="1602"/>
      <c r="AW444" s="1602"/>
      <c r="AX444" s="1602"/>
      <c r="AY444" s="1602"/>
      <c r="AZ444" s="1602"/>
      <c r="BA444" s="1602"/>
      <c r="BB444" s="1602"/>
      <c r="BC444" s="1602"/>
      <c r="BD444" s="1602"/>
      <c r="BE444" s="1602"/>
      <c r="BF444" s="1602"/>
      <c r="BG444" s="1602"/>
      <c r="BH444" s="1602"/>
      <c r="BI444" s="1602"/>
      <c r="BJ444" s="1602"/>
      <c r="BK444" s="1602"/>
      <c r="BL444" s="1602"/>
      <c r="BM444" s="1602"/>
      <c r="BN444" s="1602"/>
      <c r="BO444" s="1602"/>
      <c r="BP444" s="1602"/>
      <c r="BQ444" s="1602"/>
      <c r="BR444" s="1602"/>
      <c r="BS444" s="1602"/>
      <c r="BT444" s="295"/>
      <c r="BU444" s="295"/>
      <c r="BV444" s="310"/>
      <c r="BW444" s="310"/>
      <c r="BX444" s="291"/>
      <c r="BY444" s="323"/>
      <c r="BZ444" s="279"/>
      <c r="CA444" s="279"/>
      <c r="CB444" s="280"/>
      <c r="CC444" s="280"/>
      <c r="CD444" s="280"/>
      <c r="CE444" s="280"/>
      <c r="CF444" s="280"/>
    </row>
    <row r="445" spans="1:84" s="326" customFormat="1" ht="15" hidden="1" customHeight="1" x14ac:dyDescent="0.25">
      <c r="A445" s="322"/>
      <c r="B445" s="312"/>
      <c r="C445" s="1602" t="s">
        <v>741</v>
      </c>
      <c r="D445" s="1602"/>
      <c r="E445" s="1602"/>
      <c r="F445" s="1602"/>
      <c r="G445" s="1602"/>
      <c r="H445" s="1602"/>
      <c r="I445" s="1602"/>
      <c r="J445" s="1602"/>
      <c r="K445" s="1602"/>
      <c r="L445" s="1602"/>
      <c r="M445" s="1602"/>
      <c r="N445" s="1602"/>
      <c r="O445" s="1602"/>
      <c r="P445" s="1602"/>
      <c r="Q445" s="1602"/>
      <c r="R445" s="1602"/>
      <c r="S445" s="1602"/>
      <c r="T445" s="1602"/>
      <c r="U445" s="1602"/>
      <c r="V445" s="1602"/>
      <c r="W445" s="1602"/>
      <c r="X445" s="1602"/>
      <c r="Y445" s="1602"/>
      <c r="Z445" s="1602"/>
      <c r="AA445" s="1602"/>
      <c r="AB445" s="1602"/>
      <c r="AC445" s="1602"/>
      <c r="AD445" s="1602"/>
      <c r="AE445" s="1602"/>
      <c r="AF445" s="1602"/>
      <c r="AG445" s="1602"/>
      <c r="AH445" s="1602"/>
      <c r="AI445" s="1602"/>
      <c r="AJ445" s="323"/>
      <c r="AK445" s="287"/>
      <c r="AL445" s="312"/>
      <c r="AM445" s="1602" t="s">
        <v>741</v>
      </c>
      <c r="AN445" s="1602"/>
      <c r="AO445" s="1602"/>
      <c r="AP445" s="1602"/>
      <c r="AQ445" s="1602"/>
      <c r="AR445" s="1602"/>
      <c r="AS445" s="1602"/>
      <c r="AT445" s="1602"/>
      <c r="AU445" s="1602"/>
      <c r="AV445" s="1602"/>
      <c r="AW445" s="1602"/>
      <c r="AX445" s="1602"/>
      <c r="AY445" s="1602"/>
      <c r="AZ445" s="1602"/>
      <c r="BA445" s="1602"/>
      <c r="BB445" s="1602"/>
      <c r="BC445" s="1602"/>
      <c r="BD445" s="1602"/>
      <c r="BE445" s="1602"/>
      <c r="BF445" s="1602"/>
      <c r="BG445" s="1602"/>
      <c r="BH445" s="1602"/>
      <c r="BI445" s="1602"/>
      <c r="BJ445" s="1602"/>
      <c r="BK445" s="1602"/>
      <c r="BL445" s="1602"/>
      <c r="BM445" s="1602"/>
      <c r="BN445" s="1602"/>
      <c r="BO445" s="1602"/>
      <c r="BP445" s="1602"/>
      <c r="BQ445" s="1602"/>
      <c r="BR445" s="1602"/>
      <c r="BS445" s="1602"/>
      <c r="BT445" s="295"/>
      <c r="BU445" s="295"/>
      <c r="BV445" s="310"/>
      <c r="BW445" s="310"/>
      <c r="BX445" s="291"/>
      <c r="BY445" s="323"/>
      <c r="BZ445" s="279"/>
      <c r="CA445" s="279"/>
      <c r="CB445" s="280"/>
      <c r="CC445" s="280"/>
      <c r="CD445" s="280"/>
      <c r="CE445" s="280"/>
      <c r="CF445" s="280"/>
    </row>
    <row r="446" spans="1:84" s="281" customFormat="1" ht="2.1" hidden="1" customHeight="1" x14ac:dyDescent="0.25">
      <c r="A446" s="313"/>
      <c r="B446" s="282"/>
      <c r="C446" s="82"/>
      <c r="D446" s="82"/>
      <c r="E446" s="82"/>
      <c r="F446" s="82"/>
      <c r="G446" s="82"/>
      <c r="H446" s="82"/>
      <c r="I446" s="82"/>
      <c r="J446" s="82"/>
      <c r="K446" s="82"/>
      <c r="L446" s="82"/>
      <c r="M446" s="82"/>
      <c r="N446" s="82"/>
      <c r="O446" s="82"/>
      <c r="P446" s="82"/>
      <c r="Q446" s="82"/>
      <c r="R446" s="82"/>
      <c r="S446" s="82"/>
      <c r="T446" s="82"/>
      <c r="U446" s="82"/>
      <c r="V446" s="82"/>
      <c r="W446" s="270"/>
      <c r="X446" s="270"/>
      <c r="Y446" s="270"/>
      <c r="Z446" s="270"/>
      <c r="AA446" s="270"/>
      <c r="AB446" s="270"/>
      <c r="AC446" s="270"/>
      <c r="AD446" s="270"/>
      <c r="AE446" s="270"/>
      <c r="AF446" s="270"/>
      <c r="AG446" s="270"/>
      <c r="AH446" s="270"/>
      <c r="AI446" s="270"/>
      <c r="AJ446" s="272"/>
      <c r="AK446" s="286"/>
      <c r="AL446" s="282"/>
      <c r="AM446" s="82"/>
      <c r="AN446" s="82"/>
      <c r="AO446" s="82"/>
      <c r="AP446" s="82"/>
      <c r="AQ446" s="82"/>
      <c r="AR446" s="82"/>
      <c r="AS446" s="82"/>
      <c r="AT446" s="82"/>
      <c r="AU446" s="82"/>
      <c r="AV446" s="82"/>
      <c r="AW446" s="82"/>
      <c r="AX446" s="82"/>
      <c r="AY446" s="82"/>
      <c r="AZ446" s="82"/>
      <c r="BA446" s="82"/>
      <c r="BB446" s="82"/>
      <c r="BC446" s="82"/>
      <c r="BD446" s="82"/>
      <c r="BE446" s="82"/>
      <c r="BF446" s="82"/>
      <c r="BG446" s="82"/>
      <c r="BH446" s="82"/>
      <c r="BI446" s="82"/>
      <c r="BJ446" s="82"/>
      <c r="BK446" s="82"/>
      <c r="BL446" s="82"/>
      <c r="BM446" s="82"/>
      <c r="BN446" s="82"/>
      <c r="BO446" s="82"/>
      <c r="BP446" s="82"/>
      <c r="BQ446" s="82"/>
      <c r="BR446" s="82"/>
      <c r="BS446" s="82"/>
      <c r="BT446" s="82"/>
      <c r="BU446" s="295"/>
      <c r="BV446" s="310"/>
      <c r="BW446" s="310"/>
      <c r="BX446" s="291"/>
      <c r="BY446" s="272"/>
      <c r="BZ446" s="279"/>
      <c r="CA446" s="279"/>
      <c r="CB446" s="280"/>
      <c r="CC446" s="280"/>
      <c r="CD446" s="280"/>
      <c r="CE446" s="280"/>
      <c r="CF446" s="280"/>
    </row>
    <row r="447" spans="1:84" s="281" customFormat="1" ht="12.95" customHeight="1" x14ac:dyDescent="0.25">
      <c r="A447" s="313"/>
      <c r="B447" s="282"/>
      <c r="C447" s="82"/>
      <c r="D447" s="82"/>
      <c r="E447" s="82"/>
      <c r="F447" s="82"/>
      <c r="G447" s="82"/>
      <c r="H447" s="82"/>
      <c r="I447" s="82"/>
      <c r="J447" s="82"/>
      <c r="K447" s="82"/>
      <c r="L447" s="82"/>
      <c r="M447" s="82"/>
      <c r="N447" s="82"/>
      <c r="O447" s="82"/>
      <c r="P447" s="82"/>
      <c r="Q447" s="82"/>
      <c r="R447" s="82"/>
      <c r="S447" s="82"/>
      <c r="T447" s="82"/>
      <c r="U447" s="82"/>
      <c r="V447" s="82"/>
      <c r="W447" s="270"/>
      <c r="X447" s="270"/>
      <c r="Y447" s="270"/>
      <c r="Z447" s="270"/>
      <c r="AA447" s="270"/>
      <c r="AB447" s="270"/>
      <c r="AC447" s="270"/>
      <c r="AD447" s="270"/>
      <c r="AE447" s="270"/>
      <c r="AF447" s="270"/>
      <c r="AG447" s="270"/>
      <c r="AH447" s="270"/>
      <c r="AI447" s="270"/>
      <c r="AJ447" s="272"/>
      <c r="AK447" s="282"/>
      <c r="AL447" s="282"/>
      <c r="AM447" s="82"/>
      <c r="AN447" s="82"/>
      <c r="AO447" s="82"/>
      <c r="AP447" s="82"/>
      <c r="AQ447" s="82"/>
      <c r="AR447" s="82"/>
      <c r="AS447" s="82"/>
      <c r="AT447" s="82"/>
      <c r="AU447" s="82"/>
      <c r="AV447" s="82"/>
      <c r="AW447" s="82"/>
      <c r="AX447" s="82"/>
      <c r="AY447" s="82"/>
      <c r="AZ447" s="82"/>
      <c r="BA447" s="82"/>
      <c r="BB447" s="82"/>
      <c r="BC447" s="82"/>
      <c r="BD447" s="82"/>
      <c r="BE447" s="82"/>
      <c r="BF447" s="82"/>
      <c r="BG447" s="82"/>
      <c r="BH447" s="82"/>
      <c r="BI447" s="82"/>
      <c r="BJ447" s="82"/>
      <c r="BK447" s="82"/>
      <c r="BL447" s="82"/>
      <c r="BM447" s="82"/>
      <c r="BN447" s="82"/>
      <c r="BO447" s="82"/>
      <c r="BP447" s="82"/>
      <c r="BQ447" s="82"/>
      <c r="BR447" s="82"/>
      <c r="BS447" s="82"/>
      <c r="BT447" s="82"/>
      <c r="BU447" s="295"/>
      <c r="BV447" s="310"/>
      <c r="BW447" s="310"/>
      <c r="BX447" s="291"/>
      <c r="BY447" s="272"/>
      <c r="BZ447" s="279"/>
      <c r="CA447" s="279"/>
      <c r="CB447" s="280"/>
      <c r="CC447" s="280"/>
      <c r="CD447" s="280"/>
      <c r="CE447" s="280"/>
      <c r="CF447" s="280"/>
    </row>
    <row r="448" spans="1:84" ht="15" customHeight="1" x14ac:dyDescent="0.25">
      <c r="A448" s="313">
        <v>3</v>
      </c>
      <c r="B448" s="340" t="s">
        <v>345</v>
      </c>
      <c r="C448" s="341" t="s">
        <v>742</v>
      </c>
      <c r="D448" s="341"/>
      <c r="E448" s="82"/>
      <c r="F448" s="341"/>
      <c r="G448" s="341"/>
      <c r="H448" s="341"/>
      <c r="I448" s="341"/>
      <c r="J448" s="341"/>
      <c r="K448" s="341"/>
      <c r="L448" s="341"/>
      <c r="M448" s="341"/>
      <c r="N448" s="341"/>
      <c r="O448" s="341"/>
      <c r="P448" s="341"/>
      <c r="Q448" s="341"/>
      <c r="R448" s="341"/>
      <c r="S448" s="341"/>
      <c r="T448" s="341"/>
      <c r="U448" s="342"/>
      <c r="V448" s="342"/>
      <c r="W448" s="343"/>
      <c r="X448" s="343"/>
      <c r="Y448" s="343"/>
      <c r="Z448" s="343"/>
      <c r="AA448" s="343"/>
      <c r="AB448" s="343"/>
      <c r="AC448" s="343"/>
      <c r="AD448" s="343"/>
      <c r="AE448" s="343"/>
      <c r="AF448" s="343"/>
      <c r="AG448" s="343"/>
      <c r="AH448" s="343"/>
      <c r="AI448" s="343"/>
      <c r="AJ448" s="344"/>
      <c r="AK448" s="345">
        <f>A448</f>
        <v>3</v>
      </c>
      <c r="AL448" s="340" t="s">
        <v>345</v>
      </c>
      <c r="AM448" s="341" t="s">
        <v>743</v>
      </c>
      <c r="AN448" s="341"/>
      <c r="AO448" s="341"/>
      <c r="AP448" s="341"/>
      <c r="AQ448" s="341"/>
      <c r="AR448" s="341"/>
      <c r="AS448" s="341"/>
      <c r="AT448" s="341"/>
      <c r="AU448" s="341"/>
      <c r="AV448" s="341"/>
      <c r="AW448" s="341"/>
      <c r="AX448" s="341"/>
      <c r="AY448" s="341"/>
      <c r="AZ448" s="341"/>
      <c r="BA448" s="341"/>
      <c r="BB448" s="341"/>
      <c r="BC448" s="341"/>
      <c r="BD448" s="341"/>
      <c r="BE448" s="342"/>
      <c r="BF448" s="342"/>
      <c r="BG448" s="342"/>
      <c r="BH448" s="342"/>
      <c r="BI448" s="342"/>
      <c r="BJ448" s="342"/>
      <c r="BK448" s="342"/>
      <c r="BL448" s="342"/>
      <c r="BM448" s="342"/>
      <c r="BN448" s="342"/>
      <c r="BO448" s="342"/>
      <c r="BP448" s="342"/>
      <c r="BQ448" s="342"/>
      <c r="BR448" s="342"/>
      <c r="BS448" s="342"/>
      <c r="BT448" s="342"/>
      <c r="BU448" s="346">
        <f>SUBTOTAL(103,A448)</f>
        <v>1</v>
      </c>
      <c r="BV448" s="310"/>
      <c r="BW448" s="310"/>
      <c r="BX448" s="291">
        <f>IF(ISNONTEXT($C448),0,SUM(D448:AI448)-SUM(AN448:BS448))</f>
        <v>0</v>
      </c>
      <c r="BY448" s="344"/>
      <c r="BZ448" s="347"/>
      <c r="CA448" s="347"/>
    </row>
    <row r="449" spans="1:79" ht="15" customHeight="1" x14ac:dyDescent="0.25">
      <c r="A449" s="313"/>
      <c r="B449" s="340"/>
      <c r="C449" s="350"/>
      <c r="D449" s="350"/>
      <c r="E449" s="350"/>
      <c r="F449" s="350"/>
      <c r="G449" s="350"/>
      <c r="H449" s="350"/>
      <c r="I449" s="350"/>
      <c r="J449" s="350"/>
      <c r="K449" s="350"/>
      <c r="L449" s="350"/>
      <c r="M449" s="350"/>
      <c r="N449" s="350"/>
      <c r="O449" s="350"/>
      <c r="P449" s="350"/>
      <c r="Q449" s="350"/>
      <c r="R449" s="350"/>
      <c r="S449" s="350"/>
      <c r="T449" s="350"/>
      <c r="U449" s="342"/>
      <c r="V449" s="342"/>
      <c r="W449" s="1325" t="str">
        <f>Ky_Nay1_V</f>
        <v>31/12/2017</v>
      </c>
      <c r="X449" s="1325"/>
      <c r="Y449" s="1325"/>
      <c r="Z449" s="1325"/>
      <c r="AA449" s="1325"/>
      <c r="AB449" s="1325"/>
      <c r="AC449" s="351"/>
      <c r="AD449" s="1325" t="str">
        <f>Ky_Truoc1_V</f>
        <v>01/01/2017</v>
      </c>
      <c r="AE449" s="1325"/>
      <c r="AF449" s="1325"/>
      <c r="AG449" s="1325"/>
      <c r="AH449" s="1325"/>
      <c r="AI449" s="1325"/>
      <c r="AJ449" s="344"/>
      <c r="AK449" s="345"/>
      <c r="AL449" s="340"/>
      <c r="AM449" s="350"/>
      <c r="AN449" s="350"/>
      <c r="AO449" s="350"/>
      <c r="AP449" s="350"/>
      <c r="AQ449" s="350"/>
      <c r="AR449" s="350"/>
      <c r="AS449" s="350"/>
      <c r="AT449" s="350"/>
      <c r="AU449" s="350"/>
      <c r="AV449" s="350"/>
      <c r="AW449" s="350"/>
      <c r="AX449" s="350"/>
      <c r="AY449" s="350"/>
      <c r="AZ449" s="350"/>
      <c r="BA449" s="350"/>
      <c r="BB449" s="350"/>
      <c r="BC449" s="350"/>
      <c r="BD449" s="350"/>
      <c r="BE449" s="342"/>
      <c r="BF449" s="342"/>
      <c r="BG449" s="1325" t="str">
        <f>Ky_Nay1_E</f>
        <v>31/12/2017</v>
      </c>
      <c r="BH449" s="1325"/>
      <c r="BI449" s="1325"/>
      <c r="BJ449" s="1325"/>
      <c r="BK449" s="1325"/>
      <c r="BL449" s="1325"/>
      <c r="BM449" s="332"/>
      <c r="BN449" s="1325" t="str">
        <f>Ky_Truoc1_E</f>
        <v>01/01/2017</v>
      </c>
      <c r="BO449" s="1325"/>
      <c r="BP449" s="1325"/>
      <c r="BQ449" s="1325"/>
      <c r="BR449" s="1325"/>
      <c r="BS449" s="1325"/>
      <c r="BT449" s="352"/>
      <c r="BU449" s="353"/>
      <c r="BV449" s="310"/>
      <c r="BW449" s="310"/>
      <c r="BX449" s="291">
        <f t="shared" ref="BX449:BX525" si="1">IF(ISNONTEXT($C449),0,SUM(D449:AI449)-SUM(AN449:BS449))</f>
        <v>0</v>
      </c>
      <c r="BY449" s="344"/>
      <c r="BZ449" s="347"/>
      <c r="CA449" s="347"/>
    </row>
    <row r="450" spans="1:79" ht="15" customHeight="1" x14ac:dyDescent="0.25">
      <c r="A450" s="313"/>
      <c r="B450" s="340"/>
      <c r="C450" s="350"/>
      <c r="D450" s="350"/>
      <c r="E450" s="350"/>
      <c r="F450" s="350"/>
      <c r="G450" s="350"/>
      <c r="H450" s="350"/>
      <c r="I450" s="350"/>
      <c r="J450" s="350"/>
      <c r="K450" s="350"/>
      <c r="L450" s="350"/>
      <c r="M450" s="350"/>
      <c r="N450" s="350"/>
      <c r="O450" s="350"/>
      <c r="P450" s="350"/>
      <c r="Q450" s="350"/>
      <c r="R450" s="350"/>
      <c r="S450" s="350"/>
      <c r="T450" s="350"/>
      <c r="U450" s="342"/>
      <c r="V450" s="342"/>
      <c r="W450" s="1327" t="str">
        <f>Don_Vi_Tinh_V</f>
        <v>VND</v>
      </c>
      <c r="X450" s="1327"/>
      <c r="Y450" s="1327"/>
      <c r="Z450" s="1327"/>
      <c r="AA450" s="1327"/>
      <c r="AB450" s="1327"/>
      <c r="AC450" s="351"/>
      <c r="AD450" s="1327" t="str">
        <f>Don_Vi_Tinh_V</f>
        <v>VND</v>
      </c>
      <c r="AE450" s="1327"/>
      <c r="AF450" s="1327"/>
      <c r="AG450" s="1327"/>
      <c r="AH450" s="1327"/>
      <c r="AI450" s="1327"/>
      <c r="AJ450" s="344"/>
      <c r="AK450" s="345"/>
      <c r="AL450" s="340"/>
      <c r="AM450" s="350"/>
      <c r="AN450" s="350"/>
      <c r="AO450" s="350"/>
      <c r="AP450" s="350"/>
      <c r="AQ450" s="350"/>
      <c r="AR450" s="350"/>
      <c r="AS450" s="350"/>
      <c r="AT450" s="350"/>
      <c r="AU450" s="350"/>
      <c r="AV450" s="350"/>
      <c r="AW450" s="350"/>
      <c r="AX450" s="350"/>
      <c r="AY450" s="350"/>
      <c r="AZ450" s="350"/>
      <c r="BA450" s="350"/>
      <c r="BB450" s="350"/>
      <c r="BC450" s="350"/>
      <c r="BD450" s="350"/>
      <c r="BE450" s="342"/>
      <c r="BF450" s="342"/>
      <c r="BG450" s="1601" t="str">
        <f>Don_Vi_Tinh_E</f>
        <v>VND</v>
      </c>
      <c r="BH450" s="1601"/>
      <c r="BI450" s="1601"/>
      <c r="BJ450" s="1601"/>
      <c r="BK450" s="1601"/>
      <c r="BL450" s="1601"/>
      <c r="BM450" s="332"/>
      <c r="BN450" s="1601" t="str">
        <f>Don_Vi_Tinh_E</f>
        <v>VND</v>
      </c>
      <c r="BO450" s="1601"/>
      <c r="BP450" s="1601"/>
      <c r="BQ450" s="1601"/>
      <c r="BR450" s="1601"/>
      <c r="BS450" s="1601"/>
      <c r="BT450" s="352"/>
      <c r="BU450" s="353"/>
      <c r="BV450" s="310"/>
      <c r="BW450" s="310"/>
      <c r="BX450" s="291">
        <f>IF(ISNONTEXT($C450),0,SUM(D450:AI450)-SUM(AN450:BS450))</f>
        <v>0</v>
      </c>
      <c r="BY450" s="344"/>
      <c r="BZ450" s="347"/>
      <c r="CA450" s="347"/>
    </row>
    <row r="451" spans="1:79" ht="12.95" customHeight="1" x14ac:dyDescent="0.25">
      <c r="A451" s="313"/>
      <c r="B451" s="340"/>
      <c r="C451" s="354"/>
      <c r="D451" s="340"/>
      <c r="E451" s="340"/>
      <c r="F451" s="340"/>
      <c r="G451" s="340"/>
      <c r="H451" s="340"/>
      <c r="I451" s="340"/>
      <c r="J451" s="340"/>
      <c r="K451" s="340"/>
      <c r="L451" s="340"/>
      <c r="M451" s="340"/>
      <c r="N451" s="340"/>
      <c r="O451" s="340"/>
      <c r="P451" s="340"/>
      <c r="Q451" s="340"/>
      <c r="R451" s="340"/>
      <c r="S451" s="340"/>
      <c r="T451" s="340"/>
      <c r="U451" s="342"/>
      <c r="V451" s="342"/>
      <c r="W451" s="1318"/>
      <c r="X451" s="1318"/>
      <c r="Y451" s="1318"/>
      <c r="Z451" s="1318"/>
      <c r="AA451" s="1318"/>
      <c r="AB451" s="1318"/>
      <c r="AC451" s="355"/>
      <c r="AD451" s="1318"/>
      <c r="AE451" s="1318"/>
      <c r="AF451" s="1318"/>
      <c r="AG451" s="1318"/>
      <c r="AH451" s="1318"/>
      <c r="AI451" s="1318"/>
      <c r="AJ451" s="344"/>
      <c r="AK451" s="345"/>
      <c r="AL451" s="340"/>
      <c r="AM451" s="354"/>
      <c r="AN451" s="340"/>
      <c r="AO451" s="340"/>
      <c r="AP451" s="340"/>
      <c r="AQ451" s="340"/>
      <c r="AR451" s="340"/>
      <c r="AS451" s="340"/>
      <c r="AT451" s="340"/>
      <c r="AU451" s="340"/>
      <c r="AV451" s="340"/>
      <c r="AW451" s="340"/>
      <c r="AX451" s="340"/>
      <c r="AY451" s="340"/>
      <c r="AZ451" s="340"/>
      <c r="BA451" s="340"/>
      <c r="BB451" s="340"/>
      <c r="BC451" s="340"/>
      <c r="BD451" s="340"/>
      <c r="BE451" s="342"/>
      <c r="BF451" s="342"/>
      <c r="BG451" s="1318"/>
      <c r="BH451" s="1318"/>
      <c r="BI451" s="1318"/>
      <c r="BJ451" s="1318"/>
      <c r="BK451" s="1318"/>
      <c r="BL451" s="1318"/>
      <c r="BM451" s="355"/>
      <c r="BN451" s="1318"/>
      <c r="BO451" s="1318"/>
      <c r="BP451" s="1318"/>
      <c r="BQ451" s="1318"/>
      <c r="BR451" s="1318"/>
      <c r="BS451" s="1318"/>
      <c r="BT451" s="356"/>
      <c r="BU451" s="357"/>
      <c r="BV451" s="310"/>
      <c r="BW451" s="310"/>
      <c r="BX451" s="291">
        <f t="shared" si="1"/>
        <v>0</v>
      </c>
      <c r="BY451" s="344"/>
      <c r="BZ451" s="347"/>
      <c r="CA451" s="347"/>
    </row>
    <row r="452" spans="1:79" ht="15" customHeight="1" x14ac:dyDescent="0.25">
      <c r="A452" s="313"/>
      <c r="B452" s="340"/>
      <c r="C452" s="354" t="s">
        <v>744</v>
      </c>
      <c r="D452" s="340"/>
      <c r="E452" s="340"/>
      <c r="F452" s="340"/>
      <c r="G452" s="340"/>
      <c r="H452" s="340"/>
      <c r="I452" s="340"/>
      <c r="J452" s="340"/>
      <c r="K452" s="340"/>
      <c r="L452" s="340"/>
      <c r="M452" s="340"/>
      <c r="N452" s="340"/>
      <c r="O452" s="340"/>
      <c r="P452" s="340"/>
      <c r="Q452" s="340"/>
      <c r="R452" s="340"/>
      <c r="S452" s="340"/>
      <c r="T452" s="340"/>
      <c r="U452" s="342"/>
      <c r="V452" s="342"/>
      <c r="W452" s="1318">
        <f>KN_1111+KN_1112+KN_1113</f>
        <v>77820568</v>
      </c>
      <c r="X452" s="1318"/>
      <c r="Y452" s="1318"/>
      <c r="Z452" s="1318"/>
      <c r="AA452" s="1318"/>
      <c r="AB452" s="1318"/>
      <c r="AC452" s="355"/>
      <c r="AD452" s="1318">
        <f>KT_1111+KT_1112+KT_1113</f>
        <v>136975427</v>
      </c>
      <c r="AE452" s="1318"/>
      <c r="AF452" s="1318"/>
      <c r="AG452" s="1318"/>
      <c r="AH452" s="1318"/>
      <c r="AI452" s="1318"/>
      <c r="AJ452" s="344"/>
      <c r="AK452" s="345"/>
      <c r="AL452" s="340"/>
      <c r="AM452" s="354" t="s">
        <v>745</v>
      </c>
      <c r="AN452" s="340"/>
      <c r="AO452" s="340"/>
      <c r="AP452" s="340"/>
      <c r="AQ452" s="340"/>
      <c r="AR452" s="340"/>
      <c r="AS452" s="340"/>
      <c r="AT452" s="340"/>
      <c r="AU452" s="340"/>
      <c r="AV452" s="340"/>
      <c r="AW452" s="340"/>
      <c r="AX452" s="340"/>
      <c r="AY452" s="340"/>
      <c r="AZ452" s="340"/>
      <c r="BA452" s="340"/>
      <c r="BB452" s="340"/>
      <c r="BC452" s="340"/>
      <c r="BD452" s="340"/>
      <c r="BE452" s="342"/>
      <c r="BF452" s="342"/>
      <c r="BG452" s="1318">
        <f>W452</f>
        <v>77820568</v>
      </c>
      <c r="BH452" s="1318"/>
      <c r="BI452" s="1318"/>
      <c r="BJ452" s="1318"/>
      <c r="BK452" s="1318"/>
      <c r="BL452" s="1318"/>
      <c r="BM452" s="358"/>
      <c r="BN452" s="1318">
        <f>AD452</f>
        <v>136975427</v>
      </c>
      <c r="BO452" s="1318"/>
      <c r="BP452" s="1318"/>
      <c r="BQ452" s="1318"/>
      <c r="BR452" s="1318"/>
      <c r="BS452" s="1318"/>
      <c r="BT452" s="356"/>
      <c r="BU452" s="357"/>
      <c r="BV452" s="310"/>
      <c r="BW452" s="310"/>
      <c r="BX452" s="291">
        <f>IF(ISNONTEXT($C452),0,SUM(D452:AI452)-SUM(AN452:BS452))</f>
        <v>0</v>
      </c>
      <c r="BY452" s="344"/>
      <c r="BZ452" s="347"/>
      <c r="CA452" s="347"/>
    </row>
    <row r="453" spans="1:79" ht="15" customHeight="1" x14ac:dyDescent="0.25">
      <c r="A453" s="313"/>
      <c r="B453" s="340"/>
      <c r="C453" s="354" t="s">
        <v>746</v>
      </c>
      <c r="D453" s="340"/>
      <c r="E453" s="340"/>
      <c r="F453" s="340"/>
      <c r="G453" s="340"/>
      <c r="H453" s="340"/>
      <c r="I453" s="340"/>
      <c r="J453" s="340"/>
      <c r="K453" s="340"/>
      <c r="L453" s="340"/>
      <c r="M453" s="340"/>
      <c r="N453" s="340"/>
      <c r="O453" s="340"/>
      <c r="P453" s="340"/>
      <c r="Q453" s="340"/>
      <c r="R453" s="340"/>
      <c r="S453" s="340"/>
      <c r="T453" s="340"/>
      <c r="U453" s="342"/>
      <c r="V453" s="342"/>
      <c r="W453" s="1318">
        <f>KN_1121+KN_1122+KN_1123</f>
        <v>1671886641</v>
      </c>
      <c r="X453" s="1318"/>
      <c r="Y453" s="1318"/>
      <c r="Z453" s="1318"/>
      <c r="AA453" s="1318"/>
      <c r="AB453" s="1318"/>
      <c r="AC453" s="355"/>
      <c r="AD453" s="1318">
        <f>KT_1121+KT_1122+KT_1123</f>
        <v>834663008</v>
      </c>
      <c r="AE453" s="1318"/>
      <c r="AF453" s="1318"/>
      <c r="AG453" s="1318"/>
      <c r="AH453" s="1318"/>
      <c r="AI453" s="1318"/>
      <c r="AJ453" s="344"/>
      <c r="AK453" s="345"/>
      <c r="AL453" s="340"/>
      <c r="AM453" s="354" t="s">
        <v>747</v>
      </c>
      <c r="AN453" s="340"/>
      <c r="AO453" s="340"/>
      <c r="AP453" s="340"/>
      <c r="AQ453" s="340"/>
      <c r="AR453" s="340"/>
      <c r="AS453" s="340"/>
      <c r="AT453" s="340"/>
      <c r="AU453" s="340"/>
      <c r="AV453" s="340"/>
      <c r="AW453" s="340"/>
      <c r="AX453" s="340"/>
      <c r="AY453" s="340"/>
      <c r="AZ453" s="340"/>
      <c r="BA453" s="340"/>
      <c r="BB453" s="340"/>
      <c r="BC453" s="340"/>
      <c r="BD453" s="340"/>
      <c r="BE453" s="342"/>
      <c r="BF453" s="342"/>
      <c r="BG453" s="1363">
        <f>W453</f>
        <v>1671886641</v>
      </c>
      <c r="BH453" s="1363"/>
      <c r="BI453" s="1363"/>
      <c r="BJ453" s="1363"/>
      <c r="BK453" s="1363"/>
      <c r="BL453" s="1363"/>
      <c r="BM453" s="358"/>
      <c r="BN453" s="1363">
        <f>AD453</f>
        <v>834663008</v>
      </c>
      <c r="BO453" s="1363"/>
      <c r="BP453" s="1363"/>
      <c r="BQ453" s="1363"/>
      <c r="BR453" s="1363"/>
      <c r="BS453" s="1363"/>
      <c r="BT453" s="359"/>
      <c r="BU453" s="346"/>
      <c r="BV453" s="310"/>
      <c r="BW453" s="310"/>
      <c r="BX453" s="291">
        <f t="shared" si="1"/>
        <v>0</v>
      </c>
      <c r="BY453" s="344"/>
      <c r="BZ453" s="347"/>
      <c r="CA453" s="347"/>
    </row>
    <row r="454" spans="1:79" ht="15" hidden="1" customHeight="1" x14ac:dyDescent="0.25">
      <c r="A454" s="313"/>
      <c r="B454" s="340"/>
      <c r="C454" s="342" t="s">
        <v>748</v>
      </c>
      <c r="D454" s="342"/>
      <c r="E454" s="342"/>
      <c r="F454" s="342"/>
      <c r="G454" s="342"/>
      <c r="H454" s="342"/>
      <c r="I454" s="342"/>
      <c r="J454" s="342"/>
      <c r="K454" s="342"/>
      <c r="L454" s="342"/>
      <c r="M454" s="342"/>
      <c r="N454" s="342"/>
      <c r="O454" s="342"/>
      <c r="P454" s="342"/>
      <c r="Q454" s="342"/>
      <c r="R454" s="342"/>
      <c r="S454" s="342"/>
      <c r="T454" s="342"/>
      <c r="U454" s="342"/>
      <c r="V454" s="342"/>
      <c r="W454" s="1318">
        <f>KN_1131+KN_1132</f>
        <v>0</v>
      </c>
      <c r="X454" s="1318"/>
      <c r="Y454" s="1318"/>
      <c r="Z454" s="1318"/>
      <c r="AA454" s="1318"/>
      <c r="AB454" s="1318"/>
      <c r="AC454" s="355"/>
      <c r="AD454" s="1318">
        <f>KT_1131+KT_1132</f>
        <v>0</v>
      </c>
      <c r="AE454" s="1318"/>
      <c r="AF454" s="1318"/>
      <c r="AG454" s="1318"/>
      <c r="AH454" s="1318"/>
      <c r="AI454" s="1318"/>
      <c r="AJ454" s="344"/>
      <c r="AK454" s="345"/>
      <c r="AL454" s="340"/>
      <c r="AM454" s="342" t="s">
        <v>749</v>
      </c>
      <c r="AN454" s="342"/>
      <c r="AO454" s="342"/>
      <c r="AP454" s="342"/>
      <c r="AQ454" s="342"/>
      <c r="AR454" s="342"/>
      <c r="AS454" s="342"/>
      <c r="AT454" s="342"/>
      <c r="AU454" s="342"/>
      <c r="AV454" s="342"/>
      <c r="AW454" s="342"/>
      <c r="AX454" s="342"/>
      <c r="AY454" s="342"/>
      <c r="AZ454" s="342"/>
      <c r="BA454" s="342"/>
      <c r="BB454" s="342"/>
      <c r="BC454" s="342"/>
      <c r="BD454" s="342"/>
      <c r="BE454" s="342"/>
      <c r="BF454" s="342"/>
      <c r="BG454" s="1318">
        <f>W454</f>
        <v>0</v>
      </c>
      <c r="BH454" s="1318"/>
      <c r="BI454" s="1318"/>
      <c r="BJ454" s="1318"/>
      <c r="BK454" s="1318"/>
      <c r="BL454" s="1318"/>
      <c r="BM454" s="358"/>
      <c r="BN454" s="1318">
        <f>AD454</f>
        <v>0</v>
      </c>
      <c r="BO454" s="1318"/>
      <c r="BP454" s="1318"/>
      <c r="BQ454" s="1318"/>
      <c r="BR454" s="1318"/>
      <c r="BS454" s="1318"/>
      <c r="BT454" s="359"/>
      <c r="BU454" s="346"/>
      <c r="BV454" s="310"/>
      <c r="BW454" s="310"/>
      <c r="BX454" s="291">
        <f t="shared" si="1"/>
        <v>0</v>
      </c>
      <c r="BY454" s="344"/>
      <c r="BZ454" s="347"/>
      <c r="CA454" s="347"/>
    </row>
    <row r="455" spans="1:79" ht="15" customHeight="1" x14ac:dyDescent="0.25">
      <c r="A455" s="313"/>
      <c r="B455" s="340"/>
      <c r="C455" s="342" t="s">
        <v>750</v>
      </c>
      <c r="D455" s="342"/>
      <c r="E455" s="342"/>
      <c r="F455" s="342"/>
      <c r="G455" s="342"/>
      <c r="H455" s="342"/>
      <c r="I455" s="342"/>
      <c r="J455" s="342"/>
      <c r="K455" s="342"/>
      <c r="L455" s="342"/>
      <c r="M455" s="342"/>
      <c r="N455" s="342"/>
      <c r="O455" s="342"/>
      <c r="P455" s="342"/>
      <c r="Q455" s="342"/>
      <c r="R455" s="342"/>
      <c r="S455" s="342"/>
      <c r="T455" s="342"/>
      <c r="U455" s="342"/>
      <c r="V455" s="342"/>
      <c r="W455" s="1318">
        <f>KN_CT112</f>
        <v>2000000000</v>
      </c>
      <c r="X455" s="1318"/>
      <c r="Y455" s="1318"/>
      <c r="Z455" s="1318"/>
      <c r="AA455" s="1318"/>
      <c r="AB455" s="1318"/>
      <c r="AC455" s="355"/>
      <c r="AD455" s="1318">
        <f>KT_CT112</f>
        <v>3000000000</v>
      </c>
      <c r="AE455" s="1318"/>
      <c r="AF455" s="1318"/>
      <c r="AG455" s="1318"/>
      <c r="AH455" s="1318"/>
      <c r="AI455" s="1318"/>
      <c r="AJ455" s="344"/>
      <c r="AK455" s="345"/>
      <c r="AL455" s="340"/>
      <c r="AM455" s="342" t="s">
        <v>751</v>
      </c>
      <c r="AN455" s="342"/>
      <c r="AO455" s="342"/>
      <c r="AP455" s="342"/>
      <c r="AQ455" s="342"/>
      <c r="AR455" s="342"/>
      <c r="AS455" s="342"/>
      <c r="AT455" s="342"/>
      <c r="AU455" s="342"/>
      <c r="AV455" s="342"/>
      <c r="AW455" s="342"/>
      <c r="AX455" s="342"/>
      <c r="AY455" s="342"/>
      <c r="AZ455" s="342"/>
      <c r="BA455" s="342"/>
      <c r="BB455" s="342"/>
      <c r="BC455" s="342"/>
      <c r="BD455" s="342"/>
      <c r="BE455" s="342"/>
      <c r="BF455" s="342"/>
      <c r="BG455" s="1318">
        <f>W455</f>
        <v>2000000000</v>
      </c>
      <c r="BH455" s="1318"/>
      <c r="BI455" s="1318"/>
      <c r="BJ455" s="1318"/>
      <c r="BK455" s="1318"/>
      <c r="BL455" s="1318"/>
      <c r="BM455" s="358"/>
      <c r="BN455" s="1318">
        <f>AD455</f>
        <v>3000000000</v>
      </c>
      <c r="BO455" s="1318"/>
      <c r="BP455" s="1318"/>
      <c r="BQ455" s="1318"/>
      <c r="BR455" s="1318"/>
      <c r="BS455" s="1318"/>
      <c r="BT455" s="359"/>
      <c r="BU455" s="346"/>
      <c r="BV455" s="310"/>
      <c r="BW455" s="310"/>
      <c r="BX455" s="291">
        <f t="shared" si="1"/>
        <v>0</v>
      </c>
      <c r="BY455" s="344"/>
      <c r="BZ455" s="347"/>
      <c r="CA455" s="347"/>
    </row>
    <row r="456" spans="1:79" ht="12.95" customHeight="1" x14ac:dyDescent="0.25">
      <c r="A456" s="313"/>
      <c r="B456" s="340"/>
      <c r="C456" s="342"/>
      <c r="D456" s="342"/>
      <c r="E456" s="342"/>
      <c r="F456" s="342"/>
      <c r="G456" s="342"/>
      <c r="H456" s="342"/>
      <c r="I456" s="342"/>
      <c r="J456" s="342"/>
      <c r="K456" s="342"/>
      <c r="L456" s="342"/>
      <c r="M456" s="342"/>
      <c r="N456" s="342"/>
      <c r="O456" s="342"/>
      <c r="P456" s="342"/>
      <c r="Q456" s="342"/>
      <c r="R456" s="342"/>
      <c r="S456" s="342"/>
      <c r="T456" s="342"/>
      <c r="U456" s="342"/>
      <c r="V456" s="342"/>
      <c r="W456" s="1318"/>
      <c r="X456" s="1318"/>
      <c r="Y456" s="1318"/>
      <c r="Z456" s="1318"/>
      <c r="AA456" s="1318"/>
      <c r="AB456" s="1318"/>
      <c r="AC456" s="355"/>
      <c r="AD456" s="1318"/>
      <c r="AE456" s="1318"/>
      <c r="AF456" s="1318"/>
      <c r="AG456" s="1318"/>
      <c r="AH456" s="1318"/>
      <c r="AI456" s="1318"/>
      <c r="AJ456" s="344"/>
      <c r="AK456" s="345"/>
      <c r="AL456" s="340"/>
      <c r="AM456" s="342"/>
      <c r="AN456" s="342"/>
      <c r="AO456" s="342"/>
      <c r="AP456" s="342"/>
      <c r="AQ456" s="342"/>
      <c r="AR456" s="342"/>
      <c r="AS456" s="342"/>
      <c r="AT456" s="342"/>
      <c r="AU456" s="342"/>
      <c r="AV456" s="342"/>
      <c r="AW456" s="342"/>
      <c r="AX456" s="342"/>
      <c r="AY456" s="342"/>
      <c r="AZ456" s="342"/>
      <c r="BA456" s="342"/>
      <c r="BB456" s="342"/>
      <c r="BC456" s="342"/>
      <c r="BD456" s="342"/>
      <c r="BE456" s="342"/>
      <c r="BF456" s="342"/>
      <c r="BG456" s="1318"/>
      <c r="BH456" s="1318"/>
      <c r="BI456" s="1318"/>
      <c r="BJ456" s="1318"/>
      <c r="BK456" s="1318"/>
      <c r="BL456" s="1318"/>
      <c r="BM456" s="358"/>
      <c r="BN456" s="1318"/>
      <c r="BO456" s="1318"/>
      <c r="BP456" s="1318"/>
      <c r="BQ456" s="1318"/>
      <c r="BR456" s="1318"/>
      <c r="BS456" s="1318"/>
      <c r="BT456" s="359"/>
      <c r="BU456" s="346"/>
      <c r="BV456" s="310"/>
      <c r="BW456" s="310"/>
      <c r="BX456" s="291">
        <f t="shared" si="1"/>
        <v>0</v>
      </c>
      <c r="BY456" s="344"/>
      <c r="BZ456" s="347"/>
      <c r="CA456" s="347"/>
    </row>
    <row r="457" spans="1:79" ht="15" customHeight="1" thickBot="1" x14ac:dyDescent="0.3">
      <c r="A457" s="313"/>
      <c r="B457" s="340"/>
      <c r="C457" s="360" t="s">
        <v>752</v>
      </c>
      <c r="D457" s="340"/>
      <c r="E457" s="340"/>
      <c r="F457" s="340"/>
      <c r="G457" s="340"/>
      <c r="H457" s="340"/>
      <c r="I457" s="340"/>
      <c r="J457" s="340"/>
      <c r="K457" s="340"/>
      <c r="L457" s="340"/>
      <c r="M457" s="340"/>
      <c r="N457" s="340"/>
      <c r="O457" s="340"/>
      <c r="P457" s="340"/>
      <c r="Q457" s="340"/>
      <c r="R457" s="340"/>
      <c r="S457" s="340"/>
      <c r="T457" s="340"/>
      <c r="U457" s="342"/>
      <c r="V457" s="342"/>
      <c r="W457" s="1359">
        <f>SUBTOTAL(109,W452:AB456)</f>
        <v>3749707209</v>
      </c>
      <c r="X457" s="1359"/>
      <c r="Y457" s="1359"/>
      <c r="Z457" s="1359"/>
      <c r="AA457" s="1359"/>
      <c r="AB457" s="1359"/>
      <c r="AC457" s="355"/>
      <c r="AD457" s="1359">
        <f>SUBTOTAL(109,AD452:AI456)</f>
        <v>3971638435</v>
      </c>
      <c r="AE457" s="1359"/>
      <c r="AF457" s="1359"/>
      <c r="AG457" s="1359"/>
      <c r="AH457" s="1359"/>
      <c r="AI457" s="1359"/>
      <c r="AJ457" s="344"/>
      <c r="AK457" s="345"/>
      <c r="AL457" s="340"/>
      <c r="AM457" s="360" t="s">
        <v>753</v>
      </c>
      <c r="AN457" s="340"/>
      <c r="AO457" s="340"/>
      <c r="AP457" s="340"/>
      <c r="AQ457" s="340"/>
      <c r="AR457" s="340"/>
      <c r="AS457" s="340"/>
      <c r="AT457" s="340"/>
      <c r="AU457" s="340"/>
      <c r="AV457" s="340"/>
      <c r="AW457" s="340"/>
      <c r="AX457" s="340"/>
      <c r="AY457" s="340"/>
      <c r="AZ457" s="340"/>
      <c r="BA457" s="340"/>
      <c r="BB457" s="340"/>
      <c r="BC457" s="340"/>
      <c r="BD457" s="340"/>
      <c r="BE457" s="342"/>
      <c r="BF457" s="342"/>
      <c r="BG457" s="1359">
        <f>SUBTOTAL(109,BG452:BL456)</f>
        <v>3749707209</v>
      </c>
      <c r="BH457" s="1359"/>
      <c r="BI457" s="1359"/>
      <c r="BJ457" s="1359"/>
      <c r="BK457" s="1359"/>
      <c r="BL457" s="1359"/>
      <c r="BM457" s="358"/>
      <c r="BN457" s="1359">
        <f>SUBTOTAL(109,BN452:BS456)</f>
        <v>3971638435</v>
      </c>
      <c r="BO457" s="1359"/>
      <c r="BP457" s="1359"/>
      <c r="BQ457" s="1359"/>
      <c r="BR457" s="1359"/>
      <c r="BS457" s="1359"/>
      <c r="BT457" s="361"/>
      <c r="BU457" s="362"/>
      <c r="BV457" s="310">
        <f>W457-KN_CT110</f>
        <v>0</v>
      </c>
      <c r="BW457" s="310">
        <f>AD457-KT_CT110</f>
        <v>0</v>
      </c>
      <c r="BX457" s="291">
        <f t="shared" si="1"/>
        <v>0</v>
      </c>
      <c r="BY457" s="344"/>
      <c r="BZ457" s="347"/>
      <c r="CA457" s="347"/>
    </row>
    <row r="458" spans="1:79" ht="12.95" customHeight="1" thickTop="1" x14ac:dyDescent="0.25">
      <c r="A458" s="313"/>
      <c r="B458" s="340"/>
      <c r="C458" s="360"/>
      <c r="D458" s="340"/>
      <c r="E458" s="340"/>
      <c r="F458" s="340"/>
      <c r="G458" s="340"/>
      <c r="H458" s="340"/>
      <c r="I458" s="340"/>
      <c r="J458" s="340"/>
      <c r="K458" s="340"/>
      <c r="L458" s="340"/>
      <c r="M458" s="340"/>
      <c r="N458" s="340"/>
      <c r="O458" s="340"/>
      <c r="P458" s="340"/>
      <c r="Q458" s="340"/>
      <c r="R458" s="340"/>
      <c r="S458" s="340"/>
      <c r="T458" s="340"/>
      <c r="U458" s="342"/>
      <c r="V458" s="342"/>
      <c r="W458" s="363"/>
      <c r="X458" s="363"/>
      <c r="Y458" s="363"/>
      <c r="Z458" s="363"/>
      <c r="AA458" s="363"/>
      <c r="AB458" s="363"/>
      <c r="AC458" s="355"/>
      <c r="AD458" s="363"/>
      <c r="AE458" s="363"/>
      <c r="AF458" s="363"/>
      <c r="AG458" s="363"/>
      <c r="AH458" s="363"/>
      <c r="AI458" s="363"/>
      <c r="AJ458" s="344"/>
      <c r="AK458" s="345"/>
      <c r="AL458" s="340"/>
      <c r="AM458" s="360"/>
      <c r="AN458" s="340"/>
      <c r="AO458" s="340"/>
      <c r="AP458" s="340"/>
      <c r="AQ458" s="340"/>
      <c r="AR458" s="340"/>
      <c r="AS458" s="340"/>
      <c r="AT458" s="340"/>
      <c r="AU458" s="340"/>
      <c r="AV458" s="340"/>
      <c r="AW458" s="340"/>
      <c r="AX458" s="340"/>
      <c r="AY458" s="340"/>
      <c r="AZ458" s="340"/>
      <c r="BA458" s="340"/>
      <c r="BB458" s="340"/>
      <c r="BC458" s="340"/>
      <c r="BD458" s="340"/>
      <c r="BE458" s="342"/>
      <c r="BF458" s="342"/>
      <c r="BG458" s="363"/>
      <c r="BH458" s="363"/>
      <c r="BI458" s="363"/>
      <c r="BJ458" s="363"/>
      <c r="BK458" s="363"/>
      <c r="BL458" s="363"/>
      <c r="BM458" s="358"/>
      <c r="BN458" s="363"/>
      <c r="BO458" s="363"/>
      <c r="BP458" s="363"/>
      <c r="BQ458" s="363"/>
      <c r="BR458" s="363"/>
      <c r="BS458" s="363"/>
      <c r="BT458" s="361"/>
      <c r="BU458" s="362"/>
      <c r="BV458" s="310"/>
      <c r="BW458" s="310"/>
      <c r="BX458" s="291">
        <f t="shared" si="1"/>
        <v>0</v>
      </c>
      <c r="BY458" s="344"/>
      <c r="BZ458" s="347"/>
      <c r="CA458" s="347"/>
    </row>
    <row r="459" spans="1:79" ht="27.95" customHeight="1" x14ac:dyDescent="0.25">
      <c r="A459" s="313"/>
      <c r="B459" s="364"/>
      <c r="C459" s="1303" t="s">
        <v>754</v>
      </c>
      <c r="D459" s="1358"/>
      <c r="E459" s="1358"/>
      <c r="F459" s="1358"/>
      <c r="G459" s="1358"/>
      <c r="H459" s="1358"/>
      <c r="I459" s="1358"/>
      <c r="J459" s="1358"/>
      <c r="K459" s="1358"/>
      <c r="L459" s="1358"/>
      <c r="M459" s="1358"/>
      <c r="N459" s="1358"/>
      <c r="O459" s="1358"/>
      <c r="P459" s="1358"/>
      <c r="Q459" s="1358"/>
      <c r="R459" s="1358"/>
      <c r="S459" s="1358"/>
      <c r="T459" s="1358"/>
      <c r="U459" s="1358"/>
      <c r="V459" s="1358"/>
      <c r="W459" s="1358"/>
      <c r="X459" s="1358"/>
      <c r="Y459" s="1358"/>
      <c r="Z459" s="1358"/>
      <c r="AA459" s="1358"/>
      <c r="AB459" s="1358"/>
      <c r="AC459" s="1358"/>
      <c r="AD459" s="1358"/>
      <c r="AE459" s="1358"/>
      <c r="AF459" s="1358"/>
      <c r="AG459" s="1358"/>
      <c r="AH459" s="1358"/>
      <c r="AI459" s="1358"/>
      <c r="AJ459" s="344"/>
      <c r="AK459" s="345"/>
      <c r="AL459" s="340"/>
      <c r="AM459" s="1600" t="s">
        <v>755</v>
      </c>
      <c r="AN459" s="1600"/>
      <c r="AO459" s="1600"/>
      <c r="AP459" s="1600"/>
      <c r="AQ459" s="1600"/>
      <c r="AR459" s="1600"/>
      <c r="AS459" s="1600"/>
      <c r="AT459" s="1600"/>
      <c r="AU459" s="1600"/>
      <c r="AV459" s="1600"/>
      <c r="AW459" s="1600"/>
      <c r="AX459" s="1600"/>
      <c r="AY459" s="1600"/>
      <c r="AZ459" s="1600"/>
      <c r="BA459" s="1600"/>
      <c r="BB459" s="1600"/>
      <c r="BC459" s="1600"/>
      <c r="BD459" s="1600"/>
      <c r="BE459" s="1600"/>
      <c r="BF459" s="1600"/>
      <c r="BG459" s="1600"/>
      <c r="BH459" s="1600"/>
      <c r="BI459" s="1600"/>
      <c r="BJ459" s="1600"/>
      <c r="BK459" s="1600"/>
      <c r="BL459" s="1600"/>
      <c r="BM459" s="1600"/>
      <c r="BN459" s="1600"/>
      <c r="BO459" s="1600"/>
      <c r="BP459" s="1600"/>
      <c r="BQ459" s="1600"/>
      <c r="BR459" s="1600"/>
      <c r="BS459" s="1600"/>
      <c r="BT459" s="361"/>
      <c r="BU459" s="362"/>
      <c r="BV459" s="310"/>
      <c r="BW459" s="310"/>
      <c r="BX459" s="291">
        <f t="shared" si="1"/>
        <v>0</v>
      </c>
      <c r="BY459" s="344"/>
      <c r="BZ459" s="347"/>
      <c r="CA459" s="347"/>
    </row>
    <row r="460" spans="1:79" ht="14.1" hidden="1" customHeight="1" x14ac:dyDescent="0.25">
      <c r="A460" s="313"/>
      <c r="B460" s="364"/>
      <c r="C460" s="365"/>
      <c r="D460" s="365"/>
      <c r="E460" s="365"/>
      <c r="F460" s="365"/>
      <c r="G460" s="365"/>
      <c r="H460" s="365"/>
      <c r="I460" s="365"/>
      <c r="J460" s="365"/>
      <c r="K460" s="365"/>
      <c r="L460" s="365"/>
      <c r="M460" s="365"/>
      <c r="N460" s="365"/>
      <c r="O460" s="365"/>
      <c r="P460" s="365"/>
      <c r="Q460" s="365"/>
      <c r="R460" s="365"/>
      <c r="S460" s="365"/>
      <c r="T460" s="365"/>
      <c r="U460" s="365"/>
      <c r="V460" s="365"/>
      <c r="W460" s="365"/>
      <c r="X460" s="365"/>
      <c r="Y460" s="365"/>
      <c r="Z460" s="365"/>
      <c r="AA460" s="365"/>
      <c r="AB460" s="365"/>
      <c r="AC460" s="365"/>
      <c r="AD460" s="365"/>
      <c r="AE460" s="365"/>
      <c r="AF460" s="365"/>
      <c r="AG460" s="365"/>
      <c r="AH460" s="365"/>
      <c r="AI460" s="365"/>
      <c r="AJ460" s="344"/>
      <c r="AK460" s="345"/>
      <c r="AL460" s="340"/>
      <c r="AM460" s="366"/>
      <c r="AN460" s="366"/>
      <c r="AO460" s="366"/>
      <c r="AP460" s="366"/>
      <c r="AQ460" s="366"/>
      <c r="AR460" s="366"/>
      <c r="AS460" s="366"/>
      <c r="AT460" s="366"/>
      <c r="AU460" s="366"/>
      <c r="AV460" s="366"/>
      <c r="AW460" s="366"/>
      <c r="AX460" s="366"/>
      <c r="AY460" s="366"/>
      <c r="AZ460" s="366"/>
      <c r="BA460" s="366"/>
      <c r="BB460" s="366"/>
      <c r="BC460" s="366"/>
      <c r="BD460" s="366"/>
      <c r="BE460" s="366"/>
      <c r="BF460" s="366"/>
      <c r="BG460" s="366"/>
      <c r="BH460" s="366"/>
      <c r="BI460" s="366"/>
      <c r="BJ460" s="366"/>
      <c r="BK460" s="366"/>
      <c r="BL460" s="366"/>
      <c r="BM460" s="366"/>
      <c r="BN460" s="366"/>
      <c r="BO460" s="366"/>
      <c r="BP460" s="366"/>
      <c r="BQ460" s="366"/>
      <c r="BR460" s="366"/>
      <c r="BS460" s="366"/>
      <c r="BT460" s="361"/>
      <c r="BU460" s="362"/>
      <c r="BV460" s="310"/>
      <c r="BW460" s="310"/>
      <c r="BX460" s="291">
        <f>IF(ISNONTEXT($C460),0,SUM(D460:AI460)-SUM(AN460:BS460))</f>
        <v>0</v>
      </c>
      <c r="BY460" s="344"/>
      <c r="BZ460" s="347"/>
      <c r="CA460" s="347"/>
    </row>
    <row r="461" spans="1:79" ht="27.95" hidden="1" customHeight="1" x14ac:dyDescent="0.25">
      <c r="A461" s="313"/>
      <c r="B461" s="364"/>
      <c r="C461" s="1303" t="s">
        <v>756</v>
      </c>
      <c r="D461" s="1303"/>
      <c r="E461" s="1303"/>
      <c r="F461" s="1303"/>
      <c r="G461" s="1303"/>
      <c r="H461" s="1303"/>
      <c r="I461" s="1303"/>
      <c r="J461" s="1303"/>
      <c r="K461" s="1303"/>
      <c r="L461" s="1303"/>
      <c r="M461" s="1303"/>
      <c r="N461" s="1303"/>
      <c r="O461" s="1303"/>
      <c r="P461" s="1303"/>
      <c r="Q461" s="1303"/>
      <c r="R461" s="1303"/>
      <c r="S461" s="1303"/>
      <c r="T461" s="1303"/>
      <c r="U461" s="1303"/>
      <c r="V461" s="1303"/>
      <c r="W461" s="1303"/>
      <c r="X461" s="1303"/>
      <c r="Y461" s="1303"/>
      <c r="Z461" s="1303"/>
      <c r="AA461" s="1303"/>
      <c r="AB461" s="1303"/>
      <c r="AC461" s="1303"/>
      <c r="AD461" s="1303"/>
      <c r="AE461" s="1303"/>
      <c r="AF461" s="1303"/>
      <c r="AG461" s="1303"/>
      <c r="AH461" s="1303"/>
      <c r="AI461" s="1303"/>
      <c r="AJ461" s="344"/>
      <c r="AK461" s="345"/>
      <c r="AL461" s="340"/>
      <c r="AM461" s="1348" t="s">
        <v>757</v>
      </c>
      <c r="AN461" s="1348"/>
      <c r="AO461" s="1348"/>
      <c r="AP461" s="1348"/>
      <c r="AQ461" s="1348"/>
      <c r="AR461" s="1348"/>
      <c r="AS461" s="1348"/>
      <c r="AT461" s="1348"/>
      <c r="AU461" s="1348"/>
      <c r="AV461" s="1348"/>
      <c r="AW461" s="1348"/>
      <c r="AX461" s="1348"/>
      <c r="AY461" s="1348"/>
      <c r="AZ461" s="1348"/>
      <c r="BA461" s="1348"/>
      <c r="BB461" s="1348"/>
      <c r="BC461" s="1348"/>
      <c r="BD461" s="1348"/>
      <c r="BE461" s="1348"/>
      <c r="BF461" s="1348"/>
      <c r="BG461" s="1348"/>
      <c r="BH461" s="1348"/>
      <c r="BI461" s="1348"/>
      <c r="BJ461" s="1348"/>
      <c r="BK461" s="1348"/>
      <c r="BL461" s="1348"/>
      <c r="BM461" s="1348"/>
      <c r="BN461" s="1348"/>
      <c r="BO461" s="1348"/>
      <c r="BP461" s="1348"/>
      <c r="BQ461" s="1348"/>
      <c r="BR461" s="1348"/>
      <c r="BS461" s="1348"/>
      <c r="BT461" s="361"/>
      <c r="BU461" s="362"/>
      <c r="BV461" s="310"/>
      <c r="BW461" s="310"/>
      <c r="BX461" s="291">
        <f>IF(ISNONTEXT($C461),0,SUM(D461:AI461)-SUM(AN461:BS461))</f>
        <v>0</v>
      </c>
      <c r="BY461" s="344"/>
      <c r="BZ461" s="347"/>
      <c r="CA461" s="347"/>
    </row>
    <row r="462" spans="1:79" ht="2.1" hidden="1" customHeight="1" x14ac:dyDescent="0.25">
      <c r="A462" s="313"/>
      <c r="B462" s="364"/>
      <c r="C462" s="367"/>
      <c r="D462" s="367"/>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344"/>
      <c r="AK462" s="345"/>
      <c r="AL462" s="340"/>
      <c r="AM462" s="340"/>
      <c r="AN462" s="340"/>
      <c r="AO462" s="340"/>
      <c r="AP462" s="340"/>
      <c r="AQ462" s="340"/>
      <c r="AR462" s="340"/>
      <c r="AS462" s="340"/>
      <c r="AT462" s="340"/>
      <c r="AU462" s="340"/>
      <c r="AV462" s="340"/>
      <c r="AW462" s="340"/>
      <c r="AX462" s="340"/>
      <c r="AY462" s="340"/>
      <c r="AZ462" s="340"/>
      <c r="BA462" s="340"/>
      <c r="BB462" s="340"/>
      <c r="BC462" s="340"/>
      <c r="BD462" s="340"/>
      <c r="BE462" s="342"/>
      <c r="BF462" s="342"/>
      <c r="BG462" s="361"/>
      <c r="BH462" s="361"/>
      <c r="BI462" s="361"/>
      <c r="BJ462" s="361"/>
      <c r="BK462" s="361"/>
      <c r="BL462" s="361"/>
      <c r="BM462" s="342"/>
      <c r="BN462" s="361"/>
      <c r="BO462" s="361"/>
      <c r="BP462" s="361"/>
      <c r="BQ462" s="361"/>
      <c r="BR462" s="361"/>
      <c r="BS462" s="361"/>
      <c r="BT462" s="361"/>
      <c r="BU462" s="362"/>
      <c r="BV462" s="310"/>
      <c r="BW462" s="310"/>
      <c r="BX462" s="291">
        <f t="shared" si="1"/>
        <v>0</v>
      </c>
      <c r="BY462" s="344"/>
      <c r="BZ462" s="347"/>
      <c r="CA462" s="347"/>
    </row>
    <row r="463" spans="1:79" ht="12.95" customHeight="1" x14ac:dyDescent="0.25">
      <c r="A463" s="313"/>
      <c r="B463" s="340"/>
      <c r="C463" s="340"/>
      <c r="D463" s="340"/>
      <c r="E463" s="340"/>
      <c r="F463" s="340"/>
      <c r="G463" s="340"/>
      <c r="H463" s="340"/>
      <c r="I463" s="340"/>
      <c r="J463" s="340"/>
      <c r="K463" s="340"/>
      <c r="L463" s="340"/>
      <c r="M463" s="340"/>
      <c r="N463" s="340"/>
      <c r="O463" s="340"/>
      <c r="P463" s="340"/>
      <c r="Q463" s="340"/>
      <c r="R463" s="340"/>
      <c r="S463" s="340"/>
      <c r="T463" s="340"/>
      <c r="U463" s="342"/>
      <c r="V463" s="342"/>
      <c r="W463" s="368"/>
      <c r="X463" s="368"/>
      <c r="Y463" s="368"/>
      <c r="Z463" s="368"/>
      <c r="AA463" s="368"/>
      <c r="AB463" s="368"/>
      <c r="AC463" s="343"/>
      <c r="AD463" s="368"/>
      <c r="AE463" s="368"/>
      <c r="AF463" s="368"/>
      <c r="AG463" s="368"/>
      <c r="AH463" s="368"/>
      <c r="AI463" s="368"/>
      <c r="AJ463" s="344"/>
      <c r="AK463" s="345"/>
      <c r="AL463" s="340"/>
      <c r="AM463" s="340"/>
      <c r="AN463" s="340"/>
      <c r="AO463" s="340"/>
      <c r="AP463" s="340"/>
      <c r="AQ463" s="340"/>
      <c r="AR463" s="340"/>
      <c r="AS463" s="340"/>
      <c r="AT463" s="340"/>
      <c r="AU463" s="340"/>
      <c r="AV463" s="340"/>
      <c r="AW463" s="340"/>
      <c r="AX463" s="340"/>
      <c r="AY463" s="340"/>
      <c r="AZ463" s="340"/>
      <c r="BA463" s="340"/>
      <c r="BB463" s="340"/>
      <c r="BC463" s="340"/>
      <c r="BD463" s="340"/>
      <c r="BE463" s="342"/>
      <c r="BF463" s="342"/>
      <c r="BG463" s="361"/>
      <c r="BH463" s="361"/>
      <c r="BI463" s="361"/>
      <c r="BJ463" s="361"/>
      <c r="BK463" s="361"/>
      <c r="BL463" s="361"/>
      <c r="BM463" s="342"/>
      <c r="BN463" s="361"/>
      <c r="BO463" s="361"/>
      <c r="BP463" s="361"/>
      <c r="BQ463" s="361"/>
      <c r="BR463" s="361"/>
      <c r="BS463" s="361"/>
      <c r="BT463" s="361"/>
      <c r="BU463" s="362"/>
      <c r="BV463" s="310"/>
      <c r="BW463" s="310"/>
      <c r="BX463" s="291">
        <f t="shared" si="1"/>
        <v>0</v>
      </c>
      <c r="BY463" s="344"/>
      <c r="BZ463" s="347"/>
      <c r="CA463" s="347"/>
    </row>
    <row r="464" spans="1:79" ht="15" customHeight="1" x14ac:dyDescent="0.25">
      <c r="A464" s="313">
        <v>4</v>
      </c>
      <c r="B464" s="340" t="s">
        <v>345</v>
      </c>
      <c r="C464" s="340" t="s">
        <v>758</v>
      </c>
      <c r="D464" s="340"/>
      <c r="E464" s="340"/>
      <c r="F464" s="340"/>
      <c r="G464" s="340"/>
      <c r="H464" s="340"/>
      <c r="I464" s="340"/>
      <c r="J464" s="340"/>
      <c r="K464" s="340"/>
      <c r="L464" s="340"/>
      <c r="M464" s="340"/>
      <c r="N464" s="340"/>
      <c r="O464" s="340"/>
      <c r="P464" s="340"/>
      <c r="Q464" s="340"/>
      <c r="R464" s="340"/>
      <c r="S464" s="340"/>
      <c r="T464" s="340"/>
      <c r="U464" s="342"/>
      <c r="V464" s="342"/>
      <c r="W464" s="368"/>
      <c r="X464" s="368"/>
      <c r="Y464" s="368"/>
      <c r="Z464" s="368"/>
      <c r="AA464" s="368"/>
      <c r="AB464" s="368"/>
      <c r="AC464" s="343"/>
      <c r="AD464" s="368"/>
      <c r="AE464" s="368"/>
      <c r="AF464" s="368"/>
      <c r="AG464" s="368"/>
      <c r="AH464" s="368"/>
      <c r="AI464" s="368"/>
      <c r="AJ464" s="344"/>
      <c r="AK464" s="345">
        <f>A464</f>
        <v>4</v>
      </c>
      <c r="AL464" s="340" t="s">
        <v>345</v>
      </c>
      <c r="AM464" s="340" t="s">
        <v>759</v>
      </c>
      <c r="AN464" s="340"/>
      <c r="AO464" s="340"/>
      <c r="AP464" s="340"/>
      <c r="AQ464" s="340"/>
      <c r="AR464" s="340"/>
      <c r="AS464" s="340"/>
      <c r="AT464" s="340"/>
      <c r="AU464" s="340"/>
      <c r="AV464" s="340"/>
      <c r="AW464" s="340"/>
      <c r="AX464" s="340"/>
      <c r="AY464" s="340"/>
      <c r="AZ464" s="340"/>
      <c r="BA464" s="340"/>
      <c r="BB464" s="340"/>
      <c r="BC464" s="340"/>
      <c r="BD464" s="340"/>
      <c r="BE464" s="342"/>
      <c r="BF464" s="342"/>
      <c r="BG464" s="361"/>
      <c r="BH464" s="361"/>
      <c r="BI464" s="361"/>
      <c r="BJ464" s="361"/>
      <c r="BK464" s="361"/>
      <c r="BL464" s="361"/>
      <c r="BM464" s="342"/>
      <c r="BN464" s="361"/>
      <c r="BO464" s="361"/>
      <c r="BP464" s="361"/>
      <c r="BQ464" s="361"/>
      <c r="BR464" s="361"/>
      <c r="BS464" s="361"/>
      <c r="BT464" s="361"/>
      <c r="BU464" s="346">
        <f>SUBTOTAL(103,A464)</f>
        <v>1</v>
      </c>
      <c r="BV464" s="310"/>
      <c r="BW464" s="310"/>
      <c r="BX464" s="291">
        <f t="shared" si="1"/>
        <v>0</v>
      </c>
      <c r="BY464" s="344"/>
      <c r="BZ464" s="347"/>
      <c r="CA464" s="347"/>
    </row>
    <row r="465" spans="1:84" ht="12.95" customHeight="1" x14ac:dyDescent="0.25">
      <c r="A465" s="313"/>
      <c r="B465" s="340"/>
      <c r="C465" s="340"/>
      <c r="D465" s="340"/>
      <c r="E465" s="340"/>
      <c r="F465" s="340"/>
      <c r="G465" s="340"/>
      <c r="H465" s="340"/>
      <c r="I465" s="340"/>
      <c r="J465" s="340"/>
      <c r="K465" s="340"/>
      <c r="L465" s="340"/>
      <c r="M465" s="340"/>
      <c r="N465" s="340"/>
      <c r="O465" s="340"/>
      <c r="P465" s="340"/>
      <c r="Q465" s="340"/>
      <c r="R465" s="340"/>
      <c r="S465" s="340"/>
      <c r="T465" s="340"/>
      <c r="U465" s="342"/>
      <c r="V465" s="342"/>
      <c r="W465" s="368"/>
      <c r="X465" s="368"/>
      <c r="Y465" s="368"/>
      <c r="Z465" s="368"/>
      <c r="AA465" s="368"/>
      <c r="AB465" s="368"/>
      <c r="AC465" s="343"/>
      <c r="AD465" s="368"/>
      <c r="AE465" s="368"/>
      <c r="AF465" s="368"/>
      <c r="AG465" s="368"/>
      <c r="AH465" s="368"/>
      <c r="AI465" s="368"/>
      <c r="AJ465" s="344"/>
      <c r="AK465" s="345"/>
      <c r="AL465" s="340"/>
      <c r="AM465" s="340"/>
      <c r="AN465" s="340"/>
      <c r="AO465" s="340"/>
      <c r="AP465" s="340"/>
      <c r="AQ465" s="340"/>
      <c r="AR465" s="340"/>
      <c r="AS465" s="340"/>
      <c r="AT465" s="340"/>
      <c r="AU465" s="340"/>
      <c r="AV465" s="340"/>
      <c r="AW465" s="340"/>
      <c r="AX465" s="340"/>
      <c r="AY465" s="340"/>
      <c r="AZ465" s="340"/>
      <c r="BA465" s="340"/>
      <c r="BB465" s="340"/>
      <c r="BC465" s="340"/>
      <c r="BD465" s="340"/>
      <c r="BE465" s="342"/>
      <c r="BF465" s="342"/>
      <c r="BG465" s="361"/>
      <c r="BH465" s="361"/>
      <c r="BI465" s="361"/>
      <c r="BJ465" s="361"/>
      <c r="BK465" s="361"/>
      <c r="BL465" s="361"/>
      <c r="BM465" s="342"/>
      <c r="BN465" s="361"/>
      <c r="BO465" s="361"/>
      <c r="BP465" s="361"/>
      <c r="BQ465" s="361"/>
      <c r="BR465" s="361"/>
      <c r="BS465" s="361"/>
      <c r="BT465" s="361"/>
      <c r="BU465" s="346"/>
      <c r="BV465" s="310"/>
      <c r="BW465" s="310"/>
      <c r="BX465" s="291">
        <f t="shared" si="1"/>
        <v>0</v>
      </c>
      <c r="BY465" s="344"/>
      <c r="BZ465" s="347"/>
      <c r="CA465" s="347"/>
    </row>
    <row r="466" spans="1:84" ht="15" customHeight="1" x14ac:dyDescent="0.25">
      <c r="A466" s="313"/>
      <c r="B466" s="340"/>
      <c r="C466" s="340" t="s">
        <v>760</v>
      </c>
      <c r="D466" s="340"/>
      <c r="E466" s="340"/>
      <c r="F466" s="340"/>
      <c r="G466" s="340"/>
      <c r="H466" s="340"/>
      <c r="I466" s="340"/>
      <c r="J466" s="340"/>
      <c r="K466" s="340"/>
      <c r="L466" s="340"/>
      <c r="M466" s="340"/>
      <c r="N466" s="340"/>
      <c r="O466" s="340"/>
      <c r="P466" s="340"/>
      <c r="Q466" s="340"/>
      <c r="R466" s="340"/>
      <c r="S466" s="340"/>
      <c r="T466" s="340"/>
      <c r="U466" s="342"/>
      <c r="V466" s="342"/>
      <c r="W466" s="368"/>
      <c r="X466" s="368"/>
      <c r="Y466" s="368"/>
      <c r="Z466" s="368"/>
      <c r="AA466" s="368"/>
      <c r="AB466" s="368"/>
      <c r="AC466" s="343"/>
      <c r="AD466" s="368"/>
      <c r="AE466" s="368"/>
      <c r="AF466" s="368"/>
      <c r="AG466" s="368"/>
      <c r="AH466" s="368"/>
      <c r="AI466" s="368"/>
      <c r="AJ466" s="344"/>
      <c r="AK466" s="345"/>
      <c r="AL466" s="340"/>
      <c r="AM466" s="340" t="s">
        <v>761</v>
      </c>
      <c r="AN466" s="340"/>
      <c r="AO466" s="340"/>
      <c r="AP466" s="340"/>
      <c r="AQ466" s="340"/>
      <c r="AR466" s="340"/>
      <c r="AS466" s="340"/>
      <c r="AT466" s="340"/>
      <c r="AU466" s="340"/>
      <c r="AV466" s="340"/>
      <c r="AW466" s="340"/>
      <c r="AX466" s="340"/>
      <c r="AY466" s="340"/>
      <c r="AZ466" s="340"/>
      <c r="BA466" s="340"/>
      <c r="BB466" s="340"/>
      <c r="BC466" s="340"/>
      <c r="BD466" s="340"/>
      <c r="BE466" s="342"/>
      <c r="BF466" s="342"/>
      <c r="BG466" s="361"/>
      <c r="BH466" s="361"/>
      <c r="BI466" s="361"/>
      <c r="BJ466" s="361"/>
      <c r="BK466" s="361"/>
      <c r="BL466" s="361"/>
      <c r="BM466" s="342"/>
      <c r="BN466" s="361"/>
      <c r="BO466" s="361"/>
      <c r="BP466" s="361"/>
      <c r="BQ466" s="361"/>
      <c r="BR466" s="361"/>
      <c r="BS466" s="361"/>
      <c r="BT466" s="361"/>
      <c r="BU466" s="346"/>
      <c r="BV466" s="310"/>
      <c r="BW466" s="310"/>
      <c r="BX466" s="291">
        <f t="shared" si="1"/>
        <v>0</v>
      </c>
      <c r="BY466" s="344"/>
      <c r="BZ466" s="347"/>
      <c r="CA466" s="347"/>
    </row>
    <row r="467" spans="1:84" ht="15" customHeight="1" x14ac:dyDescent="0.25">
      <c r="A467" s="369"/>
      <c r="B467" s="340"/>
      <c r="C467" s="344"/>
      <c r="D467" s="354"/>
      <c r="E467" s="354"/>
      <c r="F467" s="354"/>
      <c r="G467" s="354"/>
      <c r="H467" s="354"/>
      <c r="I467" s="354"/>
      <c r="J467" s="354"/>
      <c r="K467" s="354"/>
      <c r="L467" s="354"/>
      <c r="M467" s="1476" t="str">
        <f>Ky_Nay1_V</f>
        <v>31/12/2017</v>
      </c>
      <c r="N467" s="1476"/>
      <c r="O467" s="1476"/>
      <c r="P467" s="1476"/>
      <c r="Q467" s="1476"/>
      <c r="R467" s="1476"/>
      <c r="S467" s="1476"/>
      <c r="T467" s="1476"/>
      <c r="U467" s="1476"/>
      <c r="V467" s="1476"/>
      <c r="W467" s="1476"/>
      <c r="X467" s="370"/>
      <c r="Y467" s="1476" t="str">
        <f>Ky_Truoc1_V</f>
        <v>01/01/2017</v>
      </c>
      <c r="Z467" s="1476"/>
      <c r="AA467" s="1476"/>
      <c r="AB467" s="1476"/>
      <c r="AC467" s="1476"/>
      <c r="AD467" s="1476"/>
      <c r="AE467" s="1476"/>
      <c r="AF467" s="1476"/>
      <c r="AG467" s="1476"/>
      <c r="AH467" s="1476"/>
      <c r="AI467" s="1476"/>
      <c r="AJ467" s="344"/>
      <c r="AK467" s="345"/>
      <c r="AL467" s="340"/>
      <c r="AM467" s="344"/>
      <c r="AN467" s="354"/>
      <c r="AO467" s="354"/>
      <c r="AP467" s="354"/>
      <c r="AQ467" s="354"/>
      <c r="AR467" s="354"/>
      <c r="AS467" s="354"/>
      <c r="AT467" s="354"/>
      <c r="AU467" s="354"/>
      <c r="AV467" s="354"/>
      <c r="AW467" s="1476" t="str">
        <f>Ky_Nay1_E</f>
        <v>31/12/2017</v>
      </c>
      <c r="AX467" s="1476"/>
      <c r="AY467" s="1476"/>
      <c r="AZ467" s="1476"/>
      <c r="BA467" s="1476"/>
      <c r="BB467" s="1476"/>
      <c r="BC467" s="1476"/>
      <c r="BD467" s="1476"/>
      <c r="BE467" s="1476"/>
      <c r="BF467" s="1476"/>
      <c r="BG467" s="1476"/>
      <c r="BH467" s="371"/>
      <c r="BI467" s="1476" t="str">
        <f>Ky_Truoc1_E</f>
        <v>01/01/2017</v>
      </c>
      <c r="BJ467" s="1476"/>
      <c r="BK467" s="1476"/>
      <c r="BL467" s="1476"/>
      <c r="BM467" s="1476"/>
      <c r="BN467" s="1476"/>
      <c r="BO467" s="1476"/>
      <c r="BP467" s="1476"/>
      <c r="BQ467" s="1476"/>
      <c r="BR467" s="1476"/>
      <c r="BS467" s="1476"/>
      <c r="BT467" s="356"/>
      <c r="BU467" s="357"/>
      <c r="BV467" s="310"/>
      <c r="BW467" s="310"/>
      <c r="BX467" s="291">
        <f t="shared" si="1"/>
        <v>0</v>
      </c>
      <c r="BY467" s="344"/>
      <c r="BZ467" s="347"/>
      <c r="CA467" s="347"/>
    </row>
    <row r="468" spans="1:84" ht="15" customHeight="1" x14ac:dyDescent="0.25">
      <c r="A468" s="369"/>
      <c r="B468" s="340"/>
      <c r="C468" s="344"/>
      <c r="D468" s="354"/>
      <c r="E468" s="354"/>
      <c r="F468" s="354"/>
      <c r="G468" s="354"/>
      <c r="H468" s="354"/>
      <c r="I468" s="354"/>
      <c r="J468" s="354"/>
      <c r="K468" s="354"/>
      <c r="L468" s="354"/>
      <c r="M468" s="1483" t="s">
        <v>762</v>
      </c>
      <c r="N468" s="1483"/>
      <c r="O468" s="1483"/>
      <c r="P468" s="1483"/>
      <c r="Q468" s="1483"/>
      <c r="R468" s="371"/>
      <c r="S468" s="1483" t="s">
        <v>763</v>
      </c>
      <c r="T468" s="1483"/>
      <c r="U468" s="1483"/>
      <c r="V468" s="1483"/>
      <c r="W468" s="1483"/>
      <c r="X468" s="371"/>
      <c r="Y468" s="1483" t="s">
        <v>762</v>
      </c>
      <c r="Z468" s="1483"/>
      <c r="AA468" s="1483"/>
      <c r="AB468" s="1483"/>
      <c r="AC468" s="1483"/>
      <c r="AD468" s="372"/>
      <c r="AE468" s="1483" t="s">
        <v>763</v>
      </c>
      <c r="AF468" s="1483"/>
      <c r="AG468" s="1483"/>
      <c r="AH468" s="1483"/>
      <c r="AI468" s="1483"/>
      <c r="AJ468" s="344"/>
      <c r="AK468" s="345"/>
      <c r="AL468" s="340"/>
      <c r="AM468" s="344"/>
      <c r="AN468" s="354"/>
      <c r="AO468" s="354"/>
      <c r="AP468" s="354"/>
      <c r="AQ468" s="354"/>
      <c r="AR468" s="354"/>
      <c r="AS468" s="354"/>
      <c r="AT468" s="354"/>
      <c r="AU468" s="354"/>
      <c r="AV468" s="354"/>
      <c r="AW468" s="1327" t="s">
        <v>764</v>
      </c>
      <c r="AX468" s="1327"/>
      <c r="AY468" s="1327"/>
      <c r="AZ468" s="1327"/>
      <c r="BA468" s="1327"/>
      <c r="BB468" s="371"/>
      <c r="BC468" s="1327" t="s">
        <v>765</v>
      </c>
      <c r="BD468" s="1327"/>
      <c r="BE468" s="1327"/>
      <c r="BF468" s="1327"/>
      <c r="BG468" s="1327"/>
      <c r="BH468" s="371"/>
      <c r="BI468" s="1327" t="s">
        <v>764</v>
      </c>
      <c r="BJ468" s="1327"/>
      <c r="BK468" s="1327"/>
      <c r="BL468" s="1327"/>
      <c r="BM468" s="1327"/>
      <c r="BN468" s="371"/>
      <c r="BO468" s="1327" t="s">
        <v>765</v>
      </c>
      <c r="BP468" s="1327"/>
      <c r="BQ468" s="1327"/>
      <c r="BR468" s="1327"/>
      <c r="BS468" s="1327"/>
      <c r="BT468" s="356"/>
      <c r="BU468" s="357"/>
      <c r="BV468" s="310"/>
      <c r="BW468" s="310"/>
      <c r="BX468" s="291">
        <f t="shared" si="1"/>
        <v>0</v>
      </c>
      <c r="BY468" s="344"/>
      <c r="BZ468" s="347"/>
      <c r="CA468" s="347"/>
    </row>
    <row r="469" spans="1:84" ht="15" customHeight="1" x14ac:dyDescent="0.25">
      <c r="A469" s="369"/>
      <c r="B469" s="340"/>
      <c r="C469" s="344"/>
      <c r="D469" s="354"/>
      <c r="E469" s="354"/>
      <c r="F469" s="354"/>
      <c r="G469" s="354"/>
      <c r="H469" s="354"/>
      <c r="I469" s="354"/>
      <c r="J469" s="354"/>
      <c r="K469" s="354"/>
      <c r="L469" s="354"/>
      <c r="M469" s="1401" t="str">
        <f>Don_Vi_Tinh_V</f>
        <v>VND</v>
      </c>
      <c r="N469" s="1401"/>
      <c r="O469" s="1401"/>
      <c r="P469" s="1401"/>
      <c r="Q469" s="1401"/>
      <c r="R469" s="371"/>
      <c r="S469" s="1401" t="str">
        <f>Don_Vi_Tinh_V</f>
        <v>VND</v>
      </c>
      <c r="T469" s="1401"/>
      <c r="U469" s="1401"/>
      <c r="V469" s="1401"/>
      <c r="W469" s="1401"/>
      <c r="X469" s="371"/>
      <c r="Y469" s="1401" t="str">
        <f>Don_Vi_Tinh_V</f>
        <v>VND</v>
      </c>
      <c r="Z469" s="1401"/>
      <c r="AA469" s="1401"/>
      <c r="AB469" s="1401"/>
      <c r="AC469" s="1401"/>
      <c r="AD469" s="372"/>
      <c r="AE469" s="1401" t="str">
        <f>Don_Vi_Tinh_V</f>
        <v>VND</v>
      </c>
      <c r="AF469" s="1401"/>
      <c r="AG469" s="1401"/>
      <c r="AH469" s="1401"/>
      <c r="AI469" s="1401"/>
      <c r="AJ469" s="344"/>
      <c r="AK469" s="345"/>
      <c r="AL469" s="340"/>
      <c r="AM469" s="344"/>
      <c r="AN469" s="354"/>
      <c r="AO469" s="354"/>
      <c r="AP469" s="354"/>
      <c r="AQ469" s="354"/>
      <c r="AR469" s="354"/>
      <c r="AS469" s="354"/>
      <c r="AT469" s="354"/>
      <c r="AU469" s="354"/>
      <c r="AV469" s="354"/>
      <c r="AW469" s="1401" t="str">
        <f>Don_Vi_Tinh_E</f>
        <v>VND</v>
      </c>
      <c r="AX469" s="1401"/>
      <c r="AY469" s="1401"/>
      <c r="AZ469" s="1401"/>
      <c r="BA469" s="1401"/>
      <c r="BB469" s="371"/>
      <c r="BC469" s="1401" t="str">
        <f>Don_Vi_Tinh_E</f>
        <v>VND</v>
      </c>
      <c r="BD469" s="1401"/>
      <c r="BE469" s="1401"/>
      <c r="BF469" s="1401"/>
      <c r="BG469" s="1401"/>
      <c r="BH469" s="371"/>
      <c r="BI469" s="1401" t="str">
        <f>Don_Vi_Tinh_E</f>
        <v>VND</v>
      </c>
      <c r="BJ469" s="1401"/>
      <c r="BK469" s="1401"/>
      <c r="BL469" s="1401"/>
      <c r="BM469" s="1401"/>
      <c r="BN469" s="372"/>
      <c r="BO469" s="1401" t="str">
        <f>Don_Vi_Tinh_E</f>
        <v>VND</v>
      </c>
      <c r="BP469" s="1401"/>
      <c r="BQ469" s="1401"/>
      <c r="BR469" s="1401"/>
      <c r="BS469" s="1401"/>
      <c r="BT469" s="356"/>
      <c r="BU469" s="357"/>
      <c r="BV469" s="310"/>
      <c r="BW469" s="310"/>
      <c r="BX469" s="291">
        <f t="shared" si="1"/>
        <v>0</v>
      </c>
      <c r="BY469" s="344"/>
      <c r="BZ469" s="347"/>
      <c r="CA469" s="347"/>
    </row>
    <row r="470" spans="1:84" ht="12.95" customHeight="1" x14ac:dyDescent="0.25">
      <c r="A470" s="369"/>
      <c r="B470" s="340"/>
      <c r="C470" s="344"/>
      <c r="D470" s="354"/>
      <c r="E470" s="354"/>
      <c r="F470" s="354"/>
      <c r="G470" s="354"/>
      <c r="H470" s="354"/>
      <c r="I470" s="354"/>
      <c r="J470" s="354"/>
      <c r="K470" s="354"/>
      <c r="L470" s="354"/>
      <c r="M470" s="355"/>
      <c r="N470" s="355"/>
      <c r="O470" s="355"/>
      <c r="P470" s="355"/>
      <c r="Q470" s="355"/>
      <c r="R470" s="373"/>
      <c r="S470" s="355"/>
      <c r="T470" s="355"/>
      <c r="U470" s="355"/>
      <c r="V470" s="355"/>
      <c r="W470" s="355"/>
      <c r="X470" s="355"/>
      <c r="Y470" s="355"/>
      <c r="Z470" s="355"/>
      <c r="AA470" s="355"/>
      <c r="AB470" s="355"/>
      <c r="AC470" s="355"/>
      <c r="AD470" s="355"/>
      <c r="AE470" s="355"/>
      <c r="AF470" s="355"/>
      <c r="AG470" s="355"/>
      <c r="AH470" s="355"/>
      <c r="AI470" s="355"/>
      <c r="AJ470" s="344"/>
      <c r="AK470" s="345"/>
      <c r="AL470" s="340"/>
      <c r="AM470" s="344"/>
      <c r="AN470" s="354"/>
      <c r="AO470" s="354"/>
      <c r="AP470" s="354"/>
      <c r="AQ470" s="354"/>
      <c r="AR470" s="354"/>
      <c r="AS470" s="354"/>
      <c r="AT470" s="354"/>
      <c r="AU470" s="354"/>
      <c r="AV470" s="354"/>
      <c r="AW470" s="355"/>
      <c r="AX470" s="355"/>
      <c r="AY470" s="355"/>
      <c r="AZ470" s="355"/>
      <c r="BA470" s="355"/>
      <c r="BB470" s="373"/>
      <c r="BC470" s="355"/>
      <c r="BD470" s="355"/>
      <c r="BE470" s="355"/>
      <c r="BF470" s="355"/>
      <c r="BG470" s="355"/>
      <c r="BH470" s="355"/>
      <c r="BI470" s="355"/>
      <c r="BJ470" s="355"/>
      <c r="BK470" s="355"/>
      <c r="BL470" s="355"/>
      <c r="BM470" s="355"/>
      <c r="BN470" s="355"/>
      <c r="BO470" s="355"/>
      <c r="BP470" s="355"/>
      <c r="BQ470" s="355"/>
      <c r="BR470" s="355"/>
      <c r="BS470" s="355"/>
      <c r="BT470" s="356"/>
      <c r="BU470" s="357"/>
      <c r="BV470" s="310"/>
      <c r="BW470" s="310"/>
      <c r="BX470" s="291">
        <f t="shared" si="1"/>
        <v>0</v>
      </c>
      <c r="BY470" s="344"/>
      <c r="BZ470" s="347"/>
      <c r="CA470" s="347"/>
    </row>
    <row r="471" spans="1:84" ht="15" customHeight="1" x14ac:dyDescent="0.25">
      <c r="A471" s="369"/>
      <c r="B471" s="340"/>
      <c r="C471" s="374" t="s">
        <v>766</v>
      </c>
      <c r="D471" s="340"/>
      <c r="E471" s="340"/>
      <c r="F471" s="340"/>
      <c r="G471" s="340"/>
      <c r="H471" s="340"/>
      <c r="I471" s="340"/>
      <c r="J471" s="340"/>
      <c r="K471" s="340"/>
      <c r="L471" s="340"/>
      <c r="M471" s="1599">
        <f>SUBTOTAL(109,M472:Q474)</f>
        <v>25815802846</v>
      </c>
      <c r="N471" s="1599"/>
      <c r="O471" s="1599"/>
      <c r="P471" s="1599"/>
      <c r="Q471" s="1599"/>
      <c r="R471" s="375"/>
      <c r="S471" s="1599">
        <f>SUBTOTAL(109,S472:W474)</f>
        <v>25815802846</v>
      </c>
      <c r="T471" s="1599"/>
      <c r="U471" s="1599"/>
      <c r="V471" s="1599"/>
      <c r="W471" s="1599"/>
      <c r="X471" s="376"/>
      <c r="Y471" s="1599">
        <f>SUBTOTAL(109,Y472:AC474)</f>
        <v>20000000000</v>
      </c>
      <c r="Z471" s="1599"/>
      <c r="AA471" s="1599"/>
      <c r="AB471" s="1599"/>
      <c r="AC471" s="1599"/>
      <c r="AD471" s="377"/>
      <c r="AE471" s="1599">
        <f>SUBTOTAL(109,AE472:AI474)</f>
        <v>20000000000</v>
      </c>
      <c r="AF471" s="1599"/>
      <c r="AG471" s="1599"/>
      <c r="AH471" s="1599"/>
      <c r="AI471" s="1599"/>
      <c r="AJ471" s="344"/>
      <c r="AK471" s="345"/>
      <c r="AL471" s="340"/>
      <c r="AM471" s="374" t="s">
        <v>767</v>
      </c>
      <c r="AN471" s="354"/>
      <c r="AO471" s="354"/>
      <c r="AP471" s="354"/>
      <c r="AQ471" s="354"/>
      <c r="AR471" s="354"/>
      <c r="AS471" s="354"/>
      <c r="AT471" s="354"/>
      <c r="AU471" s="354"/>
      <c r="AV471" s="354"/>
      <c r="AW471" s="1308">
        <f>SUBTOTAL(109,AW472:BA474)</f>
        <v>25815802846</v>
      </c>
      <c r="AX471" s="1308"/>
      <c r="AY471" s="1308"/>
      <c r="AZ471" s="1308"/>
      <c r="BA471" s="1308"/>
      <c r="BB471" s="378"/>
      <c r="BC471" s="1308">
        <f>SUBTOTAL(109,BC472:BG474)</f>
        <v>25815802846</v>
      </c>
      <c r="BD471" s="1308"/>
      <c r="BE471" s="1308"/>
      <c r="BF471" s="1308"/>
      <c r="BG471" s="1308"/>
      <c r="BH471" s="379"/>
      <c r="BI471" s="1308">
        <f>SUBTOTAL(109,BI472:BM474)</f>
        <v>20000000000</v>
      </c>
      <c r="BJ471" s="1308"/>
      <c r="BK471" s="1308"/>
      <c r="BL471" s="1308"/>
      <c r="BM471" s="1308"/>
      <c r="BN471" s="380"/>
      <c r="BO471" s="1308">
        <f>SUBTOTAL(109,BO472:BS474)</f>
        <v>20000000000</v>
      </c>
      <c r="BP471" s="1308"/>
      <c r="BQ471" s="1308"/>
      <c r="BR471" s="1308"/>
      <c r="BS471" s="1308"/>
      <c r="BT471" s="356"/>
      <c r="BU471" s="357"/>
      <c r="BV471" s="310">
        <f>S471-KN_CT123</f>
        <v>0</v>
      </c>
      <c r="BW471" s="310">
        <f>AE471-KT_CT123</f>
        <v>0</v>
      </c>
      <c r="BX471" s="291">
        <f t="shared" si="1"/>
        <v>0</v>
      </c>
      <c r="BY471" s="344"/>
      <c r="BZ471" s="347"/>
      <c r="CA471" s="347"/>
    </row>
    <row r="472" spans="1:84" ht="15" customHeight="1" x14ac:dyDescent="0.25">
      <c r="A472" s="369"/>
      <c r="B472" s="340"/>
      <c r="C472" s="354" t="s">
        <v>768</v>
      </c>
      <c r="D472" s="354"/>
      <c r="E472" s="354"/>
      <c r="F472" s="354"/>
      <c r="G472" s="354"/>
      <c r="H472" s="354"/>
      <c r="I472" s="354"/>
      <c r="J472" s="354"/>
      <c r="K472" s="354"/>
      <c r="L472" s="354"/>
      <c r="M472" s="1308">
        <f>S472</f>
        <v>25815802846</v>
      </c>
      <c r="N472" s="1308"/>
      <c r="O472" s="1308"/>
      <c r="P472" s="1308"/>
      <c r="Q472" s="1308"/>
      <c r="R472" s="381"/>
      <c r="S472" s="1308">
        <f>KN_1281n</f>
        <v>25815802846</v>
      </c>
      <c r="T472" s="1308"/>
      <c r="U472" s="1308"/>
      <c r="V472" s="1308"/>
      <c r="W472" s="1308"/>
      <c r="X472" s="381"/>
      <c r="Y472" s="1308">
        <f>AE472</f>
        <v>20000000000</v>
      </c>
      <c r="Z472" s="1308"/>
      <c r="AA472" s="1308"/>
      <c r="AB472" s="1308"/>
      <c r="AC472" s="1308"/>
      <c r="AD472" s="355"/>
      <c r="AE472" s="1308">
        <f>KT_1281n</f>
        <v>20000000000</v>
      </c>
      <c r="AF472" s="1308"/>
      <c r="AG472" s="1308"/>
      <c r="AH472" s="1308"/>
      <c r="AI472" s="1308"/>
      <c r="AJ472" s="344"/>
      <c r="AK472" s="345"/>
      <c r="AL472" s="340"/>
      <c r="AM472" s="354" t="s">
        <v>769</v>
      </c>
      <c r="AN472" s="354"/>
      <c r="AO472" s="354"/>
      <c r="AP472" s="354"/>
      <c r="AQ472" s="354"/>
      <c r="AR472" s="354"/>
      <c r="AS472" s="354"/>
      <c r="AT472" s="354"/>
      <c r="AU472" s="354"/>
      <c r="AV472" s="354"/>
      <c r="AW472" s="1308">
        <f>M472</f>
        <v>25815802846</v>
      </c>
      <c r="AX472" s="1308"/>
      <c r="AY472" s="1308"/>
      <c r="AZ472" s="1308"/>
      <c r="BA472" s="1308"/>
      <c r="BB472" s="381"/>
      <c r="BC472" s="1308">
        <f>S472</f>
        <v>25815802846</v>
      </c>
      <c r="BD472" s="1308"/>
      <c r="BE472" s="1308"/>
      <c r="BF472" s="1308"/>
      <c r="BG472" s="1308"/>
      <c r="BH472" s="381"/>
      <c r="BI472" s="1308">
        <f>Y472</f>
        <v>20000000000</v>
      </c>
      <c r="BJ472" s="1308"/>
      <c r="BK472" s="1308"/>
      <c r="BL472" s="1308"/>
      <c r="BM472" s="1308"/>
      <c r="BN472" s="355"/>
      <c r="BO472" s="1308">
        <f>AE472</f>
        <v>20000000000</v>
      </c>
      <c r="BP472" s="1308"/>
      <c r="BQ472" s="1308"/>
      <c r="BR472" s="1308"/>
      <c r="BS472" s="1308"/>
      <c r="BT472" s="356"/>
      <c r="BU472" s="357"/>
      <c r="BV472" s="310"/>
      <c r="BW472" s="310"/>
      <c r="BX472" s="291">
        <f t="shared" si="1"/>
        <v>0</v>
      </c>
      <c r="BY472" s="344"/>
      <c r="BZ472" s="347"/>
      <c r="CA472" s="347"/>
    </row>
    <row r="473" spans="1:84" ht="15" hidden="1" customHeight="1" x14ac:dyDescent="0.25">
      <c r="A473" s="369"/>
      <c r="B473" s="340"/>
      <c r="C473" s="354" t="s">
        <v>770</v>
      </c>
      <c r="D473" s="354"/>
      <c r="E473" s="354"/>
      <c r="F473" s="354"/>
      <c r="G473" s="354"/>
      <c r="H473" s="354"/>
      <c r="I473" s="354"/>
      <c r="J473" s="354"/>
      <c r="K473" s="354"/>
      <c r="L473" s="354"/>
      <c r="M473" s="1308"/>
      <c r="N473" s="1308"/>
      <c r="O473" s="1308"/>
      <c r="P473" s="1308"/>
      <c r="Q473" s="1308"/>
      <c r="R473" s="381"/>
      <c r="S473" s="1308">
        <f>KN_1282n</f>
        <v>0</v>
      </c>
      <c r="T473" s="1308"/>
      <c r="U473" s="1308"/>
      <c r="V473" s="1308"/>
      <c r="W473" s="1308"/>
      <c r="X473" s="381"/>
      <c r="Y473" s="1308"/>
      <c r="Z473" s="1308"/>
      <c r="AA473" s="1308"/>
      <c r="AB473" s="1308"/>
      <c r="AC473" s="1308"/>
      <c r="AD473" s="355"/>
      <c r="AE473" s="1308">
        <f>KT_1282n</f>
        <v>0</v>
      </c>
      <c r="AF473" s="1308"/>
      <c r="AG473" s="1308"/>
      <c r="AH473" s="1308"/>
      <c r="AI473" s="1308"/>
      <c r="AJ473" s="344"/>
      <c r="AK473" s="345"/>
      <c r="AL473" s="340"/>
      <c r="AM473" s="354" t="s">
        <v>771</v>
      </c>
      <c r="AN473" s="354"/>
      <c r="AO473" s="354"/>
      <c r="AP473" s="354"/>
      <c r="AQ473" s="354"/>
      <c r="AR473" s="354"/>
      <c r="AS473" s="354"/>
      <c r="AT473" s="354"/>
      <c r="AU473" s="354"/>
      <c r="AV473" s="354"/>
      <c r="AW473" s="1308">
        <f>M473</f>
        <v>0</v>
      </c>
      <c r="AX473" s="1308"/>
      <c r="AY473" s="1308"/>
      <c r="AZ473" s="1308"/>
      <c r="BA473" s="1308"/>
      <c r="BB473" s="381"/>
      <c r="BC473" s="1308">
        <f>S473</f>
        <v>0</v>
      </c>
      <c r="BD473" s="1308"/>
      <c r="BE473" s="1308"/>
      <c r="BF473" s="1308"/>
      <c r="BG473" s="1308"/>
      <c r="BH473" s="381"/>
      <c r="BI473" s="1308">
        <f>Y473</f>
        <v>0</v>
      </c>
      <c r="BJ473" s="1308"/>
      <c r="BK473" s="1308"/>
      <c r="BL473" s="1308"/>
      <c r="BM473" s="1308"/>
      <c r="BN473" s="355"/>
      <c r="BO473" s="1308">
        <f>AE473</f>
        <v>0</v>
      </c>
      <c r="BP473" s="1308"/>
      <c r="BQ473" s="1308"/>
      <c r="BR473" s="1308"/>
      <c r="BS473" s="1308"/>
      <c r="BT473" s="356"/>
      <c r="BU473" s="357"/>
      <c r="BV473" s="310"/>
      <c r="BW473" s="310"/>
      <c r="BX473" s="291">
        <f t="shared" si="1"/>
        <v>0</v>
      </c>
      <c r="BY473" s="344"/>
      <c r="BZ473" s="347"/>
      <c r="CA473" s="347"/>
    </row>
    <row r="474" spans="1:84" ht="15" hidden="1" customHeight="1" x14ac:dyDescent="0.25">
      <c r="A474" s="369"/>
      <c r="B474" s="340"/>
      <c r="C474" s="354" t="s">
        <v>772</v>
      </c>
      <c r="D474" s="354"/>
      <c r="E474" s="354"/>
      <c r="F474" s="354"/>
      <c r="G474" s="354"/>
      <c r="H474" s="354"/>
      <c r="I474" s="354"/>
      <c r="J474" s="354"/>
      <c r="K474" s="354"/>
      <c r="L474" s="354"/>
      <c r="M474" s="1308"/>
      <c r="N474" s="1308"/>
      <c r="O474" s="1308"/>
      <c r="P474" s="1308"/>
      <c r="Q474" s="1308"/>
      <c r="R474" s="381"/>
      <c r="S474" s="1308">
        <f>KN_1288n</f>
        <v>0</v>
      </c>
      <c r="T474" s="1308"/>
      <c r="U474" s="1308"/>
      <c r="V474" s="1308"/>
      <c r="W474" s="1308"/>
      <c r="X474" s="381"/>
      <c r="Y474" s="1308"/>
      <c r="Z474" s="1308"/>
      <c r="AA474" s="1308"/>
      <c r="AB474" s="1308"/>
      <c r="AC474" s="1308"/>
      <c r="AD474" s="355"/>
      <c r="AE474" s="1308">
        <f>KT_1288n</f>
        <v>0</v>
      </c>
      <c r="AF474" s="1308"/>
      <c r="AG474" s="1308"/>
      <c r="AH474" s="1308"/>
      <c r="AI474" s="1308"/>
      <c r="AJ474" s="344"/>
      <c r="AK474" s="345"/>
      <c r="AL474" s="340"/>
      <c r="AM474" s="354" t="s">
        <v>773</v>
      </c>
      <c r="AN474" s="354"/>
      <c r="AO474" s="354"/>
      <c r="AP474" s="354"/>
      <c r="AQ474" s="354"/>
      <c r="AR474" s="354"/>
      <c r="AS474" s="354"/>
      <c r="AT474" s="354"/>
      <c r="AU474" s="354"/>
      <c r="AV474" s="354"/>
      <c r="AW474" s="1308">
        <f>M474</f>
        <v>0</v>
      </c>
      <c r="AX474" s="1308"/>
      <c r="AY474" s="1308"/>
      <c r="AZ474" s="1308"/>
      <c r="BA474" s="1308"/>
      <c r="BB474" s="381"/>
      <c r="BC474" s="1308">
        <f>S474</f>
        <v>0</v>
      </c>
      <c r="BD474" s="1308"/>
      <c r="BE474" s="1308"/>
      <c r="BF474" s="1308"/>
      <c r="BG474" s="1308"/>
      <c r="BH474" s="381"/>
      <c r="BI474" s="1308">
        <f>Y474</f>
        <v>0</v>
      </c>
      <c r="BJ474" s="1308"/>
      <c r="BK474" s="1308"/>
      <c r="BL474" s="1308"/>
      <c r="BM474" s="1308"/>
      <c r="BN474" s="355"/>
      <c r="BO474" s="1308">
        <f>AE474</f>
        <v>0</v>
      </c>
      <c r="BP474" s="1308"/>
      <c r="BQ474" s="1308"/>
      <c r="BR474" s="1308"/>
      <c r="BS474" s="1308"/>
      <c r="BT474" s="356"/>
      <c r="BU474" s="357"/>
      <c r="BV474" s="310"/>
      <c r="BW474" s="310"/>
      <c r="BX474" s="291">
        <f t="shared" si="1"/>
        <v>0</v>
      </c>
      <c r="BY474" s="344"/>
      <c r="BZ474" s="347"/>
      <c r="CA474" s="347"/>
    </row>
    <row r="475" spans="1:84" ht="12.95" hidden="1" customHeight="1" x14ac:dyDescent="0.25">
      <c r="A475" s="369"/>
      <c r="B475" s="340"/>
      <c r="C475" s="354"/>
      <c r="D475" s="354"/>
      <c r="E475" s="354"/>
      <c r="F475" s="354"/>
      <c r="G475" s="354"/>
      <c r="H475" s="354"/>
      <c r="I475" s="354"/>
      <c r="J475" s="354"/>
      <c r="K475" s="354"/>
      <c r="L475" s="354"/>
      <c r="M475" s="1308"/>
      <c r="N475" s="1308"/>
      <c r="O475" s="1308"/>
      <c r="P475" s="1308"/>
      <c r="Q475" s="1308"/>
      <c r="R475" s="381"/>
      <c r="S475" s="1308"/>
      <c r="T475" s="1308"/>
      <c r="U475" s="1308"/>
      <c r="V475" s="1308"/>
      <c r="W475" s="1308"/>
      <c r="X475" s="381"/>
      <c r="Y475" s="1308"/>
      <c r="Z475" s="1308"/>
      <c r="AA475" s="1308"/>
      <c r="AB475" s="1308"/>
      <c r="AC475" s="1308"/>
      <c r="AD475" s="355"/>
      <c r="AE475" s="1308"/>
      <c r="AF475" s="1308"/>
      <c r="AG475" s="1308"/>
      <c r="AH475" s="1308"/>
      <c r="AI475" s="1308"/>
      <c r="AJ475" s="344"/>
      <c r="AK475" s="345"/>
      <c r="AL475" s="340"/>
      <c r="AM475" s="354"/>
      <c r="AN475" s="354"/>
      <c r="AO475" s="354"/>
      <c r="AP475" s="354"/>
      <c r="AQ475" s="354"/>
      <c r="AR475" s="354"/>
      <c r="AS475" s="354"/>
      <c r="AT475" s="354"/>
      <c r="AU475" s="354"/>
      <c r="AV475" s="354"/>
      <c r="AW475" s="1308"/>
      <c r="AX475" s="1308"/>
      <c r="AY475" s="1308"/>
      <c r="AZ475" s="1308"/>
      <c r="BA475" s="1308"/>
      <c r="BB475" s="381"/>
      <c r="BC475" s="1308"/>
      <c r="BD475" s="1308"/>
      <c r="BE475" s="1308"/>
      <c r="BF475" s="1308"/>
      <c r="BG475" s="1308"/>
      <c r="BH475" s="381"/>
      <c r="BI475" s="1308"/>
      <c r="BJ475" s="1308"/>
      <c r="BK475" s="1308"/>
      <c r="BL475" s="1308"/>
      <c r="BM475" s="1308"/>
      <c r="BN475" s="355"/>
      <c r="BO475" s="1308"/>
      <c r="BP475" s="1308"/>
      <c r="BQ475" s="1308"/>
      <c r="BR475" s="1308"/>
      <c r="BS475" s="1308"/>
      <c r="BT475" s="356"/>
      <c r="BU475" s="357"/>
      <c r="BV475" s="310"/>
      <c r="BW475" s="310"/>
      <c r="BX475" s="291">
        <f>IF(ISNONTEXT($C475),0,SUM(D475:AI475)-SUM(AN475:BS475))</f>
        <v>0</v>
      </c>
      <c r="BY475" s="344"/>
      <c r="BZ475" s="347"/>
      <c r="CA475" s="347"/>
    </row>
    <row r="476" spans="1:84" s="385" customFormat="1" ht="15" hidden="1" customHeight="1" x14ac:dyDescent="0.25">
      <c r="A476" s="313"/>
      <c r="B476" s="340"/>
      <c r="C476" s="340" t="s">
        <v>774</v>
      </c>
      <c r="D476" s="340"/>
      <c r="E476" s="340"/>
      <c r="F476" s="340"/>
      <c r="G476" s="340"/>
      <c r="H476" s="340"/>
      <c r="I476" s="340"/>
      <c r="J476" s="340"/>
      <c r="K476" s="340"/>
      <c r="L476" s="340"/>
      <c r="M476" s="1599">
        <f>SUBTOTAL(109,M477:Q479)</f>
        <v>0</v>
      </c>
      <c r="N476" s="1599"/>
      <c r="O476" s="1599"/>
      <c r="P476" s="1599"/>
      <c r="Q476" s="1599"/>
      <c r="R476" s="382"/>
      <c r="S476" s="1599">
        <f>SUBTOTAL(109,S477:W479)</f>
        <v>0</v>
      </c>
      <c r="T476" s="1599"/>
      <c r="U476" s="1599"/>
      <c r="V476" s="1599"/>
      <c r="W476" s="1599"/>
      <c r="X476" s="382"/>
      <c r="Y476" s="1599">
        <f>SUBTOTAL(109,Y477:AC479)</f>
        <v>0</v>
      </c>
      <c r="Z476" s="1599"/>
      <c r="AA476" s="1599"/>
      <c r="AB476" s="1599"/>
      <c r="AC476" s="1599"/>
      <c r="AD476" s="363"/>
      <c r="AE476" s="1599">
        <f>SUBTOTAL(109,AE477:AI479)</f>
        <v>0</v>
      </c>
      <c r="AF476" s="1599"/>
      <c r="AG476" s="1599"/>
      <c r="AH476" s="1599"/>
      <c r="AI476" s="1599"/>
      <c r="AJ476" s="374"/>
      <c r="AK476" s="345"/>
      <c r="AL476" s="340"/>
      <c r="AM476" s="340" t="s">
        <v>775</v>
      </c>
      <c r="AN476" s="340"/>
      <c r="AO476" s="340"/>
      <c r="AP476" s="340"/>
      <c r="AQ476" s="340"/>
      <c r="AR476" s="340"/>
      <c r="AS476" s="340"/>
      <c r="AT476" s="340"/>
      <c r="AU476" s="340"/>
      <c r="AV476" s="340"/>
      <c r="AW476" s="1599">
        <f>SUBTOTAL(109,AW477:BA479)</f>
        <v>0</v>
      </c>
      <c r="AX476" s="1599"/>
      <c r="AY476" s="1599"/>
      <c r="AZ476" s="1599"/>
      <c r="BA476" s="1599"/>
      <c r="BB476" s="382"/>
      <c r="BC476" s="1599">
        <f>SUBTOTAL(109,BC477:BG479)</f>
        <v>0</v>
      </c>
      <c r="BD476" s="1599"/>
      <c r="BE476" s="1599"/>
      <c r="BF476" s="1599"/>
      <c r="BG476" s="1599"/>
      <c r="BH476" s="382"/>
      <c r="BI476" s="1599">
        <f>SUBTOTAL(109,BI477:BM479)</f>
        <v>0</v>
      </c>
      <c r="BJ476" s="1599"/>
      <c r="BK476" s="1599"/>
      <c r="BL476" s="1599"/>
      <c r="BM476" s="1599"/>
      <c r="BN476" s="363"/>
      <c r="BO476" s="1599">
        <f>SUBTOTAL(109,BO477:BS479)</f>
        <v>0</v>
      </c>
      <c r="BP476" s="1599"/>
      <c r="BQ476" s="1599"/>
      <c r="BR476" s="1599"/>
      <c r="BS476" s="1599"/>
      <c r="BT476" s="361"/>
      <c r="BU476" s="362"/>
      <c r="BV476" s="310">
        <f>S476-KN_CT255</f>
        <v>0</v>
      </c>
      <c r="BW476" s="310">
        <f>AE476-KT_CT255</f>
        <v>0</v>
      </c>
      <c r="BX476" s="291">
        <f t="shared" si="1"/>
        <v>0</v>
      </c>
      <c r="BY476" s="374"/>
      <c r="BZ476" s="383"/>
      <c r="CA476" s="383"/>
      <c r="CB476" s="384"/>
      <c r="CC476" s="384"/>
      <c r="CD476" s="384"/>
      <c r="CE476" s="384"/>
      <c r="CF476" s="384"/>
    </row>
    <row r="477" spans="1:84" ht="15" hidden="1" customHeight="1" x14ac:dyDescent="0.25">
      <c r="A477" s="369"/>
      <c r="B477" s="340"/>
      <c r="C477" s="354" t="s">
        <v>768</v>
      </c>
      <c r="D477" s="354"/>
      <c r="E477" s="354"/>
      <c r="F477" s="354"/>
      <c r="G477" s="354"/>
      <c r="H477" s="354"/>
      <c r="I477" s="354"/>
      <c r="J477" s="354"/>
      <c r="K477" s="354"/>
      <c r="L477" s="354"/>
      <c r="M477" s="1308"/>
      <c r="N477" s="1308"/>
      <c r="O477" s="1308"/>
      <c r="P477" s="1308"/>
      <c r="Q477" s="1308"/>
      <c r="R477" s="381"/>
      <c r="S477" s="1308">
        <f>KN_1281d</f>
        <v>0</v>
      </c>
      <c r="T477" s="1308"/>
      <c r="U477" s="1308"/>
      <c r="V477" s="1308"/>
      <c r="W477" s="1308"/>
      <c r="X477" s="381"/>
      <c r="Y477" s="1308"/>
      <c r="Z477" s="1308"/>
      <c r="AA477" s="1308"/>
      <c r="AB477" s="1308"/>
      <c r="AC477" s="1308"/>
      <c r="AD477" s="355"/>
      <c r="AE477" s="1308">
        <f>KT_1281d</f>
        <v>0</v>
      </c>
      <c r="AF477" s="1308"/>
      <c r="AG477" s="1308"/>
      <c r="AH477" s="1308"/>
      <c r="AI477" s="1308"/>
      <c r="AJ477" s="344"/>
      <c r="AK477" s="345"/>
      <c r="AL477" s="340"/>
      <c r="AM477" s="354" t="s">
        <v>769</v>
      </c>
      <c r="AN477" s="354"/>
      <c r="AO477" s="354"/>
      <c r="AP477" s="354"/>
      <c r="AQ477" s="354"/>
      <c r="AR477" s="354"/>
      <c r="AS477" s="354"/>
      <c r="AT477" s="354"/>
      <c r="AU477" s="354"/>
      <c r="AV477" s="354"/>
      <c r="AW477" s="1308">
        <f>M477</f>
        <v>0</v>
      </c>
      <c r="AX477" s="1308"/>
      <c r="AY477" s="1308"/>
      <c r="AZ477" s="1308"/>
      <c r="BA477" s="1308"/>
      <c r="BB477" s="381"/>
      <c r="BC477" s="1308">
        <f>S477</f>
        <v>0</v>
      </c>
      <c r="BD477" s="1308"/>
      <c r="BE477" s="1308"/>
      <c r="BF477" s="1308"/>
      <c r="BG477" s="1308"/>
      <c r="BH477" s="381"/>
      <c r="BI477" s="1308">
        <f>Y477</f>
        <v>0</v>
      </c>
      <c r="BJ477" s="1308"/>
      <c r="BK477" s="1308"/>
      <c r="BL477" s="1308"/>
      <c r="BM477" s="1308"/>
      <c r="BN477" s="355"/>
      <c r="BO477" s="1308">
        <f>AE477</f>
        <v>0</v>
      </c>
      <c r="BP477" s="1308"/>
      <c r="BQ477" s="1308"/>
      <c r="BR477" s="1308"/>
      <c r="BS477" s="1308"/>
      <c r="BT477" s="356"/>
      <c r="BU477" s="357"/>
      <c r="BV477" s="310"/>
      <c r="BW477" s="310"/>
      <c r="BX477" s="291">
        <f t="shared" si="1"/>
        <v>0</v>
      </c>
      <c r="BY477" s="344"/>
      <c r="BZ477" s="347"/>
      <c r="CA477" s="347"/>
    </row>
    <row r="478" spans="1:84" ht="15" hidden="1" customHeight="1" x14ac:dyDescent="0.25">
      <c r="A478" s="369"/>
      <c r="B478" s="340"/>
      <c r="C478" s="354" t="s">
        <v>770</v>
      </c>
      <c r="D478" s="354"/>
      <c r="E478" s="354"/>
      <c r="F478" s="354"/>
      <c r="G478" s="354"/>
      <c r="H478" s="354"/>
      <c r="I478" s="354"/>
      <c r="J478" s="354"/>
      <c r="K478" s="354"/>
      <c r="L478" s="354"/>
      <c r="M478" s="1308"/>
      <c r="N478" s="1308"/>
      <c r="O478" s="1308"/>
      <c r="P478" s="1308"/>
      <c r="Q478" s="1308"/>
      <c r="R478" s="381"/>
      <c r="S478" s="1308">
        <f>KN_1282d</f>
        <v>0</v>
      </c>
      <c r="T478" s="1308"/>
      <c r="U478" s="1308"/>
      <c r="V478" s="1308"/>
      <c r="W478" s="1308"/>
      <c r="X478" s="381"/>
      <c r="Y478" s="1308"/>
      <c r="Z478" s="1308"/>
      <c r="AA478" s="1308"/>
      <c r="AB478" s="1308"/>
      <c r="AC478" s="1308"/>
      <c r="AD478" s="355"/>
      <c r="AE478" s="1308">
        <f>KT_1282d</f>
        <v>0</v>
      </c>
      <c r="AF478" s="1308"/>
      <c r="AG478" s="1308"/>
      <c r="AH478" s="1308"/>
      <c r="AI478" s="1308"/>
      <c r="AJ478" s="344"/>
      <c r="AK478" s="345"/>
      <c r="AL478" s="340"/>
      <c r="AM478" s="354" t="s">
        <v>771</v>
      </c>
      <c r="AN478" s="354"/>
      <c r="AO478" s="354"/>
      <c r="AP478" s="354"/>
      <c r="AQ478" s="354"/>
      <c r="AR478" s="354"/>
      <c r="AS478" s="354"/>
      <c r="AT478" s="354"/>
      <c r="AU478" s="354"/>
      <c r="AV478" s="354"/>
      <c r="AW478" s="1308">
        <f>M478</f>
        <v>0</v>
      </c>
      <c r="AX478" s="1308"/>
      <c r="AY478" s="1308"/>
      <c r="AZ478" s="1308"/>
      <c r="BA478" s="1308"/>
      <c r="BB478" s="381"/>
      <c r="BC478" s="1308">
        <f>S478</f>
        <v>0</v>
      </c>
      <c r="BD478" s="1308"/>
      <c r="BE478" s="1308"/>
      <c r="BF478" s="1308"/>
      <c r="BG478" s="1308"/>
      <c r="BH478" s="381"/>
      <c r="BI478" s="1308">
        <f>Y478</f>
        <v>0</v>
      </c>
      <c r="BJ478" s="1308"/>
      <c r="BK478" s="1308"/>
      <c r="BL478" s="1308"/>
      <c r="BM478" s="1308"/>
      <c r="BN478" s="355"/>
      <c r="BO478" s="1308">
        <f>AE478</f>
        <v>0</v>
      </c>
      <c r="BP478" s="1308"/>
      <c r="BQ478" s="1308"/>
      <c r="BR478" s="1308"/>
      <c r="BS478" s="1308"/>
      <c r="BT478" s="356"/>
      <c r="BU478" s="357"/>
      <c r="BV478" s="310"/>
      <c r="BW478" s="310"/>
      <c r="BX478" s="291">
        <f t="shared" si="1"/>
        <v>0</v>
      </c>
      <c r="BY478" s="344"/>
      <c r="BZ478" s="347"/>
      <c r="CA478" s="347"/>
    </row>
    <row r="479" spans="1:84" ht="15" hidden="1" customHeight="1" x14ac:dyDescent="0.25">
      <c r="A479" s="369"/>
      <c r="B479" s="340"/>
      <c r="C479" s="354" t="s">
        <v>772</v>
      </c>
      <c r="D479" s="354"/>
      <c r="E479" s="354"/>
      <c r="F479" s="354"/>
      <c r="G479" s="354"/>
      <c r="H479" s="354"/>
      <c r="I479" s="354"/>
      <c r="J479" s="354"/>
      <c r="K479" s="354"/>
      <c r="L479" s="354"/>
      <c r="M479" s="1308"/>
      <c r="N479" s="1308"/>
      <c r="O479" s="1308"/>
      <c r="P479" s="1308"/>
      <c r="Q479" s="1308"/>
      <c r="R479" s="381"/>
      <c r="S479" s="1308">
        <f>KN_1288d</f>
        <v>0</v>
      </c>
      <c r="T479" s="1308"/>
      <c r="U479" s="1308"/>
      <c r="V479" s="1308"/>
      <c r="W479" s="1308"/>
      <c r="X479" s="381"/>
      <c r="Y479" s="1308"/>
      <c r="Z479" s="1308"/>
      <c r="AA479" s="1308"/>
      <c r="AB479" s="1308"/>
      <c r="AC479" s="1308"/>
      <c r="AD479" s="355"/>
      <c r="AE479" s="1308">
        <f>KT_1288d</f>
        <v>0</v>
      </c>
      <c r="AF479" s="1308"/>
      <c r="AG479" s="1308"/>
      <c r="AH479" s="1308"/>
      <c r="AI479" s="1308"/>
      <c r="AJ479" s="344"/>
      <c r="AK479" s="345"/>
      <c r="AL479" s="340"/>
      <c r="AM479" s="354" t="s">
        <v>773</v>
      </c>
      <c r="AN479" s="354"/>
      <c r="AO479" s="354"/>
      <c r="AP479" s="354"/>
      <c r="AQ479" s="354"/>
      <c r="AR479" s="354"/>
      <c r="AS479" s="354"/>
      <c r="AT479" s="354"/>
      <c r="AU479" s="354"/>
      <c r="AV479" s="354"/>
      <c r="AW479" s="1308">
        <f>M479</f>
        <v>0</v>
      </c>
      <c r="AX479" s="1308"/>
      <c r="AY479" s="1308"/>
      <c r="AZ479" s="1308"/>
      <c r="BA479" s="1308"/>
      <c r="BB479" s="381"/>
      <c r="BC479" s="1308">
        <f>S479</f>
        <v>0</v>
      </c>
      <c r="BD479" s="1308"/>
      <c r="BE479" s="1308"/>
      <c r="BF479" s="1308"/>
      <c r="BG479" s="1308"/>
      <c r="BH479" s="381"/>
      <c r="BI479" s="1308">
        <f>Y479</f>
        <v>0</v>
      </c>
      <c r="BJ479" s="1308"/>
      <c r="BK479" s="1308"/>
      <c r="BL479" s="1308"/>
      <c r="BM479" s="1308"/>
      <c r="BN479" s="355"/>
      <c r="BO479" s="1308">
        <f>AE479</f>
        <v>0</v>
      </c>
      <c r="BP479" s="1308"/>
      <c r="BQ479" s="1308"/>
      <c r="BR479" s="1308"/>
      <c r="BS479" s="1308"/>
      <c r="BT479" s="356"/>
      <c r="BU479" s="357"/>
      <c r="BV479" s="310"/>
      <c r="BW479" s="310"/>
      <c r="BX479" s="291">
        <f t="shared" si="1"/>
        <v>0</v>
      </c>
      <c r="BY479" s="344"/>
      <c r="BZ479" s="347"/>
      <c r="CA479" s="347"/>
    </row>
    <row r="480" spans="1:84" ht="12.95" customHeight="1" x14ac:dyDescent="0.25">
      <c r="A480" s="369"/>
      <c r="B480" s="340"/>
      <c r="C480" s="354"/>
      <c r="D480" s="354"/>
      <c r="E480" s="354"/>
      <c r="F480" s="354"/>
      <c r="G480" s="354"/>
      <c r="H480" s="354"/>
      <c r="I480" s="354"/>
      <c r="J480" s="354"/>
      <c r="K480" s="354"/>
      <c r="L480" s="354"/>
      <c r="M480" s="1598"/>
      <c r="N480" s="1598"/>
      <c r="O480" s="1598"/>
      <c r="P480" s="1598"/>
      <c r="Q480" s="1598"/>
      <c r="R480" s="386"/>
      <c r="S480" s="1598"/>
      <c r="T480" s="1598"/>
      <c r="U480" s="1598"/>
      <c r="V480" s="1598"/>
      <c r="W480" s="1598"/>
      <c r="X480" s="355"/>
      <c r="Y480" s="1598"/>
      <c r="Z480" s="1598"/>
      <c r="AA480" s="1598"/>
      <c r="AB480" s="1598"/>
      <c r="AC480" s="1598"/>
      <c r="AD480" s="355"/>
      <c r="AE480" s="1598"/>
      <c r="AF480" s="1598"/>
      <c r="AG480" s="1598"/>
      <c r="AH480" s="1598"/>
      <c r="AI480" s="1598"/>
      <c r="AJ480" s="344"/>
      <c r="AK480" s="345"/>
      <c r="AL480" s="340"/>
      <c r="AM480" s="354"/>
      <c r="AN480" s="354"/>
      <c r="AO480" s="354"/>
      <c r="AP480" s="354"/>
      <c r="AQ480" s="354"/>
      <c r="AR480" s="354"/>
      <c r="AS480" s="354"/>
      <c r="AT480" s="354"/>
      <c r="AU480" s="354"/>
      <c r="AV480" s="354"/>
      <c r="AW480" s="1599"/>
      <c r="AX480" s="1599"/>
      <c r="AY480" s="1599"/>
      <c r="AZ480" s="1599"/>
      <c r="BA480" s="1599"/>
      <c r="BB480" s="386"/>
      <c r="BC480" s="1599"/>
      <c r="BD480" s="1599"/>
      <c r="BE480" s="1599"/>
      <c r="BF480" s="1599"/>
      <c r="BG480" s="1599"/>
      <c r="BH480" s="355"/>
      <c r="BI480" s="1599"/>
      <c r="BJ480" s="1599"/>
      <c r="BK480" s="1599"/>
      <c r="BL480" s="1599"/>
      <c r="BM480" s="1599"/>
      <c r="BN480" s="355"/>
      <c r="BO480" s="1599"/>
      <c r="BP480" s="1599"/>
      <c r="BQ480" s="1599"/>
      <c r="BR480" s="1599"/>
      <c r="BS480" s="1599"/>
      <c r="BT480" s="356"/>
      <c r="BU480" s="357"/>
      <c r="BV480" s="310"/>
      <c r="BW480" s="310"/>
      <c r="BX480" s="291">
        <f t="shared" si="1"/>
        <v>0</v>
      </c>
      <c r="BY480" s="344"/>
      <c r="BZ480" s="347"/>
      <c r="CA480" s="347"/>
    </row>
    <row r="481" spans="1:79" ht="15" customHeight="1" thickBot="1" x14ac:dyDescent="0.3">
      <c r="A481" s="369"/>
      <c r="B481" s="340"/>
      <c r="C481" s="360" t="s">
        <v>752</v>
      </c>
      <c r="D481" s="354"/>
      <c r="E481" s="354"/>
      <c r="F481" s="354"/>
      <c r="G481" s="354"/>
      <c r="H481" s="354"/>
      <c r="I481" s="354"/>
      <c r="J481" s="354"/>
      <c r="K481" s="354"/>
      <c r="L481" s="354"/>
      <c r="M481" s="1596">
        <f>SUBTOTAL(109,M471:Q479)</f>
        <v>25815802846</v>
      </c>
      <c r="N481" s="1596"/>
      <c r="O481" s="1596"/>
      <c r="P481" s="1596"/>
      <c r="Q481" s="1596"/>
      <c r="R481" s="387"/>
      <c r="S481" s="1596">
        <f>SUBTOTAL(109,S471:W479)</f>
        <v>25815802846</v>
      </c>
      <c r="T481" s="1596"/>
      <c r="U481" s="1596"/>
      <c r="V481" s="1596"/>
      <c r="W481" s="1596"/>
      <c r="X481" s="387"/>
      <c r="Y481" s="1596">
        <f>SUBTOTAL(109,Y471:AC479)</f>
        <v>20000000000</v>
      </c>
      <c r="Z481" s="1596"/>
      <c r="AA481" s="1596"/>
      <c r="AB481" s="1596"/>
      <c r="AC481" s="1596"/>
      <c r="AD481" s="363"/>
      <c r="AE481" s="1596">
        <f>SUBTOTAL(109,AE471:AI479)</f>
        <v>20000000000</v>
      </c>
      <c r="AF481" s="1596"/>
      <c r="AG481" s="1596"/>
      <c r="AH481" s="1596"/>
      <c r="AI481" s="1596"/>
      <c r="AJ481" s="344"/>
      <c r="AK481" s="345"/>
      <c r="AL481" s="340"/>
      <c r="AM481" s="360" t="s">
        <v>752</v>
      </c>
      <c r="AN481" s="354"/>
      <c r="AO481" s="354"/>
      <c r="AP481" s="354"/>
      <c r="AQ481" s="354"/>
      <c r="AR481" s="354"/>
      <c r="AS481" s="354"/>
      <c r="AT481" s="354"/>
      <c r="AU481" s="354"/>
      <c r="AV481" s="354"/>
      <c r="AW481" s="1596">
        <f>SUBTOTAL(109,AW471:BA479)</f>
        <v>25815802846</v>
      </c>
      <c r="AX481" s="1596"/>
      <c r="AY481" s="1596"/>
      <c r="AZ481" s="1596"/>
      <c r="BA481" s="1596"/>
      <c r="BB481" s="387"/>
      <c r="BC481" s="1596">
        <f>SUBTOTAL(109,BC471:BG479)</f>
        <v>25815802846</v>
      </c>
      <c r="BD481" s="1596"/>
      <c r="BE481" s="1596"/>
      <c r="BF481" s="1596"/>
      <c r="BG481" s="1596"/>
      <c r="BH481" s="387"/>
      <c r="BI481" s="1596">
        <f>SUBTOTAL(109,BI471:BM479)</f>
        <v>20000000000</v>
      </c>
      <c r="BJ481" s="1596"/>
      <c r="BK481" s="1596"/>
      <c r="BL481" s="1596"/>
      <c r="BM481" s="1596"/>
      <c r="BN481" s="363"/>
      <c r="BO481" s="1596">
        <f>SUBTOTAL(109,BO471:BS479)</f>
        <v>20000000000</v>
      </c>
      <c r="BP481" s="1596"/>
      <c r="BQ481" s="1596"/>
      <c r="BR481" s="1596"/>
      <c r="BS481" s="1596"/>
      <c r="BT481" s="356"/>
      <c r="BU481" s="357"/>
      <c r="BV481" s="310">
        <f>S481-KN_CT123-KN_CT255</f>
        <v>0</v>
      </c>
      <c r="BW481" s="310">
        <f>AE481-KT_CT123-KT_CT255</f>
        <v>0</v>
      </c>
      <c r="BX481" s="291">
        <f t="shared" si="1"/>
        <v>0</v>
      </c>
      <c r="BY481" s="344"/>
      <c r="BZ481" s="347"/>
      <c r="CA481" s="347"/>
    </row>
    <row r="482" spans="1:79" ht="2.1" customHeight="1" thickTop="1" x14ac:dyDescent="0.25">
      <c r="A482" s="369"/>
      <c r="B482" s="340"/>
      <c r="C482" s="360"/>
      <c r="D482" s="354"/>
      <c r="E482" s="354"/>
      <c r="F482" s="354"/>
      <c r="G482" s="354"/>
      <c r="H482" s="354"/>
      <c r="I482" s="354"/>
      <c r="J482" s="354"/>
      <c r="K482" s="354"/>
      <c r="L482" s="354"/>
      <c r="M482" s="354"/>
      <c r="N482" s="354"/>
      <c r="O482" s="354"/>
      <c r="P482" s="354"/>
      <c r="Q482" s="354"/>
      <c r="R482" s="354"/>
      <c r="S482" s="354"/>
      <c r="T482" s="354"/>
      <c r="U482" s="342"/>
      <c r="V482" s="342"/>
      <c r="W482" s="363"/>
      <c r="X482" s="363"/>
      <c r="Y482" s="363"/>
      <c r="Z482" s="363"/>
      <c r="AA482" s="363"/>
      <c r="AB482" s="363"/>
      <c r="AC482" s="355"/>
      <c r="AD482" s="363"/>
      <c r="AE482" s="363"/>
      <c r="AF482" s="363"/>
      <c r="AG482" s="363"/>
      <c r="AH482" s="363"/>
      <c r="AI482" s="363"/>
      <c r="AJ482" s="344"/>
      <c r="AK482" s="345"/>
      <c r="AL482" s="340"/>
      <c r="AM482" s="388"/>
      <c r="AN482" s="386"/>
      <c r="AO482" s="386"/>
      <c r="AP482" s="386"/>
      <c r="AQ482" s="386"/>
      <c r="AR482" s="386"/>
      <c r="AS482" s="386"/>
      <c r="AT482" s="386"/>
      <c r="AU482" s="386"/>
      <c r="AV482" s="386"/>
      <c r="AW482" s="386"/>
      <c r="AX482" s="386"/>
      <c r="AY482" s="386"/>
      <c r="AZ482" s="386"/>
      <c r="BA482" s="386"/>
      <c r="BB482" s="386"/>
      <c r="BC482" s="386"/>
      <c r="BD482" s="386"/>
      <c r="BE482" s="389"/>
      <c r="BF482" s="389"/>
      <c r="BG482" s="363"/>
      <c r="BH482" s="363"/>
      <c r="BI482" s="363"/>
      <c r="BJ482" s="363"/>
      <c r="BK482" s="363"/>
      <c r="BL482" s="363"/>
      <c r="BM482" s="355"/>
      <c r="BN482" s="363"/>
      <c r="BO482" s="363"/>
      <c r="BP482" s="363"/>
      <c r="BQ482" s="363"/>
      <c r="BR482" s="363"/>
      <c r="BS482" s="363"/>
      <c r="BT482" s="356"/>
      <c r="BU482" s="357"/>
      <c r="BV482" s="310"/>
      <c r="BW482" s="310"/>
      <c r="BX482" s="291">
        <f t="shared" si="1"/>
        <v>0</v>
      </c>
      <c r="BY482" s="344"/>
      <c r="BZ482" s="347"/>
      <c r="CA482" s="347"/>
    </row>
    <row r="483" spans="1:79" ht="14.1" customHeight="1" x14ac:dyDescent="0.25">
      <c r="A483" s="369"/>
      <c r="B483" s="340"/>
      <c r="C483" s="360"/>
      <c r="D483" s="354"/>
      <c r="E483" s="354"/>
      <c r="F483" s="354"/>
      <c r="G483" s="354"/>
      <c r="H483" s="354"/>
      <c r="I483" s="354"/>
      <c r="J483" s="354"/>
      <c r="K483" s="354"/>
      <c r="L483" s="354"/>
      <c r="M483" s="354"/>
      <c r="N483" s="354"/>
      <c r="O483" s="354"/>
      <c r="P483" s="354"/>
      <c r="Q483" s="354"/>
      <c r="R483" s="354"/>
      <c r="S483" s="354"/>
      <c r="T483" s="354"/>
      <c r="U483" s="342"/>
      <c r="V483" s="342"/>
      <c r="W483" s="363"/>
      <c r="X483" s="363"/>
      <c r="Y483" s="363"/>
      <c r="Z483" s="363"/>
      <c r="AA483" s="363"/>
      <c r="AB483" s="363"/>
      <c r="AC483" s="355"/>
      <c r="AD483" s="363"/>
      <c r="AE483" s="363"/>
      <c r="AF483" s="363"/>
      <c r="AG483" s="363"/>
      <c r="AH483" s="363"/>
      <c r="AI483" s="363"/>
      <c r="AJ483" s="344"/>
      <c r="AK483" s="345"/>
      <c r="AL483" s="340"/>
      <c r="AM483" s="388"/>
      <c r="AN483" s="386"/>
      <c r="AO483" s="386"/>
      <c r="AP483" s="386"/>
      <c r="AQ483" s="386"/>
      <c r="AR483" s="386"/>
      <c r="AS483" s="386"/>
      <c r="AT483" s="386"/>
      <c r="AU483" s="386"/>
      <c r="AV483" s="386"/>
      <c r="AW483" s="386"/>
      <c r="AX483" s="386"/>
      <c r="AY483" s="386"/>
      <c r="AZ483" s="386"/>
      <c r="BA483" s="386"/>
      <c r="BB483" s="386"/>
      <c r="BC483" s="386"/>
      <c r="BD483" s="386"/>
      <c r="BE483" s="389"/>
      <c r="BF483" s="389"/>
      <c r="BG483" s="363"/>
      <c r="BH483" s="363"/>
      <c r="BI483" s="363"/>
      <c r="BJ483" s="363"/>
      <c r="BK483" s="363"/>
      <c r="BL483" s="363"/>
      <c r="BM483" s="355"/>
      <c r="BN483" s="363"/>
      <c r="BO483" s="363"/>
      <c r="BP483" s="363"/>
      <c r="BQ483" s="363"/>
      <c r="BR483" s="363"/>
      <c r="BS483" s="363"/>
      <c r="BT483" s="356"/>
      <c r="BU483" s="357"/>
      <c r="BV483" s="310"/>
      <c r="BW483" s="310"/>
      <c r="BX483" s="291"/>
      <c r="BY483" s="344"/>
      <c r="BZ483" s="347"/>
      <c r="CA483" s="347"/>
    </row>
    <row r="484" spans="1:79" ht="29.1" customHeight="1" x14ac:dyDescent="0.25">
      <c r="A484" s="369"/>
      <c r="B484" s="340"/>
      <c r="C484" s="1303" t="s">
        <v>776</v>
      </c>
      <c r="D484" s="1358"/>
      <c r="E484" s="1358"/>
      <c r="F484" s="1358"/>
      <c r="G484" s="1358"/>
      <c r="H484" s="1358"/>
      <c r="I484" s="1358"/>
      <c r="J484" s="1358"/>
      <c r="K484" s="1358"/>
      <c r="L484" s="1358"/>
      <c r="M484" s="1358"/>
      <c r="N484" s="1358"/>
      <c r="O484" s="1358"/>
      <c r="P484" s="1358"/>
      <c r="Q484" s="1358"/>
      <c r="R484" s="1358"/>
      <c r="S484" s="1358"/>
      <c r="T484" s="1358"/>
      <c r="U484" s="1358"/>
      <c r="V484" s="1358"/>
      <c r="W484" s="1358"/>
      <c r="X484" s="1358"/>
      <c r="Y484" s="1358"/>
      <c r="Z484" s="1358"/>
      <c r="AA484" s="1358"/>
      <c r="AB484" s="1358"/>
      <c r="AC484" s="1358"/>
      <c r="AD484" s="1358"/>
      <c r="AE484" s="1358"/>
      <c r="AF484" s="1358"/>
      <c r="AG484" s="1358"/>
      <c r="AH484" s="1358"/>
      <c r="AI484" s="1358"/>
      <c r="AJ484" s="344"/>
      <c r="AK484" s="345"/>
      <c r="AL484" s="340"/>
      <c r="AM484" s="388"/>
      <c r="AN484" s="386"/>
      <c r="AO484" s="386"/>
      <c r="AP484" s="386"/>
      <c r="AQ484" s="386"/>
      <c r="AR484" s="386"/>
      <c r="AS484" s="386"/>
      <c r="AT484" s="386"/>
      <c r="AU484" s="386"/>
      <c r="AV484" s="386"/>
      <c r="AW484" s="386"/>
      <c r="AX484" s="386"/>
      <c r="AY484" s="386"/>
      <c r="AZ484" s="386"/>
      <c r="BA484" s="386"/>
      <c r="BB484" s="386"/>
      <c r="BC484" s="386"/>
      <c r="BD484" s="386"/>
      <c r="BE484" s="389"/>
      <c r="BF484" s="389"/>
      <c r="BG484" s="363"/>
      <c r="BH484" s="363"/>
      <c r="BI484" s="363"/>
      <c r="BJ484" s="363"/>
      <c r="BK484" s="363"/>
      <c r="BL484" s="363"/>
      <c r="BM484" s="355"/>
      <c r="BN484" s="363"/>
      <c r="BO484" s="363"/>
      <c r="BP484" s="363"/>
      <c r="BQ484" s="363"/>
      <c r="BR484" s="363"/>
      <c r="BS484" s="363"/>
      <c r="BT484" s="356"/>
      <c r="BU484" s="357"/>
      <c r="BV484" s="310"/>
      <c r="BW484" s="310"/>
      <c r="BX484" s="291"/>
      <c r="BY484" s="344"/>
      <c r="BZ484" s="347"/>
      <c r="CA484" s="347"/>
    </row>
    <row r="485" spans="1:79" ht="12.95" hidden="1" customHeight="1" x14ac:dyDescent="0.25">
      <c r="A485" s="369"/>
      <c r="B485" s="340"/>
      <c r="C485" s="360"/>
      <c r="D485" s="354"/>
      <c r="E485" s="354"/>
      <c r="F485" s="354"/>
      <c r="G485" s="354"/>
      <c r="H485" s="354"/>
      <c r="I485" s="354"/>
      <c r="J485" s="354"/>
      <c r="K485" s="354"/>
      <c r="L485" s="354"/>
      <c r="M485" s="354"/>
      <c r="N485" s="354"/>
      <c r="O485" s="354"/>
      <c r="P485" s="354"/>
      <c r="Q485" s="354"/>
      <c r="R485" s="354"/>
      <c r="S485" s="354"/>
      <c r="T485" s="354"/>
      <c r="U485" s="342"/>
      <c r="V485" s="342"/>
      <c r="W485" s="363"/>
      <c r="X485" s="363"/>
      <c r="Y485" s="363"/>
      <c r="Z485" s="363"/>
      <c r="AA485" s="363"/>
      <c r="AB485" s="363"/>
      <c r="AC485" s="355"/>
      <c r="AD485" s="363"/>
      <c r="AE485" s="363"/>
      <c r="AF485" s="363"/>
      <c r="AG485" s="363"/>
      <c r="AH485" s="363"/>
      <c r="AI485" s="363"/>
      <c r="AJ485" s="344"/>
      <c r="AK485" s="345"/>
      <c r="AL485" s="340"/>
      <c r="AM485" s="388"/>
      <c r="AN485" s="386"/>
      <c r="AO485" s="386"/>
      <c r="AP485" s="386"/>
      <c r="AQ485" s="386"/>
      <c r="AR485" s="386"/>
      <c r="AS485" s="386"/>
      <c r="AT485" s="386"/>
      <c r="AU485" s="386"/>
      <c r="AV485" s="386"/>
      <c r="AW485" s="386"/>
      <c r="AX485" s="386"/>
      <c r="AY485" s="386"/>
      <c r="AZ485" s="386"/>
      <c r="BA485" s="386"/>
      <c r="BB485" s="386"/>
      <c r="BC485" s="386"/>
      <c r="BD485" s="386"/>
      <c r="BE485" s="389"/>
      <c r="BF485" s="389"/>
      <c r="BG485" s="363"/>
      <c r="BH485" s="363"/>
      <c r="BI485" s="363"/>
      <c r="BJ485" s="363"/>
      <c r="BK485" s="363"/>
      <c r="BL485" s="363"/>
      <c r="BM485" s="355"/>
      <c r="BN485" s="363"/>
      <c r="BO485" s="363"/>
      <c r="BP485" s="363"/>
      <c r="BQ485" s="363"/>
      <c r="BR485" s="363"/>
      <c r="BS485" s="363"/>
      <c r="BT485" s="356"/>
      <c r="BU485" s="357"/>
      <c r="BV485" s="310"/>
      <c r="BW485" s="310"/>
      <c r="BX485" s="291">
        <f t="shared" si="1"/>
        <v>0</v>
      </c>
      <c r="BY485" s="344"/>
      <c r="BZ485" s="347"/>
      <c r="CA485" s="347"/>
    </row>
    <row r="486" spans="1:79" ht="15" hidden="1" customHeight="1" x14ac:dyDescent="0.25">
      <c r="A486" s="313"/>
      <c r="B486" s="340"/>
      <c r="C486" s="340" t="s">
        <v>777</v>
      </c>
      <c r="D486" s="340"/>
      <c r="E486" s="340"/>
      <c r="F486" s="340"/>
      <c r="G486" s="340"/>
      <c r="H486" s="340"/>
      <c r="I486" s="340"/>
      <c r="J486" s="340"/>
      <c r="K486" s="340"/>
      <c r="L486" s="340"/>
      <c r="M486" s="340"/>
      <c r="N486" s="340"/>
      <c r="O486" s="340"/>
      <c r="P486" s="340"/>
      <c r="Q486" s="340"/>
      <c r="R486" s="340"/>
      <c r="S486" s="340"/>
      <c r="T486" s="340"/>
      <c r="U486" s="342"/>
      <c r="V486" s="342"/>
      <c r="W486" s="368"/>
      <c r="X486" s="368"/>
      <c r="Y486" s="368"/>
      <c r="Z486" s="368"/>
      <c r="AA486" s="368"/>
      <c r="AB486" s="368"/>
      <c r="AC486" s="343"/>
      <c r="AD486" s="368"/>
      <c r="AE486" s="368"/>
      <c r="AF486" s="368"/>
      <c r="AG486" s="368"/>
      <c r="AH486" s="368"/>
      <c r="AI486" s="368"/>
      <c r="AJ486" s="344"/>
      <c r="AK486" s="345"/>
      <c r="AL486" s="340"/>
      <c r="AM486" s="340" t="s">
        <v>778</v>
      </c>
      <c r="AN486" s="340"/>
      <c r="AO486" s="340"/>
      <c r="AP486" s="340"/>
      <c r="AQ486" s="340"/>
      <c r="AR486" s="340"/>
      <c r="AS486" s="340"/>
      <c r="AT486" s="340"/>
      <c r="AU486" s="340"/>
      <c r="AV486" s="340"/>
      <c r="AW486" s="340"/>
      <c r="AX486" s="340"/>
      <c r="AY486" s="340"/>
      <c r="AZ486" s="340"/>
      <c r="BA486" s="340"/>
      <c r="BB486" s="340"/>
      <c r="BC486" s="340"/>
      <c r="BD486" s="340"/>
      <c r="BE486" s="342"/>
      <c r="BF486" s="342"/>
      <c r="BG486" s="361"/>
      <c r="BH486" s="361"/>
      <c r="BI486" s="361"/>
      <c r="BJ486" s="361"/>
      <c r="BK486" s="361"/>
      <c r="BL486" s="361"/>
      <c r="BM486" s="342"/>
      <c r="BN486" s="361"/>
      <c r="BO486" s="361"/>
      <c r="BP486" s="363"/>
      <c r="BQ486" s="363"/>
      <c r="BR486" s="363"/>
      <c r="BS486" s="363"/>
      <c r="BT486" s="356"/>
      <c r="BU486" s="357"/>
      <c r="BV486" s="310"/>
      <c r="BW486" s="310"/>
      <c r="BX486" s="291">
        <f t="shared" si="1"/>
        <v>0</v>
      </c>
      <c r="BY486" s="344"/>
      <c r="BZ486" s="347"/>
      <c r="CA486" s="347"/>
    </row>
    <row r="487" spans="1:79" ht="15" hidden="1" customHeight="1" x14ac:dyDescent="0.25">
      <c r="A487" s="313"/>
      <c r="B487" s="340"/>
      <c r="C487" s="340"/>
      <c r="D487" s="340"/>
      <c r="E487" s="340"/>
      <c r="F487" s="340"/>
      <c r="G487" s="340"/>
      <c r="H487" s="340"/>
      <c r="I487" s="340"/>
      <c r="J487" s="340"/>
      <c r="K487" s="340"/>
      <c r="L487" s="340"/>
      <c r="M487" s="340"/>
      <c r="N487" s="340"/>
      <c r="O487" s="340"/>
      <c r="P487" s="340"/>
      <c r="Q487" s="340"/>
      <c r="R487" s="340"/>
      <c r="S487" s="340"/>
      <c r="T487" s="340"/>
      <c r="U487" s="342"/>
      <c r="V487" s="342"/>
      <c r="W487" s="368"/>
      <c r="X487" s="368"/>
      <c r="Y487" s="368"/>
      <c r="Z487" s="368"/>
      <c r="AA487" s="368"/>
      <c r="AB487" s="368"/>
      <c r="AC487" s="343"/>
      <c r="AD487" s="368"/>
      <c r="AE487" s="368"/>
      <c r="AF487" s="368"/>
      <c r="AG487" s="368"/>
      <c r="AH487" s="368"/>
      <c r="AI487" s="368"/>
      <c r="AJ487" s="344"/>
      <c r="AK487" s="345"/>
      <c r="AL487" s="340"/>
      <c r="AM487" s="340"/>
      <c r="AN487" s="340"/>
      <c r="AO487" s="340"/>
      <c r="AP487" s="340"/>
      <c r="AQ487" s="340"/>
      <c r="AR487" s="340"/>
      <c r="AS487" s="340"/>
      <c r="AT487" s="340"/>
      <c r="AU487" s="340"/>
      <c r="AV487" s="340"/>
      <c r="AW487" s="340"/>
      <c r="AX487" s="340"/>
      <c r="AY487" s="340"/>
      <c r="AZ487" s="340"/>
      <c r="BA487" s="340"/>
      <c r="BB487" s="340"/>
      <c r="BC487" s="340"/>
      <c r="BD487" s="340"/>
      <c r="BE487" s="342"/>
      <c r="BF487" s="342"/>
      <c r="BG487" s="361"/>
      <c r="BH487" s="361"/>
      <c r="BI487" s="361"/>
      <c r="BJ487" s="361"/>
      <c r="BK487" s="361"/>
      <c r="BL487" s="361"/>
      <c r="BM487" s="342"/>
      <c r="BN487" s="361"/>
      <c r="BO487" s="361"/>
      <c r="BP487" s="363"/>
      <c r="BQ487" s="363"/>
      <c r="BR487" s="363"/>
      <c r="BS487" s="363"/>
      <c r="BT487" s="356"/>
      <c r="BU487" s="357"/>
      <c r="BV487" s="310"/>
      <c r="BW487" s="310"/>
      <c r="BX487" s="291">
        <f t="shared" si="1"/>
        <v>0</v>
      </c>
      <c r="BY487" s="344"/>
      <c r="BZ487" s="347"/>
      <c r="CA487" s="347"/>
    </row>
    <row r="488" spans="1:79" ht="15" hidden="1" customHeight="1" x14ac:dyDescent="0.25">
      <c r="A488" s="313"/>
      <c r="B488" s="340"/>
      <c r="C488" s="390" t="s">
        <v>779</v>
      </c>
      <c r="D488" s="340"/>
      <c r="E488" s="340"/>
      <c r="F488" s="340"/>
      <c r="G488" s="340"/>
      <c r="H488" s="340"/>
      <c r="I488" s="340"/>
      <c r="J488" s="340"/>
      <c r="K488" s="340"/>
      <c r="L488" s="340"/>
      <c r="M488" s="340"/>
      <c r="N488" s="340"/>
      <c r="O488" s="340"/>
      <c r="P488" s="340"/>
      <c r="Q488" s="340"/>
      <c r="R488" s="340"/>
      <c r="S488" s="340"/>
      <c r="T488" s="340"/>
      <c r="U488" s="342"/>
      <c r="V488" s="342"/>
      <c r="W488" s="368"/>
      <c r="X488" s="368"/>
      <c r="Y488" s="368"/>
      <c r="Z488" s="368"/>
      <c r="AA488" s="368"/>
      <c r="AB488" s="368"/>
      <c r="AC488" s="343"/>
      <c r="AD488" s="368"/>
      <c r="AE488" s="368"/>
      <c r="AF488" s="368"/>
      <c r="AG488" s="368"/>
      <c r="AH488" s="368"/>
      <c r="AI488" s="368"/>
      <c r="AJ488" s="344"/>
      <c r="AK488" s="345"/>
      <c r="AL488" s="340"/>
      <c r="AM488" s="390" t="s">
        <v>779</v>
      </c>
      <c r="AN488" s="340"/>
      <c r="AO488" s="340"/>
      <c r="AP488" s="340"/>
      <c r="AQ488" s="340"/>
      <c r="AR488" s="340"/>
      <c r="AS488" s="340"/>
      <c r="AT488" s="340"/>
      <c r="AU488" s="340"/>
      <c r="AV488" s="340"/>
      <c r="AW488" s="340"/>
      <c r="AX488" s="340"/>
      <c r="AY488" s="340"/>
      <c r="AZ488" s="340"/>
      <c r="BA488" s="340"/>
      <c r="BB488" s="340"/>
      <c r="BC488" s="340"/>
      <c r="BD488" s="340"/>
      <c r="BE488" s="342"/>
      <c r="BF488" s="342"/>
      <c r="BG488" s="361"/>
      <c r="BH488" s="361"/>
      <c r="BI488" s="361"/>
      <c r="BJ488" s="361"/>
      <c r="BK488" s="361"/>
      <c r="BL488" s="361"/>
      <c r="BM488" s="342"/>
      <c r="BN488" s="361"/>
      <c r="BO488" s="361"/>
      <c r="BP488" s="363"/>
      <c r="BQ488" s="363"/>
      <c r="BR488" s="363"/>
      <c r="BS488" s="363"/>
      <c r="BT488" s="356"/>
      <c r="BU488" s="357"/>
      <c r="BV488" s="310"/>
      <c r="BW488" s="310"/>
      <c r="BX488" s="291">
        <f t="shared" si="1"/>
        <v>0</v>
      </c>
      <c r="BY488" s="344"/>
      <c r="BZ488" s="347"/>
      <c r="CA488" s="347"/>
    </row>
    <row r="489" spans="1:79" ht="15" hidden="1" customHeight="1" x14ac:dyDescent="0.25">
      <c r="A489" s="313"/>
      <c r="B489" s="340"/>
      <c r="C489" s="340"/>
      <c r="D489" s="354"/>
      <c r="E489" s="354"/>
      <c r="F489" s="354"/>
      <c r="G489" s="354"/>
      <c r="H489" s="354"/>
      <c r="I489" s="354"/>
      <c r="J489" s="354"/>
      <c r="K489" s="354"/>
      <c r="L489" s="354"/>
      <c r="M489" s="354"/>
      <c r="N489" s="354"/>
      <c r="O489" s="354"/>
      <c r="P489" s="354"/>
      <c r="Q489" s="354"/>
      <c r="R489" s="354"/>
      <c r="S489" s="354"/>
      <c r="T489" s="354"/>
      <c r="U489" s="342"/>
      <c r="V489" s="342"/>
      <c r="W489" s="363"/>
      <c r="X489" s="363"/>
      <c r="Y489" s="363"/>
      <c r="Z489" s="363"/>
      <c r="AA489" s="363"/>
      <c r="AB489" s="363"/>
      <c r="AC489" s="355"/>
      <c r="AD489" s="363"/>
      <c r="AE489" s="363"/>
      <c r="AF489" s="363"/>
      <c r="AG489" s="363"/>
      <c r="AH489" s="363"/>
      <c r="AI489" s="363"/>
      <c r="AJ489" s="344"/>
      <c r="AK489" s="345"/>
      <c r="AL489" s="340"/>
      <c r="AM489" s="340"/>
      <c r="AN489" s="386"/>
      <c r="AO489" s="386"/>
      <c r="AP489" s="386"/>
      <c r="AQ489" s="386"/>
      <c r="AR489" s="386"/>
      <c r="AS489" s="386"/>
      <c r="AT489" s="386"/>
      <c r="AU489" s="386"/>
      <c r="AV489" s="386"/>
      <c r="AW489" s="386"/>
      <c r="AX489" s="386"/>
      <c r="AY489" s="386"/>
      <c r="AZ489" s="386"/>
      <c r="BA489" s="386"/>
      <c r="BB489" s="386"/>
      <c r="BC489" s="386"/>
      <c r="BD489" s="386"/>
      <c r="BE489" s="389"/>
      <c r="BF489" s="389"/>
      <c r="BG489" s="363"/>
      <c r="BH489" s="363"/>
      <c r="BI489" s="363"/>
      <c r="BJ489" s="363"/>
      <c r="BK489" s="363"/>
      <c r="BL489" s="363"/>
      <c r="BM489" s="355"/>
      <c r="BN489" s="363"/>
      <c r="BO489" s="363"/>
      <c r="BP489" s="363"/>
      <c r="BQ489" s="363"/>
      <c r="BR489" s="363"/>
      <c r="BS489" s="363"/>
      <c r="BT489" s="356"/>
      <c r="BU489" s="357"/>
      <c r="BV489" s="310"/>
      <c r="BW489" s="310"/>
      <c r="BX489" s="291">
        <f t="shared" si="1"/>
        <v>0</v>
      </c>
      <c r="BY489" s="344"/>
      <c r="BZ489" s="347"/>
      <c r="CA489" s="347"/>
    </row>
    <row r="490" spans="1:79" ht="2.1" hidden="1" customHeight="1" x14ac:dyDescent="0.25">
      <c r="A490" s="313"/>
      <c r="B490" s="340"/>
      <c r="C490" s="340"/>
      <c r="D490" s="354"/>
      <c r="E490" s="354"/>
      <c r="F490" s="354"/>
      <c r="G490" s="354"/>
      <c r="H490" s="354"/>
      <c r="I490" s="354"/>
      <c r="J490" s="354"/>
      <c r="K490" s="354"/>
      <c r="L490" s="354"/>
      <c r="M490" s="354"/>
      <c r="N490" s="354"/>
      <c r="O490" s="354"/>
      <c r="P490" s="354"/>
      <c r="Q490" s="354"/>
      <c r="R490" s="354"/>
      <c r="S490" s="354"/>
      <c r="T490" s="354"/>
      <c r="U490" s="342"/>
      <c r="V490" s="342"/>
      <c r="W490" s="363"/>
      <c r="X490" s="363"/>
      <c r="Y490" s="363"/>
      <c r="Z490" s="363"/>
      <c r="AA490" s="363"/>
      <c r="AB490" s="363"/>
      <c r="AC490" s="355"/>
      <c r="AD490" s="363"/>
      <c r="AE490" s="363"/>
      <c r="AF490" s="363"/>
      <c r="AG490" s="363"/>
      <c r="AH490" s="363"/>
      <c r="AI490" s="363"/>
      <c r="AJ490" s="344"/>
      <c r="AK490" s="345"/>
      <c r="AL490" s="340"/>
      <c r="AM490" s="340"/>
      <c r="AN490" s="386"/>
      <c r="AO490" s="386"/>
      <c r="AP490" s="386"/>
      <c r="AQ490" s="386"/>
      <c r="AR490" s="386"/>
      <c r="AS490" s="386"/>
      <c r="AT490" s="386"/>
      <c r="AU490" s="386"/>
      <c r="AV490" s="386"/>
      <c r="AW490" s="386"/>
      <c r="AX490" s="386"/>
      <c r="AY490" s="386"/>
      <c r="AZ490" s="386"/>
      <c r="BA490" s="386"/>
      <c r="BB490" s="386"/>
      <c r="BC490" s="386"/>
      <c r="BD490" s="386"/>
      <c r="BE490" s="389"/>
      <c r="BF490" s="389"/>
      <c r="BG490" s="363"/>
      <c r="BH490" s="363"/>
      <c r="BI490" s="363"/>
      <c r="BJ490" s="363"/>
      <c r="BK490" s="363"/>
      <c r="BL490" s="363"/>
      <c r="BM490" s="355"/>
      <c r="BN490" s="363"/>
      <c r="BO490" s="363"/>
      <c r="BP490" s="363"/>
      <c r="BQ490" s="363"/>
      <c r="BR490" s="363"/>
      <c r="BS490" s="363"/>
      <c r="BT490" s="356"/>
      <c r="BU490" s="357"/>
      <c r="BV490" s="310"/>
      <c r="BW490" s="310"/>
      <c r="BX490" s="291">
        <f t="shared" si="1"/>
        <v>0</v>
      </c>
      <c r="BY490" s="344"/>
      <c r="BZ490" s="347"/>
      <c r="CA490" s="347"/>
    </row>
    <row r="491" spans="1:79" ht="12.95" hidden="1" customHeight="1" x14ac:dyDescent="0.25">
      <c r="A491" s="313"/>
      <c r="B491" s="340"/>
      <c r="C491" s="340"/>
      <c r="D491" s="354"/>
      <c r="E491" s="354"/>
      <c r="F491" s="354"/>
      <c r="G491" s="354"/>
      <c r="H491" s="354"/>
      <c r="I491" s="354"/>
      <c r="J491" s="354"/>
      <c r="K491" s="354"/>
      <c r="L491" s="354"/>
      <c r="M491" s="354"/>
      <c r="N491" s="354"/>
      <c r="O491" s="354"/>
      <c r="P491" s="354"/>
      <c r="Q491" s="354"/>
      <c r="R491" s="354"/>
      <c r="S491" s="354"/>
      <c r="T491" s="354"/>
      <c r="U491" s="342"/>
      <c r="V491" s="342"/>
      <c r="W491" s="363"/>
      <c r="X491" s="363"/>
      <c r="Y491" s="363"/>
      <c r="Z491" s="363"/>
      <c r="AA491" s="363"/>
      <c r="AB491" s="363"/>
      <c r="AC491" s="355"/>
      <c r="AD491" s="363"/>
      <c r="AE491" s="363"/>
      <c r="AF491" s="363"/>
      <c r="AG491" s="363"/>
      <c r="AH491" s="363"/>
      <c r="AI491" s="363"/>
      <c r="AJ491" s="344"/>
      <c r="AK491" s="345"/>
      <c r="AL491" s="340"/>
      <c r="AM491" s="340"/>
      <c r="AN491" s="386"/>
      <c r="AO491" s="386"/>
      <c r="AP491" s="386"/>
      <c r="AQ491" s="386"/>
      <c r="AR491" s="386"/>
      <c r="AS491" s="386"/>
      <c r="AT491" s="386"/>
      <c r="AU491" s="386"/>
      <c r="AV491" s="386"/>
      <c r="AW491" s="386"/>
      <c r="AX491" s="386"/>
      <c r="AY491" s="386"/>
      <c r="AZ491" s="386"/>
      <c r="BA491" s="386"/>
      <c r="BB491" s="386"/>
      <c r="BC491" s="386"/>
      <c r="BD491" s="386"/>
      <c r="BE491" s="389"/>
      <c r="BF491" s="389"/>
      <c r="BG491" s="363"/>
      <c r="BH491" s="363"/>
      <c r="BI491" s="363"/>
      <c r="BJ491" s="363"/>
      <c r="BK491" s="363"/>
      <c r="BL491" s="363"/>
      <c r="BM491" s="355"/>
      <c r="BN491" s="363"/>
      <c r="BO491" s="363"/>
      <c r="BP491" s="363"/>
      <c r="BQ491" s="363"/>
      <c r="BR491" s="363"/>
      <c r="BS491" s="363"/>
      <c r="BT491" s="356"/>
      <c r="BU491" s="357"/>
      <c r="BV491" s="310"/>
      <c r="BW491" s="310"/>
      <c r="BX491" s="291">
        <f t="shared" si="1"/>
        <v>0</v>
      </c>
      <c r="BY491" s="344"/>
      <c r="BZ491" s="347"/>
      <c r="CA491" s="347"/>
    </row>
    <row r="492" spans="1:79" ht="12.95" customHeight="1" x14ac:dyDescent="0.25">
      <c r="A492" s="313"/>
      <c r="B492" s="340"/>
      <c r="C492" s="340"/>
      <c r="D492" s="354"/>
      <c r="E492" s="354"/>
      <c r="F492" s="354"/>
      <c r="G492" s="354"/>
      <c r="H492" s="354"/>
      <c r="I492" s="354"/>
      <c r="J492" s="354"/>
      <c r="K492" s="354"/>
      <c r="L492" s="354"/>
      <c r="M492" s="354"/>
      <c r="N492" s="354"/>
      <c r="O492" s="354"/>
      <c r="P492" s="354"/>
      <c r="Q492" s="354"/>
      <c r="R492" s="354"/>
      <c r="S492" s="354"/>
      <c r="T492" s="354"/>
      <c r="U492" s="342"/>
      <c r="V492" s="342"/>
      <c r="W492" s="363"/>
      <c r="X492" s="363"/>
      <c r="Y492" s="363"/>
      <c r="Z492" s="363"/>
      <c r="AA492" s="363"/>
      <c r="AB492" s="363"/>
      <c r="AC492" s="355"/>
      <c r="AD492" s="363"/>
      <c r="AE492" s="363"/>
      <c r="AF492" s="363"/>
      <c r="AG492" s="363"/>
      <c r="AH492" s="363"/>
      <c r="AI492" s="363"/>
      <c r="AJ492" s="344"/>
      <c r="AK492" s="345"/>
      <c r="AL492" s="340"/>
      <c r="AM492" s="340"/>
      <c r="AN492" s="386"/>
      <c r="AO492" s="386"/>
      <c r="AP492" s="386"/>
      <c r="AQ492" s="386"/>
      <c r="AR492" s="386"/>
      <c r="AS492" s="386"/>
      <c r="AT492" s="386"/>
      <c r="AU492" s="386"/>
      <c r="AV492" s="386"/>
      <c r="AW492" s="386"/>
      <c r="AX492" s="386"/>
      <c r="AY492" s="386"/>
      <c r="AZ492" s="386"/>
      <c r="BA492" s="386"/>
      <c r="BB492" s="386"/>
      <c r="BC492" s="386"/>
      <c r="BD492" s="386"/>
      <c r="BE492" s="389"/>
      <c r="BF492" s="389"/>
      <c r="BG492" s="363"/>
      <c r="BH492" s="363"/>
      <c r="BI492" s="363"/>
      <c r="BJ492" s="363"/>
      <c r="BK492" s="363"/>
      <c r="BL492" s="363"/>
      <c r="BM492" s="355"/>
      <c r="BN492" s="363"/>
      <c r="BO492" s="363"/>
      <c r="BP492" s="363"/>
      <c r="BQ492" s="363"/>
      <c r="BR492" s="363"/>
      <c r="BS492" s="363"/>
      <c r="BT492" s="356"/>
      <c r="BU492" s="357"/>
      <c r="BV492" s="310"/>
      <c r="BW492" s="310"/>
      <c r="BX492" s="291"/>
      <c r="BY492" s="344"/>
      <c r="BZ492" s="347"/>
      <c r="CA492" s="347"/>
    </row>
    <row r="493" spans="1:79" ht="15" customHeight="1" x14ac:dyDescent="0.25">
      <c r="A493" s="313"/>
      <c r="B493" s="340"/>
      <c r="C493" s="340" t="s">
        <v>780</v>
      </c>
      <c r="D493" s="354"/>
      <c r="E493" s="354"/>
      <c r="F493" s="354"/>
      <c r="G493" s="354"/>
      <c r="H493" s="354"/>
      <c r="I493" s="354"/>
      <c r="J493" s="354"/>
      <c r="K493" s="354"/>
      <c r="L493" s="354"/>
      <c r="M493" s="354"/>
      <c r="N493" s="354"/>
      <c r="O493" s="354"/>
      <c r="P493" s="354"/>
      <c r="Q493" s="354"/>
      <c r="R493" s="354"/>
      <c r="S493" s="354"/>
      <c r="T493" s="354"/>
      <c r="U493" s="342"/>
      <c r="V493" s="342"/>
      <c r="W493" s="363"/>
      <c r="X493" s="363"/>
      <c r="Y493" s="363"/>
      <c r="Z493" s="363"/>
      <c r="AA493" s="363"/>
      <c r="AB493" s="363"/>
      <c r="AC493" s="355"/>
      <c r="AD493" s="363"/>
      <c r="AE493" s="363"/>
      <c r="AF493" s="363"/>
      <c r="AG493" s="363"/>
      <c r="AH493" s="363"/>
      <c r="AI493" s="363"/>
      <c r="AJ493" s="344"/>
      <c r="AK493" s="345"/>
      <c r="AL493" s="340"/>
      <c r="AM493" s="340" t="s">
        <v>781</v>
      </c>
      <c r="AN493" s="386"/>
      <c r="AO493" s="386"/>
      <c r="AP493" s="386"/>
      <c r="AQ493" s="386"/>
      <c r="AR493" s="386"/>
      <c r="AS493" s="386"/>
      <c r="AT493" s="386"/>
      <c r="AU493" s="386"/>
      <c r="AV493" s="386"/>
      <c r="AW493" s="386"/>
      <c r="AX493" s="386"/>
      <c r="AY493" s="386"/>
      <c r="AZ493" s="386"/>
      <c r="BA493" s="386"/>
      <c r="BB493" s="386"/>
      <c r="BC493" s="386"/>
      <c r="BD493" s="386"/>
      <c r="BE493" s="389"/>
      <c r="BF493" s="389"/>
      <c r="BG493" s="363"/>
      <c r="BH493" s="363"/>
      <c r="BI493" s="363"/>
      <c r="BJ493" s="363"/>
      <c r="BK493" s="363"/>
      <c r="BL493" s="363"/>
      <c r="BM493" s="355"/>
      <c r="BN493" s="363"/>
      <c r="BO493" s="363"/>
      <c r="BP493" s="363"/>
      <c r="BQ493" s="363"/>
      <c r="BR493" s="363"/>
      <c r="BS493" s="363"/>
      <c r="BT493" s="356"/>
      <c r="BU493" s="357"/>
      <c r="BV493" s="310"/>
      <c r="BW493" s="310"/>
      <c r="BX493" s="291">
        <f t="shared" si="1"/>
        <v>0</v>
      </c>
      <c r="BY493" s="344"/>
      <c r="BZ493" s="347"/>
      <c r="CA493" s="347"/>
    </row>
    <row r="494" spans="1:79" ht="15" customHeight="1" x14ac:dyDescent="0.25">
      <c r="A494" s="313"/>
      <c r="B494" s="340"/>
      <c r="C494" s="340"/>
      <c r="D494" s="354"/>
      <c r="E494" s="354"/>
      <c r="F494" s="354"/>
      <c r="G494" s="354"/>
      <c r="H494" s="354"/>
      <c r="I494" s="354"/>
      <c r="J494" s="354"/>
      <c r="K494" s="354"/>
      <c r="L494" s="354"/>
      <c r="M494" s="354"/>
      <c r="N494" s="354"/>
      <c r="O494" s="354"/>
      <c r="P494" s="354"/>
      <c r="Q494" s="354"/>
      <c r="R494" s="354"/>
      <c r="S494" s="354"/>
      <c r="T494" s="354"/>
      <c r="U494" s="342"/>
      <c r="V494" s="342"/>
      <c r="W494" s="363"/>
      <c r="X494" s="363"/>
      <c r="Y494" s="363"/>
      <c r="Z494" s="363"/>
      <c r="AA494" s="363"/>
      <c r="AB494" s="363"/>
      <c r="AC494" s="355"/>
      <c r="AD494" s="363"/>
      <c r="AE494" s="363"/>
      <c r="AF494" s="363"/>
      <c r="AG494" s="363"/>
      <c r="AH494" s="363"/>
      <c r="AI494" s="363"/>
      <c r="AJ494" s="344"/>
      <c r="AK494" s="345"/>
      <c r="AL494" s="340"/>
      <c r="AM494" s="340"/>
      <c r="AN494" s="386"/>
      <c r="AO494" s="386"/>
      <c r="AP494" s="386"/>
      <c r="AQ494" s="386"/>
      <c r="AR494" s="386"/>
      <c r="AS494" s="386"/>
      <c r="AT494" s="386"/>
      <c r="AU494" s="386"/>
      <c r="AV494" s="386"/>
      <c r="AW494" s="386"/>
      <c r="AX494" s="386"/>
      <c r="AY494" s="386"/>
      <c r="AZ494" s="386"/>
      <c r="BA494" s="386"/>
      <c r="BB494" s="386"/>
      <c r="BC494" s="386"/>
      <c r="BD494" s="386"/>
      <c r="BE494" s="389"/>
      <c r="BF494" s="389"/>
      <c r="BG494" s="363"/>
      <c r="BH494" s="363"/>
      <c r="BI494" s="363"/>
      <c r="BJ494" s="363"/>
      <c r="BK494" s="363"/>
      <c r="BL494" s="363"/>
      <c r="BM494" s="355"/>
      <c r="BN494" s="363"/>
      <c r="BO494" s="363"/>
      <c r="BP494" s="363"/>
      <c r="BQ494" s="363"/>
      <c r="BR494" s="363"/>
      <c r="BS494" s="363"/>
      <c r="BT494" s="356"/>
      <c r="BU494" s="357"/>
      <c r="BV494" s="310"/>
      <c r="BW494" s="310"/>
      <c r="BX494" s="291"/>
      <c r="BY494" s="344"/>
      <c r="BZ494" s="347"/>
      <c r="CA494" s="347"/>
    </row>
    <row r="495" spans="1:79" ht="15" customHeight="1" x14ac:dyDescent="0.25">
      <c r="A495" s="369"/>
      <c r="B495" s="340"/>
      <c r="C495" s="344"/>
      <c r="D495" s="354"/>
      <c r="E495" s="354"/>
      <c r="F495" s="354"/>
      <c r="G495" s="354"/>
      <c r="H495" s="354"/>
      <c r="I495" s="354"/>
      <c r="J495" s="354"/>
      <c r="K495" s="354"/>
      <c r="L495" s="354"/>
      <c r="M495" s="1476" t="str">
        <f>Ky_Nay1_V</f>
        <v>31/12/2017</v>
      </c>
      <c r="N495" s="1476"/>
      <c r="O495" s="1476"/>
      <c r="P495" s="1476"/>
      <c r="Q495" s="1476"/>
      <c r="R495" s="1476"/>
      <c r="S495" s="1476"/>
      <c r="T495" s="1476"/>
      <c r="U495" s="1476"/>
      <c r="V495" s="1476"/>
      <c r="W495" s="1476"/>
      <c r="X495" s="370"/>
      <c r="Y495" s="1476" t="str">
        <f>Ky_Truoc1_V</f>
        <v>01/01/2017</v>
      </c>
      <c r="Z495" s="1476"/>
      <c r="AA495" s="1476"/>
      <c r="AB495" s="1476"/>
      <c r="AC495" s="1476"/>
      <c r="AD495" s="1476"/>
      <c r="AE495" s="1476"/>
      <c r="AF495" s="1476"/>
      <c r="AG495" s="1476"/>
      <c r="AH495" s="1476"/>
      <c r="AI495" s="1476"/>
      <c r="AJ495" s="344"/>
      <c r="AK495" s="345"/>
      <c r="AL495" s="340"/>
      <c r="AM495" s="344"/>
      <c r="AN495" s="354"/>
      <c r="AO495" s="354"/>
      <c r="AP495" s="354"/>
      <c r="AQ495" s="354"/>
      <c r="AR495" s="354"/>
      <c r="AS495" s="354"/>
      <c r="AT495" s="354"/>
      <c r="AU495" s="354"/>
      <c r="AV495" s="354"/>
      <c r="AW495" s="1476" t="str">
        <f>Ky_Nay1_E</f>
        <v>31/12/2017</v>
      </c>
      <c r="AX495" s="1476"/>
      <c r="AY495" s="1476"/>
      <c r="AZ495" s="1476"/>
      <c r="BA495" s="1476"/>
      <c r="BB495" s="1476"/>
      <c r="BC495" s="1476"/>
      <c r="BD495" s="1476"/>
      <c r="BE495" s="1476"/>
      <c r="BF495" s="1476"/>
      <c r="BG495" s="1476"/>
      <c r="BH495" s="371"/>
      <c r="BI495" s="1476" t="str">
        <f>Ky_Truoc1_E</f>
        <v>01/01/2017</v>
      </c>
      <c r="BJ495" s="1476"/>
      <c r="BK495" s="1476"/>
      <c r="BL495" s="1476"/>
      <c r="BM495" s="1476"/>
      <c r="BN495" s="1476"/>
      <c r="BO495" s="1476"/>
      <c r="BP495" s="1476"/>
      <c r="BQ495" s="1476"/>
      <c r="BR495" s="1476"/>
      <c r="BS495" s="1476"/>
      <c r="BT495" s="356"/>
      <c r="BU495" s="357"/>
      <c r="BV495" s="310"/>
      <c r="BW495" s="310"/>
      <c r="BX495" s="291">
        <f t="shared" ref="BX495:BX500" si="2">IF(ISNONTEXT($C495),0,SUM(D495:AI495)-SUM(AN495:BS495))</f>
        <v>0</v>
      </c>
      <c r="BY495" s="344"/>
      <c r="BZ495" s="347"/>
      <c r="CA495" s="347"/>
    </row>
    <row r="496" spans="1:79" ht="15" customHeight="1" x14ac:dyDescent="0.25">
      <c r="A496" s="369"/>
      <c r="B496" s="340"/>
      <c r="C496" s="344"/>
      <c r="D496" s="354"/>
      <c r="E496" s="354"/>
      <c r="F496" s="354"/>
      <c r="G496" s="354"/>
      <c r="H496" s="354"/>
      <c r="I496" s="354"/>
      <c r="J496" s="354"/>
      <c r="K496" s="354"/>
      <c r="L496" s="354"/>
      <c r="M496" s="1483" t="s">
        <v>762</v>
      </c>
      <c r="N496" s="1483"/>
      <c r="O496" s="1483"/>
      <c r="P496" s="1483"/>
      <c r="Q496" s="1483"/>
      <c r="R496" s="371"/>
      <c r="S496" s="1483" t="s">
        <v>782</v>
      </c>
      <c r="T496" s="1483"/>
      <c r="U496" s="1483"/>
      <c r="V496" s="1483"/>
      <c r="W496" s="1483"/>
      <c r="X496" s="371"/>
      <c r="Y496" s="1483" t="s">
        <v>762</v>
      </c>
      <c r="Z496" s="1483"/>
      <c r="AA496" s="1483"/>
      <c r="AB496" s="1483"/>
      <c r="AC496" s="1483"/>
      <c r="AD496" s="372"/>
      <c r="AE496" s="1483" t="s">
        <v>782</v>
      </c>
      <c r="AF496" s="1483"/>
      <c r="AG496" s="1483"/>
      <c r="AH496" s="1483"/>
      <c r="AI496" s="1483"/>
      <c r="AJ496" s="344"/>
      <c r="AK496" s="345"/>
      <c r="AL496" s="340"/>
      <c r="AM496" s="344"/>
      <c r="AN496" s="354"/>
      <c r="AO496" s="354"/>
      <c r="AP496" s="354"/>
      <c r="AQ496" s="354"/>
      <c r="AR496" s="354"/>
      <c r="AS496" s="354"/>
      <c r="AT496" s="354"/>
      <c r="AU496" s="354"/>
      <c r="AV496" s="354"/>
      <c r="AW496" s="1327" t="s">
        <v>764</v>
      </c>
      <c r="AX496" s="1327"/>
      <c r="AY496" s="1327"/>
      <c r="AZ496" s="1327"/>
      <c r="BA496" s="1327"/>
      <c r="BB496" s="371"/>
      <c r="BC496" s="1327" t="s">
        <v>765</v>
      </c>
      <c r="BD496" s="1327"/>
      <c r="BE496" s="1327"/>
      <c r="BF496" s="1327"/>
      <c r="BG496" s="1327"/>
      <c r="BH496" s="371"/>
      <c r="BI496" s="1327" t="s">
        <v>764</v>
      </c>
      <c r="BJ496" s="1327"/>
      <c r="BK496" s="1327"/>
      <c r="BL496" s="1327"/>
      <c r="BM496" s="1327"/>
      <c r="BN496" s="371"/>
      <c r="BO496" s="1327" t="s">
        <v>765</v>
      </c>
      <c r="BP496" s="1327"/>
      <c r="BQ496" s="1327"/>
      <c r="BR496" s="1327"/>
      <c r="BS496" s="1327"/>
      <c r="BT496" s="356"/>
      <c r="BU496" s="357"/>
      <c r="BV496" s="310"/>
      <c r="BW496" s="310"/>
      <c r="BX496" s="291">
        <f t="shared" si="2"/>
        <v>0</v>
      </c>
      <c r="BY496" s="344"/>
      <c r="BZ496" s="347"/>
      <c r="CA496" s="347"/>
    </row>
    <row r="497" spans="1:79" ht="15" customHeight="1" x14ac:dyDescent="0.25">
      <c r="A497" s="369"/>
      <c r="B497" s="340"/>
      <c r="C497" s="344"/>
      <c r="D497" s="354"/>
      <c r="E497" s="354"/>
      <c r="F497" s="354"/>
      <c r="G497" s="354"/>
      <c r="H497" s="354"/>
      <c r="I497" s="354"/>
      <c r="J497" s="354"/>
      <c r="K497" s="354"/>
      <c r="L497" s="354"/>
      <c r="M497" s="1401" t="str">
        <f>Don_Vi_Tinh_V</f>
        <v>VND</v>
      </c>
      <c r="N497" s="1401"/>
      <c r="O497" s="1401"/>
      <c r="P497" s="1401"/>
      <c r="Q497" s="1401"/>
      <c r="R497" s="371"/>
      <c r="S497" s="1401" t="str">
        <f>Don_Vi_Tinh_V</f>
        <v>VND</v>
      </c>
      <c r="T497" s="1401"/>
      <c r="U497" s="1401"/>
      <c r="V497" s="1401"/>
      <c r="W497" s="1401"/>
      <c r="X497" s="371"/>
      <c r="Y497" s="1401" t="str">
        <f>Don_Vi_Tinh_V</f>
        <v>VND</v>
      </c>
      <c r="Z497" s="1401"/>
      <c r="AA497" s="1401"/>
      <c r="AB497" s="1401"/>
      <c r="AC497" s="1401"/>
      <c r="AD497" s="372"/>
      <c r="AE497" s="1401" t="str">
        <f>Don_Vi_Tinh_V</f>
        <v>VND</v>
      </c>
      <c r="AF497" s="1401"/>
      <c r="AG497" s="1401"/>
      <c r="AH497" s="1401"/>
      <c r="AI497" s="1401"/>
      <c r="AJ497" s="344"/>
      <c r="AK497" s="345"/>
      <c r="AL497" s="340"/>
      <c r="AM497" s="344"/>
      <c r="AN497" s="354"/>
      <c r="AO497" s="354"/>
      <c r="AP497" s="354"/>
      <c r="AQ497" s="354"/>
      <c r="AR497" s="354"/>
      <c r="AS497" s="354"/>
      <c r="AT497" s="354"/>
      <c r="AU497" s="354"/>
      <c r="AV497" s="354"/>
      <c r="AW497" s="1401" t="str">
        <f>Don_Vi_Tinh_E</f>
        <v>VND</v>
      </c>
      <c r="AX497" s="1401"/>
      <c r="AY497" s="1401"/>
      <c r="AZ497" s="1401"/>
      <c r="BA497" s="1401"/>
      <c r="BB497" s="371"/>
      <c r="BC497" s="1401" t="str">
        <f>Don_Vi_Tinh_E</f>
        <v>VND</v>
      </c>
      <c r="BD497" s="1401"/>
      <c r="BE497" s="1401"/>
      <c r="BF497" s="1401"/>
      <c r="BG497" s="1401"/>
      <c r="BH497" s="371"/>
      <c r="BI497" s="1401" t="str">
        <f>Don_Vi_Tinh_E</f>
        <v>VND</v>
      </c>
      <c r="BJ497" s="1401"/>
      <c r="BK497" s="1401"/>
      <c r="BL497" s="1401"/>
      <c r="BM497" s="1401"/>
      <c r="BN497" s="372"/>
      <c r="BO497" s="1401" t="str">
        <f>Don_Vi_Tinh_E</f>
        <v>VND</v>
      </c>
      <c r="BP497" s="1401"/>
      <c r="BQ497" s="1401"/>
      <c r="BR497" s="1401"/>
      <c r="BS497" s="1401"/>
      <c r="BT497" s="356"/>
      <c r="BU497" s="357"/>
      <c r="BV497" s="310"/>
      <c r="BW497" s="310"/>
      <c r="BX497" s="291">
        <f t="shared" si="2"/>
        <v>0</v>
      </c>
      <c r="BY497" s="344"/>
      <c r="BZ497" s="347"/>
      <c r="CA497" s="347"/>
    </row>
    <row r="498" spans="1:79" ht="12.95" customHeight="1" x14ac:dyDescent="0.25">
      <c r="A498" s="369"/>
      <c r="B498" s="340"/>
      <c r="C498" s="344"/>
      <c r="D498" s="354"/>
      <c r="E498" s="354"/>
      <c r="F498" s="354"/>
      <c r="G498" s="354"/>
      <c r="H498" s="354"/>
      <c r="I498" s="354"/>
      <c r="J498" s="354"/>
      <c r="K498" s="354"/>
      <c r="L498" s="354"/>
      <c r="M498" s="355"/>
      <c r="N498" s="355"/>
      <c r="O498" s="355"/>
      <c r="P498" s="355"/>
      <c r="Q498" s="355"/>
      <c r="R498" s="373"/>
      <c r="S498" s="355"/>
      <c r="T498" s="355"/>
      <c r="U498" s="355"/>
      <c r="V498" s="355"/>
      <c r="W498" s="355"/>
      <c r="X498" s="355"/>
      <c r="Y498" s="355"/>
      <c r="Z498" s="355"/>
      <c r="AA498" s="355"/>
      <c r="AB498" s="355"/>
      <c r="AC498" s="355"/>
      <c r="AD498" s="355"/>
      <c r="AE498" s="355"/>
      <c r="AF498" s="355"/>
      <c r="AG498" s="355"/>
      <c r="AH498" s="355"/>
      <c r="AI498" s="355"/>
      <c r="AJ498" s="344"/>
      <c r="AK498" s="345"/>
      <c r="AL498" s="340"/>
      <c r="AM498" s="344"/>
      <c r="AN498" s="354"/>
      <c r="AO498" s="354"/>
      <c r="AP498" s="354"/>
      <c r="AQ498" s="354"/>
      <c r="AR498" s="354"/>
      <c r="AS498" s="354"/>
      <c r="AT498" s="354"/>
      <c r="AU498" s="354"/>
      <c r="AV498" s="354"/>
      <c r="AW498" s="355"/>
      <c r="AX498" s="355"/>
      <c r="AY498" s="355"/>
      <c r="AZ498" s="355"/>
      <c r="BA498" s="355"/>
      <c r="BB498" s="373"/>
      <c r="BC498" s="355"/>
      <c r="BD498" s="355"/>
      <c r="BE498" s="355"/>
      <c r="BF498" s="355"/>
      <c r="BG498" s="355"/>
      <c r="BH498" s="355"/>
      <c r="BI498" s="355"/>
      <c r="BJ498" s="355"/>
      <c r="BK498" s="355"/>
      <c r="BL498" s="355"/>
      <c r="BM498" s="355"/>
      <c r="BN498" s="355"/>
      <c r="BO498" s="355"/>
      <c r="BP498" s="355"/>
      <c r="BQ498" s="355"/>
      <c r="BR498" s="355"/>
      <c r="BS498" s="355"/>
      <c r="BT498" s="356"/>
      <c r="BU498" s="357"/>
      <c r="BV498" s="310"/>
      <c r="BW498" s="310"/>
      <c r="BX498" s="291">
        <f t="shared" si="2"/>
        <v>0</v>
      </c>
      <c r="BY498" s="344"/>
      <c r="BZ498" s="347"/>
      <c r="CA498" s="347"/>
    </row>
    <row r="499" spans="1:79" ht="15" hidden="1" customHeight="1" x14ac:dyDescent="0.25">
      <c r="A499" s="369"/>
      <c r="B499" s="340"/>
      <c r="C499" s="374" t="s">
        <v>766</v>
      </c>
      <c r="D499" s="340"/>
      <c r="E499" s="340"/>
      <c r="F499" s="340"/>
      <c r="G499" s="340"/>
      <c r="H499" s="340"/>
      <c r="I499" s="340"/>
      <c r="J499" s="340"/>
      <c r="K499" s="340"/>
      <c r="L499" s="340"/>
      <c r="M499" s="1599">
        <f>SUBTOTAL(109,M500:Q500)</f>
        <v>1300000000</v>
      </c>
      <c r="N499" s="1599"/>
      <c r="O499" s="1599"/>
      <c r="P499" s="1599"/>
      <c r="Q499" s="1599"/>
      <c r="R499" s="375"/>
      <c r="S499" s="1599">
        <f>SUBTOTAL(109,S500:W500)</f>
        <v>-847098046</v>
      </c>
      <c r="T499" s="1599"/>
      <c r="U499" s="1599"/>
      <c r="V499" s="1599"/>
      <c r="W499" s="1599"/>
      <c r="X499" s="376"/>
      <c r="Y499" s="1599">
        <f>SUBTOTAL(109,Y500:AC500)</f>
        <v>1300000000</v>
      </c>
      <c r="Z499" s="1599"/>
      <c r="AA499" s="1599"/>
      <c r="AB499" s="1599"/>
      <c r="AC499" s="1599"/>
      <c r="AD499" s="377"/>
      <c r="AE499" s="1599">
        <f>SUBTOTAL(109,AE500:AI500)</f>
        <v>-847893617</v>
      </c>
      <c r="AF499" s="1599"/>
      <c r="AG499" s="1599"/>
      <c r="AH499" s="1599"/>
      <c r="AI499" s="1599"/>
      <c r="AJ499" s="344"/>
      <c r="AK499" s="345"/>
      <c r="AL499" s="340"/>
      <c r="AM499" s="374" t="s">
        <v>767</v>
      </c>
      <c r="AN499" s="354"/>
      <c r="AO499" s="354"/>
      <c r="AP499" s="354"/>
      <c r="AQ499" s="354"/>
      <c r="AR499" s="354"/>
      <c r="AS499" s="354"/>
      <c r="AT499" s="354"/>
      <c r="AU499" s="354"/>
      <c r="AV499" s="354"/>
      <c r="AW499" s="1308">
        <f>SUBTOTAL(109,AW500:BA500)</f>
        <v>1300000000</v>
      </c>
      <c r="AX499" s="1308"/>
      <c r="AY499" s="1308"/>
      <c r="AZ499" s="1308"/>
      <c r="BA499" s="1308"/>
      <c r="BB499" s="378"/>
      <c r="BC499" s="1308">
        <f>SUBTOTAL(109,BC500:BG500)</f>
        <v>-847098046</v>
      </c>
      <c r="BD499" s="1308"/>
      <c r="BE499" s="1308"/>
      <c r="BF499" s="1308"/>
      <c r="BG499" s="1308"/>
      <c r="BH499" s="379"/>
      <c r="BI499" s="1308">
        <f>SUBTOTAL(109,BI500:BM500)</f>
        <v>1300000000</v>
      </c>
      <c r="BJ499" s="1308"/>
      <c r="BK499" s="1308"/>
      <c r="BL499" s="1308"/>
      <c r="BM499" s="1308"/>
      <c r="BN499" s="380"/>
      <c r="BO499" s="1308">
        <f>SUBTOTAL(109,BO500:BS500)</f>
        <v>-847893617</v>
      </c>
      <c r="BP499" s="1308"/>
      <c r="BQ499" s="1308"/>
      <c r="BR499" s="1308"/>
      <c r="BS499" s="1308"/>
      <c r="BT499" s="356"/>
      <c r="BU499" s="357"/>
      <c r="BV499" s="310">
        <f>S499-KN_CT253</f>
        <v>-2147098046</v>
      </c>
      <c r="BW499" s="310">
        <f>AE499-KT_CT253</f>
        <v>-2147893617</v>
      </c>
      <c r="BX499" s="291">
        <f t="shared" si="2"/>
        <v>0</v>
      </c>
      <c r="BY499" s="344"/>
      <c r="BZ499" s="347"/>
      <c r="CA499" s="347"/>
    </row>
    <row r="500" spans="1:79" ht="29.1" customHeight="1" x14ac:dyDescent="0.25">
      <c r="A500" s="369"/>
      <c r="B500" s="340"/>
      <c r="C500" s="1348" t="s">
        <v>783</v>
      </c>
      <c r="D500" s="1348"/>
      <c r="E500" s="1348"/>
      <c r="F500" s="1348"/>
      <c r="G500" s="1348"/>
      <c r="H500" s="1348"/>
      <c r="I500" s="1348"/>
      <c r="J500" s="1348"/>
      <c r="K500" s="1348"/>
      <c r="L500" s="354"/>
      <c r="M500" s="1308">
        <v>1300000000</v>
      </c>
      <c r="N500" s="1308"/>
      <c r="O500" s="1308"/>
      <c r="P500" s="1308"/>
      <c r="Q500" s="1308"/>
      <c r="R500" s="381"/>
      <c r="S500" s="1308">
        <f>[1]CDKT!V79</f>
        <v>-847098046</v>
      </c>
      <c r="T500" s="1308"/>
      <c r="U500" s="1308"/>
      <c r="V500" s="1308"/>
      <c r="W500" s="1308"/>
      <c r="X500" s="381"/>
      <c r="Y500" s="1308">
        <v>1300000000</v>
      </c>
      <c r="Z500" s="1308"/>
      <c r="AA500" s="1308"/>
      <c r="AB500" s="1308"/>
      <c r="AC500" s="1308"/>
      <c r="AD500" s="355"/>
      <c r="AE500" s="1308">
        <f>[1]CDKT!AD79</f>
        <v>-847893617</v>
      </c>
      <c r="AF500" s="1308"/>
      <c r="AG500" s="1308"/>
      <c r="AH500" s="1308"/>
      <c r="AI500" s="1308"/>
      <c r="AJ500" s="344"/>
      <c r="AK500" s="345"/>
      <c r="AL500" s="340"/>
      <c r="AM500" s="354" t="s">
        <v>769</v>
      </c>
      <c r="AN500" s="354"/>
      <c r="AO500" s="354"/>
      <c r="AP500" s="354"/>
      <c r="AQ500" s="354"/>
      <c r="AR500" s="354"/>
      <c r="AS500" s="354"/>
      <c r="AT500" s="354"/>
      <c r="AU500" s="354"/>
      <c r="AV500" s="354"/>
      <c r="AW500" s="1308">
        <f>M500</f>
        <v>1300000000</v>
      </c>
      <c r="AX500" s="1308"/>
      <c r="AY500" s="1308"/>
      <c r="AZ500" s="1308"/>
      <c r="BA500" s="1308"/>
      <c r="BB500" s="381"/>
      <c r="BC500" s="1308">
        <f>S500</f>
        <v>-847098046</v>
      </c>
      <c r="BD500" s="1308"/>
      <c r="BE500" s="1308"/>
      <c r="BF500" s="1308"/>
      <c r="BG500" s="1308"/>
      <c r="BH500" s="381"/>
      <c r="BI500" s="1308">
        <f>Y500</f>
        <v>1300000000</v>
      </c>
      <c r="BJ500" s="1308"/>
      <c r="BK500" s="1308"/>
      <c r="BL500" s="1308"/>
      <c r="BM500" s="1308"/>
      <c r="BN500" s="355"/>
      <c r="BO500" s="1308">
        <f>AE500</f>
        <v>-847893617</v>
      </c>
      <c r="BP500" s="1308"/>
      <c r="BQ500" s="1308"/>
      <c r="BR500" s="1308"/>
      <c r="BS500" s="1308"/>
      <c r="BT500" s="356"/>
      <c r="BU500" s="357"/>
      <c r="BV500" s="310"/>
      <c r="BW500" s="310"/>
      <c r="BX500" s="291">
        <f t="shared" si="2"/>
        <v>0</v>
      </c>
      <c r="BY500" s="344"/>
      <c r="BZ500" s="347"/>
      <c r="CA500" s="347"/>
    </row>
    <row r="501" spans="1:79" ht="12.95" customHeight="1" x14ac:dyDescent="0.25">
      <c r="A501" s="369"/>
      <c r="B501" s="340"/>
      <c r="C501" s="354"/>
      <c r="D501" s="354"/>
      <c r="E501" s="354"/>
      <c r="F501" s="354"/>
      <c r="G501" s="354"/>
      <c r="H501" s="354"/>
      <c r="I501" s="354"/>
      <c r="J501" s="354"/>
      <c r="K501" s="354"/>
      <c r="L501" s="354"/>
      <c r="M501" s="1598"/>
      <c r="N501" s="1598"/>
      <c r="O501" s="1598"/>
      <c r="P501" s="1598"/>
      <c r="Q501" s="1598"/>
      <c r="R501" s="386"/>
      <c r="S501" s="1598"/>
      <c r="T501" s="1598"/>
      <c r="U501" s="1598"/>
      <c r="V501" s="1598"/>
      <c r="W501" s="1598"/>
      <c r="X501" s="355"/>
      <c r="Y501" s="1598"/>
      <c r="Z501" s="1598"/>
      <c r="AA501" s="1598"/>
      <c r="AB501" s="1598"/>
      <c r="AC501" s="1598"/>
      <c r="AD501" s="355"/>
      <c r="AE501" s="1598"/>
      <c r="AF501" s="1598"/>
      <c r="AG501" s="1598"/>
      <c r="AH501" s="1598"/>
      <c r="AI501" s="1598"/>
      <c r="AJ501" s="344"/>
      <c r="AK501" s="345"/>
      <c r="AL501" s="340"/>
      <c r="AM501" s="354"/>
      <c r="AN501" s="354"/>
      <c r="AO501" s="354"/>
      <c r="AP501" s="354"/>
      <c r="AQ501" s="354"/>
      <c r="AR501" s="354"/>
      <c r="AS501" s="354"/>
      <c r="AT501" s="354"/>
      <c r="AU501" s="354"/>
      <c r="AV501" s="354"/>
      <c r="AW501" s="1599"/>
      <c r="AX501" s="1599"/>
      <c r="AY501" s="1599"/>
      <c r="AZ501" s="1599"/>
      <c r="BA501" s="1599"/>
      <c r="BB501" s="386"/>
      <c r="BC501" s="1599"/>
      <c r="BD501" s="1599"/>
      <c r="BE501" s="1599"/>
      <c r="BF501" s="1599"/>
      <c r="BG501" s="1599"/>
      <c r="BH501" s="355"/>
      <c r="BI501" s="1599"/>
      <c r="BJ501" s="1599"/>
      <c r="BK501" s="1599"/>
      <c r="BL501" s="1599"/>
      <c r="BM501" s="1599"/>
      <c r="BN501" s="355"/>
      <c r="BO501" s="1599"/>
      <c r="BP501" s="1599"/>
      <c r="BQ501" s="1599"/>
      <c r="BR501" s="1599"/>
      <c r="BS501" s="1599"/>
      <c r="BT501" s="356"/>
      <c r="BU501" s="357"/>
      <c r="BV501" s="310"/>
      <c r="BW501" s="310"/>
      <c r="BX501" s="291">
        <f>IF(ISNONTEXT($C501),0,SUM(D501:AI501)-SUM(AN501:BS501))</f>
        <v>0</v>
      </c>
      <c r="BY501" s="344"/>
      <c r="BZ501" s="347"/>
      <c r="CA501" s="347"/>
    </row>
    <row r="502" spans="1:79" ht="15" customHeight="1" thickBot="1" x14ac:dyDescent="0.3">
      <c r="A502" s="369"/>
      <c r="B502" s="340"/>
      <c r="C502" s="360" t="s">
        <v>752</v>
      </c>
      <c r="D502" s="354"/>
      <c r="E502" s="354"/>
      <c r="F502" s="354"/>
      <c r="G502" s="354"/>
      <c r="H502" s="354"/>
      <c r="I502" s="354"/>
      <c r="J502" s="354"/>
      <c r="K502" s="354"/>
      <c r="L502" s="354"/>
      <c r="M502" s="1596">
        <f>SUBTOTAL(109,M499:Q500)</f>
        <v>1300000000</v>
      </c>
      <c r="N502" s="1596"/>
      <c r="O502" s="1596"/>
      <c r="P502" s="1596"/>
      <c r="Q502" s="1596"/>
      <c r="R502" s="387"/>
      <c r="S502" s="1596">
        <f>SUBTOTAL(109,S499:W500)</f>
        <v>-847098046</v>
      </c>
      <c r="T502" s="1596"/>
      <c r="U502" s="1596"/>
      <c r="V502" s="1596"/>
      <c r="W502" s="1596"/>
      <c r="X502" s="387"/>
      <c r="Y502" s="1596">
        <f>SUBTOTAL(109,Y499:AC500)</f>
        <v>1300000000</v>
      </c>
      <c r="Z502" s="1596"/>
      <c r="AA502" s="1596"/>
      <c r="AB502" s="1596"/>
      <c r="AC502" s="1596"/>
      <c r="AD502" s="363"/>
      <c r="AE502" s="1596">
        <f>SUBTOTAL(109,AE499:AI500)</f>
        <v>-847893617</v>
      </c>
      <c r="AF502" s="1596"/>
      <c r="AG502" s="1596"/>
      <c r="AH502" s="1596"/>
      <c r="AI502" s="1596"/>
      <c r="AJ502" s="344"/>
      <c r="AK502" s="345"/>
      <c r="AL502" s="340"/>
      <c r="AM502" s="360" t="s">
        <v>752</v>
      </c>
      <c r="AN502" s="354"/>
      <c r="AO502" s="354"/>
      <c r="AP502" s="354"/>
      <c r="AQ502" s="354"/>
      <c r="AR502" s="354"/>
      <c r="AS502" s="354"/>
      <c r="AT502" s="354"/>
      <c r="AU502" s="354"/>
      <c r="AV502" s="354"/>
      <c r="AW502" s="1596">
        <f>SUBTOTAL(109,AW499:BA500)</f>
        <v>1300000000</v>
      </c>
      <c r="AX502" s="1596"/>
      <c r="AY502" s="1596"/>
      <c r="AZ502" s="1596"/>
      <c r="BA502" s="1596"/>
      <c r="BB502" s="387"/>
      <c r="BC502" s="1596">
        <f>SUBTOTAL(109,BC499:BG500)</f>
        <v>-847098046</v>
      </c>
      <c r="BD502" s="1596"/>
      <c r="BE502" s="1596"/>
      <c r="BF502" s="1596"/>
      <c r="BG502" s="1596"/>
      <c r="BH502" s="387"/>
      <c r="BI502" s="1596">
        <f>SUBTOTAL(109,BI499:BM500)</f>
        <v>1300000000</v>
      </c>
      <c r="BJ502" s="1596"/>
      <c r="BK502" s="1596"/>
      <c r="BL502" s="1596"/>
      <c r="BM502" s="1596"/>
      <c r="BN502" s="363"/>
      <c r="BO502" s="1596">
        <f>SUBTOTAL(109,BO499:BS500)</f>
        <v>-847893617</v>
      </c>
      <c r="BP502" s="1596"/>
      <c r="BQ502" s="1596"/>
      <c r="BR502" s="1596"/>
      <c r="BS502" s="1596"/>
      <c r="BT502" s="356"/>
      <c r="BU502" s="357"/>
      <c r="BV502" s="310"/>
      <c r="BW502" s="310"/>
      <c r="BX502" s="291">
        <f>IF(ISNONTEXT($C502),0,SUM(D502:AI502)-SUM(AN502:BS502))</f>
        <v>0</v>
      </c>
      <c r="BY502" s="344"/>
      <c r="BZ502" s="347"/>
      <c r="CA502" s="347"/>
    </row>
    <row r="503" spans="1:79" ht="15" customHeight="1" thickTop="1" x14ac:dyDescent="0.25">
      <c r="A503" s="313"/>
      <c r="B503" s="340"/>
      <c r="C503" s="340"/>
      <c r="D503" s="354"/>
      <c r="E503" s="354"/>
      <c r="F503" s="354"/>
      <c r="G503" s="354"/>
      <c r="H503" s="354"/>
      <c r="I503" s="354"/>
      <c r="J503" s="354"/>
      <c r="K503" s="354"/>
      <c r="L503" s="354"/>
      <c r="M503" s="354"/>
      <c r="N503" s="354"/>
      <c r="O503" s="354"/>
      <c r="P503" s="354"/>
      <c r="Q503" s="354"/>
      <c r="R503" s="354"/>
      <c r="S503" s="354"/>
      <c r="T503" s="354"/>
      <c r="U503" s="342"/>
      <c r="V503" s="342"/>
      <c r="W503" s="363"/>
      <c r="X503" s="363"/>
      <c r="Y503" s="363"/>
      <c r="Z503" s="363"/>
      <c r="AA503" s="363"/>
      <c r="AB503" s="363"/>
      <c r="AC503" s="355"/>
      <c r="AD503" s="363"/>
      <c r="AE503" s="363"/>
      <c r="AF503" s="363"/>
      <c r="AG503" s="363"/>
      <c r="AH503" s="363"/>
      <c r="AI503" s="363"/>
      <c r="AJ503" s="344"/>
      <c r="AK503" s="345"/>
      <c r="AL503" s="340"/>
      <c r="AM503" s="340"/>
      <c r="AN503" s="386"/>
      <c r="AO503" s="386"/>
      <c r="AP503" s="386"/>
      <c r="AQ503" s="386"/>
      <c r="AR503" s="386"/>
      <c r="AS503" s="386"/>
      <c r="AT503" s="386"/>
      <c r="AU503" s="386"/>
      <c r="AV503" s="386"/>
      <c r="AW503" s="386"/>
      <c r="AX503" s="386"/>
      <c r="AY503" s="386"/>
      <c r="AZ503" s="386"/>
      <c r="BA503" s="386"/>
      <c r="BB503" s="386"/>
      <c r="BC503" s="386"/>
      <c r="BD503" s="386"/>
      <c r="BE503" s="389"/>
      <c r="BF503" s="389"/>
      <c r="BG503" s="363"/>
      <c r="BH503" s="363"/>
      <c r="BI503" s="363"/>
      <c r="BJ503" s="363"/>
      <c r="BK503" s="363"/>
      <c r="BL503" s="363"/>
      <c r="BM503" s="355"/>
      <c r="BN503" s="363"/>
      <c r="BO503" s="363"/>
      <c r="BP503" s="363"/>
      <c r="BQ503" s="363"/>
      <c r="BR503" s="363"/>
      <c r="BS503" s="363"/>
      <c r="BT503" s="356"/>
      <c r="BU503" s="357"/>
      <c r="BV503" s="310"/>
      <c r="BW503" s="310"/>
      <c r="BX503" s="291"/>
      <c r="BY503" s="344"/>
      <c r="BZ503" s="347"/>
      <c r="CA503" s="347"/>
    </row>
    <row r="504" spans="1:79" ht="29.1" customHeight="1" x14ac:dyDescent="0.25">
      <c r="A504" s="313"/>
      <c r="B504" s="340"/>
      <c r="C504" s="1597" t="s">
        <v>784</v>
      </c>
      <c r="D504" s="1597"/>
      <c r="E504" s="1597"/>
      <c r="F504" s="1597"/>
      <c r="G504" s="1597"/>
      <c r="H504" s="1597"/>
      <c r="I504" s="1597"/>
      <c r="J504" s="1597"/>
      <c r="K504" s="1597"/>
      <c r="L504" s="1597"/>
      <c r="M504" s="1597"/>
      <c r="N504" s="1597"/>
      <c r="O504" s="1597"/>
      <c r="P504" s="1597"/>
      <c r="Q504" s="1597"/>
      <c r="R504" s="1597"/>
      <c r="S504" s="1597"/>
      <c r="T504" s="1597"/>
      <c r="U504" s="1597"/>
      <c r="V504" s="1597"/>
      <c r="W504" s="1597"/>
      <c r="X504" s="1597"/>
      <c r="Y504" s="1597"/>
      <c r="Z504" s="1597"/>
      <c r="AA504" s="1597"/>
      <c r="AB504" s="1597"/>
      <c r="AC504" s="1597"/>
      <c r="AD504" s="1597"/>
      <c r="AE504" s="1597"/>
      <c r="AF504" s="1597"/>
      <c r="AG504" s="1597"/>
      <c r="AH504" s="1597"/>
      <c r="AI504" s="1597"/>
      <c r="AJ504" s="344"/>
      <c r="AK504" s="345"/>
      <c r="AL504" s="340"/>
      <c r="AM504" s="340"/>
      <c r="AN504" s="386"/>
      <c r="AO504" s="386"/>
      <c r="AP504" s="386"/>
      <c r="AQ504" s="386"/>
      <c r="AR504" s="386"/>
      <c r="AS504" s="386"/>
      <c r="AT504" s="386"/>
      <c r="AU504" s="386"/>
      <c r="AV504" s="386"/>
      <c r="AW504" s="386"/>
      <c r="AX504" s="386"/>
      <c r="AY504" s="386"/>
      <c r="AZ504" s="386"/>
      <c r="BA504" s="386"/>
      <c r="BB504" s="386"/>
      <c r="BC504" s="386"/>
      <c r="BD504" s="386"/>
      <c r="BE504" s="389"/>
      <c r="BF504" s="389"/>
      <c r="BG504" s="363"/>
      <c r="BH504" s="363"/>
      <c r="BI504" s="363"/>
      <c r="BJ504" s="363"/>
      <c r="BK504" s="363"/>
      <c r="BL504" s="363"/>
      <c r="BM504" s="355"/>
      <c r="BN504" s="363"/>
      <c r="BO504" s="363"/>
      <c r="BP504" s="363"/>
      <c r="BQ504" s="363"/>
      <c r="BR504" s="363"/>
      <c r="BS504" s="363"/>
      <c r="BT504" s="356"/>
      <c r="BU504" s="357"/>
      <c r="BV504" s="310"/>
      <c r="BW504" s="310"/>
      <c r="BX504" s="291"/>
      <c r="BY504" s="344"/>
      <c r="BZ504" s="347"/>
      <c r="CA504" s="347"/>
    </row>
    <row r="505" spans="1:79" ht="14.1" customHeight="1" x14ac:dyDescent="0.25">
      <c r="A505" s="313"/>
      <c r="B505" s="340"/>
      <c r="C505" s="391"/>
      <c r="D505" s="391"/>
      <c r="E505" s="391"/>
      <c r="F505" s="391"/>
      <c r="G505" s="391"/>
      <c r="H505" s="391"/>
      <c r="I505" s="391"/>
      <c r="J505" s="391"/>
      <c r="K505" s="391"/>
      <c r="L505" s="391"/>
      <c r="M505" s="391"/>
      <c r="N505" s="391"/>
      <c r="O505" s="391"/>
      <c r="P505" s="391"/>
      <c r="Q505" s="391"/>
      <c r="R505" s="391"/>
      <c r="S505" s="391"/>
      <c r="T505" s="391"/>
      <c r="U505" s="391"/>
      <c r="V505" s="391"/>
      <c r="W505" s="391"/>
      <c r="X505" s="391"/>
      <c r="Y505" s="391"/>
      <c r="Z505" s="391"/>
      <c r="AA505" s="391"/>
      <c r="AB505" s="391"/>
      <c r="AC505" s="391"/>
      <c r="AD505" s="391"/>
      <c r="AE505" s="391"/>
      <c r="AF505" s="391"/>
      <c r="AG505" s="391"/>
      <c r="AH505" s="391"/>
      <c r="AI505" s="391"/>
      <c r="AJ505" s="344"/>
      <c r="AK505" s="345"/>
      <c r="AL505" s="340"/>
      <c r="AM505" s="340"/>
      <c r="AN505" s="386"/>
      <c r="AO505" s="386"/>
      <c r="AP505" s="386"/>
      <c r="AQ505" s="386"/>
      <c r="AR505" s="386"/>
      <c r="AS505" s="386"/>
      <c r="AT505" s="386"/>
      <c r="AU505" s="386"/>
      <c r="AV505" s="386"/>
      <c r="AW505" s="386"/>
      <c r="AX505" s="386"/>
      <c r="AY505" s="386"/>
      <c r="AZ505" s="386"/>
      <c r="BA505" s="386"/>
      <c r="BB505" s="386"/>
      <c r="BC505" s="386"/>
      <c r="BD505" s="386"/>
      <c r="BE505" s="389"/>
      <c r="BF505" s="389"/>
      <c r="BG505" s="363"/>
      <c r="BH505" s="363"/>
      <c r="BI505" s="363"/>
      <c r="BJ505" s="363"/>
      <c r="BK505" s="363"/>
      <c r="BL505" s="363"/>
      <c r="BM505" s="355"/>
      <c r="BN505" s="363"/>
      <c r="BO505" s="363"/>
      <c r="BP505" s="363"/>
      <c r="BQ505" s="363"/>
      <c r="BR505" s="363"/>
      <c r="BS505" s="363"/>
      <c r="BT505" s="356"/>
      <c r="BU505" s="357"/>
      <c r="BV505" s="310"/>
      <c r="BW505" s="310"/>
      <c r="BX505" s="291"/>
      <c r="BY505" s="344"/>
      <c r="BZ505" s="347"/>
      <c r="CA505" s="347"/>
    </row>
    <row r="506" spans="1:79" ht="15" customHeight="1" x14ac:dyDescent="0.25">
      <c r="A506" s="369"/>
      <c r="B506" s="340"/>
      <c r="C506" s="392" t="s">
        <v>785</v>
      </c>
      <c r="D506" s="392"/>
      <c r="E506" s="392"/>
      <c r="F506" s="392"/>
      <c r="G506" s="392"/>
      <c r="H506" s="392"/>
      <c r="I506" s="392"/>
      <c r="J506" s="392"/>
      <c r="K506" s="392"/>
      <c r="L506" s="392"/>
      <c r="M506" s="392"/>
      <c r="N506" s="392"/>
      <c r="O506" s="392"/>
      <c r="P506" s="392"/>
      <c r="Q506" s="392"/>
      <c r="R506" s="392"/>
      <c r="S506" s="392"/>
      <c r="T506" s="392"/>
      <c r="U506" s="392"/>
      <c r="V506" s="392"/>
      <c r="W506" s="393"/>
      <c r="X506" s="393"/>
      <c r="Y506" s="393"/>
      <c r="Z506" s="393"/>
      <c r="AA506" s="393"/>
      <c r="AB506" s="393"/>
      <c r="AC506" s="343"/>
      <c r="AD506" s="343"/>
      <c r="AE506" s="343"/>
      <c r="AF506" s="343"/>
      <c r="AG506" s="343"/>
      <c r="AH506" s="343"/>
      <c r="AI506" s="343"/>
      <c r="AJ506" s="344"/>
      <c r="AK506" s="345"/>
      <c r="AL506" s="340"/>
      <c r="AM506" s="392"/>
      <c r="AN506" s="392"/>
      <c r="AO506" s="392"/>
      <c r="AP506" s="392"/>
      <c r="AQ506" s="392"/>
      <c r="AR506" s="392"/>
      <c r="AS506" s="392"/>
      <c r="AT506" s="392"/>
      <c r="AU506" s="392"/>
      <c r="AV506" s="392"/>
      <c r="AW506" s="392"/>
      <c r="AX506" s="392"/>
      <c r="AY506" s="392"/>
      <c r="AZ506" s="392"/>
      <c r="BA506" s="392"/>
      <c r="BB506" s="392"/>
      <c r="BC506" s="392"/>
      <c r="BD506" s="392"/>
      <c r="BE506" s="392"/>
      <c r="BF506" s="392"/>
      <c r="BG506" s="393"/>
      <c r="BH506" s="393"/>
      <c r="BI506" s="393"/>
      <c r="BJ506" s="393"/>
      <c r="BK506" s="393"/>
      <c r="BL506" s="393"/>
      <c r="BM506" s="343"/>
      <c r="BN506" s="343"/>
      <c r="BO506" s="343"/>
      <c r="BP506" s="343"/>
      <c r="BQ506" s="343"/>
      <c r="BR506" s="343"/>
      <c r="BS506" s="343"/>
      <c r="BT506" s="356"/>
      <c r="BU506" s="357"/>
      <c r="BV506" s="310"/>
      <c r="BW506" s="310"/>
      <c r="BX506" s="291"/>
      <c r="BY506" s="344"/>
      <c r="BZ506" s="347"/>
      <c r="CA506" s="347"/>
    </row>
    <row r="507" spans="1:79" ht="56.1" customHeight="1" x14ac:dyDescent="0.2">
      <c r="A507" s="369"/>
      <c r="B507" s="340"/>
      <c r="C507" s="1591" t="s">
        <v>786</v>
      </c>
      <c r="D507" s="1591"/>
      <c r="E507" s="1591"/>
      <c r="F507" s="1591"/>
      <c r="G507" s="1591"/>
      <c r="H507" s="1591"/>
      <c r="I507" s="1591"/>
      <c r="J507" s="1591"/>
      <c r="K507" s="1591"/>
      <c r="L507" s="1591"/>
      <c r="M507" s="1591"/>
      <c r="N507" s="1591"/>
      <c r="O507" s="394"/>
      <c r="P507" s="1591" t="s">
        <v>787</v>
      </c>
      <c r="Q507" s="1591"/>
      <c r="R507" s="1591"/>
      <c r="S507" s="1591"/>
      <c r="T507" s="1591"/>
      <c r="U507" s="395"/>
      <c r="V507" s="1587" t="s">
        <v>788</v>
      </c>
      <c r="W507" s="1587"/>
      <c r="X507" s="1587"/>
      <c r="Y507" s="395"/>
      <c r="Z507" s="1587" t="s">
        <v>789</v>
      </c>
      <c r="AA507" s="1587"/>
      <c r="AB507" s="1587"/>
      <c r="AC507" s="395"/>
      <c r="AD507" s="1588" t="s">
        <v>366</v>
      </c>
      <c r="AE507" s="1588"/>
      <c r="AF507" s="1588"/>
      <c r="AG507" s="1588"/>
      <c r="AH507" s="1588"/>
      <c r="AI507" s="1588"/>
      <c r="AJ507" s="344"/>
      <c r="AK507" s="345"/>
      <c r="AL507" s="340"/>
      <c r="AM507" s="396"/>
      <c r="AN507" s="396"/>
      <c r="AO507" s="396"/>
      <c r="AP507" s="396"/>
      <c r="AQ507" s="396"/>
      <c r="AR507" s="396"/>
      <c r="AS507" s="396"/>
      <c r="AT507" s="396"/>
      <c r="AU507" s="396"/>
      <c r="AV507" s="396"/>
      <c r="AW507" s="396"/>
      <c r="AX507" s="396"/>
      <c r="AY507" s="394"/>
      <c r="AZ507" s="396"/>
      <c r="BA507" s="396"/>
      <c r="BB507" s="396"/>
      <c r="BC507" s="396"/>
      <c r="BD507" s="396"/>
      <c r="BE507" s="395"/>
      <c r="BF507" s="397"/>
      <c r="BG507" s="397"/>
      <c r="BH507" s="397"/>
      <c r="BI507" s="395"/>
      <c r="BJ507" s="397"/>
      <c r="BK507" s="397"/>
      <c r="BL507" s="397"/>
      <c r="BM507" s="395"/>
      <c r="BN507" s="398"/>
      <c r="BO507" s="398"/>
      <c r="BP507" s="398"/>
      <c r="BQ507" s="398"/>
      <c r="BR507" s="398"/>
      <c r="BS507" s="398"/>
      <c r="BT507" s="356"/>
      <c r="BU507" s="357"/>
      <c r="BV507" s="310"/>
      <c r="BW507" s="310"/>
      <c r="BX507" s="291"/>
      <c r="BY507" s="344"/>
      <c r="BZ507" s="347"/>
      <c r="CA507" s="347"/>
    </row>
    <row r="508" spans="1:79" ht="29.1" customHeight="1" x14ac:dyDescent="0.25">
      <c r="A508" s="369"/>
      <c r="B508" s="340"/>
      <c r="C508" s="1594" t="s">
        <v>783</v>
      </c>
      <c r="D508" s="1594"/>
      <c r="E508" s="1594"/>
      <c r="F508" s="1594"/>
      <c r="G508" s="1594"/>
      <c r="H508" s="1594"/>
      <c r="I508" s="1594"/>
      <c r="J508" s="1594"/>
      <c r="K508" s="1594"/>
      <c r="L508" s="1594"/>
      <c r="M508" s="1594"/>
      <c r="N508" s="1594"/>
      <c r="O508" s="399"/>
      <c r="P508" s="1594" t="s">
        <v>790</v>
      </c>
      <c r="Q508" s="1594"/>
      <c r="R508" s="1594"/>
      <c r="S508" s="1594"/>
      <c r="T508" s="1594"/>
      <c r="U508" s="400"/>
      <c r="V508" s="1595">
        <v>0.02</v>
      </c>
      <c r="W508" s="1595"/>
      <c r="X508" s="1595"/>
      <c r="Y508" s="400"/>
      <c r="Z508" s="1595">
        <v>0.02</v>
      </c>
      <c r="AA508" s="1595"/>
      <c r="AB508" s="1595"/>
      <c r="AC508" s="393"/>
      <c r="AD508" s="1492" t="s">
        <v>791</v>
      </c>
      <c r="AE508" s="1492"/>
      <c r="AF508" s="1492"/>
      <c r="AG508" s="1492"/>
      <c r="AH508" s="1492"/>
      <c r="AI508" s="1492"/>
      <c r="AJ508" s="344"/>
      <c r="AK508" s="345"/>
      <c r="AL508" s="340"/>
      <c r="AM508" s="1594" t="s">
        <v>792</v>
      </c>
      <c r="AN508" s="1594"/>
      <c r="AO508" s="1594"/>
      <c r="AP508" s="1594"/>
      <c r="AQ508" s="1594"/>
      <c r="AR508" s="1594"/>
      <c r="AS508" s="1594"/>
      <c r="AT508" s="1594"/>
      <c r="AU508" s="1594"/>
      <c r="AV508" s="1594"/>
      <c r="AW508" s="1594"/>
      <c r="AX508" s="1594"/>
      <c r="AY508" s="399"/>
      <c r="AZ508" s="1594"/>
      <c r="BA508" s="1594"/>
      <c r="BB508" s="1594"/>
      <c r="BC508" s="1594"/>
      <c r="BD508" s="1594"/>
      <c r="BE508" s="400"/>
      <c r="BF508" s="1580">
        <f>V508</f>
        <v>0.02</v>
      </c>
      <c r="BG508" s="1580"/>
      <c r="BH508" s="1580"/>
      <c r="BI508" s="400"/>
      <c r="BJ508" s="1580">
        <f>Z508</f>
        <v>0.02</v>
      </c>
      <c r="BK508" s="1580"/>
      <c r="BL508" s="1580"/>
      <c r="BM508" s="393"/>
      <c r="BN508" s="1492"/>
      <c r="BO508" s="1492"/>
      <c r="BP508" s="1492"/>
      <c r="BQ508" s="1492"/>
      <c r="BR508" s="1492"/>
      <c r="BS508" s="1492"/>
      <c r="BT508" s="356"/>
      <c r="BU508" s="357"/>
      <c r="BV508" s="310"/>
      <c r="BW508" s="310"/>
      <c r="BX508" s="291">
        <f t="shared" si="1"/>
        <v>0</v>
      </c>
      <c r="BY508" s="344"/>
      <c r="BZ508" s="347"/>
      <c r="CA508" s="347"/>
    </row>
    <row r="509" spans="1:79" ht="12.95" hidden="1" customHeight="1" x14ac:dyDescent="0.25">
      <c r="A509" s="369"/>
      <c r="B509" s="340"/>
      <c r="C509" s="401"/>
      <c r="D509" s="401"/>
      <c r="E509" s="401"/>
      <c r="F509" s="401"/>
      <c r="G509" s="401"/>
      <c r="H509" s="401"/>
      <c r="I509" s="401"/>
      <c r="J509" s="401"/>
      <c r="K509" s="401"/>
      <c r="L509" s="401"/>
      <c r="M509" s="401"/>
      <c r="N509" s="401"/>
      <c r="O509" s="399"/>
      <c r="P509" s="401"/>
      <c r="Q509" s="401"/>
      <c r="R509" s="401"/>
      <c r="S509" s="401"/>
      <c r="T509" s="401"/>
      <c r="U509" s="400"/>
      <c r="V509" s="402"/>
      <c r="W509" s="402"/>
      <c r="X509" s="402"/>
      <c r="Y509" s="400"/>
      <c r="Z509" s="402"/>
      <c r="AA509" s="402"/>
      <c r="AB509" s="402"/>
      <c r="AC509" s="393"/>
      <c r="AD509" s="403"/>
      <c r="AE509" s="403"/>
      <c r="AF509" s="403"/>
      <c r="AG509" s="403"/>
      <c r="AH509" s="403"/>
      <c r="AI509" s="403"/>
      <c r="AJ509" s="344"/>
      <c r="AK509" s="345"/>
      <c r="AL509" s="340"/>
      <c r="AM509" s="401"/>
      <c r="AN509" s="401"/>
      <c r="AO509" s="401"/>
      <c r="AP509" s="401"/>
      <c r="AQ509" s="401"/>
      <c r="AR509" s="401"/>
      <c r="AS509" s="401"/>
      <c r="AT509" s="401"/>
      <c r="AU509" s="401"/>
      <c r="AV509" s="401"/>
      <c r="AW509" s="401"/>
      <c r="AX509" s="401"/>
      <c r="AY509" s="399"/>
      <c r="AZ509" s="401"/>
      <c r="BA509" s="401"/>
      <c r="BB509" s="401"/>
      <c r="BC509" s="401"/>
      <c r="BD509" s="401"/>
      <c r="BE509" s="400"/>
      <c r="BF509" s="402"/>
      <c r="BG509" s="402"/>
      <c r="BH509" s="402"/>
      <c r="BI509" s="400"/>
      <c r="BJ509" s="402"/>
      <c r="BK509" s="402"/>
      <c r="BL509" s="402"/>
      <c r="BM509" s="393"/>
      <c r="BN509" s="403"/>
      <c r="BO509" s="403"/>
      <c r="BP509" s="403"/>
      <c r="BQ509" s="403"/>
      <c r="BR509" s="403"/>
      <c r="BS509" s="403"/>
      <c r="BT509" s="356"/>
      <c r="BU509" s="357"/>
      <c r="BV509" s="310"/>
      <c r="BW509" s="310"/>
      <c r="BX509" s="291">
        <f t="shared" si="1"/>
        <v>0</v>
      </c>
      <c r="BY509" s="344"/>
      <c r="BZ509" s="347"/>
      <c r="CA509" s="347"/>
    </row>
    <row r="510" spans="1:79" ht="15" hidden="1" customHeight="1" x14ac:dyDescent="0.25">
      <c r="A510" s="369"/>
      <c r="B510" s="340"/>
      <c r="C510" s="1582" t="s">
        <v>793</v>
      </c>
      <c r="D510" s="1582"/>
      <c r="E510" s="1582"/>
      <c r="F510" s="1582"/>
      <c r="G510" s="1582"/>
      <c r="H510" s="1582"/>
      <c r="I510" s="1582"/>
      <c r="J510" s="1582"/>
      <c r="K510" s="1582"/>
      <c r="L510" s="1582"/>
      <c r="M510" s="1582"/>
      <c r="N510" s="1582"/>
      <c r="O510" s="1582"/>
      <c r="P510" s="1582"/>
      <c r="Q510" s="1582"/>
      <c r="R510" s="1582"/>
      <c r="S510" s="1582"/>
      <c r="T510" s="1582"/>
      <c r="U510" s="1582"/>
      <c r="V510" s="1582"/>
      <c r="W510" s="1582"/>
      <c r="X510" s="1582"/>
      <c r="Y510" s="1582"/>
      <c r="Z510" s="1582"/>
      <c r="AA510" s="1582"/>
      <c r="AB510" s="1582"/>
      <c r="AC510" s="1582"/>
      <c r="AD510" s="1582"/>
      <c r="AE510" s="1582"/>
      <c r="AF510" s="1582"/>
      <c r="AG510" s="1582"/>
      <c r="AH510" s="1582"/>
      <c r="AI510" s="1582"/>
      <c r="AJ510" s="344"/>
      <c r="AK510" s="345"/>
      <c r="AL510" s="340"/>
      <c r="AM510" s="1582" t="s">
        <v>794</v>
      </c>
      <c r="AN510" s="1582"/>
      <c r="AO510" s="1582"/>
      <c r="AP510" s="1582"/>
      <c r="AQ510" s="1582"/>
      <c r="AR510" s="1582"/>
      <c r="AS510" s="1582"/>
      <c r="AT510" s="1582"/>
      <c r="AU510" s="1582"/>
      <c r="AV510" s="1582"/>
      <c r="AW510" s="1582"/>
      <c r="AX510" s="1582"/>
      <c r="AY510" s="1582"/>
      <c r="AZ510" s="1582"/>
      <c r="BA510" s="1582"/>
      <c r="BB510" s="1582"/>
      <c r="BC510" s="1582"/>
      <c r="BD510" s="1582"/>
      <c r="BE510" s="1582"/>
      <c r="BF510" s="1582"/>
      <c r="BG510" s="1582"/>
      <c r="BH510" s="1582"/>
      <c r="BI510" s="1582"/>
      <c r="BJ510" s="1582"/>
      <c r="BK510" s="1582"/>
      <c r="BL510" s="1582"/>
      <c r="BM510" s="1582"/>
      <c r="BN510" s="1582"/>
      <c r="BO510" s="1582"/>
      <c r="BP510" s="1582"/>
      <c r="BQ510" s="1582"/>
      <c r="BR510" s="1582"/>
      <c r="BS510" s="1582"/>
      <c r="BT510" s="356"/>
      <c r="BU510" s="357"/>
      <c r="BV510" s="310"/>
      <c r="BW510" s="310"/>
      <c r="BX510" s="291">
        <f t="shared" si="1"/>
        <v>0</v>
      </c>
      <c r="BY510" s="344"/>
      <c r="BZ510" s="347"/>
      <c r="CA510" s="347"/>
    </row>
    <row r="511" spans="1:79" ht="15" hidden="1" customHeight="1" x14ac:dyDescent="0.25">
      <c r="A511" s="369"/>
      <c r="B511" s="340"/>
      <c r="C511" s="1583" t="s">
        <v>795</v>
      </c>
      <c r="D511" s="1582"/>
      <c r="E511" s="1582"/>
      <c r="F511" s="1582"/>
      <c r="G511" s="1582"/>
      <c r="H511" s="1582"/>
      <c r="I511" s="1582"/>
      <c r="J511" s="1582"/>
      <c r="K511" s="1582"/>
      <c r="L511" s="1582"/>
      <c r="M511" s="1582"/>
      <c r="N511" s="1582"/>
      <c r="O511" s="1582"/>
      <c r="P511" s="1582"/>
      <c r="Q511" s="1582"/>
      <c r="R511" s="1582"/>
      <c r="S511" s="1582"/>
      <c r="T511" s="1582"/>
      <c r="U511" s="1582"/>
      <c r="V511" s="1582"/>
      <c r="W511" s="1582"/>
      <c r="X511" s="1582"/>
      <c r="Y511" s="1582"/>
      <c r="Z511" s="1582"/>
      <c r="AA511" s="1582"/>
      <c r="AB511" s="1582"/>
      <c r="AC511" s="1582"/>
      <c r="AD511" s="1582"/>
      <c r="AE511" s="1582"/>
      <c r="AF511" s="1582"/>
      <c r="AG511" s="1582"/>
      <c r="AH511" s="1582"/>
      <c r="AI511" s="1582"/>
      <c r="AJ511" s="344"/>
      <c r="AK511" s="345"/>
      <c r="AL511" s="340"/>
      <c r="AM511" s="1583" t="s">
        <v>796</v>
      </c>
      <c r="AN511" s="1582"/>
      <c r="AO511" s="1582"/>
      <c r="AP511" s="1582"/>
      <c r="AQ511" s="1582"/>
      <c r="AR511" s="1582"/>
      <c r="AS511" s="1582"/>
      <c r="AT511" s="1582"/>
      <c r="AU511" s="1582"/>
      <c r="AV511" s="1582"/>
      <c r="AW511" s="1582"/>
      <c r="AX511" s="1582"/>
      <c r="AY511" s="1582"/>
      <c r="AZ511" s="1582"/>
      <c r="BA511" s="1582"/>
      <c r="BB511" s="1582"/>
      <c r="BC511" s="1582"/>
      <c r="BD511" s="1582"/>
      <c r="BE511" s="1582"/>
      <c r="BF511" s="1582"/>
      <c r="BG511" s="1582"/>
      <c r="BH511" s="1582"/>
      <c r="BI511" s="1582"/>
      <c r="BJ511" s="1582"/>
      <c r="BK511" s="1582"/>
      <c r="BL511" s="1582"/>
      <c r="BM511" s="1582"/>
      <c r="BN511" s="1582"/>
      <c r="BO511" s="1582"/>
      <c r="BP511" s="1582"/>
      <c r="BQ511" s="1582"/>
      <c r="BR511" s="1582"/>
      <c r="BS511" s="1582"/>
      <c r="BT511" s="356"/>
      <c r="BU511" s="357"/>
      <c r="BV511" s="310"/>
      <c r="BW511" s="310"/>
      <c r="BX511" s="291">
        <f t="shared" si="1"/>
        <v>0</v>
      </c>
      <c r="BY511" s="344"/>
      <c r="BZ511" s="347"/>
      <c r="CA511" s="347"/>
    </row>
    <row r="512" spans="1:79" ht="15" hidden="1" customHeight="1" x14ac:dyDescent="0.25">
      <c r="A512" s="369"/>
      <c r="B512" s="340"/>
      <c r="C512" s="1583" t="s">
        <v>797</v>
      </c>
      <c r="D512" s="1582"/>
      <c r="E512" s="1582"/>
      <c r="F512" s="1582"/>
      <c r="G512" s="1582"/>
      <c r="H512" s="1582"/>
      <c r="I512" s="1582"/>
      <c r="J512" s="1582"/>
      <c r="K512" s="1582"/>
      <c r="L512" s="1582"/>
      <c r="M512" s="1582"/>
      <c r="N512" s="1582"/>
      <c r="O512" s="1582"/>
      <c r="P512" s="1582"/>
      <c r="Q512" s="1582"/>
      <c r="R512" s="1582"/>
      <c r="S512" s="1582"/>
      <c r="T512" s="1582"/>
      <c r="U512" s="1582"/>
      <c r="V512" s="1582"/>
      <c r="W512" s="1582"/>
      <c r="X512" s="1582"/>
      <c r="Y512" s="1582"/>
      <c r="Z512" s="1582"/>
      <c r="AA512" s="1582"/>
      <c r="AB512" s="1582"/>
      <c r="AC512" s="1582"/>
      <c r="AD512" s="1582"/>
      <c r="AE512" s="1582"/>
      <c r="AF512" s="1582"/>
      <c r="AG512" s="1582"/>
      <c r="AH512" s="1582"/>
      <c r="AI512" s="1582"/>
      <c r="AJ512" s="344"/>
      <c r="AK512" s="345"/>
      <c r="AL512" s="340"/>
      <c r="AM512" s="1583" t="s">
        <v>798</v>
      </c>
      <c r="AN512" s="1582"/>
      <c r="AO512" s="1582"/>
      <c r="AP512" s="1582"/>
      <c r="AQ512" s="1582"/>
      <c r="AR512" s="1582"/>
      <c r="AS512" s="1582"/>
      <c r="AT512" s="1582"/>
      <c r="AU512" s="1582"/>
      <c r="AV512" s="1582"/>
      <c r="AW512" s="1582"/>
      <c r="AX512" s="1582"/>
      <c r="AY512" s="1582"/>
      <c r="AZ512" s="1582"/>
      <c r="BA512" s="1582"/>
      <c r="BB512" s="1582"/>
      <c r="BC512" s="1582"/>
      <c r="BD512" s="1582"/>
      <c r="BE512" s="1582"/>
      <c r="BF512" s="1582"/>
      <c r="BG512" s="1582"/>
      <c r="BH512" s="1582"/>
      <c r="BI512" s="1582"/>
      <c r="BJ512" s="1582"/>
      <c r="BK512" s="1582"/>
      <c r="BL512" s="1582"/>
      <c r="BM512" s="1582"/>
      <c r="BN512" s="1582"/>
      <c r="BO512" s="1582"/>
      <c r="BP512" s="1582"/>
      <c r="BQ512" s="1582"/>
      <c r="BR512" s="1582"/>
      <c r="BS512" s="1582"/>
      <c r="BT512" s="356"/>
      <c r="BU512" s="357"/>
      <c r="BV512" s="310"/>
      <c r="BW512" s="310"/>
      <c r="BX512" s="291">
        <f t="shared" si="1"/>
        <v>0</v>
      </c>
      <c r="BY512" s="344"/>
      <c r="BZ512" s="347"/>
      <c r="CA512" s="347"/>
    </row>
    <row r="513" spans="1:79" ht="12.95" hidden="1" customHeight="1" x14ac:dyDescent="0.25">
      <c r="A513" s="369"/>
      <c r="B513" s="340"/>
      <c r="C513" s="404"/>
      <c r="D513" s="354"/>
      <c r="E513" s="354"/>
      <c r="F513" s="354"/>
      <c r="G513" s="354"/>
      <c r="H513" s="354"/>
      <c r="I513" s="354"/>
      <c r="J513" s="354"/>
      <c r="K513" s="354"/>
      <c r="L513" s="354"/>
      <c r="M513" s="354"/>
      <c r="N513" s="354"/>
      <c r="O513" s="354"/>
      <c r="P513" s="354"/>
      <c r="Q513" s="354"/>
      <c r="R513" s="354"/>
      <c r="S513" s="354"/>
      <c r="T513" s="354"/>
      <c r="U513" s="342"/>
      <c r="V513" s="342"/>
      <c r="W513" s="363"/>
      <c r="X513" s="363"/>
      <c r="Y513" s="363"/>
      <c r="Z513" s="363"/>
      <c r="AA513" s="363"/>
      <c r="AB513" s="363"/>
      <c r="AC513" s="355"/>
      <c r="AD513" s="363"/>
      <c r="AE513" s="363"/>
      <c r="AF513" s="363"/>
      <c r="AG513" s="363"/>
      <c r="AH513" s="363"/>
      <c r="AI513" s="363"/>
      <c r="AJ513" s="344"/>
      <c r="AK513" s="345"/>
      <c r="AL513" s="340"/>
      <c r="AM513" s="388"/>
      <c r="AN513" s="386"/>
      <c r="AO513" s="386"/>
      <c r="AP513" s="386"/>
      <c r="AQ513" s="386"/>
      <c r="AR513" s="386"/>
      <c r="AS513" s="386"/>
      <c r="AT513" s="386"/>
      <c r="AU513" s="386"/>
      <c r="AV513" s="386"/>
      <c r="AW513" s="386"/>
      <c r="AX513" s="386"/>
      <c r="AY513" s="386"/>
      <c r="AZ513" s="386"/>
      <c r="BA513" s="386"/>
      <c r="BB513" s="386"/>
      <c r="BC513" s="386"/>
      <c r="BD513" s="386"/>
      <c r="BE513" s="389"/>
      <c r="BF513" s="389"/>
      <c r="BG513" s="363"/>
      <c r="BH513" s="363"/>
      <c r="BI513" s="363"/>
      <c r="BJ513" s="363"/>
      <c r="BK513" s="363"/>
      <c r="BL513" s="363"/>
      <c r="BM513" s="355"/>
      <c r="BN513" s="363"/>
      <c r="BO513" s="363"/>
      <c r="BP513" s="363"/>
      <c r="BQ513" s="363"/>
      <c r="BR513" s="363"/>
      <c r="BS513" s="363"/>
      <c r="BT513" s="356"/>
      <c r="BU513" s="357"/>
      <c r="BV513" s="310"/>
      <c r="BW513" s="310"/>
      <c r="BX513" s="291">
        <f t="shared" si="1"/>
        <v>0</v>
      </c>
      <c r="BY513" s="344"/>
      <c r="BZ513" s="347"/>
      <c r="CA513" s="347"/>
    </row>
    <row r="514" spans="1:79" ht="15" hidden="1" customHeight="1" x14ac:dyDescent="0.25">
      <c r="A514" s="369"/>
      <c r="B514" s="340"/>
      <c r="C514" s="405" t="s">
        <v>799</v>
      </c>
      <c r="D514" s="354"/>
      <c r="E514" s="354"/>
      <c r="F514" s="354"/>
      <c r="G514" s="354"/>
      <c r="H514" s="354"/>
      <c r="I514" s="354"/>
      <c r="J514" s="354"/>
      <c r="K514" s="354"/>
      <c r="L514" s="354"/>
      <c r="M514" s="354"/>
      <c r="N514" s="354"/>
      <c r="O514" s="354"/>
      <c r="P514" s="354"/>
      <c r="Q514" s="354"/>
      <c r="R514" s="354"/>
      <c r="S514" s="354"/>
      <c r="T514" s="354"/>
      <c r="U514" s="342"/>
      <c r="V514" s="342"/>
      <c r="W514" s="363"/>
      <c r="X514" s="363"/>
      <c r="Y514" s="363"/>
      <c r="Z514" s="363"/>
      <c r="AA514" s="363"/>
      <c r="AB514" s="363"/>
      <c r="AC514" s="355"/>
      <c r="AD514" s="363"/>
      <c r="AE514" s="363"/>
      <c r="AF514" s="363"/>
      <c r="AG514" s="363"/>
      <c r="AH514" s="363"/>
      <c r="AI514" s="363"/>
      <c r="AJ514" s="344"/>
      <c r="AK514" s="345"/>
      <c r="AL514" s="340"/>
      <c r="AM514" s="406" t="s">
        <v>800</v>
      </c>
      <c r="AN514" s="354"/>
      <c r="AO514" s="354"/>
      <c r="AP514" s="354"/>
      <c r="AQ514" s="354"/>
      <c r="AR514" s="354"/>
      <c r="AS514" s="354"/>
      <c r="AT514" s="354"/>
      <c r="AU514" s="354"/>
      <c r="AV514" s="354"/>
      <c r="AW514" s="354"/>
      <c r="AX514" s="354"/>
      <c r="AY514" s="354"/>
      <c r="AZ514" s="354"/>
      <c r="BA514" s="354"/>
      <c r="BB514" s="354"/>
      <c r="BC514" s="354"/>
      <c r="BD514" s="354"/>
      <c r="BE514" s="342"/>
      <c r="BF514" s="342"/>
      <c r="BG514" s="363"/>
      <c r="BH514" s="363"/>
      <c r="BI514" s="363"/>
      <c r="BJ514" s="363"/>
      <c r="BK514" s="363"/>
      <c r="BL514" s="363"/>
      <c r="BM514" s="355"/>
      <c r="BN514" s="363"/>
      <c r="BO514" s="363"/>
      <c r="BP514" s="363"/>
      <c r="BQ514" s="363"/>
      <c r="BR514" s="363"/>
      <c r="BS514" s="363"/>
      <c r="BT514" s="356"/>
      <c r="BU514" s="357"/>
      <c r="BV514" s="310"/>
      <c r="BW514" s="310"/>
      <c r="BX514" s="291">
        <f t="shared" si="1"/>
        <v>0</v>
      </c>
      <c r="BY514" s="344"/>
      <c r="BZ514" s="347"/>
      <c r="CA514" s="347"/>
    </row>
    <row r="515" spans="1:79" ht="15" hidden="1" customHeight="1" x14ac:dyDescent="0.25">
      <c r="A515" s="369"/>
      <c r="B515" s="340"/>
      <c r="C515" s="392" t="str">
        <f>CONCATENATE("Thông tin chi tiết về các công ty liên doanh, liên kết của ",LoaiCT_V," vào ngày ",Ky_Nay1_V," như sau:")</f>
        <v>Thông tin chi tiết về các công ty liên doanh, liên kết của Công ty vào ngày 31/12/2017 như sau:</v>
      </c>
      <c r="D515" s="392"/>
      <c r="E515" s="392"/>
      <c r="F515" s="392"/>
      <c r="G515" s="392"/>
      <c r="H515" s="392"/>
      <c r="I515" s="392"/>
      <c r="J515" s="392"/>
      <c r="K515" s="392"/>
      <c r="L515" s="392"/>
      <c r="M515" s="392"/>
      <c r="N515" s="392"/>
      <c r="O515" s="392"/>
      <c r="P515" s="392"/>
      <c r="Q515" s="392"/>
      <c r="R515" s="392"/>
      <c r="S515" s="392"/>
      <c r="T515" s="392"/>
      <c r="U515" s="392"/>
      <c r="V515" s="392"/>
      <c r="W515" s="393"/>
      <c r="X515" s="393"/>
      <c r="Y515" s="393"/>
      <c r="Z515" s="393"/>
      <c r="AA515" s="393"/>
      <c r="AB515" s="393"/>
      <c r="AC515" s="343"/>
      <c r="AD515" s="343"/>
      <c r="AE515" s="343"/>
      <c r="AF515" s="343"/>
      <c r="AG515" s="343"/>
      <c r="AH515" s="343"/>
      <c r="AI515" s="343"/>
      <c r="AJ515" s="344"/>
      <c r="AK515" s="345"/>
      <c r="AL515" s="340"/>
      <c r="AM515" s="392" t="str">
        <f>CONCATENATE("Detail information on the ",LoaiCT_E,"’s joint ventures, associates as at 31 December 2015 as follows:")</f>
        <v>Detail information on the Corporation’s joint ventures, associates as at 31 December 2015 as follows:</v>
      </c>
      <c r="AN515" s="392"/>
      <c r="AO515" s="392"/>
      <c r="AP515" s="392"/>
      <c r="AQ515" s="392"/>
      <c r="AR515" s="392"/>
      <c r="AS515" s="392"/>
      <c r="AT515" s="392"/>
      <c r="AU515" s="392"/>
      <c r="AV515" s="392"/>
      <c r="AW515" s="392"/>
      <c r="AX515" s="392"/>
      <c r="AY515" s="392"/>
      <c r="AZ515" s="392"/>
      <c r="BA515" s="392"/>
      <c r="BB515" s="392"/>
      <c r="BC515" s="392"/>
      <c r="BD515" s="392"/>
      <c r="BE515" s="392"/>
      <c r="BF515" s="392"/>
      <c r="BG515" s="393"/>
      <c r="BH515" s="393"/>
      <c r="BI515" s="393"/>
      <c r="BJ515" s="393"/>
      <c r="BK515" s="393"/>
      <c r="BL515" s="393"/>
      <c r="BM515" s="343"/>
      <c r="BN515" s="343"/>
      <c r="BO515" s="343"/>
      <c r="BP515" s="343"/>
      <c r="BQ515" s="343"/>
      <c r="BR515" s="343"/>
      <c r="BS515" s="343"/>
      <c r="BT515" s="356"/>
      <c r="BU515" s="357"/>
      <c r="BV515" s="310"/>
      <c r="BW515" s="310"/>
      <c r="BX515" s="291">
        <f t="shared" si="1"/>
        <v>0</v>
      </c>
      <c r="BY515" s="344"/>
      <c r="BZ515" s="347"/>
      <c r="CA515" s="347"/>
    </row>
    <row r="516" spans="1:79" ht="56.1" hidden="1" customHeight="1" x14ac:dyDescent="0.2">
      <c r="A516" s="369"/>
      <c r="B516" s="340"/>
      <c r="C516" s="1591" t="s">
        <v>801</v>
      </c>
      <c r="D516" s="1591"/>
      <c r="E516" s="1591"/>
      <c r="F516" s="1591"/>
      <c r="G516" s="1591"/>
      <c r="H516" s="1591"/>
      <c r="I516" s="1591"/>
      <c r="J516" s="1591"/>
      <c r="K516" s="1591"/>
      <c r="L516" s="1591"/>
      <c r="M516" s="1591"/>
      <c r="N516" s="1591"/>
      <c r="O516" s="394"/>
      <c r="P516" s="1591" t="s">
        <v>787</v>
      </c>
      <c r="Q516" s="1591"/>
      <c r="R516" s="1591"/>
      <c r="S516" s="1591"/>
      <c r="T516" s="1591"/>
      <c r="U516" s="395"/>
      <c r="V516" s="1587" t="s">
        <v>788</v>
      </c>
      <c r="W516" s="1587"/>
      <c r="X516" s="1587"/>
      <c r="Y516" s="395"/>
      <c r="Z516" s="1587" t="s">
        <v>789</v>
      </c>
      <c r="AA516" s="1587"/>
      <c r="AB516" s="1587"/>
      <c r="AC516" s="395"/>
      <c r="AD516" s="1588" t="s">
        <v>366</v>
      </c>
      <c r="AE516" s="1588"/>
      <c r="AF516" s="1588"/>
      <c r="AG516" s="1588"/>
      <c r="AH516" s="1588"/>
      <c r="AI516" s="1588"/>
      <c r="AJ516" s="344"/>
      <c r="AK516" s="345"/>
      <c r="AL516" s="340"/>
      <c r="AM516" s="1591" t="s">
        <v>802</v>
      </c>
      <c r="AN516" s="1591"/>
      <c r="AO516" s="1591"/>
      <c r="AP516" s="1591"/>
      <c r="AQ516" s="1591"/>
      <c r="AR516" s="1591"/>
      <c r="AS516" s="1591"/>
      <c r="AT516" s="1591"/>
      <c r="AU516" s="1591"/>
      <c r="AV516" s="1591"/>
      <c r="AW516" s="1591"/>
      <c r="AX516" s="1591"/>
      <c r="AY516" s="394"/>
      <c r="AZ516" s="1591" t="s">
        <v>803</v>
      </c>
      <c r="BA516" s="1591"/>
      <c r="BB516" s="1591"/>
      <c r="BC516" s="1591"/>
      <c r="BD516" s="1591"/>
      <c r="BE516" s="395"/>
      <c r="BF516" s="1587" t="s">
        <v>804</v>
      </c>
      <c r="BG516" s="1587"/>
      <c r="BH516" s="1587"/>
      <c r="BI516" s="395"/>
      <c r="BJ516" s="1587" t="s">
        <v>805</v>
      </c>
      <c r="BK516" s="1587"/>
      <c r="BL516" s="1587"/>
      <c r="BM516" s="395"/>
      <c r="BN516" s="1588" t="s">
        <v>368</v>
      </c>
      <c r="BO516" s="1588"/>
      <c r="BP516" s="1588"/>
      <c r="BQ516" s="1588"/>
      <c r="BR516" s="1588"/>
      <c r="BS516" s="1588"/>
      <c r="BT516" s="356"/>
      <c r="BU516" s="357"/>
      <c r="BV516" s="310"/>
      <c r="BW516" s="310"/>
      <c r="BX516" s="291">
        <f t="shared" si="1"/>
        <v>0</v>
      </c>
      <c r="BY516" s="344"/>
      <c r="BZ516" s="347"/>
      <c r="CA516" s="347"/>
    </row>
    <row r="517" spans="1:79" ht="15" hidden="1" customHeight="1" x14ac:dyDescent="0.25">
      <c r="A517" s="369"/>
      <c r="B517" s="340"/>
      <c r="C517" s="1589" t="s">
        <v>792</v>
      </c>
      <c r="D517" s="1589"/>
      <c r="E517" s="1589"/>
      <c r="F517" s="1589"/>
      <c r="G517" s="1589"/>
      <c r="H517" s="1589"/>
      <c r="I517" s="1589"/>
      <c r="J517" s="1589"/>
      <c r="K517" s="1589"/>
      <c r="L517" s="1589"/>
      <c r="M517" s="1589"/>
      <c r="N517" s="1589"/>
      <c r="O517" s="407"/>
      <c r="P517" s="1589" t="s">
        <v>806</v>
      </c>
      <c r="Q517" s="1589"/>
      <c r="R517" s="1589"/>
      <c r="S517" s="1589"/>
      <c r="T517" s="1589"/>
      <c r="U517" s="400"/>
      <c r="V517" s="1580">
        <v>0.8</v>
      </c>
      <c r="W517" s="1580"/>
      <c r="X517" s="1580"/>
      <c r="Y517" s="400"/>
      <c r="Z517" s="1580">
        <v>1</v>
      </c>
      <c r="AA517" s="1580"/>
      <c r="AB517" s="1580"/>
      <c r="AC517" s="393"/>
      <c r="AD517" s="1581" t="s">
        <v>807</v>
      </c>
      <c r="AE517" s="1581"/>
      <c r="AF517" s="1581"/>
      <c r="AG517" s="1581"/>
      <c r="AH517" s="1581"/>
      <c r="AI517" s="1581"/>
      <c r="AJ517" s="344"/>
      <c r="AK517" s="345"/>
      <c r="AL517" s="340"/>
      <c r="AM517" s="1589" t="s">
        <v>792</v>
      </c>
      <c r="AN517" s="1589"/>
      <c r="AO517" s="1589"/>
      <c r="AP517" s="1589"/>
      <c r="AQ517" s="1589"/>
      <c r="AR517" s="1589"/>
      <c r="AS517" s="1589"/>
      <c r="AT517" s="1589"/>
      <c r="AU517" s="1589"/>
      <c r="AV517" s="1589"/>
      <c r="AW517" s="1589"/>
      <c r="AX517" s="1589"/>
      <c r="AY517" s="407"/>
      <c r="AZ517" s="1589" t="s">
        <v>806</v>
      </c>
      <c r="BA517" s="1589"/>
      <c r="BB517" s="1589"/>
      <c r="BC517" s="1589"/>
      <c r="BD517" s="1589"/>
      <c r="BE517" s="400"/>
      <c r="BF517" s="1580">
        <f>V517</f>
        <v>0.8</v>
      </c>
      <c r="BG517" s="1580"/>
      <c r="BH517" s="1580"/>
      <c r="BI517" s="400"/>
      <c r="BJ517" s="1580">
        <f>Z517</f>
        <v>1</v>
      </c>
      <c r="BK517" s="1580"/>
      <c r="BL517" s="1580"/>
      <c r="BM517" s="393"/>
      <c r="BN517" s="1581" t="s">
        <v>807</v>
      </c>
      <c r="BO517" s="1581"/>
      <c r="BP517" s="1581"/>
      <c r="BQ517" s="1581"/>
      <c r="BR517" s="1581"/>
      <c r="BS517" s="1581"/>
      <c r="BT517" s="356"/>
      <c r="BU517" s="357"/>
      <c r="BV517" s="310"/>
      <c r="BW517" s="310"/>
      <c r="BX517" s="291">
        <f t="shared" si="1"/>
        <v>0</v>
      </c>
      <c r="BY517" s="344"/>
      <c r="BZ517" s="347"/>
      <c r="CA517" s="347"/>
    </row>
    <row r="518" spans="1:79" ht="15" hidden="1" customHeight="1" x14ac:dyDescent="0.25">
      <c r="A518" s="369"/>
      <c r="B518" s="340"/>
      <c r="C518" s="1586" t="s">
        <v>792</v>
      </c>
      <c r="D518" s="1586"/>
      <c r="E518" s="1586"/>
      <c r="F518" s="1586"/>
      <c r="G518" s="1586"/>
      <c r="H518" s="1586"/>
      <c r="I518" s="1586"/>
      <c r="J518" s="1586"/>
      <c r="K518" s="1586"/>
      <c r="L518" s="1586"/>
      <c r="M518" s="1586"/>
      <c r="N518" s="1586"/>
      <c r="O518" s="407"/>
      <c r="P518" s="1586" t="s">
        <v>806</v>
      </c>
      <c r="Q518" s="1586"/>
      <c r="R518" s="1586"/>
      <c r="S518" s="1586"/>
      <c r="T518" s="1586"/>
      <c r="U518" s="400"/>
      <c r="V518" s="1580">
        <v>0.8</v>
      </c>
      <c r="W518" s="1580"/>
      <c r="X518" s="1580"/>
      <c r="Y518" s="400"/>
      <c r="Z518" s="1580">
        <v>1</v>
      </c>
      <c r="AA518" s="1580"/>
      <c r="AB518" s="1580"/>
      <c r="AC518" s="393"/>
      <c r="AD518" s="1581" t="s">
        <v>807</v>
      </c>
      <c r="AE518" s="1581"/>
      <c r="AF518" s="1581"/>
      <c r="AG518" s="1581"/>
      <c r="AH518" s="1581"/>
      <c r="AI518" s="1581"/>
      <c r="AJ518" s="344"/>
      <c r="AK518" s="345"/>
      <c r="AL518" s="340"/>
      <c r="AM518" s="1586" t="s">
        <v>792</v>
      </c>
      <c r="AN518" s="1586"/>
      <c r="AO518" s="1586"/>
      <c r="AP518" s="1586"/>
      <c r="AQ518" s="1586"/>
      <c r="AR518" s="1586"/>
      <c r="AS518" s="1586"/>
      <c r="AT518" s="1586"/>
      <c r="AU518" s="1586"/>
      <c r="AV518" s="1586"/>
      <c r="AW518" s="1586"/>
      <c r="AX518" s="1586"/>
      <c r="AY518" s="407"/>
      <c r="AZ518" s="1586" t="s">
        <v>806</v>
      </c>
      <c r="BA518" s="1586"/>
      <c r="BB518" s="1586"/>
      <c r="BC518" s="1586"/>
      <c r="BD518" s="1586"/>
      <c r="BE518" s="400"/>
      <c r="BF518" s="1580">
        <f>V518</f>
        <v>0.8</v>
      </c>
      <c r="BG518" s="1580"/>
      <c r="BH518" s="1580"/>
      <c r="BI518" s="400"/>
      <c r="BJ518" s="1580">
        <f>Z518</f>
        <v>1</v>
      </c>
      <c r="BK518" s="1580"/>
      <c r="BL518" s="1580"/>
      <c r="BM518" s="393"/>
      <c r="BN518" s="1581" t="s">
        <v>807</v>
      </c>
      <c r="BO518" s="1581"/>
      <c r="BP518" s="1581"/>
      <c r="BQ518" s="1581"/>
      <c r="BR518" s="1581"/>
      <c r="BS518" s="1581"/>
      <c r="BT518" s="356"/>
      <c r="BU518" s="357"/>
      <c r="BV518" s="310"/>
      <c r="BW518" s="310"/>
      <c r="BX518" s="291">
        <f t="shared" si="1"/>
        <v>0</v>
      </c>
      <c r="BY518" s="344"/>
      <c r="BZ518" s="347"/>
      <c r="CA518" s="347"/>
    </row>
    <row r="519" spans="1:79" ht="12.95" hidden="1" customHeight="1" x14ac:dyDescent="0.25">
      <c r="A519" s="369"/>
      <c r="B519" s="340"/>
      <c r="C519" s="408"/>
      <c r="D519" s="408"/>
      <c r="E519" s="408"/>
      <c r="F519" s="408"/>
      <c r="G519" s="408"/>
      <c r="H519" s="408"/>
      <c r="I519" s="408"/>
      <c r="J519" s="408"/>
      <c r="K519" s="408"/>
      <c r="L519" s="408"/>
      <c r="M519" s="408"/>
      <c r="N519" s="408"/>
      <c r="O519" s="407"/>
      <c r="P519" s="408"/>
      <c r="Q519" s="408"/>
      <c r="R519" s="408"/>
      <c r="S519" s="408"/>
      <c r="T519" s="408"/>
      <c r="U519" s="400"/>
      <c r="V519" s="402"/>
      <c r="W519" s="402"/>
      <c r="X519" s="402"/>
      <c r="Y519" s="400"/>
      <c r="Z519" s="402"/>
      <c r="AA519" s="402"/>
      <c r="AB519" s="402"/>
      <c r="AC519" s="393"/>
      <c r="AD519" s="409"/>
      <c r="AE519" s="409"/>
      <c r="AF519" s="409"/>
      <c r="AG519" s="409"/>
      <c r="AH519" s="409"/>
      <c r="AI519" s="409"/>
      <c r="AJ519" s="344"/>
      <c r="AK519" s="345"/>
      <c r="AL519" s="340"/>
      <c r="AM519" s="408"/>
      <c r="AN519" s="408"/>
      <c r="AO519" s="408"/>
      <c r="AP519" s="408"/>
      <c r="AQ519" s="408"/>
      <c r="AR519" s="408"/>
      <c r="AS519" s="408"/>
      <c r="AT519" s="408"/>
      <c r="AU519" s="408"/>
      <c r="AV519" s="408"/>
      <c r="AW519" s="408"/>
      <c r="AX519" s="408"/>
      <c r="AY519" s="407"/>
      <c r="AZ519" s="408"/>
      <c r="BA519" s="408"/>
      <c r="BB519" s="408"/>
      <c r="BC519" s="408"/>
      <c r="BD519" s="408"/>
      <c r="BE519" s="400"/>
      <c r="BF519" s="402"/>
      <c r="BG519" s="402"/>
      <c r="BH519" s="402"/>
      <c r="BI519" s="400"/>
      <c r="BJ519" s="402"/>
      <c r="BK519" s="402"/>
      <c r="BL519" s="402"/>
      <c r="BM519" s="393"/>
      <c r="BN519" s="410"/>
      <c r="BO519" s="410"/>
      <c r="BP519" s="410"/>
      <c r="BQ519" s="410"/>
      <c r="BR519" s="410"/>
      <c r="BS519" s="410"/>
      <c r="BT519" s="356"/>
      <c r="BU519" s="357"/>
      <c r="BV519" s="310"/>
      <c r="BW519" s="310"/>
      <c r="BX519" s="291">
        <f t="shared" si="1"/>
        <v>0</v>
      </c>
      <c r="BY519" s="344"/>
      <c r="BZ519" s="347"/>
      <c r="CA519" s="347"/>
    </row>
    <row r="520" spans="1:79" ht="15" hidden="1" customHeight="1" x14ac:dyDescent="0.25">
      <c r="A520" s="369"/>
      <c r="B520" s="340"/>
      <c r="C520" s="1582" t="s">
        <v>808</v>
      </c>
      <c r="D520" s="1582"/>
      <c r="E520" s="1582"/>
      <c r="F520" s="1582"/>
      <c r="G520" s="1582"/>
      <c r="H520" s="1582"/>
      <c r="I520" s="1582"/>
      <c r="J520" s="1582"/>
      <c r="K520" s="1582"/>
      <c r="L520" s="1582"/>
      <c r="M520" s="1582"/>
      <c r="N520" s="1582"/>
      <c r="O520" s="1582"/>
      <c r="P520" s="1582"/>
      <c r="Q520" s="1582"/>
      <c r="R520" s="1582"/>
      <c r="S520" s="1582"/>
      <c r="T520" s="1582"/>
      <c r="U520" s="1582"/>
      <c r="V520" s="1582"/>
      <c r="W520" s="1582"/>
      <c r="X520" s="1582"/>
      <c r="Y520" s="1582"/>
      <c r="Z520" s="1582"/>
      <c r="AA520" s="1582"/>
      <c r="AB520" s="1582"/>
      <c r="AC520" s="1582"/>
      <c r="AD520" s="1582"/>
      <c r="AE520" s="1582"/>
      <c r="AF520" s="1582"/>
      <c r="AG520" s="1582"/>
      <c r="AH520" s="1582"/>
      <c r="AI520" s="1582"/>
      <c r="AJ520" s="344"/>
      <c r="AK520" s="345"/>
      <c r="AL520" s="340"/>
      <c r="AM520" s="1582" t="s">
        <v>809</v>
      </c>
      <c r="AN520" s="1582"/>
      <c r="AO520" s="1582"/>
      <c r="AP520" s="1582"/>
      <c r="AQ520" s="1582"/>
      <c r="AR520" s="1582"/>
      <c r="AS520" s="1582"/>
      <c r="AT520" s="1582"/>
      <c r="AU520" s="1582"/>
      <c r="AV520" s="1582"/>
      <c r="AW520" s="1582"/>
      <c r="AX520" s="1582"/>
      <c r="AY520" s="1582"/>
      <c r="AZ520" s="1582"/>
      <c r="BA520" s="1582"/>
      <c r="BB520" s="1582"/>
      <c r="BC520" s="1582"/>
      <c r="BD520" s="1582"/>
      <c r="BE520" s="1582"/>
      <c r="BF520" s="1582"/>
      <c r="BG520" s="1582"/>
      <c r="BH520" s="1582"/>
      <c r="BI520" s="1582"/>
      <c r="BJ520" s="1582"/>
      <c r="BK520" s="1582"/>
      <c r="BL520" s="1582"/>
      <c r="BM520" s="1582"/>
      <c r="BN520" s="1582"/>
      <c r="BO520" s="1582"/>
      <c r="BP520" s="1582"/>
      <c r="BQ520" s="1582"/>
      <c r="BR520" s="1582"/>
      <c r="BS520" s="1582"/>
      <c r="BT520" s="356"/>
      <c r="BU520" s="357"/>
      <c r="BV520" s="310"/>
      <c r="BW520" s="310"/>
      <c r="BX520" s="291">
        <f t="shared" si="1"/>
        <v>0</v>
      </c>
      <c r="BY520" s="344"/>
      <c r="BZ520" s="347"/>
      <c r="CA520" s="347"/>
    </row>
    <row r="521" spans="1:79" ht="15" hidden="1" customHeight="1" x14ac:dyDescent="0.25">
      <c r="A521" s="369"/>
      <c r="B521" s="340"/>
      <c r="C521" s="1583" t="s">
        <v>795</v>
      </c>
      <c r="D521" s="1582"/>
      <c r="E521" s="1582"/>
      <c r="F521" s="1582"/>
      <c r="G521" s="1582"/>
      <c r="H521" s="1582"/>
      <c r="I521" s="1582"/>
      <c r="J521" s="1582"/>
      <c r="K521" s="1582"/>
      <c r="L521" s="1582"/>
      <c r="M521" s="1582"/>
      <c r="N521" s="1582"/>
      <c r="O521" s="1582"/>
      <c r="P521" s="1582"/>
      <c r="Q521" s="1582"/>
      <c r="R521" s="1582"/>
      <c r="S521" s="1582"/>
      <c r="T521" s="1582"/>
      <c r="U521" s="1582"/>
      <c r="V521" s="1582"/>
      <c r="W521" s="1582"/>
      <c r="X521" s="1582"/>
      <c r="Y521" s="1582"/>
      <c r="Z521" s="1582"/>
      <c r="AA521" s="1582"/>
      <c r="AB521" s="1582"/>
      <c r="AC521" s="1582"/>
      <c r="AD521" s="1582"/>
      <c r="AE521" s="1582"/>
      <c r="AF521" s="1582"/>
      <c r="AG521" s="1582"/>
      <c r="AH521" s="1582"/>
      <c r="AI521" s="1582"/>
      <c r="AJ521" s="344"/>
      <c r="AK521" s="345"/>
      <c r="AL521" s="340"/>
      <c r="AM521" s="1583" t="s">
        <v>796</v>
      </c>
      <c r="AN521" s="1582"/>
      <c r="AO521" s="1582"/>
      <c r="AP521" s="1582"/>
      <c r="AQ521" s="1582"/>
      <c r="AR521" s="1582"/>
      <c r="AS521" s="1582"/>
      <c r="AT521" s="1582"/>
      <c r="AU521" s="1582"/>
      <c r="AV521" s="1582"/>
      <c r="AW521" s="1582"/>
      <c r="AX521" s="1582"/>
      <c r="AY521" s="1582"/>
      <c r="AZ521" s="1582"/>
      <c r="BA521" s="1582"/>
      <c r="BB521" s="1582"/>
      <c r="BC521" s="1582"/>
      <c r="BD521" s="1582"/>
      <c r="BE521" s="1582"/>
      <c r="BF521" s="1582"/>
      <c r="BG521" s="1582"/>
      <c r="BH521" s="1582"/>
      <c r="BI521" s="1582"/>
      <c r="BJ521" s="1582"/>
      <c r="BK521" s="1582"/>
      <c r="BL521" s="1582"/>
      <c r="BM521" s="1582"/>
      <c r="BN521" s="1582"/>
      <c r="BO521" s="1582"/>
      <c r="BP521" s="1582"/>
      <c r="BQ521" s="1582"/>
      <c r="BR521" s="1582"/>
      <c r="BS521" s="1582"/>
      <c r="BT521" s="356"/>
      <c r="BU521" s="357"/>
      <c r="BV521" s="310"/>
      <c r="BW521" s="310"/>
      <c r="BX521" s="291">
        <f t="shared" si="1"/>
        <v>0</v>
      </c>
      <c r="BY521" s="344"/>
      <c r="BZ521" s="347"/>
      <c r="CA521" s="347"/>
    </row>
    <row r="522" spans="1:79" ht="15" hidden="1" customHeight="1" x14ac:dyDescent="0.25">
      <c r="A522" s="369"/>
      <c r="B522" s="340"/>
      <c r="C522" s="1583" t="s">
        <v>797</v>
      </c>
      <c r="D522" s="1582"/>
      <c r="E522" s="1582"/>
      <c r="F522" s="1582"/>
      <c r="G522" s="1582"/>
      <c r="H522" s="1582"/>
      <c r="I522" s="1582"/>
      <c r="J522" s="1582"/>
      <c r="K522" s="1582"/>
      <c r="L522" s="1582"/>
      <c r="M522" s="1582"/>
      <c r="N522" s="1582"/>
      <c r="O522" s="1582"/>
      <c r="P522" s="1582"/>
      <c r="Q522" s="1582"/>
      <c r="R522" s="1582"/>
      <c r="S522" s="1582"/>
      <c r="T522" s="1582"/>
      <c r="U522" s="1582"/>
      <c r="V522" s="1582"/>
      <c r="W522" s="1582"/>
      <c r="X522" s="1582"/>
      <c r="Y522" s="1582"/>
      <c r="Z522" s="1582"/>
      <c r="AA522" s="1582"/>
      <c r="AB522" s="1582"/>
      <c r="AC522" s="1582"/>
      <c r="AD522" s="1582"/>
      <c r="AE522" s="1582"/>
      <c r="AF522" s="1582"/>
      <c r="AG522" s="1582"/>
      <c r="AH522" s="1582"/>
      <c r="AI522" s="1582"/>
      <c r="AJ522" s="344"/>
      <c r="AK522" s="345"/>
      <c r="AL522" s="340"/>
      <c r="AM522" s="1583" t="s">
        <v>798</v>
      </c>
      <c r="AN522" s="1582"/>
      <c r="AO522" s="1582"/>
      <c r="AP522" s="1582"/>
      <c r="AQ522" s="1582"/>
      <c r="AR522" s="1582"/>
      <c r="AS522" s="1582"/>
      <c r="AT522" s="1582"/>
      <c r="AU522" s="1582"/>
      <c r="AV522" s="1582"/>
      <c r="AW522" s="1582"/>
      <c r="AX522" s="1582"/>
      <c r="AY522" s="1582"/>
      <c r="AZ522" s="1582"/>
      <c r="BA522" s="1582"/>
      <c r="BB522" s="1582"/>
      <c r="BC522" s="1582"/>
      <c r="BD522" s="1582"/>
      <c r="BE522" s="1582"/>
      <c r="BF522" s="1582"/>
      <c r="BG522" s="1582"/>
      <c r="BH522" s="1582"/>
      <c r="BI522" s="1582"/>
      <c r="BJ522" s="1582"/>
      <c r="BK522" s="1582"/>
      <c r="BL522" s="1582"/>
      <c r="BM522" s="1582"/>
      <c r="BN522" s="1582"/>
      <c r="BO522" s="1582"/>
      <c r="BP522" s="1582"/>
      <c r="BQ522" s="1582"/>
      <c r="BR522" s="1582"/>
      <c r="BS522" s="1582"/>
      <c r="BT522" s="356"/>
      <c r="BU522" s="357"/>
      <c r="BV522" s="310"/>
      <c r="BW522" s="310"/>
      <c r="BX522" s="291">
        <f t="shared" si="1"/>
        <v>0</v>
      </c>
      <c r="BY522" s="344"/>
      <c r="BZ522" s="347"/>
      <c r="CA522" s="347"/>
    </row>
    <row r="523" spans="1:79" ht="27.95" hidden="1" customHeight="1" x14ac:dyDescent="0.25">
      <c r="A523" s="369"/>
      <c r="B523" s="340"/>
      <c r="C523" s="1592" t="s">
        <v>810</v>
      </c>
      <c r="D523" s="1593"/>
      <c r="E523" s="1593"/>
      <c r="F523" s="1593"/>
      <c r="G523" s="1593"/>
      <c r="H523" s="1593"/>
      <c r="I523" s="1593"/>
      <c r="J523" s="1593"/>
      <c r="K523" s="1593"/>
      <c r="L523" s="1593"/>
      <c r="M523" s="1593"/>
      <c r="N523" s="1593"/>
      <c r="O523" s="1593"/>
      <c r="P523" s="1593"/>
      <c r="Q523" s="1593"/>
      <c r="R523" s="1593"/>
      <c r="S523" s="1593"/>
      <c r="T523" s="1593"/>
      <c r="U523" s="1593"/>
      <c r="V523" s="1593"/>
      <c r="W523" s="1593"/>
      <c r="X523" s="1593"/>
      <c r="Y523" s="1593"/>
      <c r="Z523" s="1593"/>
      <c r="AA523" s="1593"/>
      <c r="AB523" s="1593"/>
      <c r="AC523" s="1593"/>
      <c r="AD523" s="1593"/>
      <c r="AE523" s="1593"/>
      <c r="AF523" s="1593"/>
      <c r="AG523" s="1593"/>
      <c r="AH523" s="1593"/>
      <c r="AI523" s="1593"/>
      <c r="AJ523" s="411"/>
      <c r="AK523" s="412"/>
      <c r="AL523" s="413"/>
      <c r="AM523" s="1592" t="s">
        <v>810</v>
      </c>
      <c r="AN523" s="1593"/>
      <c r="AO523" s="1593"/>
      <c r="AP523" s="1593"/>
      <c r="AQ523" s="1593"/>
      <c r="AR523" s="1593"/>
      <c r="AS523" s="1593"/>
      <c r="AT523" s="1593"/>
      <c r="AU523" s="1593"/>
      <c r="AV523" s="1593"/>
      <c r="AW523" s="1593"/>
      <c r="AX523" s="1593"/>
      <c r="AY523" s="1593"/>
      <c r="AZ523" s="1593"/>
      <c r="BA523" s="1593"/>
      <c r="BB523" s="1593"/>
      <c r="BC523" s="1593"/>
      <c r="BD523" s="1593"/>
      <c r="BE523" s="1593"/>
      <c r="BF523" s="1593"/>
      <c r="BG523" s="1593"/>
      <c r="BH523" s="1593"/>
      <c r="BI523" s="1593"/>
      <c r="BJ523" s="1593"/>
      <c r="BK523" s="1593"/>
      <c r="BL523" s="1593"/>
      <c r="BM523" s="1593"/>
      <c r="BN523" s="1593"/>
      <c r="BO523" s="1593"/>
      <c r="BP523" s="1593"/>
      <c r="BQ523" s="1593"/>
      <c r="BR523" s="1593"/>
      <c r="BS523" s="1593"/>
      <c r="BT523" s="356"/>
      <c r="BU523" s="357"/>
      <c r="BV523" s="310"/>
      <c r="BW523" s="310"/>
      <c r="BX523" s="291">
        <f t="shared" si="1"/>
        <v>0</v>
      </c>
      <c r="BY523" s="344"/>
      <c r="BZ523" s="347"/>
      <c r="CA523" s="347"/>
    </row>
    <row r="524" spans="1:79" ht="12.95" hidden="1" customHeight="1" x14ac:dyDescent="0.25">
      <c r="A524" s="369"/>
      <c r="B524" s="340"/>
      <c r="C524" s="404"/>
      <c r="D524" s="354"/>
      <c r="E524" s="354"/>
      <c r="F524" s="354"/>
      <c r="G524" s="354"/>
      <c r="H524" s="354"/>
      <c r="I524" s="354"/>
      <c r="J524" s="354"/>
      <c r="K524" s="354"/>
      <c r="L524" s="354"/>
      <c r="M524" s="354"/>
      <c r="N524" s="354"/>
      <c r="O524" s="354"/>
      <c r="P524" s="354"/>
      <c r="Q524" s="354"/>
      <c r="R524" s="354"/>
      <c r="S524" s="354"/>
      <c r="T524" s="354"/>
      <c r="U524" s="342"/>
      <c r="V524" s="342"/>
      <c r="W524" s="363"/>
      <c r="X524" s="363"/>
      <c r="Y524" s="363"/>
      <c r="Z524" s="363"/>
      <c r="AA524" s="363"/>
      <c r="AB524" s="363"/>
      <c r="AC524" s="355"/>
      <c r="AD524" s="363"/>
      <c r="AE524" s="363"/>
      <c r="AF524" s="363"/>
      <c r="AG524" s="363"/>
      <c r="AH524" s="363"/>
      <c r="AI524" s="363"/>
      <c r="AJ524" s="344"/>
      <c r="AK524" s="345"/>
      <c r="AL524" s="340"/>
      <c r="AM524" s="388"/>
      <c r="AN524" s="386"/>
      <c r="AO524" s="386"/>
      <c r="AP524" s="386"/>
      <c r="AQ524" s="386"/>
      <c r="AR524" s="386"/>
      <c r="AS524" s="386"/>
      <c r="AT524" s="386"/>
      <c r="AU524" s="386"/>
      <c r="AV524" s="386"/>
      <c r="AW524" s="386"/>
      <c r="AX524" s="386"/>
      <c r="AY524" s="386"/>
      <c r="AZ524" s="386"/>
      <c r="BA524" s="386"/>
      <c r="BB524" s="386"/>
      <c r="BC524" s="386"/>
      <c r="BD524" s="386"/>
      <c r="BE524" s="389"/>
      <c r="BF524" s="389"/>
      <c r="BG524" s="363"/>
      <c r="BH524" s="363"/>
      <c r="BI524" s="363"/>
      <c r="BJ524" s="363"/>
      <c r="BK524" s="363"/>
      <c r="BL524" s="363"/>
      <c r="BM524" s="355"/>
      <c r="BN524" s="363"/>
      <c r="BO524" s="363"/>
      <c r="BP524" s="363"/>
      <c r="BQ524" s="363"/>
      <c r="BR524" s="363"/>
      <c r="BS524" s="363"/>
      <c r="BT524" s="356"/>
      <c r="BU524" s="357"/>
      <c r="BV524" s="310"/>
      <c r="BW524" s="310"/>
      <c r="BX524" s="291">
        <f t="shared" si="1"/>
        <v>0</v>
      </c>
      <c r="BY524" s="344"/>
      <c r="BZ524" s="347"/>
      <c r="CA524" s="347"/>
    </row>
    <row r="525" spans="1:79" ht="15" hidden="1" customHeight="1" x14ac:dyDescent="0.25">
      <c r="A525" s="369"/>
      <c r="B525" s="340"/>
      <c r="C525" s="1590" t="str">
        <f>CONCATENATE("Các giao dịch trọng yếu giữa ",LoaiCT_V," và công ty con, liên doanh, liên kết trong năm: Xem Thuyết minh ",STT_BenLQ,".")</f>
        <v>Các giao dịch trọng yếu giữa Công ty và công ty con, liên doanh, liên kết trong năm: Xem Thuyết minh 37.</v>
      </c>
      <c r="D525" s="1590"/>
      <c r="E525" s="1590"/>
      <c r="F525" s="1590"/>
      <c r="G525" s="1590"/>
      <c r="H525" s="1590"/>
      <c r="I525" s="1590"/>
      <c r="J525" s="1590"/>
      <c r="K525" s="1590"/>
      <c r="L525" s="1590"/>
      <c r="M525" s="1590"/>
      <c r="N525" s="1590"/>
      <c r="O525" s="1590"/>
      <c r="P525" s="1590"/>
      <c r="Q525" s="1590"/>
      <c r="R525" s="1590"/>
      <c r="S525" s="1590"/>
      <c r="T525" s="1590"/>
      <c r="U525" s="1590"/>
      <c r="V525" s="1590"/>
      <c r="W525" s="1590"/>
      <c r="X525" s="1590"/>
      <c r="Y525" s="1590"/>
      <c r="Z525" s="1590"/>
      <c r="AA525" s="1590"/>
      <c r="AB525" s="1590"/>
      <c r="AC525" s="1590"/>
      <c r="AD525" s="1590"/>
      <c r="AE525" s="1590"/>
      <c r="AF525" s="1590"/>
      <c r="AG525" s="1590"/>
      <c r="AH525" s="1590"/>
      <c r="AI525" s="1590"/>
      <c r="AJ525" s="344"/>
      <c r="AK525" s="345"/>
      <c r="AL525" s="340"/>
      <c r="AM525" s="1590" t="str">
        <f>CONCATENATE("Major transactions between the ",LoaiCT_E," and the company’s subsidiaries, joint ventures and associates during the year: details as in Notes No. ",STT_BenLQ,".")</f>
        <v>Major transactions between the Corporation and the company’s subsidiaries, joint ventures and associates during the year: details as in Notes No. 37.</v>
      </c>
      <c r="AN525" s="1590"/>
      <c r="AO525" s="1590"/>
      <c r="AP525" s="1590"/>
      <c r="AQ525" s="1590"/>
      <c r="AR525" s="1590"/>
      <c r="AS525" s="1590"/>
      <c r="AT525" s="1590"/>
      <c r="AU525" s="1590"/>
      <c r="AV525" s="1590"/>
      <c r="AW525" s="1590"/>
      <c r="AX525" s="1590"/>
      <c r="AY525" s="1590"/>
      <c r="AZ525" s="1590"/>
      <c r="BA525" s="1590"/>
      <c r="BB525" s="1590"/>
      <c r="BC525" s="1590"/>
      <c r="BD525" s="1590"/>
      <c r="BE525" s="1590"/>
      <c r="BF525" s="1590"/>
      <c r="BG525" s="1590"/>
      <c r="BH525" s="1590"/>
      <c r="BI525" s="1590"/>
      <c r="BJ525" s="1590"/>
      <c r="BK525" s="1590"/>
      <c r="BL525" s="1590"/>
      <c r="BM525" s="1590"/>
      <c r="BN525" s="1590"/>
      <c r="BO525" s="1590"/>
      <c r="BP525" s="1590"/>
      <c r="BQ525" s="1590"/>
      <c r="BR525" s="1590"/>
      <c r="BS525" s="1590"/>
      <c r="BT525" s="356"/>
      <c r="BU525" s="357"/>
      <c r="BV525" s="310"/>
      <c r="BW525" s="310"/>
      <c r="BX525" s="291">
        <f t="shared" si="1"/>
        <v>0</v>
      </c>
      <c r="BY525" s="344"/>
      <c r="BZ525" s="347"/>
      <c r="CA525" s="347"/>
    </row>
    <row r="526" spans="1:79" ht="12.95" hidden="1" customHeight="1" x14ac:dyDescent="0.25">
      <c r="A526" s="369"/>
      <c r="B526" s="340"/>
      <c r="C526" s="405"/>
      <c r="D526" s="354"/>
      <c r="E526" s="354"/>
      <c r="F526" s="354"/>
      <c r="G526" s="354"/>
      <c r="H526" s="354"/>
      <c r="I526" s="354"/>
      <c r="J526" s="354"/>
      <c r="K526" s="354"/>
      <c r="L526" s="354"/>
      <c r="M526" s="354"/>
      <c r="N526" s="354"/>
      <c r="O526" s="354"/>
      <c r="P526" s="354"/>
      <c r="Q526" s="354"/>
      <c r="R526" s="354"/>
      <c r="S526" s="354"/>
      <c r="T526" s="354"/>
      <c r="U526" s="342"/>
      <c r="V526" s="342"/>
      <c r="W526" s="363"/>
      <c r="X526" s="363"/>
      <c r="Y526" s="363"/>
      <c r="Z526" s="363"/>
      <c r="AA526" s="363"/>
      <c r="AB526" s="363"/>
      <c r="AC526" s="355"/>
      <c r="AD526" s="363"/>
      <c r="AE526" s="363"/>
      <c r="AF526" s="363"/>
      <c r="AG526" s="363"/>
      <c r="AH526" s="363"/>
      <c r="AI526" s="363"/>
      <c r="AJ526" s="344"/>
      <c r="AK526" s="345"/>
      <c r="AL526" s="340"/>
      <c r="AM526" s="405"/>
      <c r="AN526" s="354"/>
      <c r="AO526" s="354"/>
      <c r="AP526" s="354"/>
      <c r="AQ526" s="354"/>
      <c r="AR526" s="354"/>
      <c r="AS526" s="354"/>
      <c r="AT526" s="354"/>
      <c r="AU526" s="354"/>
      <c r="AV526" s="354"/>
      <c r="AW526" s="354"/>
      <c r="AX526" s="354"/>
      <c r="AY526" s="354"/>
      <c r="AZ526" s="354"/>
      <c r="BA526" s="354"/>
      <c r="BB526" s="354"/>
      <c r="BC526" s="354"/>
      <c r="BD526" s="354"/>
      <c r="BE526" s="342"/>
      <c r="BF526" s="342"/>
      <c r="BG526" s="363"/>
      <c r="BH526" s="363"/>
      <c r="BI526" s="363"/>
      <c r="BJ526" s="363"/>
      <c r="BK526" s="363"/>
      <c r="BL526" s="363"/>
      <c r="BM526" s="355"/>
      <c r="BN526" s="363"/>
      <c r="BO526" s="363"/>
      <c r="BP526" s="363"/>
      <c r="BQ526" s="363"/>
      <c r="BR526" s="363"/>
      <c r="BS526" s="363"/>
      <c r="BT526" s="356"/>
      <c r="BU526" s="357"/>
      <c r="BV526" s="310"/>
      <c r="BW526" s="310"/>
      <c r="BX526" s="291">
        <f>IF(ISNONTEXT($C526),0,SUM(D526:AI526)-SUM(AN526:BS526))</f>
        <v>0</v>
      </c>
      <c r="BY526" s="344"/>
      <c r="BZ526" s="347"/>
      <c r="CA526" s="347"/>
    </row>
    <row r="527" spans="1:79" ht="15" hidden="1" customHeight="1" x14ac:dyDescent="0.25">
      <c r="A527" s="369"/>
      <c r="B527" s="340"/>
      <c r="C527" s="405" t="s">
        <v>811</v>
      </c>
      <c r="D527" s="354"/>
      <c r="E527" s="354"/>
      <c r="F527" s="354"/>
      <c r="G527" s="354"/>
      <c r="H527" s="354"/>
      <c r="I527" s="354"/>
      <c r="J527" s="354"/>
      <c r="K527" s="354"/>
      <c r="L527" s="354"/>
      <c r="M527" s="354"/>
      <c r="N527" s="354"/>
      <c r="O527" s="414"/>
      <c r="P527" s="414"/>
      <c r="Q527" s="414"/>
      <c r="R527" s="414"/>
      <c r="S527" s="414"/>
      <c r="T527" s="414"/>
      <c r="U527" s="414"/>
      <c r="V527" s="342"/>
      <c r="W527" s="355"/>
      <c r="X527" s="355"/>
      <c r="Y527" s="355"/>
      <c r="Z527" s="355"/>
      <c r="AA527" s="355"/>
      <c r="AB527" s="355"/>
      <c r="AC527" s="355"/>
      <c r="AD527" s="355"/>
      <c r="AE527" s="355"/>
      <c r="AF527" s="355"/>
      <c r="AG527" s="355"/>
      <c r="AH527" s="355"/>
      <c r="AI527" s="355"/>
      <c r="AJ527" s="344"/>
      <c r="AK527" s="345"/>
      <c r="AL527" s="340"/>
      <c r="AM527" s="405" t="s">
        <v>773</v>
      </c>
      <c r="AN527" s="354"/>
      <c r="AO527" s="354"/>
      <c r="AP527" s="354"/>
      <c r="AQ527" s="354"/>
      <c r="AR527" s="354"/>
      <c r="AS527" s="354"/>
      <c r="AT527" s="354"/>
      <c r="AU527" s="354"/>
      <c r="AV527" s="354"/>
      <c r="AW527" s="354"/>
      <c r="AX527" s="354"/>
      <c r="AY527" s="414"/>
      <c r="AZ527" s="414"/>
      <c r="BA527" s="414"/>
      <c r="BB527" s="414"/>
      <c r="BC527" s="414"/>
      <c r="BD527" s="414"/>
      <c r="BE527" s="414"/>
      <c r="BF527" s="342"/>
      <c r="BG527" s="355"/>
      <c r="BH527" s="355"/>
      <c r="BI527" s="355"/>
      <c r="BJ527" s="355"/>
      <c r="BK527" s="355"/>
      <c r="BL527" s="355"/>
      <c r="BM527" s="355"/>
      <c r="BN527" s="355"/>
      <c r="BO527" s="355"/>
      <c r="BP527" s="355"/>
      <c r="BQ527" s="355"/>
      <c r="BR527" s="355"/>
      <c r="BS527" s="355"/>
      <c r="BT527" s="356"/>
      <c r="BU527" s="357"/>
      <c r="BV527" s="310"/>
      <c r="BW527" s="310"/>
      <c r="BX527" s="291">
        <f t="shared" ref="BX527:BX591" si="3">IF(ISNONTEXT($C527),0,SUM(D527:AI527)-SUM(AN527:BS527))</f>
        <v>0</v>
      </c>
      <c r="BY527" s="344"/>
      <c r="BZ527" s="347"/>
      <c r="CA527" s="347"/>
    </row>
    <row r="528" spans="1:79" ht="15" hidden="1" customHeight="1" x14ac:dyDescent="0.25">
      <c r="A528" s="369"/>
      <c r="B528" s="340"/>
      <c r="C528" s="392" t="str">
        <f>CONCATENATE("Thông tin chi tiết về các khoản đầu tư khác của ",LoaiCT_V," vào ngày ",Ky_Nay1_V," như sau:")</f>
        <v>Thông tin chi tiết về các khoản đầu tư khác của Công ty vào ngày 31/12/2017 như sau:</v>
      </c>
      <c r="D528" s="392"/>
      <c r="E528" s="392"/>
      <c r="F528" s="392"/>
      <c r="G528" s="392"/>
      <c r="H528" s="392"/>
      <c r="I528" s="392"/>
      <c r="J528" s="392"/>
      <c r="K528" s="392"/>
      <c r="L528" s="392"/>
      <c r="M528" s="392"/>
      <c r="N528" s="392"/>
      <c r="O528" s="392"/>
      <c r="P528" s="392"/>
      <c r="Q528" s="392"/>
      <c r="R528" s="392"/>
      <c r="S528" s="392"/>
      <c r="T528" s="392"/>
      <c r="U528" s="392"/>
      <c r="V528" s="392"/>
      <c r="W528" s="393"/>
      <c r="X528" s="393"/>
      <c r="Y528" s="393"/>
      <c r="Z528" s="393"/>
      <c r="AA528" s="393"/>
      <c r="AB528" s="393"/>
      <c r="AC528" s="343"/>
      <c r="AD528" s="343"/>
      <c r="AE528" s="343"/>
      <c r="AF528" s="343"/>
      <c r="AG528" s="343"/>
      <c r="AH528" s="343"/>
      <c r="AI528" s="343"/>
      <c r="AJ528" s="344"/>
      <c r="AK528" s="345"/>
      <c r="AL528" s="340"/>
      <c r="AM528" s="392" t="str">
        <f>CONCATENATE("Detail information on the ",LoaiCT_E,"’s other investments as at 31 December 2015 as follows:")</f>
        <v>Detail information on the Corporation’s other investments as at 31 December 2015 as follows:</v>
      </c>
      <c r="AN528" s="392"/>
      <c r="AO528" s="392"/>
      <c r="AP528" s="392"/>
      <c r="AQ528" s="392"/>
      <c r="AR528" s="392"/>
      <c r="AS528" s="392"/>
      <c r="AT528" s="392"/>
      <c r="AU528" s="392"/>
      <c r="AV528" s="392"/>
      <c r="AW528" s="392"/>
      <c r="AX528" s="392"/>
      <c r="AY528" s="392"/>
      <c r="AZ528" s="392"/>
      <c r="BA528" s="392"/>
      <c r="BB528" s="392"/>
      <c r="BC528" s="392"/>
      <c r="BD528" s="392"/>
      <c r="BE528" s="392"/>
      <c r="BF528" s="392"/>
      <c r="BG528" s="393"/>
      <c r="BH528" s="393"/>
      <c r="BI528" s="393"/>
      <c r="BJ528" s="393"/>
      <c r="BK528" s="393"/>
      <c r="BL528" s="393"/>
      <c r="BM528" s="343"/>
      <c r="BN528" s="343"/>
      <c r="BO528" s="343"/>
      <c r="BP528" s="343"/>
      <c r="BQ528" s="343"/>
      <c r="BR528" s="343"/>
      <c r="BS528" s="343"/>
      <c r="BT528" s="356"/>
      <c r="BU528" s="357"/>
      <c r="BV528" s="310"/>
      <c r="BW528" s="310"/>
      <c r="BX528" s="291">
        <f t="shared" si="3"/>
        <v>0</v>
      </c>
      <c r="BY528" s="344"/>
      <c r="BZ528" s="347"/>
      <c r="CA528" s="347"/>
    </row>
    <row r="529" spans="1:84" ht="56.1" hidden="1" customHeight="1" x14ac:dyDescent="0.2">
      <c r="A529" s="369"/>
      <c r="B529" s="340"/>
      <c r="C529" s="1591" t="s">
        <v>786</v>
      </c>
      <c r="D529" s="1591"/>
      <c r="E529" s="1591"/>
      <c r="F529" s="1591"/>
      <c r="G529" s="1591"/>
      <c r="H529" s="1591"/>
      <c r="I529" s="1591"/>
      <c r="J529" s="1591"/>
      <c r="K529" s="1591"/>
      <c r="L529" s="1591"/>
      <c r="M529" s="1591"/>
      <c r="N529" s="1591"/>
      <c r="O529" s="394"/>
      <c r="P529" s="1591" t="s">
        <v>787</v>
      </c>
      <c r="Q529" s="1591"/>
      <c r="R529" s="1591"/>
      <c r="S529" s="1591"/>
      <c r="T529" s="1591"/>
      <c r="U529" s="395"/>
      <c r="V529" s="1587" t="s">
        <v>788</v>
      </c>
      <c r="W529" s="1587"/>
      <c r="X529" s="1587"/>
      <c r="Y529" s="395"/>
      <c r="Z529" s="1587" t="s">
        <v>789</v>
      </c>
      <c r="AA529" s="1587"/>
      <c r="AB529" s="1587"/>
      <c r="AC529" s="395"/>
      <c r="AD529" s="1588" t="s">
        <v>366</v>
      </c>
      <c r="AE529" s="1588"/>
      <c r="AF529" s="1588"/>
      <c r="AG529" s="1588"/>
      <c r="AH529" s="1588"/>
      <c r="AI529" s="1588"/>
      <c r="AJ529" s="344"/>
      <c r="AK529" s="345"/>
      <c r="AL529" s="340"/>
      <c r="AM529" s="1591" t="s">
        <v>812</v>
      </c>
      <c r="AN529" s="1591"/>
      <c r="AO529" s="1591"/>
      <c r="AP529" s="1591"/>
      <c r="AQ529" s="1591"/>
      <c r="AR529" s="1591"/>
      <c r="AS529" s="1591"/>
      <c r="AT529" s="1591"/>
      <c r="AU529" s="1591"/>
      <c r="AV529" s="1591"/>
      <c r="AW529" s="1591"/>
      <c r="AX529" s="1591"/>
      <c r="AY529" s="394"/>
      <c r="AZ529" s="1591" t="s">
        <v>803</v>
      </c>
      <c r="BA529" s="1591"/>
      <c r="BB529" s="1591"/>
      <c r="BC529" s="1591"/>
      <c r="BD529" s="1591"/>
      <c r="BE529" s="395"/>
      <c r="BF529" s="1587" t="s">
        <v>804</v>
      </c>
      <c r="BG529" s="1587"/>
      <c r="BH529" s="1587"/>
      <c r="BI529" s="395"/>
      <c r="BJ529" s="1587" t="s">
        <v>805</v>
      </c>
      <c r="BK529" s="1587"/>
      <c r="BL529" s="1587"/>
      <c r="BM529" s="395"/>
      <c r="BN529" s="1588" t="s">
        <v>368</v>
      </c>
      <c r="BO529" s="1588"/>
      <c r="BP529" s="1588"/>
      <c r="BQ529" s="1588"/>
      <c r="BR529" s="1588"/>
      <c r="BS529" s="1588"/>
      <c r="BT529" s="356"/>
      <c r="BU529" s="357"/>
      <c r="BV529" s="310"/>
      <c r="BW529" s="310"/>
      <c r="BX529" s="291">
        <f t="shared" si="3"/>
        <v>0</v>
      </c>
      <c r="BY529" s="344"/>
      <c r="BZ529" s="347"/>
      <c r="CA529" s="347"/>
    </row>
    <row r="530" spans="1:84" ht="15" hidden="1" customHeight="1" x14ac:dyDescent="0.25">
      <c r="A530" s="369"/>
      <c r="B530" s="340"/>
      <c r="C530" s="1589" t="s">
        <v>792</v>
      </c>
      <c r="D530" s="1589"/>
      <c r="E530" s="1589"/>
      <c r="F530" s="1589"/>
      <c r="G530" s="1589"/>
      <c r="H530" s="1589"/>
      <c r="I530" s="1589"/>
      <c r="J530" s="1589"/>
      <c r="K530" s="1589"/>
      <c r="L530" s="1589"/>
      <c r="M530" s="1589"/>
      <c r="N530" s="1589"/>
      <c r="O530" s="407"/>
      <c r="P530" s="1589" t="s">
        <v>806</v>
      </c>
      <c r="Q530" s="1589"/>
      <c r="R530" s="1589"/>
      <c r="S530" s="1589"/>
      <c r="T530" s="1589"/>
      <c r="U530" s="400"/>
      <c r="V530" s="1580">
        <v>0.8</v>
      </c>
      <c r="W530" s="1580"/>
      <c r="X530" s="1580"/>
      <c r="Y530" s="400"/>
      <c r="Z530" s="1580">
        <v>1</v>
      </c>
      <c r="AA530" s="1580"/>
      <c r="AB530" s="1580"/>
      <c r="AC530" s="393"/>
      <c r="AD530" s="1581" t="s">
        <v>807</v>
      </c>
      <c r="AE530" s="1581"/>
      <c r="AF530" s="1581"/>
      <c r="AG530" s="1581"/>
      <c r="AH530" s="1581"/>
      <c r="AI530" s="1581"/>
      <c r="AJ530" s="344"/>
      <c r="AK530" s="345"/>
      <c r="AL530" s="340"/>
      <c r="AM530" s="1589" t="s">
        <v>792</v>
      </c>
      <c r="AN530" s="1589"/>
      <c r="AO530" s="1589"/>
      <c r="AP530" s="1589"/>
      <c r="AQ530" s="1589"/>
      <c r="AR530" s="1589"/>
      <c r="AS530" s="1589"/>
      <c r="AT530" s="1589"/>
      <c r="AU530" s="1589"/>
      <c r="AV530" s="1589"/>
      <c r="AW530" s="1589"/>
      <c r="AX530" s="1589"/>
      <c r="AY530" s="407"/>
      <c r="AZ530" s="1589" t="s">
        <v>806</v>
      </c>
      <c r="BA530" s="1589"/>
      <c r="BB530" s="1589"/>
      <c r="BC530" s="1589"/>
      <c r="BD530" s="1589"/>
      <c r="BE530" s="400"/>
      <c r="BF530" s="1580">
        <f>V530</f>
        <v>0.8</v>
      </c>
      <c r="BG530" s="1580"/>
      <c r="BH530" s="1580"/>
      <c r="BI530" s="400"/>
      <c r="BJ530" s="1580">
        <f>Z530</f>
        <v>1</v>
      </c>
      <c r="BK530" s="1580"/>
      <c r="BL530" s="1580"/>
      <c r="BM530" s="393"/>
      <c r="BN530" s="1581" t="s">
        <v>807</v>
      </c>
      <c r="BO530" s="1581"/>
      <c r="BP530" s="1581"/>
      <c r="BQ530" s="1581"/>
      <c r="BR530" s="1581"/>
      <c r="BS530" s="1581"/>
      <c r="BT530" s="356"/>
      <c r="BU530" s="357"/>
      <c r="BV530" s="310"/>
      <c r="BW530" s="310"/>
      <c r="BX530" s="291">
        <f t="shared" si="3"/>
        <v>0</v>
      </c>
      <c r="BY530" s="344"/>
      <c r="BZ530" s="347"/>
      <c r="CA530" s="347"/>
    </row>
    <row r="531" spans="1:84" ht="15" hidden="1" customHeight="1" x14ac:dyDescent="0.25">
      <c r="A531" s="369"/>
      <c r="B531" s="340"/>
      <c r="C531" s="1586" t="s">
        <v>792</v>
      </c>
      <c r="D531" s="1586"/>
      <c r="E531" s="1586"/>
      <c r="F531" s="1586"/>
      <c r="G531" s="1586"/>
      <c r="H531" s="1586"/>
      <c r="I531" s="1586"/>
      <c r="J531" s="1586"/>
      <c r="K531" s="1586"/>
      <c r="L531" s="1586"/>
      <c r="M531" s="1586"/>
      <c r="N531" s="1586"/>
      <c r="O531" s="407"/>
      <c r="P531" s="1586" t="s">
        <v>806</v>
      </c>
      <c r="Q531" s="1586"/>
      <c r="R531" s="1586"/>
      <c r="S531" s="1586"/>
      <c r="T531" s="1586"/>
      <c r="U531" s="400"/>
      <c r="V531" s="1580">
        <v>0.8</v>
      </c>
      <c r="W531" s="1580"/>
      <c r="X531" s="1580"/>
      <c r="Y531" s="400"/>
      <c r="Z531" s="1580">
        <v>1</v>
      </c>
      <c r="AA531" s="1580"/>
      <c r="AB531" s="1580"/>
      <c r="AC531" s="393"/>
      <c r="AD531" s="1581" t="s">
        <v>807</v>
      </c>
      <c r="AE531" s="1581"/>
      <c r="AF531" s="1581"/>
      <c r="AG531" s="1581"/>
      <c r="AH531" s="1581"/>
      <c r="AI531" s="1581"/>
      <c r="AJ531" s="344"/>
      <c r="AK531" s="345"/>
      <c r="AL531" s="340"/>
      <c r="AM531" s="1586" t="s">
        <v>792</v>
      </c>
      <c r="AN531" s="1586"/>
      <c r="AO531" s="1586"/>
      <c r="AP531" s="1586"/>
      <c r="AQ531" s="1586"/>
      <c r="AR531" s="1586"/>
      <c r="AS531" s="1586"/>
      <c r="AT531" s="1586"/>
      <c r="AU531" s="1586"/>
      <c r="AV531" s="1586"/>
      <c r="AW531" s="1586"/>
      <c r="AX531" s="1586"/>
      <c r="AY531" s="407"/>
      <c r="AZ531" s="1586" t="s">
        <v>806</v>
      </c>
      <c r="BA531" s="1586"/>
      <c r="BB531" s="1586"/>
      <c r="BC531" s="1586"/>
      <c r="BD531" s="1586"/>
      <c r="BE531" s="400"/>
      <c r="BF531" s="1580">
        <f>V531</f>
        <v>0.8</v>
      </c>
      <c r="BG531" s="1580"/>
      <c r="BH531" s="1580"/>
      <c r="BI531" s="400"/>
      <c r="BJ531" s="1580">
        <f>Z531</f>
        <v>1</v>
      </c>
      <c r="BK531" s="1580"/>
      <c r="BL531" s="1580"/>
      <c r="BM531" s="393"/>
      <c r="BN531" s="1581" t="s">
        <v>807</v>
      </c>
      <c r="BO531" s="1581"/>
      <c r="BP531" s="1581"/>
      <c r="BQ531" s="1581"/>
      <c r="BR531" s="1581"/>
      <c r="BS531" s="1581"/>
      <c r="BT531" s="356"/>
      <c r="BU531" s="357"/>
      <c r="BV531" s="310"/>
      <c r="BW531" s="310"/>
      <c r="BX531" s="291">
        <f t="shared" si="3"/>
        <v>0</v>
      </c>
      <c r="BY531" s="344"/>
      <c r="BZ531" s="347"/>
      <c r="CA531" s="347"/>
    </row>
    <row r="532" spans="1:84" ht="12.95" hidden="1" customHeight="1" x14ac:dyDescent="0.25">
      <c r="A532" s="369"/>
      <c r="B532" s="340"/>
      <c r="C532" s="415"/>
      <c r="D532" s="354"/>
      <c r="E532" s="354"/>
      <c r="F532" s="354"/>
      <c r="G532" s="354"/>
      <c r="H532" s="354"/>
      <c r="I532" s="354"/>
      <c r="J532" s="354"/>
      <c r="K532" s="354"/>
      <c r="L532" s="354"/>
      <c r="M532" s="354"/>
      <c r="N532" s="354"/>
      <c r="O532" s="414"/>
      <c r="P532" s="414"/>
      <c r="Q532" s="414"/>
      <c r="R532" s="414"/>
      <c r="S532" s="414"/>
      <c r="T532" s="414"/>
      <c r="U532" s="414"/>
      <c r="V532" s="342"/>
      <c r="W532" s="355"/>
      <c r="X532" s="355"/>
      <c r="Y532" s="355"/>
      <c r="Z532" s="355"/>
      <c r="AA532" s="355"/>
      <c r="AB532" s="355"/>
      <c r="AC532" s="355"/>
      <c r="AD532" s="355"/>
      <c r="AE532" s="355"/>
      <c r="AF532" s="355"/>
      <c r="AG532" s="355"/>
      <c r="AH532" s="355"/>
      <c r="AI532" s="355"/>
      <c r="AJ532" s="344"/>
      <c r="AK532" s="345"/>
      <c r="AL532" s="340"/>
      <c r="AM532" s="415"/>
      <c r="AN532" s="354"/>
      <c r="AO532" s="354"/>
      <c r="AP532" s="354"/>
      <c r="AQ532" s="354"/>
      <c r="AR532" s="354"/>
      <c r="AS532" s="354"/>
      <c r="AT532" s="354"/>
      <c r="AU532" s="354"/>
      <c r="AV532" s="354"/>
      <c r="AW532" s="354"/>
      <c r="AX532" s="354"/>
      <c r="AY532" s="414"/>
      <c r="AZ532" s="414"/>
      <c r="BA532" s="414"/>
      <c r="BB532" s="414"/>
      <c r="BC532" s="414"/>
      <c r="BD532" s="414"/>
      <c r="BE532" s="414"/>
      <c r="BF532" s="342"/>
      <c r="BG532" s="355"/>
      <c r="BH532" s="355"/>
      <c r="BI532" s="355"/>
      <c r="BJ532" s="355"/>
      <c r="BK532" s="355"/>
      <c r="BL532" s="355"/>
      <c r="BM532" s="355"/>
      <c r="BN532" s="355"/>
      <c r="BO532" s="355"/>
      <c r="BP532" s="355"/>
      <c r="BQ532" s="355"/>
      <c r="BR532" s="355"/>
      <c r="BS532" s="355"/>
      <c r="BT532" s="356"/>
      <c r="BU532" s="357"/>
      <c r="BV532" s="310"/>
      <c r="BW532" s="310"/>
      <c r="BX532" s="291">
        <f t="shared" si="3"/>
        <v>0</v>
      </c>
      <c r="BY532" s="344"/>
      <c r="BZ532" s="347"/>
      <c r="CA532" s="347"/>
    </row>
    <row r="533" spans="1:84" ht="15" hidden="1" customHeight="1" x14ac:dyDescent="0.2">
      <c r="A533" s="369"/>
      <c r="B533" s="340"/>
      <c r="C533" s="416" t="s">
        <v>813</v>
      </c>
      <c r="D533" s="354"/>
      <c r="E533" s="354"/>
      <c r="F533" s="354"/>
      <c r="G533" s="354"/>
      <c r="H533" s="354"/>
      <c r="I533" s="354"/>
      <c r="J533" s="354"/>
      <c r="K533" s="354"/>
      <c r="L533" s="354"/>
      <c r="M533" s="354"/>
      <c r="N533" s="354"/>
      <c r="O533" s="414"/>
      <c r="P533" s="414"/>
      <c r="Q533" s="414"/>
      <c r="R533" s="414"/>
      <c r="S533" s="414"/>
      <c r="T533" s="414"/>
      <c r="U533" s="414"/>
      <c r="V533" s="342"/>
      <c r="W533" s="355"/>
      <c r="X533" s="355"/>
      <c r="Y533" s="355"/>
      <c r="Z533" s="355"/>
      <c r="AA533" s="355"/>
      <c r="AB533" s="355"/>
      <c r="AC533" s="355"/>
      <c r="AD533" s="355"/>
      <c r="AE533" s="355"/>
      <c r="AF533" s="355"/>
      <c r="AG533" s="355"/>
      <c r="AH533" s="355"/>
      <c r="AI533" s="355"/>
      <c r="AJ533" s="344"/>
      <c r="AK533" s="345"/>
      <c r="AL533" s="340"/>
      <c r="AM533" s="1582" t="s">
        <v>814</v>
      </c>
      <c r="AN533" s="1582"/>
      <c r="AO533" s="1582"/>
      <c r="AP533" s="1582"/>
      <c r="AQ533" s="1582"/>
      <c r="AR533" s="1582"/>
      <c r="AS533" s="1582"/>
      <c r="AT533" s="1582"/>
      <c r="AU533" s="1582"/>
      <c r="AV533" s="1582"/>
      <c r="AW533" s="1582"/>
      <c r="AX533" s="1582"/>
      <c r="AY533" s="1582"/>
      <c r="AZ533" s="1582"/>
      <c r="BA533" s="1582"/>
      <c r="BB533" s="1582"/>
      <c r="BC533" s="1582"/>
      <c r="BD533" s="1582"/>
      <c r="BE533" s="1582"/>
      <c r="BF533" s="1582"/>
      <c r="BG533" s="1582"/>
      <c r="BH533" s="1582"/>
      <c r="BI533" s="1582"/>
      <c r="BJ533" s="1582"/>
      <c r="BK533" s="1582"/>
      <c r="BL533" s="1582"/>
      <c r="BM533" s="1582"/>
      <c r="BN533" s="1582"/>
      <c r="BO533" s="1582"/>
      <c r="BP533" s="1582"/>
      <c r="BQ533" s="1582"/>
      <c r="BR533" s="1582"/>
      <c r="BS533" s="1582"/>
      <c r="BT533" s="356"/>
      <c r="BU533" s="357"/>
      <c r="BV533" s="310"/>
      <c r="BW533" s="310"/>
      <c r="BX533" s="291">
        <f t="shared" si="3"/>
        <v>0</v>
      </c>
      <c r="BY533" s="344"/>
      <c r="BZ533" s="347"/>
      <c r="CA533" s="347"/>
    </row>
    <row r="534" spans="1:84" ht="15" hidden="1" customHeight="1" x14ac:dyDescent="0.25">
      <c r="A534" s="369"/>
      <c r="B534" s="340"/>
      <c r="C534" s="417" t="s">
        <v>815</v>
      </c>
      <c r="D534" s="354"/>
      <c r="E534" s="354"/>
      <c r="F534" s="354"/>
      <c r="G534" s="354"/>
      <c r="H534" s="354"/>
      <c r="I534" s="354"/>
      <c r="J534" s="354"/>
      <c r="K534" s="354"/>
      <c r="L534" s="354"/>
      <c r="M534" s="354"/>
      <c r="N534" s="354"/>
      <c r="O534" s="414"/>
      <c r="P534" s="414"/>
      <c r="Q534" s="414"/>
      <c r="R534" s="414"/>
      <c r="S534" s="414"/>
      <c r="T534" s="414"/>
      <c r="U534" s="414"/>
      <c r="V534" s="342"/>
      <c r="W534" s="355"/>
      <c r="X534" s="355"/>
      <c r="Y534" s="355"/>
      <c r="Z534" s="355"/>
      <c r="AA534" s="355"/>
      <c r="AB534" s="355"/>
      <c r="AC534" s="355"/>
      <c r="AD534" s="355"/>
      <c r="AE534" s="355"/>
      <c r="AF534" s="355"/>
      <c r="AG534" s="355"/>
      <c r="AH534" s="355"/>
      <c r="AI534" s="355"/>
      <c r="AJ534" s="344"/>
      <c r="AK534" s="345"/>
      <c r="AL534" s="340"/>
      <c r="AM534" s="1583" t="s">
        <v>796</v>
      </c>
      <c r="AN534" s="1582"/>
      <c r="AO534" s="1582"/>
      <c r="AP534" s="1582"/>
      <c r="AQ534" s="1582"/>
      <c r="AR534" s="1582"/>
      <c r="AS534" s="1582"/>
      <c r="AT534" s="1582"/>
      <c r="AU534" s="1582"/>
      <c r="AV534" s="1582"/>
      <c r="AW534" s="1582"/>
      <c r="AX534" s="1582"/>
      <c r="AY534" s="1582"/>
      <c r="AZ534" s="1582"/>
      <c r="BA534" s="1582"/>
      <c r="BB534" s="1582"/>
      <c r="BC534" s="1582"/>
      <c r="BD534" s="1582"/>
      <c r="BE534" s="1582"/>
      <c r="BF534" s="1582"/>
      <c r="BG534" s="1582"/>
      <c r="BH534" s="1582"/>
      <c r="BI534" s="1582"/>
      <c r="BJ534" s="1582"/>
      <c r="BK534" s="1582"/>
      <c r="BL534" s="1582"/>
      <c r="BM534" s="1582"/>
      <c r="BN534" s="1582"/>
      <c r="BO534" s="1582"/>
      <c r="BP534" s="1582"/>
      <c r="BQ534" s="1582"/>
      <c r="BR534" s="1582"/>
      <c r="BS534" s="1582"/>
      <c r="BT534" s="356"/>
      <c r="BU534" s="357"/>
      <c r="BV534" s="310"/>
      <c r="BW534" s="310"/>
      <c r="BX534" s="291">
        <f t="shared" si="3"/>
        <v>0</v>
      </c>
      <c r="BY534" s="344"/>
      <c r="BZ534" s="347"/>
      <c r="CA534" s="347"/>
    </row>
    <row r="535" spans="1:84" ht="15" hidden="1" customHeight="1" x14ac:dyDescent="0.25">
      <c r="A535" s="369"/>
      <c r="B535" s="340"/>
      <c r="C535" s="415" t="s">
        <v>816</v>
      </c>
      <c r="D535" s="354"/>
      <c r="E535" s="354"/>
      <c r="F535" s="354"/>
      <c r="G535" s="354"/>
      <c r="H535" s="354"/>
      <c r="I535" s="354"/>
      <c r="J535" s="354"/>
      <c r="K535" s="354"/>
      <c r="L535" s="354"/>
      <c r="M535" s="354"/>
      <c r="N535" s="354"/>
      <c r="O535" s="414"/>
      <c r="P535" s="414"/>
      <c r="Q535" s="414"/>
      <c r="R535" s="414"/>
      <c r="S535" s="414"/>
      <c r="T535" s="414"/>
      <c r="U535" s="414"/>
      <c r="V535" s="342"/>
      <c r="W535" s="355"/>
      <c r="X535" s="355"/>
      <c r="Y535" s="355"/>
      <c r="Z535" s="355"/>
      <c r="AA535" s="355"/>
      <c r="AB535" s="355"/>
      <c r="AC535" s="355"/>
      <c r="AD535" s="355"/>
      <c r="AE535" s="355"/>
      <c r="AF535" s="355"/>
      <c r="AG535" s="355"/>
      <c r="AH535" s="355"/>
      <c r="AI535" s="355"/>
      <c r="AJ535" s="344"/>
      <c r="AK535" s="345"/>
      <c r="AL535" s="340"/>
      <c r="AM535" s="1583" t="s">
        <v>798</v>
      </c>
      <c r="AN535" s="1582"/>
      <c r="AO535" s="1582"/>
      <c r="AP535" s="1582"/>
      <c r="AQ535" s="1582"/>
      <c r="AR535" s="1582"/>
      <c r="AS535" s="1582"/>
      <c r="AT535" s="1582"/>
      <c r="AU535" s="1582"/>
      <c r="AV535" s="1582"/>
      <c r="AW535" s="1582"/>
      <c r="AX535" s="1582"/>
      <c r="AY535" s="1582"/>
      <c r="AZ535" s="1582"/>
      <c r="BA535" s="1582"/>
      <c r="BB535" s="1582"/>
      <c r="BC535" s="1582"/>
      <c r="BD535" s="1582"/>
      <c r="BE535" s="1582"/>
      <c r="BF535" s="1582"/>
      <c r="BG535" s="1582"/>
      <c r="BH535" s="1582"/>
      <c r="BI535" s="1582"/>
      <c r="BJ535" s="1582"/>
      <c r="BK535" s="1582"/>
      <c r="BL535" s="1582"/>
      <c r="BM535" s="1582"/>
      <c r="BN535" s="1582"/>
      <c r="BO535" s="1582"/>
      <c r="BP535" s="1582"/>
      <c r="BQ535" s="1582"/>
      <c r="BR535" s="1582"/>
      <c r="BS535" s="1582"/>
      <c r="BT535" s="356"/>
      <c r="BU535" s="357"/>
      <c r="BV535" s="310"/>
      <c r="BW535" s="310"/>
      <c r="BX535" s="291">
        <f t="shared" si="3"/>
        <v>0</v>
      </c>
      <c r="BY535" s="344"/>
      <c r="BZ535" s="347"/>
      <c r="CA535" s="347"/>
    </row>
    <row r="536" spans="1:84" ht="12.95" hidden="1" customHeight="1" x14ac:dyDescent="0.25">
      <c r="A536" s="369"/>
      <c r="B536" s="340"/>
      <c r="C536" s="349"/>
      <c r="D536" s="354"/>
      <c r="E536" s="354"/>
      <c r="F536" s="354"/>
      <c r="G536" s="354"/>
      <c r="H536" s="354"/>
      <c r="I536" s="354"/>
      <c r="J536" s="354"/>
      <c r="K536" s="354"/>
      <c r="L536" s="354"/>
      <c r="M536" s="354"/>
      <c r="N536" s="354"/>
      <c r="O536" s="414"/>
      <c r="P536" s="414"/>
      <c r="Q536" s="414"/>
      <c r="R536" s="414"/>
      <c r="S536" s="414"/>
      <c r="T536" s="414"/>
      <c r="U536" s="414"/>
      <c r="V536" s="342"/>
      <c r="W536" s="355"/>
      <c r="X536" s="355"/>
      <c r="Y536" s="355"/>
      <c r="Z536" s="355"/>
      <c r="AA536" s="355"/>
      <c r="AB536" s="355"/>
      <c r="AC536" s="355"/>
      <c r="AD536" s="355"/>
      <c r="AE536" s="355"/>
      <c r="AF536" s="355"/>
      <c r="AG536" s="355"/>
      <c r="AH536" s="355"/>
      <c r="AI536" s="355"/>
      <c r="AJ536" s="344"/>
      <c r="AK536" s="345"/>
      <c r="AL536" s="340"/>
      <c r="AM536" s="349"/>
      <c r="AN536" s="354"/>
      <c r="AO536" s="354"/>
      <c r="AP536" s="354"/>
      <c r="AQ536" s="354"/>
      <c r="AR536" s="354"/>
      <c r="AS536" s="354"/>
      <c r="AT536" s="354"/>
      <c r="AU536" s="354"/>
      <c r="AV536" s="354"/>
      <c r="AW536" s="354"/>
      <c r="AX536" s="354"/>
      <c r="AY536" s="414"/>
      <c r="AZ536" s="414"/>
      <c r="BA536" s="414"/>
      <c r="BB536" s="414"/>
      <c r="BC536" s="414"/>
      <c r="BD536" s="414"/>
      <c r="BE536" s="414"/>
      <c r="BF536" s="342"/>
      <c r="BG536" s="355"/>
      <c r="BH536" s="355"/>
      <c r="BI536" s="355"/>
      <c r="BJ536" s="355"/>
      <c r="BK536" s="355"/>
      <c r="BL536" s="355"/>
      <c r="BM536" s="355"/>
      <c r="BN536" s="355"/>
      <c r="BO536" s="355"/>
      <c r="BP536" s="355"/>
      <c r="BQ536" s="355"/>
      <c r="BR536" s="355"/>
      <c r="BS536" s="355"/>
      <c r="BT536" s="356"/>
      <c r="BU536" s="357"/>
      <c r="BV536" s="310"/>
      <c r="BW536" s="310"/>
      <c r="BX536" s="291">
        <f t="shared" si="3"/>
        <v>0</v>
      </c>
      <c r="BY536" s="344"/>
      <c r="BZ536" s="347"/>
      <c r="CA536" s="347"/>
    </row>
    <row r="537" spans="1:84" ht="56.1" hidden="1" customHeight="1" x14ac:dyDescent="0.25">
      <c r="A537" s="369"/>
      <c r="B537" s="340"/>
      <c r="C537" s="1584" t="s">
        <v>817</v>
      </c>
      <c r="D537" s="1585"/>
      <c r="E537" s="1585"/>
      <c r="F537" s="1585"/>
      <c r="G537" s="1585"/>
      <c r="H537" s="1585"/>
      <c r="I537" s="1585"/>
      <c r="J537" s="1585"/>
      <c r="K537" s="1585"/>
      <c r="L537" s="1585"/>
      <c r="M537" s="1585"/>
      <c r="N537" s="1585"/>
      <c r="O537" s="1585"/>
      <c r="P537" s="1585"/>
      <c r="Q537" s="1585"/>
      <c r="R537" s="1585"/>
      <c r="S537" s="1585"/>
      <c r="T537" s="1585"/>
      <c r="U537" s="1585"/>
      <c r="V537" s="1585"/>
      <c r="W537" s="1585"/>
      <c r="X537" s="1585"/>
      <c r="Y537" s="1585"/>
      <c r="Z537" s="1585"/>
      <c r="AA537" s="1585"/>
      <c r="AB537" s="1585"/>
      <c r="AC537" s="1585"/>
      <c r="AD537" s="1585"/>
      <c r="AE537" s="1585"/>
      <c r="AF537" s="1585"/>
      <c r="AG537" s="1585"/>
      <c r="AH537" s="1585"/>
      <c r="AI537" s="1585"/>
      <c r="AJ537" s="344"/>
      <c r="AK537" s="345"/>
      <c r="AL537" s="340"/>
      <c r="AM537" s="1584" t="s">
        <v>817</v>
      </c>
      <c r="AN537" s="1585"/>
      <c r="AO537" s="1585"/>
      <c r="AP537" s="1585"/>
      <c r="AQ537" s="1585"/>
      <c r="AR537" s="1585"/>
      <c r="AS537" s="1585"/>
      <c r="AT537" s="1585"/>
      <c r="AU537" s="1585"/>
      <c r="AV537" s="1585"/>
      <c r="AW537" s="1585"/>
      <c r="AX537" s="1585"/>
      <c r="AY537" s="1585"/>
      <c r="AZ537" s="1585"/>
      <c r="BA537" s="1585"/>
      <c r="BB537" s="1585"/>
      <c r="BC537" s="1585"/>
      <c r="BD537" s="1585"/>
      <c r="BE537" s="1585"/>
      <c r="BF537" s="1585"/>
      <c r="BG537" s="1585"/>
      <c r="BH537" s="1585"/>
      <c r="BI537" s="1585"/>
      <c r="BJ537" s="1585"/>
      <c r="BK537" s="1585"/>
      <c r="BL537" s="1585"/>
      <c r="BM537" s="1585"/>
      <c r="BN537" s="1585"/>
      <c r="BO537" s="1585"/>
      <c r="BP537" s="1585"/>
      <c r="BQ537" s="1585"/>
      <c r="BR537" s="1585"/>
      <c r="BS537" s="1585"/>
      <c r="BT537" s="356"/>
      <c r="BU537" s="357"/>
      <c r="BV537" s="310"/>
      <c r="BW537" s="310"/>
      <c r="BX537" s="291">
        <f t="shared" si="3"/>
        <v>0</v>
      </c>
      <c r="BY537" s="344"/>
      <c r="BZ537" s="347"/>
      <c r="CA537" s="347"/>
    </row>
    <row r="538" spans="1:84" ht="2.1" hidden="1" customHeight="1" x14ac:dyDescent="0.25">
      <c r="A538" s="369"/>
      <c r="B538" s="340"/>
      <c r="C538" s="360"/>
      <c r="D538" s="354"/>
      <c r="E538" s="354"/>
      <c r="F538" s="354"/>
      <c r="G538" s="354"/>
      <c r="H538" s="354"/>
      <c r="I538" s="354"/>
      <c r="J538" s="354"/>
      <c r="K538" s="354"/>
      <c r="L538" s="354"/>
      <c r="M538" s="354"/>
      <c r="N538" s="354"/>
      <c r="O538" s="354"/>
      <c r="P538" s="354"/>
      <c r="Q538" s="354"/>
      <c r="R538" s="354"/>
      <c r="S538" s="354"/>
      <c r="T538" s="354"/>
      <c r="U538" s="342"/>
      <c r="V538" s="342"/>
      <c r="W538" s="363"/>
      <c r="X538" s="363"/>
      <c r="Y538" s="363"/>
      <c r="Z538" s="363"/>
      <c r="AA538" s="363"/>
      <c r="AB538" s="363"/>
      <c r="AC538" s="355"/>
      <c r="AD538" s="363"/>
      <c r="AE538" s="363"/>
      <c r="AF538" s="363"/>
      <c r="AG538" s="363"/>
      <c r="AH538" s="363"/>
      <c r="AI538" s="363"/>
      <c r="AJ538" s="344"/>
      <c r="AK538" s="345"/>
      <c r="AL538" s="340"/>
      <c r="AM538" s="388"/>
      <c r="AN538" s="386"/>
      <c r="AO538" s="386"/>
      <c r="AP538" s="386"/>
      <c r="AQ538" s="386"/>
      <c r="AR538" s="386"/>
      <c r="AS538" s="386"/>
      <c r="AT538" s="386"/>
      <c r="AU538" s="386"/>
      <c r="AV538" s="386"/>
      <c r="AW538" s="386"/>
      <c r="AX538" s="386"/>
      <c r="AY538" s="386"/>
      <c r="AZ538" s="386"/>
      <c r="BA538" s="386"/>
      <c r="BB538" s="386"/>
      <c r="BC538" s="386"/>
      <c r="BD538" s="386"/>
      <c r="BE538" s="389"/>
      <c r="BF538" s="389"/>
      <c r="BG538" s="363"/>
      <c r="BH538" s="363"/>
      <c r="BI538" s="363"/>
      <c r="BJ538" s="363"/>
      <c r="BK538" s="363"/>
      <c r="BL538" s="363"/>
      <c r="BM538" s="355"/>
      <c r="BN538" s="363"/>
      <c r="BO538" s="363"/>
      <c r="BP538" s="363"/>
      <c r="BQ538" s="363"/>
      <c r="BR538" s="363"/>
      <c r="BS538" s="363"/>
      <c r="BT538" s="356"/>
      <c r="BU538" s="357"/>
      <c r="BV538" s="310"/>
      <c r="BW538" s="310"/>
      <c r="BX538" s="291">
        <f t="shared" si="3"/>
        <v>0</v>
      </c>
      <c r="BY538" s="344"/>
      <c r="BZ538" s="347"/>
      <c r="CA538" s="347"/>
    </row>
    <row r="539" spans="1:84" ht="12.95" customHeight="1" x14ac:dyDescent="0.25">
      <c r="A539" s="369"/>
      <c r="B539" s="354"/>
      <c r="C539" s="354"/>
      <c r="D539" s="354"/>
      <c r="E539" s="354"/>
      <c r="F539" s="354"/>
      <c r="G539" s="354"/>
      <c r="H539" s="354"/>
      <c r="I539" s="354"/>
      <c r="J539" s="354"/>
      <c r="K539" s="354"/>
      <c r="L539" s="354"/>
      <c r="M539" s="354"/>
      <c r="N539" s="354"/>
      <c r="O539" s="354"/>
      <c r="P539" s="354"/>
      <c r="Q539" s="354"/>
      <c r="R539" s="354"/>
      <c r="S539" s="354"/>
      <c r="T539" s="354"/>
      <c r="U539" s="342"/>
      <c r="V539" s="342"/>
      <c r="W539" s="418"/>
      <c r="X539" s="418"/>
      <c r="Y539" s="418"/>
      <c r="Z539" s="418"/>
      <c r="AA539" s="418"/>
      <c r="AB539" s="418"/>
      <c r="AC539" s="355"/>
      <c r="AD539" s="418"/>
      <c r="AE539" s="418"/>
      <c r="AF539" s="418"/>
      <c r="AG539" s="418"/>
      <c r="AH539" s="418"/>
      <c r="AI539" s="418"/>
      <c r="AJ539" s="344"/>
      <c r="AK539" s="419"/>
      <c r="AL539" s="354"/>
      <c r="AM539" s="354"/>
      <c r="AN539" s="354"/>
      <c r="AO539" s="354"/>
      <c r="AP539" s="354"/>
      <c r="AQ539" s="354"/>
      <c r="AR539" s="354"/>
      <c r="AS539" s="354"/>
      <c r="AT539" s="354"/>
      <c r="AU539" s="354"/>
      <c r="AV539" s="354"/>
      <c r="AW539" s="354"/>
      <c r="AX539" s="354"/>
      <c r="AY539" s="354"/>
      <c r="AZ539" s="354"/>
      <c r="BA539" s="354"/>
      <c r="BB539" s="354"/>
      <c r="BC539" s="354"/>
      <c r="BD539" s="354"/>
      <c r="BE539" s="342"/>
      <c r="BF539" s="342"/>
      <c r="BG539" s="418"/>
      <c r="BH539" s="418"/>
      <c r="BI539" s="418"/>
      <c r="BJ539" s="418"/>
      <c r="BK539" s="418"/>
      <c r="BL539" s="418"/>
      <c r="BM539" s="355"/>
      <c r="BN539" s="418"/>
      <c r="BO539" s="418"/>
      <c r="BP539" s="418"/>
      <c r="BQ539" s="418"/>
      <c r="BR539" s="418"/>
      <c r="BS539" s="418"/>
      <c r="BT539" s="356"/>
      <c r="BU539" s="357"/>
      <c r="BV539" s="310"/>
      <c r="BW539" s="310"/>
      <c r="BX539" s="291">
        <f t="shared" si="3"/>
        <v>0</v>
      </c>
      <c r="BY539" s="344"/>
      <c r="BZ539" s="347"/>
      <c r="CA539" s="347"/>
    </row>
    <row r="540" spans="1:84" s="385" customFormat="1" ht="15" customHeight="1" x14ac:dyDescent="0.25">
      <c r="A540" s="313">
        <v>5</v>
      </c>
      <c r="B540" s="340" t="s">
        <v>345</v>
      </c>
      <c r="C540" s="373" t="s">
        <v>818</v>
      </c>
      <c r="D540" s="373"/>
      <c r="E540" s="373"/>
      <c r="F540" s="373"/>
      <c r="G540" s="373"/>
      <c r="H540" s="373"/>
      <c r="I540" s="373"/>
      <c r="J540" s="373"/>
      <c r="K540" s="373"/>
      <c r="L540" s="373"/>
      <c r="M540" s="373"/>
      <c r="N540" s="373"/>
      <c r="O540" s="363"/>
      <c r="P540" s="363"/>
      <c r="Q540" s="363"/>
      <c r="R540" s="363"/>
      <c r="S540" s="363"/>
      <c r="T540" s="363"/>
      <c r="U540" s="363"/>
      <c r="V540" s="363"/>
      <c r="W540" s="363"/>
      <c r="X540" s="363"/>
      <c r="Y540" s="420"/>
      <c r="Z540" s="363"/>
      <c r="AA540" s="363"/>
      <c r="AB540" s="363"/>
      <c r="AC540" s="363"/>
      <c r="AD540" s="363"/>
      <c r="AE540" s="363"/>
      <c r="AF540" s="363"/>
      <c r="AG540" s="363"/>
      <c r="AH540" s="363"/>
      <c r="AI540" s="363"/>
      <c r="AJ540" s="374"/>
      <c r="AK540" s="345">
        <f>A540</f>
        <v>5</v>
      </c>
      <c r="AL540" s="340" t="s">
        <v>345</v>
      </c>
      <c r="AM540" s="373" t="s">
        <v>819</v>
      </c>
      <c r="AN540" s="373"/>
      <c r="AO540" s="373"/>
      <c r="AP540" s="373"/>
      <c r="AQ540" s="373"/>
      <c r="AR540" s="373"/>
      <c r="AS540" s="373"/>
      <c r="AT540" s="373"/>
      <c r="AU540" s="373"/>
      <c r="AV540" s="373"/>
      <c r="AW540" s="373"/>
      <c r="AX540" s="373"/>
      <c r="AY540" s="363"/>
      <c r="AZ540" s="363"/>
      <c r="BA540" s="363"/>
      <c r="BB540" s="363"/>
      <c r="BC540" s="363"/>
      <c r="BD540" s="363"/>
      <c r="BE540" s="363"/>
      <c r="BF540" s="363"/>
      <c r="BG540" s="363"/>
      <c r="BH540" s="363"/>
      <c r="BI540" s="420"/>
      <c r="BJ540" s="363"/>
      <c r="BK540" s="363"/>
      <c r="BL540" s="363"/>
      <c r="BM540" s="363"/>
      <c r="BN540" s="363"/>
      <c r="BO540" s="363"/>
      <c r="BP540" s="363"/>
      <c r="BQ540" s="363"/>
      <c r="BR540" s="363"/>
      <c r="BS540" s="363"/>
      <c r="BT540" s="361"/>
      <c r="BU540" s="346">
        <f>SUBTOTAL(103,A540)</f>
        <v>1</v>
      </c>
      <c r="BV540" s="310"/>
      <c r="BW540" s="310"/>
      <c r="BX540" s="291">
        <f t="shared" si="3"/>
        <v>0</v>
      </c>
      <c r="BY540" s="374"/>
      <c r="BZ540" s="383"/>
      <c r="CA540" s="383"/>
      <c r="CB540" s="384"/>
      <c r="CC540" s="384"/>
      <c r="CD540" s="384"/>
      <c r="CE540" s="384"/>
      <c r="CF540" s="384"/>
    </row>
    <row r="541" spans="1:84" ht="15" customHeight="1" x14ac:dyDescent="0.25">
      <c r="A541" s="369"/>
      <c r="B541" s="354"/>
      <c r="C541" s="350"/>
      <c r="D541" s="350"/>
      <c r="E541" s="350"/>
      <c r="F541" s="350"/>
      <c r="G541" s="350"/>
      <c r="H541" s="350"/>
      <c r="I541" s="350"/>
      <c r="J541" s="350"/>
      <c r="K541" s="350"/>
      <c r="L541" s="350"/>
      <c r="M541" s="350"/>
      <c r="N541" s="350"/>
      <c r="O541" s="350"/>
      <c r="P541" s="350"/>
      <c r="Q541" s="350"/>
      <c r="R541" s="350"/>
      <c r="S541" s="350"/>
      <c r="T541" s="350"/>
      <c r="U541" s="342"/>
      <c r="V541" s="342"/>
      <c r="W541" s="1325" t="str">
        <f>Ky_Nay1_V</f>
        <v>31/12/2017</v>
      </c>
      <c r="X541" s="1325"/>
      <c r="Y541" s="1325"/>
      <c r="Z541" s="1325"/>
      <c r="AA541" s="1325"/>
      <c r="AB541" s="1325"/>
      <c r="AC541" s="351"/>
      <c r="AD541" s="1325" t="str">
        <f>Ky_Truoc1_V</f>
        <v>01/01/2017</v>
      </c>
      <c r="AE541" s="1325"/>
      <c r="AF541" s="1325"/>
      <c r="AG541" s="1325"/>
      <c r="AH541" s="1325"/>
      <c r="AI541" s="1325"/>
      <c r="AJ541" s="344"/>
      <c r="AK541" s="419"/>
      <c r="AL541" s="354"/>
      <c r="AM541" s="350"/>
      <c r="AN541" s="350"/>
      <c r="AO541" s="350"/>
      <c r="AP541" s="350"/>
      <c r="AQ541" s="350"/>
      <c r="AR541" s="350"/>
      <c r="AS541" s="350"/>
      <c r="AT541" s="350"/>
      <c r="AU541" s="350"/>
      <c r="AV541" s="350"/>
      <c r="AW541" s="350"/>
      <c r="AX541" s="350"/>
      <c r="AY541" s="350"/>
      <c r="AZ541" s="350"/>
      <c r="BA541" s="350"/>
      <c r="BB541" s="350"/>
      <c r="BC541" s="350"/>
      <c r="BD541" s="350"/>
      <c r="BE541" s="342"/>
      <c r="BF541" s="342"/>
      <c r="BG541" s="1325" t="str">
        <f>Ky_Nay1_E</f>
        <v>31/12/2017</v>
      </c>
      <c r="BH541" s="1325"/>
      <c r="BI541" s="1325"/>
      <c r="BJ541" s="1325"/>
      <c r="BK541" s="1325"/>
      <c r="BL541" s="1325"/>
      <c r="BM541" s="351"/>
      <c r="BN541" s="1325" t="str">
        <f>Ky_Truoc1_E</f>
        <v>01/01/2017</v>
      </c>
      <c r="BO541" s="1325"/>
      <c r="BP541" s="1325"/>
      <c r="BQ541" s="1325"/>
      <c r="BR541" s="1325"/>
      <c r="BS541" s="1325"/>
      <c r="BT541" s="356"/>
      <c r="BU541" s="357"/>
      <c r="BV541" s="310"/>
      <c r="BW541" s="310"/>
      <c r="BX541" s="291">
        <f t="shared" si="3"/>
        <v>0</v>
      </c>
      <c r="BY541" s="344"/>
      <c r="BZ541" s="347"/>
      <c r="CA541" s="347"/>
    </row>
    <row r="542" spans="1:84" ht="15" customHeight="1" x14ac:dyDescent="0.25">
      <c r="A542" s="369"/>
      <c r="B542" s="354"/>
      <c r="C542" s="350"/>
      <c r="D542" s="350"/>
      <c r="E542" s="350"/>
      <c r="F542" s="350"/>
      <c r="G542" s="350"/>
      <c r="H542" s="350"/>
      <c r="I542" s="350"/>
      <c r="J542" s="350"/>
      <c r="K542" s="350"/>
      <c r="L542" s="350"/>
      <c r="M542" s="350"/>
      <c r="N542" s="350"/>
      <c r="O542" s="350"/>
      <c r="P542" s="350"/>
      <c r="Q542" s="350"/>
      <c r="R542" s="350"/>
      <c r="S542" s="350"/>
      <c r="T542" s="350"/>
      <c r="U542" s="342"/>
      <c r="V542" s="342"/>
      <c r="W542" s="1327" t="str">
        <f>Don_Vi_Tinh_V</f>
        <v>VND</v>
      </c>
      <c r="X542" s="1327"/>
      <c r="Y542" s="1327"/>
      <c r="Z542" s="1327"/>
      <c r="AA542" s="1327"/>
      <c r="AB542" s="1327"/>
      <c r="AC542" s="351"/>
      <c r="AD542" s="1327" t="str">
        <f>Don_Vi_Tinh_V</f>
        <v>VND</v>
      </c>
      <c r="AE542" s="1327"/>
      <c r="AF542" s="1327"/>
      <c r="AG542" s="1327"/>
      <c r="AH542" s="1327"/>
      <c r="AI542" s="1327"/>
      <c r="AJ542" s="344"/>
      <c r="AK542" s="419"/>
      <c r="AL542" s="354"/>
      <c r="AM542" s="350"/>
      <c r="AN542" s="350"/>
      <c r="AO542" s="350"/>
      <c r="AP542" s="350"/>
      <c r="AQ542" s="350"/>
      <c r="AR542" s="350"/>
      <c r="AS542" s="350"/>
      <c r="AT542" s="350"/>
      <c r="AU542" s="350"/>
      <c r="AV542" s="350"/>
      <c r="AW542" s="350"/>
      <c r="AX542" s="350"/>
      <c r="AY542" s="350"/>
      <c r="AZ542" s="350"/>
      <c r="BA542" s="350"/>
      <c r="BB542" s="350"/>
      <c r="BC542" s="350"/>
      <c r="BD542" s="350"/>
      <c r="BE542" s="342"/>
      <c r="BF542" s="342"/>
      <c r="BG542" s="1327" t="str">
        <f>Don_Vi_Tinh_E</f>
        <v>VND</v>
      </c>
      <c r="BH542" s="1327"/>
      <c r="BI542" s="1327"/>
      <c r="BJ542" s="1327"/>
      <c r="BK542" s="1327"/>
      <c r="BL542" s="1327"/>
      <c r="BM542" s="351"/>
      <c r="BN542" s="1327" t="str">
        <f>Don_Vi_Tinh_E</f>
        <v>VND</v>
      </c>
      <c r="BO542" s="1327"/>
      <c r="BP542" s="1327"/>
      <c r="BQ542" s="1327"/>
      <c r="BR542" s="1327"/>
      <c r="BS542" s="1327"/>
      <c r="BT542" s="356"/>
      <c r="BU542" s="357"/>
      <c r="BV542" s="310"/>
      <c r="BW542" s="310"/>
      <c r="BX542" s="291">
        <f t="shared" si="3"/>
        <v>0</v>
      </c>
      <c r="BY542" s="344"/>
      <c r="BZ542" s="347"/>
      <c r="CA542" s="347"/>
    </row>
    <row r="543" spans="1:84" ht="12.95" customHeight="1" x14ac:dyDescent="0.25">
      <c r="A543" s="369"/>
      <c r="B543" s="354"/>
      <c r="C543" s="349"/>
      <c r="D543" s="340"/>
      <c r="E543" s="340"/>
      <c r="F543" s="340"/>
      <c r="G543" s="340"/>
      <c r="H543" s="340"/>
      <c r="I543" s="340"/>
      <c r="J543" s="340"/>
      <c r="K543" s="340"/>
      <c r="L543" s="340"/>
      <c r="M543" s="340"/>
      <c r="N543" s="340"/>
      <c r="O543" s="340"/>
      <c r="P543" s="340"/>
      <c r="Q543" s="340"/>
      <c r="R543" s="340"/>
      <c r="S543" s="340"/>
      <c r="T543" s="340"/>
      <c r="U543" s="342"/>
      <c r="V543" s="342"/>
      <c r="W543" s="355"/>
      <c r="X543" s="355"/>
      <c r="Y543" s="355"/>
      <c r="Z543" s="355"/>
      <c r="AA543" s="355"/>
      <c r="AB543" s="355"/>
      <c r="AC543" s="355"/>
      <c r="AD543" s="355"/>
      <c r="AE543" s="355"/>
      <c r="AF543" s="355"/>
      <c r="AG543" s="355"/>
      <c r="AH543" s="355"/>
      <c r="AI543" s="355"/>
      <c r="AJ543" s="421"/>
      <c r="AK543" s="419"/>
      <c r="AL543" s="354"/>
      <c r="AM543" s="349"/>
      <c r="AN543" s="340"/>
      <c r="AO543" s="340"/>
      <c r="AP543" s="340"/>
      <c r="AQ543" s="340"/>
      <c r="AR543" s="340"/>
      <c r="AS543" s="340"/>
      <c r="AT543" s="340"/>
      <c r="AU543" s="340"/>
      <c r="AV543" s="340"/>
      <c r="AW543" s="340"/>
      <c r="AX543" s="340"/>
      <c r="AY543" s="340"/>
      <c r="AZ543" s="340"/>
      <c r="BA543" s="340"/>
      <c r="BB543" s="340"/>
      <c r="BC543" s="340"/>
      <c r="BD543" s="340"/>
      <c r="BE543" s="342"/>
      <c r="BF543" s="342"/>
      <c r="BG543" s="355"/>
      <c r="BH543" s="355"/>
      <c r="BI543" s="355"/>
      <c r="BJ543" s="355"/>
      <c r="BK543" s="355"/>
      <c r="BL543" s="355"/>
      <c r="BM543" s="355"/>
      <c r="BN543" s="355"/>
      <c r="BO543" s="355"/>
      <c r="BP543" s="355"/>
      <c r="BQ543" s="355"/>
      <c r="BR543" s="355"/>
      <c r="BS543" s="355"/>
      <c r="BT543" s="356"/>
      <c r="BU543" s="357"/>
      <c r="BV543" s="310"/>
      <c r="BW543" s="310"/>
      <c r="BX543" s="291">
        <f t="shared" si="3"/>
        <v>0</v>
      </c>
      <c r="BY543" s="344"/>
      <c r="BZ543" s="347"/>
      <c r="CA543" s="347"/>
    </row>
    <row r="544" spans="1:84" s="385" customFormat="1" ht="15" customHeight="1" x14ac:dyDescent="0.25">
      <c r="A544" s="313"/>
      <c r="B544" s="340"/>
      <c r="C544" s="340" t="s">
        <v>820</v>
      </c>
      <c r="D544" s="340"/>
      <c r="E544" s="340"/>
      <c r="F544" s="340"/>
      <c r="G544" s="340"/>
      <c r="H544" s="340"/>
      <c r="I544" s="340"/>
      <c r="J544" s="340"/>
      <c r="K544" s="340"/>
      <c r="L544" s="340"/>
      <c r="M544" s="340"/>
      <c r="N544" s="340"/>
      <c r="O544" s="340"/>
      <c r="P544" s="340"/>
      <c r="Q544" s="340"/>
      <c r="R544" s="340"/>
      <c r="S544" s="340"/>
      <c r="T544" s="340"/>
      <c r="U544" s="341"/>
      <c r="V544" s="341"/>
      <c r="W544" s="1330"/>
      <c r="X544" s="1330"/>
      <c r="Y544" s="1330"/>
      <c r="Z544" s="1330"/>
      <c r="AA544" s="1330"/>
      <c r="AB544" s="1330"/>
      <c r="AC544" s="363"/>
      <c r="AD544" s="1330"/>
      <c r="AE544" s="1330"/>
      <c r="AF544" s="1330"/>
      <c r="AG544" s="1330"/>
      <c r="AH544" s="1330"/>
      <c r="AI544" s="1330"/>
      <c r="AJ544" s="422"/>
      <c r="AK544" s="345"/>
      <c r="AL544" s="340"/>
      <c r="AM544" s="340" t="s">
        <v>821</v>
      </c>
      <c r="AN544" s="340"/>
      <c r="AO544" s="340"/>
      <c r="AP544" s="340"/>
      <c r="AQ544" s="340"/>
      <c r="AR544" s="340"/>
      <c r="AS544" s="340"/>
      <c r="AT544" s="340"/>
      <c r="AU544" s="340"/>
      <c r="AV544" s="340"/>
      <c r="AW544" s="340"/>
      <c r="AX544" s="340"/>
      <c r="AY544" s="340"/>
      <c r="AZ544" s="340"/>
      <c r="BA544" s="340"/>
      <c r="BB544" s="340"/>
      <c r="BC544" s="340"/>
      <c r="BD544" s="340"/>
      <c r="BE544" s="341"/>
      <c r="BF544" s="341"/>
      <c r="BG544" s="1330"/>
      <c r="BH544" s="1330"/>
      <c r="BI544" s="1330"/>
      <c r="BJ544" s="1330"/>
      <c r="BK544" s="1330"/>
      <c r="BL544" s="1330"/>
      <c r="BM544" s="363"/>
      <c r="BN544" s="1330"/>
      <c r="BO544" s="1330"/>
      <c r="BP544" s="1330"/>
      <c r="BQ544" s="1330"/>
      <c r="BR544" s="1330"/>
      <c r="BS544" s="1330"/>
      <c r="BT544" s="361"/>
      <c r="BU544" s="362"/>
      <c r="BV544" s="310"/>
      <c r="BW544" s="310"/>
      <c r="BX544" s="291">
        <f t="shared" si="3"/>
        <v>0</v>
      </c>
      <c r="BY544" s="374"/>
      <c r="BZ544" s="383"/>
      <c r="CA544" s="383"/>
      <c r="CB544" s="384"/>
      <c r="CC544" s="384"/>
      <c r="CD544" s="384"/>
      <c r="CE544" s="384"/>
      <c r="CF544" s="384"/>
    </row>
    <row r="545" spans="1:84" ht="15" customHeight="1" x14ac:dyDescent="0.25">
      <c r="A545" s="369"/>
      <c r="B545" s="354"/>
      <c r="C545" s="354" t="s">
        <v>822</v>
      </c>
      <c r="E545" s="340"/>
      <c r="F545" s="340"/>
      <c r="G545" s="340"/>
      <c r="H545" s="340"/>
      <c r="I545" s="340"/>
      <c r="J545" s="340"/>
      <c r="K545" s="340"/>
      <c r="L545" s="340"/>
      <c r="M545" s="340"/>
      <c r="N545" s="340"/>
      <c r="O545" s="340"/>
      <c r="P545" s="340"/>
      <c r="Q545" s="340"/>
      <c r="R545" s="340"/>
      <c r="S545" s="340"/>
      <c r="T545" s="340"/>
      <c r="U545" s="342"/>
      <c r="V545" s="342"/>
      <c r="W545" s="1318">
        <f>571135636-400000000</f>
        <v>171135636</v>
      </c>
      <c r="X545" s="1318"/>
      <c r="Y545" s="1318"/>
      <c r="Z545" s="1318"/>
      <c r="AA545" s="1318"/>
      <c r="AB545" s="1318"/>
      <c r="AC545" s="355"/>
      <c r="AD545" s="1318">
        <v>571135636</v>
      </c>
      <c r="AE545" s="1318"/>
      <c r="AF545" s="1318"/>
      <c r="AG545" s="1318"/>
      <c r="AH545" s="1318"/>
      <c r="AI545" s="1318"/>
      <c r="AJ545" s="344"/>
      <c r="AK545" s="419"/>
      <c r="AL545" s="354"/>
      <c r="AM545" s="354" t="s">
        <v>823</v>
      </c>
      <c r="AN545" s="349"/>
      <c r="AO545" s="340"/>
      <c r="AP545" s="340"/>
      <c r="AQ545" s="340"/>
      <c r="AR545" s="340"/>
      <c r="AS545" s="340"/>
      <c r="AT545" s="340"/>
      <c r="AU545" s="340"/>
      <c r="AV545" s="340"/>
      <c r="AW545" s="340"/>
      <c r="AX545" s="340"/>
      <c r="AY545" s="340"/>
      <c r="AZ545" s="340"/>
      <c r="BA545" s="340"/>
      <c r="BB545" s="340"/>
      <c r="BC545" s="340"/>
      <c r="BD545" s="340"/>
      <c r="BE545" s="342"/>
      <c r="BF545" s="342"/>
      <c r="BG545" s="1318">
        <f>W545</f>
        <v>171135636</v>
      </c>
      <c r="BH545" s="1318"/>
      <c r="BI545" s="1318"/>
      <c r="BJ545" s="1318"/>
      <c r="BK545" s="1318"/>
      <c r="BL545" s="1318"/>
      <c r="BM545" s="355"/>
      <c r="BN545" s="1318">
        <f>AD545</f>
        <v>571135636</v>
      </c>
      <c r="BO545" s="1318"/>
      <c r="BP545" s="1318"/>
      <c r="BQ545" s="1318"/>
      <c r="BR545" s="1318"/>
      <c r="BS545" s="1318"/>
      <c r="BT545" s="356"/>
      <c r="BU545" s="357"/>
      <c r="BV545" s="310"/>
      <c r="BW545" s="310"/>
      <c r="BX545" s="291">
        <f t="shared" si="3"/>
        <v>0</v>
      </c>
      <c r="BY545" s="344"/>
      <c r="BZ545" s="347"/>
      <c r="CA545" s="347"/>
    </row>
    <row r="546" spans="1:84" ht="15" customHeight="1" x14ac:dyDescent="0.25">
      <c r="A546" s="369"/>
      <c r="B546" s="354"/>
      <c r="C546" s="1337" t="s">
        <v>824</v>
      </c>
      <c r="D546" s="1337"/>
      <c r="E546" s="1337"/>
      <c r="F546" s="1337"/>
      <c r="G546" s="1337"/>
      <c r="H546" s="1337"/>
      <c r="I546" s="1337"/>
      <c r="J546" s="1337"/>
      <c r="K546" s="1337"/>
      <c r="L546" s="1337"/>
      <c r="M546" s="1337"/>
      <c r="N546" s="1337"/>
      <c r="O546" s="1337"/>
      <c r="P546" s="1337"/>
      <c r="Q546" s="1337"/>
      <c r="R546" s="1337"/>
      <c r="S546" s="1337"/>
      <c r="T546" s="1337"/>
      <c r="U546" s="342"/>
      <c r="V546" s="342"/>
      <c r="W546" s="1318">
        <f>AD546</f>
        <v>337381985</v>
      </c>
      <c r="X546" s="1318"/>
      <c r="Y546" s="1318"/>
      <c r="Z546" s="1318"/>
      <c r="AA546" s="1318"/>
      <c r="AB546" s="1318"/>
      <c r="AC546" s="355"/>
      <c r="AD546" s="1318">
        <v>337381985</v>
      </c>
      <c r="AE546" s="1318"/>
      <c r="AF546" s="1318"/>
      <c r="AG546" s="1318"/>
      <c r="AH546" s="1318"/>
      <c r="AI546" s="1318"/>
      <c r="AJ546" s="344"/>
      <c r="AK546" s="419"/>
      <c r="AL546" s="354"/>
      <c r="AM546" s="354" t="s">
        <v>825</v>
      </c>
      <c r="AN546" s="349"/>
      <c r="AO546" s="340"/>
      <c r="AP546" s="340"/>
      <c r="AQ546" s="340"/>
      <c r="AR546" s="340"/>
      <c r="AS546" s="340"/>
      <c r="AT546" s="340"/>
      <c r="AU546" s="340"/>
      <c r="AV546" s="340"/>
      <c r="AW546" s="340"/>
      <c r="AX546" s="340"/>
      <c r="AY546" s="340"/>
      <c r="AZ546" s="340"/>
      <c r="BA546" s="340"/>
      <c r="BB546" s="340"/>
      <c r="BC546" s="340"/>
      <c r="BD546" s="340"/>
      <c r="BE546" s="342"/>
      <c r="BF546" s="342"/>
      <c r="BG546" s="1318">
        <f>W546</f>
        <v>337381985</v>
      </c>
      <c r="BH546" s="1318"/>
      <c r="BI546" s="1318"/>
      <c r="BJ546" s="1318"/>
      <c r="BK546" s="1318"/>
      <c r="BL546" s="1318"/>
      <c r="BM546" s="355"/>
      <c r="BN546" s="1318">
        <f>AD546</f>
        <v>337381985</v>
      </c>
      <c r="BO546" s="1318"/>
      <c r="BP546" s="1318"/>
      <c r="BQ546" s="1318"/>
      <c r="BR546" s="1318"/>
      <c r="BS546" s="1318"/>
      <c r="BT546" s="356"/>
      <c r="BU546" s="357"/>
      <c r="BV546" s="310"/>
      <c r="BW546" s="310"/>
      <c r="BX546" s="291">
        <f>IF(ISNONTEXT($C546),0,SUM(D546:AI546)-SUM(AN546:BS546))</f>
        <v>0</v>
      </c>
      <c r="BY546" s="344"/>
      <c r="BZ546" s="347"/>
      <c r="CA546" s="347"/>
    </row>
    <row r="547" spans="1:84" ht="29.1" customHeight="1" x14ac:dyDescent="0.25">
      <c r="A547" s="369"/>
      <c r="B547" s="354"/>
      <c r="C547" s="1337" t="s">
        <v>826</v>
      </c>
      <c r="D547" s="1337"/>
      <c r="E547" s="1337"/>
      <c r="F547" s="1337"/>
      <c r="G547" s="1337"/>
      <c r="H547" s="1337"/>
      <c r="I547" s="1337"/>
      <c r="J547" s="1337"/>
      <c r="K547" s="1337"/>
      <c r="L547" s="1337"/>
      <c r="M547" s="1337"/>
      <c r="N547" s="1337"/>
      <c r="O547" s="1337"/>
      <c r="P547" s="1337"/>
      <c r="Q547" s="1337"/>
      <c r="R547" s="1337"/>
      <c r="S547" s="1337"/>
      <c r="T547" s="1337"/>
      <c r="U547" s="342"/>
      <c r="V547" s="342"/>
      <c r="W547" s="1318">
        <f>AD547</f>
        <v>352476654</v>
      </c>
      <c r="X547" s="1318"/>
      <c r="Y547" s="1318"/>
      <c r="Z547" s="1318"/>
      <c r="AA547" s="1318"/>
      <c r="AB547" s="1318"/>
      <c r="AC547" s="355"/>
      <c r="AD547" s="1318">
        <v>352476654</v>
      </c>
      <c r="AE547" s="1318"/>
      <c r="AF547" s="1318"/>
      <c r="AG547" s="1318"/>
      <c r="AH547" s="1318"/>
      <c r="AI547" s="1318"/>
      <c r="AJ547" s="344"/>
      <c r="AK547" s="419"/>
      <c r="AL547" s="354"/>
      <c r="AM547" s="354" t="s">
        <v>825</v>
      </c>
      <c r="AN547" s="349"/>
      <c r="AO547" s="340"/>
      <c r="AP547" s="340"/>
      <c r="AQ547" s="340"/>
      <c r="AR547" s="340"/>
      <c r="AS547" s="340"/>
      <c r="AT547" s="340"/>
      <c r="AU547" s="340"/>
      <c r="AV547" s="340"/>
      <c r="AW547" s="340"/>
      <c r="AX547" s="340"/>
      <c r="AY547" s="340"/>
      <c r="AZ547" s="340"/>
      <c r="BA547" s="340"/>
      <c r="BB547" s="340"/>
      <c r="BC547" s="340"/>
      <c r="BD547" s="340"/>
      <c r="BE547" s="342"/>
      <c r="BF547" s="342"/>
      <c r="BG547" s="1318">
        <f>W547</f>
        <v>352476654</v>
      </c>
      <c r="BH547" s="1318"/>
      <c r="BI547" s="1318"/>
      <c r="BJ547" s="1318"/>
      <c r="BK547" s="1318"/>
      <c r="BL547" s="1318"/>
      <c r="BM547" s="355"/>
      <c r="BN547" s="1318">
        <f>AD547</f>
        <v>352476654</v>
      </c>
      <c r="BO547" s="1318"/>
      <c r="BP547" s="1318"/>
      <c r="BQ547" s="1318"/>
      <c r="BR547" s="1318"/>
      <c r="BS547" s="1318"/>
      <c r="BT547" s="356"/>
      <c r="BU547" s="357"/>
      <c r="BV547" s="310"/>
      <c r="BW547" s="310"/>
      <c r="BX547" s="291">
        <f>IF(ISNONTEXT($C547),0,SUM(D547:AI547)-SUM(AN547:BS547))</f>
        <v>0</v>
      </c>
      <c r="BY547" s="344"/>
      <c r="BZ547" s="347"/>
      <c r="CA547" s="347"/>
    </row>
    <row r="548" spans="1:84" ht="15" customHeight="1" x14ac:dyDescent="0.25">
      <c r="A548" s="369"/>
      <c r="B548" s="354"/>
      <c r="C548" s="354" t="s">
        <v>827</v>
      </c>
      <c r="D548" s="349"/>
      <c r="E548" s="340"/>
      <c r="F548" s="340"/>
      <c r="G548" s="340"/>
      <c r="H548" s="340"/>
      <c r="I548" s="340"/>
      <c r="J548" s="340"/>
      <c r="K548" s="340"/>
      <c r="L548" s="340"/>
      <c r="M548" s="340"/>
      <c r="N548" s="340"/>
      <c r="O548" s="340"/>
      <c r="P548" s="340"/>
      <c r="Q548" s="340"/>
      <c r="R548" s="340"/>
      <c r="S548" s="340"/>
      <c r="T548" s="340"/>
      <c r="U548" s="342"/>
      <c r="V548" s="342"/>
      <c r="W548" s="1318">
        <f>2721009865-W545-W546-W547+156370000</f>
        <v>2016385590</v>
      </c>
      <c r="X548" s="1318"/>
      <c r="Y548" s="1318"/>
      <c r="Z548" s="1318"/>
      <c r="AA548" s="1318"/>
      <c r="AB548" s="1318"/>
      <c r="AC548" s="355"/>
      <c r="AD548" s="1318">
        <v>2269007690</v>
      </c>
      <c r="AE548" s="1318"/>
      <c r="AF548" s="1318"/>
      <c r="AG548" s="1318"/>
      <c r="AH548" s="1318"/>
      <c r="AI548" s="1318"/>
      <c r="AJ548" s="344"/>
      <c r="AK548" s="419"/>
      <c r="AL548" s="354"/>
      <c r="AM548" s="354" t="s">
        <v>825</v>
      </c>
      <c r="AN548" s="349"/>
      <c r="AO548" s="340"/>
      <c r="AP548" s="340"/>
      <c r="AQ548" s="340"/>
      <c r="AR548" s="340"/>
      <c r="AS548" s="340"/>
      <c r="AT548" s="340"/>
      <c r="AU548" s="340"/>
      <c r="AV548" s="340"/>
      <c r="AW548" s="340"/>
      <c r="AX548" s="340"/>
      <c r="AY548" s="340"/>
      <c r="AZ548" s="340"/>
      <c r="BA548" s="340"/>
      <c r="BB548" s="340"/>
      <c r="BC548" s="340"/>
      <c r="BD548" s="340"/>
      <c r="BE548" s="342"/>
      <c r="BF548" s="342"/>
      <c r="BG548" s="1318">
        <f>W548</f>
        <v>2016385590</v>
      </c>
      <c r="BH548" s="1318"/>
      <c r="BI548" s="1318"/>
      <c r="BJ548" s="1318"/>
      <c r="BK548" s="1318"/>
      <c r="BL548" s="1318"/>
      <c r="BM548" s="355"/>
      <c r="BN548" s="1318">
        <f>AD548</f>
        <v>2269007690</v>
      </c>
      <c r="BO548" s="1318"/>
      <c r="BP548" s="1318"/>
      <c r="BQ548" s="1318"/>
      <c r="BR548" s="1318"/>
      <c r="BS548" s="1318"/>
      <c r="BT548" s="356"/>
      <c r="BU548" s="357"/>
      <c r="BV548" s="310"/>
      <c r="BW548" s="310"/>
      <c r="BX548" s="291">
        <f t="shared" si="3"/>
        <v>0</v>
      </c>
      <c r="BY548" s="344"/>
      <c r="BZ548" s="347"/>
      <c r="CA548" s="347"/>
    </row>
    <row r="549" spans="1:84" ht="12.95" customHeight="1" x14ac:dyDescent="0.25">
      <c r="A549" s="369"/>
      <c r="B549" s="354"/>
      <c r="C549" s="354"/>
      <c r="D549" s="344"/>
      <c r="E549" s="340"/>
      <c r="F549" s="340"/>
      <c r="G549" s="340"/>
      <c r="H549" s="340"/>
      <c r="I549" s="340"/>
      <c r="J549" s="340"/>
      <c r="K549" s="340"/>
      <c r="L549" s="340"/>
      <c r="M549" s="340"/>
      <c r="N549" s="340"/>
      <c r="O549" s="340"/>
      <c r="P549" s="340"/>
      <c r="Q549" s="340"/>
      <c r="R549" s="340"/>
      <c r="S549" s="340"/>
      <c r="T549" s="340"/>
      <c r="U549" s="342"/>
      <c r="V549" s="342"/>
      <c r="W549" s="1318"/>
      <c r="X549" s="1318"/>
      <c r="Y549" s="1318"/>
      <c r="Z549" s="1318"/>
      <c r="AA549" s="1318"/>
      <c r="AB549" s="1318"/>
      <c r="AC549" s="355"/>
      <c r="AD549" s="1318"/>
      <c r="AE549" s="1318"/>
      <c r="AF549" s="1318"/>
      <c r="AG549" s="1318"/>
      <c r="AH549" s="1318"/>
      <c r="AI549" s="1318"/>
      <c r="AJ549" s="344"/>
      <c r="AK549" s="419"/>
      <c r="AL549" s="354"/>
      <c r="AM549" s="354"/>
      <c r="AN549" s="344"/>
      <c r="AO549" s="340"/>
      <c r="AP549" s="340"/>
      <c r="AQ549" s="340"/>
      <c r="AR549" s="340"/>
      <c r="AS549" s="340"/>
      <c r="AT549" s="340"/>
      <c r="AU549" s="340"/>
      <c r="AV549" s="340"/>
      <c r="AW549" s="340"/>
      <c r="AX549" s="340"/>
      <c r="AY549" s="340"/>
      <c r="AZ549" s="340"/>
      <c r="BA549" s="340"/>
      <c r="BB549" s="340"/>
      <c r="BC549" s="340"/>
      <c r="BD549" s="340"/>
      <c r="BE549" s="342"/>
      <c r="BF549" s="342"/>
      <c r="BG549" s="1318"/>
      <c r="BH549" s="1318"/>
      <c r="BI549" s="1318"/>
      <c r="BJ549" s="1318"/>
      <c r="BK549" s="1318"/>
      <c r="BL549" s="1318"/>
      <c r="BM549" s="355"/>
      <c r="BN549" s="1318"/>
      <c r="BO549" s="1318"/>
      <c r="BP549" s="1318"/>
      <c r="BQ549" s="1318"/>
      <c r="BR549" s="1318"/>
      <c r="BS549" s="1318"/>
      <c r="BT549" s="356"/>
      <c r="BU549" s="357"/>
      <c r="BV549" s="310"/>
      <c r="BW549" s="310"/>
      <c r="BX549" s="291">
        <f>IF(ISNONTEXT($C549),0,SUM(D549:AI549)-SUM(AN549:BS549))</f>
        <v>0</v>
      </c>
      <c r="BY549" s="344"/>
      <c r="BZ549" s="347"/>
      <c r="CA549" s="347"/>
    </row>
    <row r="550" spans="1:84" ht="15" customHeight="1" thickBot="1" x14ac:dyDescent="0.3">
      <c r="A550" s="369"/>
      <c r="B550" s="354"/>
      <c r="C550" s="360" t="s">
        <v>752</v>
      </c>
      <c r="D550" s="342"/>
      <c r="E550" s="342"/>
      <c r="F550" s="342"/>
      <c r="G550" s="342"/>
      <c r="H550" s="342"/>
      <c r="I550" s="342"/>
      <c r="J550" s="342"/>
      <c r="K550" s="342"/>
      <c r="L550" s="342"/>
      <c r="M550" s="342"/>
      <c r="N550" s="342"/>
      <c r="O550" s="342"/>
      <c r="P550" s="342"/>
      <c r="Q550" s="342"/>
      <c r="R550" s="342"/>
      <c r="S550" s="342"/>
      <c r="T550" s="342"/>
      <c r="U550" s="342"/>
      <c r="V550" s="342"/>
      <c r="W550" s="1359">
        <f>SUBTOTAL(109,W545:AB548)</f>
        <v>2877379865</v>
      </c>
      <c r="X550" s="1359"/>
      <c r="Y550" s="1359"/>
      <c r="Z550" s="1359"/>
      <c r="AA550" s="1359"/>
      <c r="AB550" s="1359"/>
      <c r="AC550" s="363"/>
      <c r="AD550" s="1359">
        <f>SUBTOTAL(109,AD545:AI548)</f>
        <v>3530001965</v>
      </c>
      <c r="AE550" s="1359"/>
      <c r="AF550" s="1359"/>
      <c r="AG550" s="1359"/>
      <c r="AH550" s="1359"/>
      <c r="AI550" s="1359"/>
      <c r="AJ550" s="344"/>
      <c r="AK550" s="419"/>
      <c r="AL550" s="354"/>
      <c r="AM550" s="360" t="s">
        <v>752</v>
      </c>
      <c r="AN550" s="342"/>
      <c r="AO550" s="342"/>
      <c r="AP550" s="342"/>
      <c r="AQ550" s="342"/>
      <c r="AR550" s="342"/>
      <c r="AS550" s="342"/>
      <c r="AT550" s="342"/>
      <c r="AU550" s="342"/>
      <c r="AV550" s="342"/>
      <c r="AW550" s="342"/>
      <c r="AX550" s="342"/>
      <c r="AY550" s="342"/>
      <c r="AZ550" s="342"/>
      <c r="BA550" s="342"/>
      <c r="BB550" s="342"/>
      <c r="BC550" s="342"/>
      <c r="BD550" s="342"/>
      <c r="BE550" s="342"/>
      <c r="BF550" s="342"/>
      <c r="BG550" s="1359">
        <f>SUBTOTAL(109,BG545:BL548)</f>
        <v>2877379865</v>
      </c>
      <c r="BH550" s="1359"/>
      <c r="BI550" s="1359"/>
      <c r="BJ550" s="1359"/>
      <c r="BK550" s="1359"/>
      <c r="BL550" s="1359"/>
      <c r="BM550" s="342"/>
      <c r="BN550" s="1359">
        <f>SUBTOTAL(109,BN545:BS548)</f>
        <v>3530001965</v>
      </c>
      <c r="BO550" s="1359"/>
      <c r="BP550" s="1359"/>
      <c r="BQ550" s="1359"/>
      <c r="BR550" s="1359"/>
      <c r="BS550" s="1359"/>
      <c r="BT550" s="356"/>
      <c r="BU550" s="357"/>
      <c r="BV550" s="310">
        <f>W550-KN_CT131-KN_CT211</f>
        <v>0</v>
      </c>
      <c r="BW550" s="310">
        <f>AD550-KT_CT131-KT_CT211</f>
        <v>0</v>
      </c>
      <c r="BX550" s="291">
        <f t="shared" si="3"/>
        <v>0</v>
      </c>
      <c r="BY550" s="344"/>
      <c r="BZ550" s="347"/>
      <c r="CA550" s="347"/>
    </row>
    <row r="551" spans="1:84" s="385" customFormat="1" ht="12.95" customHeight="1" thickTop="1" x14ac:dyDescent="0.25">
      <c r="A551" s="313"/>
      <c r="B551" s="340"/>
      <c r="C551" s="340"/>
      <c r="E551" s="424"/>
      <c r="F551" s="424"/>
      <c r="G551" s="424"/>
      <c r="H551" s="424"/>
      <c r="I551" s="424"/>
      <c r="J551" s="424"/>
      <c r="K551" s="424"/>
      <c r="L551" s="424"/>
      <c r="M551" s="424"/>
      <c r="N551" s="424"/>
      <c r="O551" s="424"/>
      <c r="P551" s="424"/>
      <c r="Q551" s="424"/>
      <c r="R551" s="424"/>
      <c r="S551" s="424"/>
      <c r="T551" s="424"/>
      <c r="U551" s="424"/>
      <c r="V551" s="424"/>
      <c r="W551" s="1330"/>
      <c r="X551" s="1330"/>
      <c r="Y551" s="1330"/>
      <c r="Z551" s="1330"/>
      <c r="AA551" s="1330"/>
      <c r="AB551" s="1330"/>
      <c r="AC551" s="363"/>
      <c r="AD551" s="1330"/>
      <c r="AE551" s="1330"/>
      <c r="AF551" s="1330"/>
      <c r="AG551" s="1330"/>
      <c r="AH551" s="1330"/>
      <c r="AI551" s="1330"/>
      <c r="AJ551" s="374"/>
      <c r="AK551" s="345"/>
      <c r="AL551" s="340"/>
      <c r="AM551" s="340"/>
      <c r="AO551" s="424"/>
      <c r="AP551" s="424"/>
      <c r="AQ551" s="424"/>
      <c r="AR551" s="424"/>
      <c r="AS551" s="424"/>
      <c r="AT551" s="424"/>
      <c r="AU551" s="424"/>
      <c r="AV551" s="424"/>
      <c r="AW551" s="424"/>
      <c r="AX551" s="424"/>
      <c r="AY551" s="424"/>
      <c r="AZ551" s="424"/>
      <c r="BA551" s="424"/>
      <c r="BB551" s="424"/>
      <c r="BC551" s="424"/>
      <c r="BD551" s="424"/>
      <c r="BE551" s="424"/>
      <c r="BF551" s="424"/>
      <c r="BG551" s="1330"/>
      <c r="BH551" s="1330"/>
      <c r="BI551" s="1330"/>
      <c r="BJ551" s="1330"/>
      <c r="BK551" s="1330"/>
      <c r="BL551" s="1330"/>
      <c r="BM551" s="363"/>
      <c r="BN551" s="1330"/>
      <c r="BO551" s="1330"/>
      <c r="BP551" s="1330"/>
      <c r="BQ551" s="1330"/>
      <c r="BR551" s="1330"/>
      <c r="BS551" s="1330"/>
      <c r="BT551" s="361"/>
      <c r="BU551" s="362"/>
      <c r="BV551" s="425"/>
      <c r="BW551" s="425"/>
      <c r="BX551" s="426">
        <f t="shared" si="3"/>
        <v>0</v>
      </c>
      <c r="BY551" s="374"/>
      <c r="BZ551" s="383"/>
      <c r="CA551" s="383"/>
      <c r="CB551" s="384"/>
      <c r="CC551" s="384"/>
      <c r="CD551" s="384"/>
      <c r="CE551" s="384"/>
      <c r="CF551" s="384"/>
    </row>
    <row r="552" spans="1:84" s="385" customFormat="1" ht="15" hidden="1" customHeight="1" x14ac:dyDescent="0.25">
      <c r="A552" s="313"/>
      <c r="B552" s="340"/>
      <c r="C552" s="340" t="s">
        <v>828</v>
      </c>
      <c r="D552" s="374"/>
      <c r="E552" s="424"/>
      <c r="F552" s="424"/>
      <c r="G552" s="424"/>
      <c r="H552" s="424"/>
      <c r="I552" s="424"/>
      <c r="J552" s="424"/>
      <c r="K552" s="424"/>
      <c r="L552" s="424"/>
      <c r="M552" s="424"/>
      <c r="N552" s="424"/>
      <c r="O552" s="424"/>
      <c r="P552" s="424"/>
      <c r="Q552" s="424"/>
      <c r="R552" s="424"/>
      <c r="S552" s="424"/>
      <c r="T552" s="424"/>
      <c r="U552" s="424"/>
      <c r="V552" s="424"/>
      <c r="W552" s="1330"/>
      <c r="X552" s="1330"/>
      <c r="Y552" s="1330"/>
      <c r="Z552" s="1330"/>
      <c r="AA552" s="1330"/>
      <c r="AB552" s="1330"/>
      <c r="AC552" s="363"/>
      <c r="AD552" s="1330"/>
      <c r="AE552" s="1330"/>
      <c r="AF552" s="1330"/>
      <c r="AG552" s="1330"/>
      <c r="AH552" s="1330"/>
      <c r="AI552" s="1330"/>
      <c r="AJ552" s="374"/>
      <c r="AK552" s="345"/>
      <c r="AL552" s="340"/>
      <c r="AM552" s="340" t="s">
        <v>829</v>
      </c>
      <c r="AN552" s="374"/>
      <c r="AO552" s="424"/>
      <c r="AP552" s="424"/>
      <c r="AQ552" s="424"/>
      <c r="AR552" s="424"/>
      <c r="AS552" s="424"/>
      <c r="AT552" s="424"/>
      <c r="AU552" s="424"/>
      <c r="AV552" s="424"/>
      <c r="AW552" s="424"/>
      <c r="AX552" s="424"/>
      <c r="AY552" s="424"/>
      <c r="AZ552" s="424"/>
      <c r="BA552" s="424"/>
      <c r="BB552" s="424"/>
      <c r="BC552" s="424"/>
      <c r="BD552" s="424"/>
      <c r="BE552" s="424"/>
      <c r="BF552" s="424"/>
      <c r="BG552" s="1330"/>
      <c r="BH552" s="1330"/>
      <c r="BI552" s="1330"/>
      <c r="BJ552" s="1330"/>
      <c r="BK552" s="1330"/>
      <c r="BL552" s="1330"/>
      <c r="BM552" s="363"/>
      <c r="BN552" s="1330"/>
      <c r="BO552" s="1330"/>
      <c r="BP552" s="1330"/>
      <c r="BQ552" s="1330"/>
      <c r="BR552" s="1330"/>
      <c r="BS552" s="1330"/>
      <c r="BT552" s="361"/>
      <c r="BU552" s="362"/>
      <c r="BV552" s="425"/>
      <c r="BW552" s="425"/>
      <c r="BX552" s="426">
        <f>IF(ISNONTEXT($C552),0,SUM(D552:AI552)-SUM(AN552:BS552))</f>
        <v>0</v>
      </c>
      <c r="BY552" s="374"/>
      <c r="BZ552" s="383"/>
      <c r="CA552" s="383"/>
      <c r="CB552" s="384"/>
      <c r="CC552" s="384"/>
      <c r="CD552" s="384"/>
      <c r="CE552" s="384"/>
      <c r="CF552" s="384"/>
    </row>
    <row r="553" spans="1:84" ht="15" hidden="1" customHeight="1" x14ac:dyDescent="0.25">
      <c r="A553" s="369"/>
      <c r="B553" s="354"/>
      <c r="C553" s="354" t="s">
        <v>830</v>
      </c>
      <c r="D553" s="349"/>
      <c r="E553" s="427"/>
      <c r="F553" s="427"/>
      <c r="G553" s="427"/>
      <c r="H553" s="427"/>
      <c r="I553" s="427"/>
      <c r="J553" s="427"/>
      <c r="K553" s="427"/>
      <c r="L553" s="427"/>
      <c r="M553" s="427"/>
      <c r="N553" s="427"/>
      <c r="O553" s="427"/>
      <c r="P553" s="427"/>
      <c r="Q553" s="427"/>
      <c r="R553" s="427"/>
      <c r="S553" s="427"/>
      <c r="T553" s="427"/>
      <c r="U553" s="427"/>
      <c r="V553" s="427"/>
      <c r="W553" s="1318">
        <f>KN_CT131</f>
        <v>2877379865</v>
      </c>
      <c r="X553" s="1318"/>
      <c r="Y553" s="1318"/>
      <c r="Z553" s="1318"/>
      <c r="AA553" s="1318"/>
      <c r="AB553" s="1318"/>
      <c r="AC553" s="355"/>
      <c r="AD553" s="1318">
        <f>KT_CT131</f>
        <v>3530001965</v>
      </c>
      <c r="AE553" s="1318"/>
      <c r="AF553" s="1318"/>
      <c r="AG553" s="1318"/>
      <c r="AH553" s="1318"/>
      <c r="AI553" s="1318"/>
      <c r="AJ553" s="344"/>
      <c r="AK553" s="419"/>
      <c r="AL553" s="354"/>
      <c r="AM553" s="354" t="s">
        <v>831</v>
      </c>
      <c r="AN553" s="349"/>
      <c r="AO553" s="427"/>
      <c r="AP553" s="427"/>
      <c r="AQ553" s="427"/>
      <c r="AR553" s="427"/>
      <c r="AS553" s="427"/>
      <c r="AT553" s="427"/>
      <c r="AU553" s="427"/>
      <c r="AV553" s="427"/>
      <c r="AW553" s="427"/>
      <c r="AX553" s="427"/>
      <c r="AY553" s="427"/>
      <c r="AZ553" s="427"/>
      <c r="BA553" s="427"/>
      <c r="BB553" s="427"/>
      <c r="BC553" s="427"/>
      <c r="BD553" s="427"/>
      <c r="BE553" s="427"/>
      <c r="BF553" s="427"/>
      <c r="BG553" s="1318">
        <f>W553</f>
        <v>2877379865</v>
      </c>
      <c r="BH553" s="1318"/>
      <c r="BI553" s="1318"/>
      <c r="BJ553" s="1318"/>
      <c r="BK553" s="1318"/>
      <c r="BL553" s="1318"/>
      <c r="BM553" s="355"/>
      <c r="BN553" s="1318">
        <f>AD553</f>
        <v>3530001965</v>
      </c>
      <c r="BO553" s="1318"/>
      <c r="BP553" s="1318"/>
      <c r="BQ553" s="1318"/>
      <c r="BR553" s="1318"/>
      <c r="BS553" s="1318"/>
      <c r="BT553" s="356"/>
      <c r="BU553" s="357"/>
      <c r="BV553" s="310"/>
      <c r="BW553" s="310"/>
      <c r="BX553" s="291">
        <f t="shared" si="3"/>
        <v>0</v>
      </c>
      <c r="BY553" s="344"/>
      <c r="BZ553" s="347"/>
      <c r="CA553" s="347"/>
    </row>
    <row r="554" spans="1:84" ht="15" hidden="1" customHeight="1" x14ac:dyDescent="0.25">
      <c r="A554" s="369"/>
      <c r="B554" s="354"/>
      <c r="C554" s="354" t="s">
        <v>832</v>
      </c>
      <c r="D554" s="349"/>
      <c r="E554" s="427"/>
      <c r="F554" s="427"/>
      <c r="G554" s="427"/>
      <c r="H554" s="427"/>
      <c r="I554" s="427"/>
      <c r="J554" s="427"/>
      <c r="K554" s="427"/>
      <c r="L554" s="427"/>
      <c r="M554" s="427"/>
      <c r="N554" s="427"/>
      <c r="O554" s="427"/>
      <c r="P554" s="427"/>
      <c r="Q554" s="427"/>
      <c r="R554" s="427"/>
      <c r="S554" s="427"/>
      <c r="T554" s="427"/>
      <c r="U554" s="427"/>
      <c r="V554" s="427"/>
      <c r="W554" s="1318">
        <f>KN_CT211</f>
        <v>0</v>
      </c>
      <c r="X554" s="1318"/>
      <c r="Y554" s="1318"/>
      <c r="Z554" s="1318"/>
      <c r="AA554" s="1318"/>
      <c r="AB554" s="1318"/>
      <c r="AC554" s="355"/>
      <c r="AD554" s="1318">
        <f>KT_CT211</f>
        <v>0</v>
      </c>
      <c r="AE554" s="1318"/>
      <c r="AF554" s="1318"/>
      <c r="AG554" s="1318"/>
      <c r="AH554" s="1318"/>
      <c r="AI554" s="1318"/>
      <c r="AJ554" s="344"/>
      <c r="AK554" s="419"/>
      <c r="AL554" s="354"/>
      <c r="AM554" s="354" t="s">
        <v>833</v>
      </c>
      <c r="AN554" s="349"/>
      <c r="AO554" s="427"/>
      <c r="AP554" s="427"/>
      <c r="AQ554" s="427"/>
      <c r="AR554" s="427"/>
      <c r="AS554" s="427"/>
      <c r="AT554" s="427"/>
      <c r="AU554" s="427"/>
      <c r="AV554" s="427"/>
      <c r="AW554" s="427"/>
      <c r="AX554" s="427"/>
      <c r="AY554" s="427"/>
      <c r="AZ554" s="427"/>
      <c r="BA554" s="427"/>
      <c r="BB554" s="427"/>
      <c r="BC554" s="427"/>
      <c r="BD554" s="427"/>
      <c r="BE554" s="427"/>
      <c r="BF554" s="427"/>
      <c r="BG554" s="1318">
        <f>W554</f>
        <v>0</v>
      </c>
      <c r="BH554" s="1318"/>
      <c r="BI554" s="1318"/>
      <c r="BJ554" s="1318"/>
      <c r="BK554" s="1318"/>
      <c r="BL554" s="1318"/>
      <c r="BM554" s="355"/>
      <c r="BN554" s="1318">
        <f>AD554</f>
        <v>0</v>
      </c>
      <c r="BO554" s="1318"/>
      <c r="BP554" s="1318"/>
      <c r="BQ554" s="1318"/>
      <c r="BR554" s="1318"/>
      <c r="BS554" s="1318"/>
      <c r="BT554" s="356"/>
      <c r="BU554" s="357"/>
      <c r="BV554" s="310"/>
      <c r="BW554" s="310"/>
      <c r="BX554" s="291">
        <f t="shared" si="3"/>
        <v>0</v>
      </c>
      <c r="BY554" s="344"/>
      <c r="BZ554" s="347"/>
      <c r="CA554" s="347"/>
    </row>
    <row r="555" spans="1:84" ht="12.95" hidden="1" customHeight="1" x14ac:dyDescent="0.25">
      <c r="A555" s="369"/>
      <c r="B555" s="354"/>
      <c r="C555" s="354"/>
      <c r="D555" s="344"/>
      <c r="E555" s="427"/>
      <c r="F555" s="427"/>
      <c r="G555" s="427"/>
      <c r="H555" s="427"/>
      <c r="I555" s="427"/>
      <c r="J555" s="427"/>
      <c r="K555" s="427"/>
      <c r="L555" s="427"/>
      <c r="M555" s="427"/>
      <c r="N555" s="427"/>
      <c r="O555" s="427"/>
      <c r="P555" s="427"/>
      <c r="Q555" s="427"/>
      <c r="R555" s="427"/>
      <c r="S555" s="427"/>
      <c r="T555" s="427"/>
      <c r="U555" s="427"/>
      <c r="V555" s="427"/>
      <c r="W555" s="1318"/>
      <c r="X555" s="1318"/>
      <c r="Y555" s="1318"/>
      <c r="Z555" s="1318"/>
      <c r="AA555" s="1318"/>
      <c r="AB555" s="1318"/>
      <c r="AC555" s="355"/>
      <c r="AD555" s="1318"/>
      <c r="AE555" s="1318"/>
      <c r="AF555" s="1318"/>
      <c r="AG555" s="1318"/>
      <c r="AH555" s="1318"/>
      <c r="AI555" s="1318"/>
      <c r="AJ555" s="344"/>
      <c r="AK555" s="419"/>
      <c r="AL555" s="354"/>
      <c r="AM555" s="354"/>
      <c r="AN555" s="344"/>
      <c r="AO555" s="427"/>
      <c r="AP555" s="427"/>
      <c r="AQ555" s="427"/>
      <c r="AR555" s="427"/>
      <c r="AS555" s="427"/>
      <c r="AT555" s="427"/>
      <c r="AU555" s="427"/>
      <c r="AV555" s="427"/>
      <c r="AW555" s="427"/>
      <c r="AX555" s="427"/>
      <c r="AY555" s="427"/>
      <c r="AZ555" s="427"/>
      <c r="BA555" s="427"/>
      <c r="BB555" s="427"/>
      <c r="BC555" s="427"/>
      <c r="BD555" s="427"/>
      <c r="BE555" s="427"/>
      <c r="BF555" s="427"/>
      <c r="BG555" s="1318"/>
      <c r="BH555" s="1318"/>
      <c r="BI555" s="1318"/>
      <c r="BJ555" s="1318"/>
      <c r="BK555" s="1318"/>
      <c r="BL555" s="1318"/>
      <c r="BM555" s="355"/>
      <c r="BN555" s="1318"/>
      <c r="BO555" s="1318"/>
      <c r="BP555" s="1318"/>
      <c r="BQ555" s="1318"/>
      <c r="BR555" s="1318"/>
      <c r="BS555" s="1318"/>
      <c r="BT555" s="356"/>
      <c r="BU555" s="357"/>
      <c r="BV555" s="310"/>
      <c r="BW555" s="310"/>
      <c r="BX555" s="291">
        <f>IF(ISNONTEXT($C555),0,SUM(D555:AI555)-SUM(AN555:BS555))</f>
        <v>0</v>
      </c>
      <c r="BY555" s="344"/>
      <c r="BZ555" s="347"/>
      <c r="CA555" s="347"/>
    </row>
    <row r="556" spans="1:84" ht="15" hidden="1" customHeight="1" thickBot="1" x14ac:dyDescent="0.3">
      <c r="A556" s="369"/>
      <c r="B556" s="354"/>
      <c r="C556" s="360" t="s">
        <v>752</v>
      </c>
      <c r="D556" s="344"/>
      <c r="E556" s="427"/>
      <c r="F556" s="427"/>
      <c r="G556" s="427"/>
      <c r="H556" s="427"/>
      <c r="I556" s="427"/>
      <c r="J556" s="427"/>
      <c r="K556" s="427"/>
      <c r="L556" s="427"/>
      <c r="M556" s="427"/>
      <c r="N556" s="427"/>
      <c r="O556" s="427"/>
      <c r="P556" s="427"/>
      <c r="Q556" s="427"/>
      <c r="R556" s="427"/>
      <c r="S556" s="427"/>
      <c r="T556" s="427"/>
      <c r="U556" s="427"/>
      <c r="V556" s="427"/>
      <c r="W556" s="1359">
        <f>SUBTOTAL(109,W553:AB554)</f>
        <v>0</v>
      </c>
      <c r="X556" s="1359"/>
      <c r="Y556" s="1359"/>
      <c r="Z556" s="1359"/>
      <c r="AA556" s="1359"/>
      <c r="AB556" s="1359"/>
      <c r="AC556" s="355"/>
      <c r="AD556" s="1359">
        <f>SUBTOTAL(109,AD553:AI554)</f>
        <v>0</v>
      </c>
      <c r="AE556" s="1359"/>
      <c r="AF556" s="1359"/>
      <c r="AG556" s="1359"/>
      <c r="AH556" s="1359"/>
      <c r="AI556" s="1359"/>
      <c r="AJ556" s="344"/>
      <c r="AK556" s="419"/>
      <c r="AL556" s="354"/>
      <c r="AM556" s="360" t="s">
        <v>752</v>
      </c>
      <c r="AN556" s="344"/>
      <c r="AO556" s="427"/>
      <c r="AP556" s="427"/>
      <c r="AQ556" s="427"/>
      <c r="AR556" s="427"/>
      <c r="AS556" s="427"/>
      <c r="AT556" s="427"/>
      <c r="AU556" s="427"/>
      <c r="AV556" s="427"/>
      <c r="AW556" s="427"/>
      <c r="AX556" s="427"/>
      <c r="AY556" s="427"/>
      <c r="AZ556" s="427"/>
      <c r="BA556" s="427"/>
      <c r="BB556" s="427"/>
      <c r="BC556" s="427"/>
      <c r="BD556" s="427"/>
      <c r="BE556" s="427"/>
      <c r="BF556" s="427"/>
      <c r="BG556" s="1359">
        <f>SUBTOTAL(109,BG553:BL554)</f>
        <v>0</v>
      </c>
      <c r="BH556" s="1359"/>
      <c r="BI556" s="1359"/>
      <c r="BJ556" s="1359"/>
      <c r="BK556" s="1359"/>
      <c r="BL556" s="1359"/>
      <c r="BM556" s="355"/>
      <c r="BN556" s="1359">
        <f>SUBTOTAL(109,BN553:BS554)</f>
        <v>0</v>
      </c>
      <c r="BO556" s="1359"/>
      <c r="BP556" s="1359"/>
      <c r="BQ556" s="1359"/>
      <c r="BR556" s="1359"/>
      <c r="BS556" s="1359"/>
      <c r="BT556" s="356"/>
      <c r="BU556" s="357"/>
      <c r="BV556" s="310">
        <f>W556-KN_CT131-KN_CT211</f>
        <v>-2877379865</v>
      </c>
      <c r="BW556" s="310">
        <f>AD556-KT_CT131-KT_CT211</f>
        <v>-3530001965</v>
      </c>
      <c r="BX556" s="291">
        <f>IF(ISNONTEXT($C556),0,SUM(D556:AI556)-SUM(AN556:BS556))</f>
        <v>0</v>
      </c>
      <c r="BY556" s="344"/>
      <c r="BZ556" s="347"/>
      <c r="CA556" s="347"/>
    </row>
    <row r="557" spans="1:84" ht="12.95" hidden="1" customHeight="1" thickTop="1" x14ac:dyDescent="0.25">
      <c r="A557" s="369"/>
      <c r="B557" s="354"/>
      <c r="C557" s="354"/>
      <c r="D557" s="344"/>
      <c r="E557" s="427"/>
      <c r="F557" s="427"/>
      <c r="G557" s="427"/>
      <c r="H557" s="427"/>
      <c r="I557" s="427"/>
      <c r="J557" s="427"/>
      <c r="K557" s="427"/>
      <c r="L557" s="427"/>
      <c r="M557" s="427"/>
      <c r="N557" s="427"/>
      <c r="O557" s="427"/>
      <c r="P557" s="427"/>
      <c r="Q557" s="427"/>
      <c r="R557" s="427"/>
      <c r="S557" s="427"/>
      <c r="T557" s="427"/>
      <c r="U557" s="427"/>
      <c r="V557" s="427"/>
      <c r="W557" s="1318"/>
      <c r="X557" s="1318"/>
      <c r="Y557" s="1318"/>
      <c r="Z557" s="1318"/>
      <c r="AA557" s="1318"/>
      <c r="AB557" s="1318"/>
      <c r="AC557" s="355"/>
      <c r="AD557" s="1318"/>
      <c r="AE557" s="1318"/>
      <c r="AF557" s="1318"/>
      <c r="AG557" s="1318"/>
      <c r="AH557" s="1318"/>
      <c r="AI557" s="1318"/>
      <c r="AJ557" s="344"/>
      <c r="AK557" s="419"/>
      <c r="AL557" s="354"/>
      <c r="AM557" s="354"/>
      <c r="AN557" s="344"/>
      <c r="AO557" s="427"/>
      <c r="AP557" s="427"/>
      <c r="AQ557" s="427"/>
      <c r="AR557" s="427"/>
      <c r="AS557" s="427"/>
      <c r="AT557" s="427"/>
      <c r="AU557" s="427"/>
      <c r="AV557" s="427"/>
      <c r="AW557" s="427"/>
      <c r="AX557" s="427"/>
      <c r="AY557" s="427"/>
      <c r="AZ557" s="427"/>
      <c r="BA557" s="427"/>
      <c r="BB557" s="427"/>
      <c r="BC557" s="427"/>
      <c r="BD557" s="427"/>
      <c r="BE557" s="427"/>
      <c r="BF557" s="427"/>
      <c r="BG557" s="1318"/>
      <c r="BH557" s="1318"/>
      <c r="BI557" s="1318"/>
      <c r="BJ557" s="1318"/>
      <c r="BK557" s="1318"/>
      <c r="BL557" s="1318"/>
      <c r="BM557" s="355"/>
      <c r="BN557" s="1318"/>
      <c r="BO557" s="1318"/>
      <c r="BP557" s="1318"/>
      <c r="BQ557" s="1318"/>
      <c r="BR557" s="1318"/>
      <c r="BS557" s="1318"/>
      <c r="BT557" s="356"/>
      <c r="BU557" s="357"/>
      <c r="BV557" s="310"/>
      <c r="BW557" s="310"/>
      <c r="BX557" s="291">
        <f>IF(ISNONTEXT($C557),0,SUM(D557:AI557)-SUM(AN557:BS557))</f>
        <v>0</v>
      </c>
      <c r="BY557" s="344"/>
      <c r="BZ557" s="347"/>
      <c r="CA557" s="347"/>
    </row>
    <row r="558" spans="1:84" ht="15" hidden="1" customHeight="1" thickBot="1" x14ac:dyDescent="0.3">
      <c r="A558" s="369"/>
      <c r="B558" s="354"/>
      <c r="C558" s="340" t="s">
        <v>834</v>
      </c>
      <c r="D558" s="341"/>
      <c r="E558" s="341"/>
      <c r="F558" s="341"/>
      <c r="G558" s="341"/>
      <c r="H558" s="341"/>
      <c r="I558" s="341"/>
      <c r="J558" s="341"/>
      <c r="K558" s="341"/>
      <c r="L558" s="341"/>
      <c r="M558" s="341"/>
      <c r="N558" s="341"/>
      <c r="O558" s="341"/>
      <c r="P558" s="341"/>
      <c r="Q558" s="341"/>
      <c r="R558" s="341"/>
      <c r="S558" s="341"/>
      <c r="T558" s="341"/>
      <c r="U558" s="341"/>
      <c r="V558" s="341"/>
      <c r="W558" s="1359">
        <v>0</v>
      </c>
      <c r="X558" s="1359"/>
      <c r="Y558" s="1359"/>
      <c r="Z558" s="1359"/>
      <c r="AA558" s="1359"/>
      <c r="AB558" s="1359"/>
      <c r="AC558" s="363"/>
      <c r="AD558" s="1359">
        <v>0</v>
      </c>
      <c r="AE558" s="1359"/>
      <c r="AF558" s="1359"/>
      <c r="AG558" s="1359"/>
      <c r="AH558" s="1359"/>
      <c r="AI558" s="1359"/>
      <c r="AJ558" s="344"/>
      <c r="AK558" s="419"/>
      <c r="AL558" s="354"/>
      <c r="AM558" s="341" t="s">
        <v>835</v>
      </c>
      <c r="AN558" s="341"/>
      <c r="AO558" s="341"/>
      <c r="AP558" s="341"/>
      <c r="AQ558" s="341"/>
      <c r="AR558" s="341"/>
      <c r="AS558" s="341"/>
      <c r="AT558" s="341"/>
      <c r="AU558" s="341"/>
      <c r="AV558" s="341"/>
      <c r="AW558" s="341"/>
      <c r="AX558" s="341"/>
      <c r="AY558" s="341"/>
      <c r="AZ558" s="341"/>
      <c r="BA558" s="341"/>
      <c r="BB558" s="341"/>
      <c r="BC558" s="341"/>
      <c r="BD558" s="341"/>
      <c r="BE558" s="341"/>
      <c r="BF558" s="341"/>
      <c r="BG558" s="1359">
        <f>W558</f>
        <v>0</v>
      </c>
      <c r="BH558" s="1359"/>
      <c r="BI558" s="1359"/>
      <c r="BJ558" s="1359"/>
      <c r="BK558" s="1359"/>
      <c r="BL558" s="1359"/>
      <c r="BM558" s="363"/>
      <c r="BN558" s="1359">
        <f>AD558</f>
        <v>0</v>
      </c>
      <c r="BO558" s="1359"/>
      <c r="BP558" s="1359"/>
      <c r="BQ558" s="1359"/>
      <c r="BR558" s="1359"/>
      <c r="BS558" s="1359"/>
      <c r="BT558" s="356"/>
      <c r="BU558" s="357"/>
      <c r="BV558" s="310"/>
      <c r="BW558" s="310"/>
      <c r="BX558" s="291">
        <f t="shared" si="3"/>
        <v>0</v>
      </c>
      <c r="BY558" s="344"/>
      <c r="BZ558" s="347"/>
      <c r="CA558" s="347"/>
    </row>
    <row r="559" spans="1:84" ht="14.1" hidden="1" customHeight="1" thickTop="1" x14ac:dyDescent="0.25">
      <c r="A559" s="369"/>
      <c r="B559" s="354"/>
      <c r="C559" s="428" t="str">
        <f>CONCATENATE("(Xem thông tin chi tiết tại Thuyết minh ",STT_BenLQ,")")</f>
        <v>(Xem thông tin chi tiết tại Thuyết minh 37)</v>
      </c>
      <c r="D559" s="342"/>
      <c r="E559" s="342"/>
      <c r="F559" s="342"/>
      <c r="G559" s="342"/>
      <c r="H559" s="342"/>
      <c r="I559" s="342"/>
      <c r="J559" s="342"/>
      <c r="K559" s="342"/>
      <c r="L559" s="342"/>
      <c r="M559" s="342"/>
      <c r="N559" s="342"/>
      <c r="O559" s="342"/>
      <c r="P559" s="342"/>
      <c r="Q559" s="342"/>
      <c r="R559" s="342"/>
      <c r="S559" s="342"/>
      <c r="T559" s="342"/>
      <c r="U559" s="342"/>
      <c r="V559" s="342"/>
      <c r="W559" s="363"/>
      <c r="X559" s="363"/>
      <c r="Y559" s="363"/>
      <c r="Z559" s="363"/>
      <c r="AA559" s="363"/>
      <c r="AB559" s="363"/>
      <c r="AC559" s="343"/>
      <c r="AD559" s="363"/>
      <c r="AE559" s="363"/>
      <c r="AF559" s="363"/>
      <c r="AG559" s="363"/>
      <c r="AH559" s="363"/>
      <c r="AI559" s="363"/>
      <c r="AJ559" s="344"/>
      <c r="AK559" s="419"/>
      <c r="AL559" s="354"/>
      <c r="AM559" s="429" t="str">
        <f>CONCATENATE("(Details as in Notes No. ",STT_BenLQ,")")</f>
        <v>(Details as in Notes No. 37)</v>
      </c>
      <c r="AN559" s="342"/>
      <c r="AO559" s="342"/>
      <c r="AP559" s="342"/>
      <c r="AQ559" s="342"/>
      <c r="AR559" s="342"/>
      <c r="AS559" s="342"/>
      <c r="AT559" s="342"/>
      <c r="AU559" s="342"/>
      <c r="AV559" s="342"/>
      <c r="AW559" s="342"/>
      <c r="AX559" s="342"/>
      <c r="AY559" s="342"/>
      <c r="AZ559" s="342"/>
      <c r="BA559" s="342"/>
      <c r="BB559" s="342"/>
      <c r="BC559" s="342"/>
      <c r="BD559" s="342"/>
      <c r="BE559" s="342"/>
      <c r="BF559" s="342"/>
      <c r="BG559" s="363"/>
      <c r="BH559" s="363"/>
      <c r="BI559" s="363"/>
      <c r="BJ559" s="363"/>
      <c r="BK559" s="363"/>
      <c r="BL559" s="363"/>
      <c r="BM559" s="389"/>
      <c r="BN559" s="363"/>
      <c r="BO559" s="363"/>
      <c r="BP559" s="363"/>
      <c r="BQ559" s="363"/>
      <c r="BR559" s="363"/>
      <c r="BS559" s="363"/>
      <c r="BT559" s="342"/>
      <c r="BU559" s="346"/>
      <c r="BV559" s="310"/>
      <c r="BW559" s="310"/>
      <c r="BX559" s="291">
        <f t="shared" si="3"/>
        <v>0</v>
      </c>
      <c r="BY559" s="344"/>
      <c r="BZ559" s="347"/>
      <c r="CA559" s="347"/>
    </row>
    <row r="560" spans="1:84" ht="27.95" hidden="1" customHeight="1" x14ac:dyDescent="0.25">
      <c r="A560" s="369"/>
      <c r="B560" s="354"/>
      <c r="C560" s="1342" t="s">
        <v>836</v>
      </c>
      <c r="D560" s="1342"/>
      <c r="E560" s="1342"/>
      <c r="F560" s="1342"/>
      <c r="G560" s="1342"/>
      <c r="H560" s="1342"/>
      <c r="I560" s="1342"/>
      <c r="J560" s="1342"/>
      <c r="K560" s="1342"/>
      <c r="L560" s="1342"/>
      <c r="M560" s="1342"/>
      <c r="N560" s="1342"/>
      <c r="O560" s="1342"/>
      <c r="P560" s="1342"/>
      <c r="Q560" s="1342"/>
      <c r="R560" s="1342"/>
      <c r="S560" s="1342"/>
      <c r="T560" s="1342"/>
      <c r="U560" s="1342"/>
      <c r="V560" s="1342"/>
      <c r="W560" s="1342"/>
      <c r="X560" s="1342"/>
      <c r="Y560" s="1342"/>
      <c r="Z560" s="1342"/>
      <c r="AA560" s="1342"/>
      <c r="AB560" s="1342"/>
      <c r="AC560" s="1342"/>
      <c r="AD560" s="1342"/>
      <c r="AE560" s="1342"/>
      <c r="AF560" s="1342"/>
      <c r="AG560" s="1342"/>
      <c r="AH560" s="1342"/>
      <c r="AI560" s="1342"/>
      <c r="AJ560" s="344"/>
      <c r="AK560" s="419"/>
      <c r="AL560" s="354"/>
      <c r="AM560" s="1342" t="s">
        <v>837</v>
      </c>
      <c r="AN560" s="1342"/>
      <c r="AO560" s="1342"/>
      <c r="AP560" s="1342"/>
      <c r="AQ560" s="1342"/>
      <c r="AR560" s="1342"/>
      <c r="AS560" s="1342"/>
      <c r="AT560" s="1342"/>
      <c r="AU560" s="1342"/>
      <c r="AV560" s="1342"/>
      <c r="AW560" s="1342"/>
      <c r="AX560" s="1342"/>
      <c r="AY560" s="1342"/>
      <c r="AZ560" s="1342"/>
      <c r="BA560" s="1342"/>
      <c r="BB560" s="1342"/>
      <c r="BC560" s="1342"/>
      <c r="BD560" s="1342"/>
      <c r="BE560" s="1342"/>
      <c r="BF560" s="1342"/>
      <c r="BG560" s="1342"/>
      <c r="BH560" s="1342"/>
      <c r="BI560" s="1342"/>
      <c r="BJ560" s="1342"/>
      <c r="BK560" s="1342"/>
      <c r="BL560" s="1342"/>
      <c r="BM560" s="1342"/>
      <c r="BN560" s="1342"/>
      <c r="BO560" s="1342"/>
      <c r="BP560" s="1342"/>
      <c r="BQ560" s="1342"/>
      <c r="BR560" s="1342"/>
      <c r="BS560" s="1342"/>
      <c r="BT560" s="342"/>
      <c r="BU560" s="346"/>
      <c r="BV560" s="310"/>
      <c r="BW560" s="310"/>
      <c r="BX560" s="291">
        <f t="shared" si="3"/>
        <v>0</v>
      </c>
      <c r="BY560" s="344"/>
      <c r="BZ560" s="347"/>
      <c r="CA560" s="347"/>
    </row>
    <row r="561" spans="1:16384" ht="2.1" hidden="1" customHeight="1" x14ac:dyDescent="0.25">
      <c r="A561" s="313"/>
      <c r="B561" s="340"/>
      <c r="C561" s="340"/>
      <c r="D561" s="340"/>
      <c r="E561" s="340"/>
      <c r="F561" s="340"/>
      <c r="G561" s="340"/>
      <c r="H561" s="340"/>
      <c r="I561" s="340"/>
      <c r="J561" s="340"/>
      <c r="K561" s="340"/>
      <c r="L561" s="340"/>
      <c r="M561" s="340"/>
      <c r="N561" s="340"/>
      <c r="O561" s="340"/>
      <c r="P561" s="340"/>
      <c r="Q561" s="340"/>
      <c r="R561" s="340"/>
      <c r="S561" s="340"/>
      <c r="T561" s="340"/>
      <c r="U561" s="342"/>
      <c r="V561" s="342"/>
      <c r="W561" s="368"/>
      <c r="X561" s="368"/>
      <c r="Y561" s="368"/>
      <c r="Z561" s="368"/>
      <c r="AA561" s="368"/>
      <c r="AB561" s="368"/>
      <c r="AC561" s="343"/>
      <c r="AD561" s="368"/>
      <c r="AE561" s="368"/>
      <c r="AF561" s="368"/>
      <c r="AG561" s="368"/>
      <c r="AH561" s="368"/>
      <c r="AI561" s="368"/>
      <c r="AJ561" s="344"/>
      <c r="AK561" s="345"/>
      <c r="AL561" s="340"/>
      <c r="AM561" s="340"/>
      <c r="AN561" s="340"/>
      <c r="AO561" s="340"/>
      <c r="AP561" s="340"/>
      <c r="AQ561" s="340"/>
      <c r="AR561" s="340"/>
      <c r="AS561" s="340"/>
      <c r="AT561" s="340"/>
      <c r="AU561" s="340"/>
      <c r="AV561" s="340"/>
      <c r="AW561" s="340"/>
      <c r="AX561" s="340"/>
      <c r="AY561" s="340"/>
      <c r="AZ561" s="340"/>
      <c r="BA561" s="340"/>
      <c r="BB561" s="340"/>
      <c r="BC561" s="340"/>
      <c r="BD561" s="340"/>
      <c r="BE561" s="342"/>
      <c r="BF561" s="342"/>
      <c r="BG561" s="361"/>
      <c r="BH561" s="361"/>
      <c r="BI561" s="361"/>
      <c r="BJ561" s="361"/>
      <c r="BK561" s="361"/>
      <c r="BL561" s="361"/>
      <c r="BM561" s="342"/>
      <c r="BN561" s="361"/>
      <c r="BO561" s="361"/>
      <c r="BP561" s="361"/>
      <c r="BQ561" s="361"/>
      <c r="BR561" s="361"/>
      <c r="BS561" s="361"/>
      <c r="BT561" s="361"/>
      <c r="BU561" s="362"/>
      <c r="BV561" s="310"/>
      <c r="BW561" s="310"/>
      <c r="BX561" s="291">
        <f t="shared" si="3"/>
        <v>0</v>
      </c>
      <c r="BY561" s="344"/>
      <c r="BZ561" s="347"/>
      <c r="CA561" s="347"/>
    </row>
    <row r="562" spans="1:16384" ht="12.95" hidden="1" customHeight="1" x14ac:dyDescent="0.25">
      <c r="A562" s="369"/>
      <c r="B562" s="354"/>
      <c r="C562" s="342"/>
      <c r="D562" s="342"/>
      <c r="E562" s="342"/>
      <c r="F562" s="342"/>
      <c r="G562" s="342"/>
      <c r="H562" s="342"/>
      <c r="I562" s="342"/>
      <c r="J562" s="342"/>
      <c r="K562" s="342"/>
      <c r="L562" s="342"/>
      <c r="M562" s="342"/>
      <c r="N562" s="342"/>
      <c r="O562" s="342"/>
      <c r="P562" s="342"/>
      <c r="Q562" s="342"/>
      <c r="R562" s="342"/>
      <c r="S562" s="342"/>
      <c r="T562" s="342"/>
      <c r="U562" s="342"/>
      <c r="V562" s="342"/>
      <c r="W562" s="1338"/>
      <c r="X562" s="1338"/>
      <c r="Y562" s="1338"/>
      <c r="Z562" s="1338"/>
      <c r="AA562" s="1338"/>
      <c r="AB562" s="1338"/>
      <c r="AC562" s="343"/>
      <c r="AD562" s="1338"/>
      <c r="AE562" s="1338"/>
      <c r="AF562" s="1338"/>
      <c r="AG562" s="1338"/>
      <c r="AH562" s="1338"/>
      <c r="AI562" s="1338"/>
      <c r="AJ562" s="344"/>
      <c r="AK562" s="419"/>
      <c r="AL562" s="354"/>
      <c r="AM562" s="342"/>
      <c r="AN562" s="342"/>
      <c r="AO562" s="342"/>
      <c r="AP562" s="342"/>
      <c r="AQ562" s="342"/>
      <c r="AR562" s="342"/>
      <c r="AS562" s="342"/>
      <c r="AT562" s="342"/>
      <c r="AU562" s="342"/>
      <c r="AV562" s="342"/>
      <c r="AW562" s="342"/>
      <c r="AX562" s="342"/>
      <c r="AY562" s="342"/>
      <c r="AZ562" s="342"/>
      <c r="BA562" s="342"/>
      <c r="BB562" s="342"/>
      <c r="BC562" s="342"/>
      <c r="BD562" s="342"/>
      <c r="BE562" s="342"/>
      <c r="BF562" s="342"/>
      <c r="BG562" s="342"/>
      <c r="BH562" s="342"/>
      <c r="BI562" s="342"/>
      <c r="BJ562" s="342"/>
      <c r="BK562" s="342"/>
      <c r="BL562" s="342"/>
      <c r="BM562" s="342"/>
      <c r="BN562" s="342"/>
      <c r="BO562" s="342"/>
      <c r="BP562" s="342"/>
      <c r="BQ562" s="342"/>
      <c r="BR562" s="342"/>
      <c r="BS562" s="342"/>
      <c r="BT562" s="342"/>
      <c r="BU562" s="346"/>
      <c r="BV562" s="310"/>
      <c r="BW562" s="310"/>
      <c r="BX562" s="291">
        <f t="shared" si="3"/>
        <v>0</v>
      </c>
      <c r="BY562" s="344"/>
      <c r="BZ562" s="347"/>
      <c r="CA562" s="347"/>
    </row>
    <row r="563" spans="1:16384" ht="15" customHeight="1" x14ac:dyDescent="0.25">
      <c r="A563" s="313">
        <v>6</v>
      </c>
      <c r="B563" s="340" t="s">
        <v>345</v>
      </c>
      <c r="C563" s="341" t="s">
        <v>838</v>
      </c>
      <c r="D563" s="341"/>
      <c r="E563" s="341"/>
      <c r="F563" s="341"/>
      <c r="G563" s="341"/>
      <c r="H563" s="341"/>
      <c r="I563" s="341"/>
      <c r="J563" s="341"/>
      <c r="K563" s="341"/>
      <c r="L563" s="341"/>
      <c r="M563" s="341"/>
      <c r="N563" s="341"/>
      <c r="O563" s="341"/>
      <c r="P563" s="341"/>
      <c r="Q563" s="341"/>
      <c r="R563" s="341"/>
      <c r="S563" s="341"/>
      <c r="T563" s="341"/>
      <c r="U563" s="342"/>
      <c r="V563" s="342"/>
      <c r="W563" s="343"/>
      <c r="X563" s="343"/>
      <c r="Y563" s="343"/>
      <c r="Z563" s="343"/>
      <c r="AA563" s="343"/>
      <c r="AB563" s="343"/>
      <c r="AC563" s="343"/>
      <c r="AD563" s="343"/>
      <c r="AE563" s="343"/>
      <c r="AF563" s="343"/>
      <c r="AG563" s="343"/>
      <c r="AH563" s="343"/>
      <c r="AI563" s="343"/>
      <c r="AJ563" s="344"/>
      <c r="AK563" s="345">
        <f>A563</f>
        <v>6</v>
      </c>
      <c r="AL563" s="340" t="s">
        <v>345</v>
      </c>
      <c r="AM563" s="341" t="s">
        <v>839</v>
      </c>
      <c r="AN563" s="341"/>
      <c r="AO563" s="341"/>
      <c r="AP563" s="341"/>
      <c r="AQ563" s="341"/>
      <c r="AR563" s="341"/>
      <c r="AS563" s="341"/>
      <c r="AT563" s="341"/>
      <c r="AU563" s="341"/>
      <c r="AV563" s="341"/>
      <c r="AW563" s="341"/>
      <c r="AX563" s="341"/>
      <c r="AY563" s="341"/>
      <c r="AZ563" s="341"/>
      <c r="BA563" s="341"/>
      <c r="BB563" s="341"/>
      <c r="BC563" s="341"/>
      <c r="BD563" s="341"/>
      <c r="BE563" s="342"/>
      <c r="BF563" s="342"/>
      <c r="BG563" s="342"/>
      <c r="BH563" s="342"/>
      <c r="BI563" s="342"/>
      <c r="BJ563" s="342"/>
      <c r="BK563" s="342"/>
      <c r="BL563" s="342"/>
      <c r="BM563" s="342"/>
      <c r="BN563" s="342"/>
      <c r="BO563" s="342"/>
      <c r="BP563" s="342"/>
      <c r="BQ563" s="342"/>
      <c r="BR563" s="342"/>
      <c r="BS563" s="342"/>
      <c r="BT563" s="342"/>
      <c r="BU563" s="346">
        <f>SUBTOTAL(103,A563)</f>
        <v>1</v>
      </c>
      <c r="BV563" s="310"/>
      <c r="BW563" s="310"/>
      <c r="BX563" s="291">
        <f t="shared" si="3"/>
        <v>0</v>
      </c>
      <c r="BY563" s="344"/>
      <c r="BZ563" s="347"/>
      <c r="CA563" s="347"/>
    </row>
    <row r="564" spans="1:16384" ht="14.1" customHeight="1" x14ac:dyDescent="0.25">
      <c r="A564" s="313"/>
      <c r="B564" s="340"/>
      <c r="C564" s="341"/>
      <c r="D564" s="341"/>
      <c r="E564" s="341"/>
      <c r="F564" s="341"/>
      <c r="G564" s="341"/>
      <c r="H564" s="341"/>
      <c r="I564" s="341"/>
      <c r="J564" s="341"/>
      <c r="K564" s="341"/>
      <c r="L564" s="341"/>
      <c r="M564" s="341"/>
      <c r="N564" s="341"/>
      <c r="O564" s="341"/>
      <c r="P564" s="341"/>
      <c r="Q564" s="341"/>
      <c r="R564" s="341"/>
      <c r="S564" s="341"/>
      <c r="T564" s="341"/>
      <c r="U564" s="342"/>
      <c r="V564" s="342"/>
      <c r="W564" s="343"/>
      <c r="X564" s="343"/>
      <c r="Y564" s="343"/>
      <c r="Z564" s="343"/>
      <c r="AA564" s="343"/>
      <c r="AB564" s="343"/>
      <c r="AC564" s="343"/>
      <c r="AD564" s="343"/>
      <c r="AE564" s="343"/>
      <c r="AF564" s="343"/>
      <c r="AG564" s="343"/>
      <c r="AH564" s="343"/>
      <c r="AI564" s="343"/>
      <c r="AJ564" s="344"/>
      <c r="AK564" s="345"/>
      <c r="AL564" s="340"/>
      <c r="AM564" s="341"/>
      <c r="AN564" s="341"/>
      <c r="AO564" s="341"/>
      <c r="AP564" s="341"/>
      <c r="AQ564" s="341"/>
      <c r="AR564" s="341"/>
      <c r="AS564" s="341"/>
      <c r="AT564" s="341"/>
      <c r="AU564" s="341"/>
      <c r="AV564" s="341"/>
      <c r="AW564" s="341"/>
      <c r="AX564" s="341"/>
      <c r="AY564" s="341"/>
      <c r="AZ564" s="341"/>
      <c r="BA564" s="341"/>
      <c r="BB564" s="341"/>
      <c r="BC564" s="341"/>
      <c r="BD564" s="341"/>
      <c r="BE564" s="342"/>
      <c r="BF564" s="342"/>
      <c r="BG564" s="342"/>
      <c r="BH564" s="342"/>
      <c r="BI564" s="342"/>
      <c r="BJ564" s="342"/>
      <c r="BK564" s="342"/>
      <c r="BL564" s="342"/>
      <c r="BM564" s="342"/>
      <c r="BN564" s="342"/>
      <c r="BO564" s="342"/>
      <c r="BP564" s="342"/>
      <c r="BQ564" s="342"/>
      <c r="BR564" s="342"/>
      <c r="BS564" s="342"/>
      <c r="BT564" s="342"/>
      <c r="BU564" s="346"/>
      <c r="BV564" s="310"/>
      <c r="BW564" s="310"/>
      <c r="BX564" s="291"/>
      <c r="BY564" s="344"/>
      <c r="BZ564" s="347"/>
      <c r="CA564" s="347"/>
    </row>
    <row r="565" spans="1:16384" ht="15" customHeight="1" x14ac:dyDescent="0.25">
      <c r="A565" s="313"/>
      <c r="B565" s="340"/>
      <c r="C565" s="350"/>
      <c r="D565" s="350"/>
      <c r="E565" s="350"/>
      <c r="F565" s="350"/>
      <c r="G565" s="350"/>
      <c r="H565" s="350"/>
      <c r="I565" s="350"/>
      <c r="J565" s="350"/>
      <c r="K565" s="1476" t="str">
        <f>Ky_Nay1_V</f>
        <v>31/12/2017</v>
      </c>
      <c r="L565" s="1476"/>
      <c r="M565" s="1476"/>
      <c r="N565" s="1476"/>
      <c r="O565" s="1476"/>
      <c r="P565" s="1476"/>
      <c r="Q565" s="1476"/>
      <c r="R565" s="1476"/>
      <c r="S565" s="1476"/>
      <c r="T565" s="1476"/>
      <c r="U565" s="1476"/>
      <c r="V565" s="1476"/>
      <c r="W565" s="372"/>
      <c r="X565" s="1476" t="str">
        <f>Ky_Truoc1_V</f>
        <v>01/01/2017</v>
      </c>
      <c r="Y565" s="1476"/>
      <c r="Z565" s="1476"/>
      <c r="AA565" s="1476"/>
      <c r="AB565" s="1476"/>
      <c r="AC565" s="1476"/>
      <c r="AD565" s="1476"/>
      <c r="AE565" s="1476"/>
      <c r="AF565" s="1476"/>
      <c r="AG565" s="1476"/>
      <c r="AH565" s="1476"/>
      <c r="AI565" s="1476"/>
      <c r="AJ565" s="344"/>
      <c r="AK565" s="345"/>
      <c r="AL565" s="340"/>
      <c r="AM565" s="350"/>
      <c r="AN565" s="350"/>
      <c r="AO565" s="350"/>
      <c r="AP565" s="350"/>
      <c r="AQ565" s="350"/>
      <c r="AR565" s="350"/>
      <c r="AS565" s="350"/>
      <c r="AT565" s="350"/>
      <c r="AU565" s="1476" t="str">
        <f>Ky_Nay1_E</f>
        <v>31/12/2017</v>
      </c>
      <c r="AV565" s="1476"/>
      <c r="AW565" s="1476"/>
      <c r="AX565" s="1476"/>
      <c r="AY565" s="1476"/>
      <c r="AZ565" s="1476"/>
      <c r="BA565" s="1476"/>
      <c r="BB565" s="1476"/>
      <c r="BC565" s="1476"/>
      <c r="BD565" s="1476"/>
      <c r="BE565" s="1476"/>
      <c r="BF565" s="1476"/>
      <c r="BG565" s="372"/>
      <c r="BH565" s="1476" t="str">
        <f>Ky_Truoc1_E</f>
        <v>01/01/2017</v>
      </c>
      <c r="BI565" s="1476"/>
      <c r="BJ565" s="1476"/>
      <c r="BK565" s="1476"/>
      <c r="BL565" s="1476"/>
      <c r="BM565" s="1476"/>
      <c r="BN565" s="1476"/>
      <c r="BO565" s="1476"/>
      <c r="BP565" s="1476"/>
      <c r="BQ565" s="1476"/>
      <c r="BR565" s="1476"/>
      <c r="BS565" s="1476"/>
      <c r="BT565" s="352"/>
      <c r="BU565" s="353"/>
      <c r="BV565" s="310"/>
      <c r="BW565" s="310"/>
      <c r="BX565" s="291">
        <f t="shared" si="3"/>
        <v>0</v>
      </c>
      <c r="BY565" s="344"/>
      <c r="BZ565" s="347"/>
      <c r="CA565" s="347"/>
    </row>
    <row r="566" spans="1:16384" ht="15" customHeight="1" x14ac:dyDescent="0.25">
      <c r="A566" s="313"/>
      <c r="B566" s="340"/>
      <c r="C566" s="430"/>
      <c r="D566" s="430"/>
      <c r="E566" s="430"/>
      <c r="F566" s="430"/>
      <c r="G566" s="430"/>
      <c r="H566" s="430"/>
      <c r="I566" s="430"/>
      <c r="J566" s="430"/>
      <c r="K566" s="1483" t="s">
        <v>840</v>
      </c>
      <c r="L566" s="1483"/>
      <c r="M566" s="1483"/>
      <c r="N566" s="1483"/>
      <c r="O566" s="1483"/>
      <c r="P566" s="1483"/>
      <c r="Q566" s="372"/>
      <c r="R566" s="1483" t="s">
        <v>782</v>
      </c>
      <c r="S566" s="1483"/>
      <c r="T566" s="1483"/>
      <c r="U566" s="1483"/>
      <c r="V566" s="1483"/>
      <c r="W566" s="371"/>
      <c r="X566" s="1483" t="s">
        <v>840</v>
      </c>
      <c r="Y566" s="1483"/>
      <c r="Z566" s="1483"/>
      <c r="AA566" s="1483"/>
      <c r="AB566" s="1483"/>
      <c r="AC566" s="1483"/>
      <c r="AD566" s="372"/>
      <c r="AE566" s="1483" t="s">
        <v>782</v>
      </c>
      <c r="AF566" s="1483"/>
      <c r="AG566" s="1483"/>
      <c r="AH566" s="1483"/>
      <c r="AI566" s="1483"/>
      <c r="AJ566" s="344"/>
      <c r="AK566" s="345"/>
      <c r="AL566" s="340"/>
      <c r="AM566" s="430"/>
      <c r="AN566" s="430"/>
      <c r="AO566" s="430"/>
      <c r="AP566" s="430"/>
      <c r="AQ566" s="430"/>
      <c r="AR566" s="430"/>
      <c r="AS566" s="430"/>
      <c r="AT566" s="430"/>
      <c r="AU566" s="1483" t="s">
        <v>841</v>
      </c>
      <c r="AV566" s="1483"/>
      <c r="AW566" s="1483"/>
      <c r="AX566" s="1483"/>
      <c r="AY566" s="1483"/>
      <c r="AZ566" s="1483"/>
      <c r="BA566" s="372"/>
      <c r="BB566" s="1483" t="s">
        <v>842</v>
      </c>
      <c r="BC566" s="1483"/>
      <c r="BD566" s="1483"/>
      <c r="BE566" s="1483"/>
      <c r="BF566" s="1483"/>
      <c r="BG566" s="371"/>
      <c r="BH566" s="1483" t="s">
        <v>841</v>
      </c>
      <c r="BI566" s="1483"/>
      <c r="BJ566" s="1483"/>
      <c r="BK566" s="1483"/>
      <c r="BL566" s="1483"/>
      <c r="BM566" s="1483"/>
      <c r="BN566" s="372"/>
      <c r="BO566" s="1483" t="s">
        <v>842</v>
      </c>
      <c r="BP566" s="1483"/>
      <c r="BQ566" s="1483"/>
      <c r="BR566" s="1483"/>
      <c r="BS566" s="1483"/>
      <c r="BT566" s="352"/>
      <c r="BU566" s="353"/>
      <c r="BV566" s="310"/>
      <c r="BW566" s="310"/>
      <c r="BX566" s="291">
        <f t="shared" si="3"/>
        <v>0</v>
      </c>
      <c r="BY566" s="344"/>
      <c r="BZ566" s="347"/>
      <c r="CA566" s="347"/>
    </row>
    <row r="567" spans="1:16384" ht="15" customHeight="1" x14ac:dyDescent="0.25">
      <c r="A567" s="313"/>
      <c r="B567" s="340"/>
      <c r="C567" s="430"/>
      <c r="D567" s="430"/>
      <c r="E567" s="430"/>
      <c r="F567" s="430"/>
      <c r="G567" s="430"/>
      <c r="H567" s="430"/>
      <c r="I567" s="430"/>
      <c r="J567" s="430"/>
      <c r="K567" s="1327" t="str">
        <f>Don_Vi_Tinh_V</f>
        <v>VND</v>
      </c>
      <c r="L567" s="1327"/>
      <c r="M567" s="1327"/>
      <c r="N567" s="1327"/>
      <c r="O567" s="1327"/>
      <c r="P567" s="1327"/>
      <c r="Q567" s="372"/>
      <c r="R567" s="1327" t="str">
        <f>Don_Vi_Tinh_V</f>
        <v>VND</v>
      </c>
      <c r="S567" s="1327"/>
      <c r="T567" s="1327"/>
      <c r="U567" s="1327"/>
      <c r="V567" s="1327"/>
      <c r="W567" s="371"/>
      <c r="X567" s="1327" t="str">
        <f>Don_Vi_Tinh_V</f>
        <v>VND</v>
      </c>
      <c r="Y567" s="1327"/>
      <c r="Z567" s="1327"/>
      <c r="AA567" s="1327"/>
      <c r="AB567" s="1327"/>
      <c r="AC567" s="1327"/>
      <c r="AD567" s="372"/>
      <c r="AE567" s="1327" t="str">
        <f>Don_Vi_Tinh_V</f>
        <v>VND</v>
      </c>
      <c r="AF567" s="1327"/>
      <c r="AG567" s="1327"/>
      <c r="AH567" s="1327"/>
      <c r="AI567" s="1327"/>
      <c r="AJ567" s="344"/>
      <c r="AK567" s="345"/>
      <c r="AL567" s="340"/>
      <c r="AM567" s="430"/>
      <c r="AN567" s="430"/>
      <c r="AO567" s="430"/>
      <c r="AP567" s="430"/>
      <c r="AQ567" s="430"/>
      <c r="AR567" s="430"/>
      <c r="AS567" s="430"/>
      <c r="AT567" s="430"/>
      <c r="AU567" s="1327" t="str">
        <f>Don_Vi_Tinh_E</f>
        <v>VND</v>
      </c>
      <c r="AV567" s="1327"/>
      <c r="AW567" s="1327"/>
      <c r="AX567" s="1327"/>
      <c r="AY567" s="1327"/>
      <c r="AZ567" s="1327"/>
      <c r="BA567" s="372"/>
      <c r="BB567" s="1327" t="str">
        <f>Don_Vi_Tinh_E</f>
        <v>VND</v>
      </c>
      <c r="BC567" s="1327"/>
      <c r="BD567" s="1327"/>
      <c r="BE567" s="1327"/>
      <c r="BF567" s="1327"/>
      <c r="BG567" s="371"/>
      <c r="BH567" s="1327" t="str">
        <f>Don_Vi_Tinh_E</f>
        <v>VND</v>
      </c>
      <c r="BI567" s="1327"/>
      <c r="BJ567" s="1327"/>
      <c r="BK567" s="1327"/>
      <c r="BL567" s="1327"/>
      <c r="BM567" s="1327"/>
      <c r="BN567" s="372"/>
      <c r="BO567" s="1327" t="str">
        <f>Don_Vi_Tinh_E</f>
        <v>VND</v>
      </c>
      <c r="BP567" s="1327"/>
      <c r="BQ567" s="1327"/>
      <c r="BR567" s="1327"/>
      <c r="BS567" s="1327"/>
      <c r="BT567" s="352"/>
      <c r="BU567" s="353"/>
      <c r="BV567" s="310"/>
      <c r="BW567" s="310"/>
      <c r="BX567" s="291">
        <f t="shared" si="3"/>
        <v>0</v>
      </c>
      <c r="BY567" s="344"/>
      <c r="BZ567" s="347"/>
      <c r="CA567" s="347"/>
    </row>
    <row r="568" spans="1:16384" ht="12.95" customHeight="1" x14ac:dyDescent="0.25">
      <c r="A568" s="313"/>
      <c r="B568" s="340"/>
      <c r="C568" s="354"/>
      <c r="D568" s="340"/>
      <c r="E568" s="340"/>
      <c r="F568" s="340"/>
      <c r="G568" s="340"/>
      <c r="H568" s="340"/>
      <c r="I568" s="340"/>
      <c r="J568" s="340"/>
      <c r="K568" s="1318"/>
      <c r="L568" s="1318"/>
      <c r="M568" s="1318"/>
      <c r="N568" s="1318"/>
      <c r="O568" s="1318"/>
      <c r="P568" s="1318"/>
      <c r="Q568" s="355"/>
      <c r="R568" s="1318"/>
      <c r="S568" s="1318"/>
      <c r="T568" s="1318"/>
      <c r="U568" s="1318"/>
      <c r="V568" s="1318"/>
      <c r="W568" s="355"/>
      <c r="X568" s="1318"/>
      <c r="Y568" s="1318"/>
      <c r="Z568" s="1318"/>
      <c r="AA568" s="1318"/>
      <c r="AB568" s="1318"/>
      <c r="AC568" s="1318"/>
      <c r="AD568" s="355"/>
      <c r="AE568" s="1318"/>
      <c r="AF568" s="1318"/>
      <c r="AG568" s="1318"/>
      <c r="AH568" s="1318"/>
      <c r="AI568" s="1318"/>
      <c r="AJ568" s="344"/>
      <c r="AK568" s="345"/>
      <c r="AL568" s="340"/>
      <c r="AM568" s="354"/>
      <c r="AN568" s="340"/>
      <c r="AO568" s="340"/>
      <c r="AP568" s="340"/>
      <c r="AQ568" s="340"/>
      <c r="AR568" s="340"/>
      <c r="AS568" s="340"/>
      <c r="AT568" s="340"/>
      <c r="AU568" s="1318"/>
      <c r="AV568" s="1318"/>
      <c r="AW568" s="1318"/>
      <c r="AX568" s="1318"/>
      <c r="AY568" s="1318"/>
      <c r="AZ568" s="1318"/>
      <c r="BA568" s="355"/>
      <c r="BB568" s="1318"/>
      <c r="BC568" s="1318"/>
      <c r="BD568" s="1318"/>
      <c r="BE568" s="1318"/>
      <c r="BF568" s="1318"/>
      <c r="BG568" s="355"/>
      <c r="BH568" s="1318"/>
      <c r="BI568" s="1318"/>
      <c r="BJ568" s="1318"/>
      <c r="BK568" s="1318"/>
      <c r="BL568" s="1318"/>
      <c r="BM568" s="1318"/>
      <c r="BN568" s="355"/>
      <c r="BO568" s="1318"/>
      <c r="BP568" s="1318"/>
      <c r="BQ568" s="1318"/>
      <c r="BR568" s="1318"/>
      <c r="BS568" s="1318"/>
      <c r="BT568" s="352"/>
      <c r="BU568" s="353"/>
      <c r="BV568" s="310"/>
      <c r="BW568" s="310"/>
      <c r="BX568" s="291">
        <f t="shared" si="3"/>
        <v>0</v>
      </c>
      <c r="BY568" s="344"/>
      <c r="BZ568" s="347"/>
      <c r="CA568" s="347"/>
    </row>
    <row r="569" spans="1:16384" ht="15" hidden="1" customHeight="1" x14ac:dyDescent="0.25">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c r="AB569" s="341"/>
      <c r="AC569" s="341"/>
      <c r="AD569" s="341"/>
      <c r="AE569" s="341"/>
      <c r="AF569" s="341"/>
      <c r="AG569" s="341"/>
      <c r="AH569" s="341"/>
      <c r="AI569" s="341"/>
      <c r="AJ569" s="341"/>
      <c r="AK569" s="341"/>
      <c r="AL569" s="341"/>
      <c r="AM569" s="341"/>
      <c r="AN569" s="341"/>
      <c r="AO569" s="341"/>
      <c r="AP569" s="341"/>
      <c r="AQ569" s="341"/>
      <c r="AR569" s="341"/>
      <c r="AS569" s="341"/>
      <c r="AT569" s="341"/>
      <c r="AU569" s="341"/>
      <c r="AV569" s="341"/>
      <c r="AW569" s="341"/>
      <c r="AX569" s="341"/>
      <c r="AY569" s="341"/>
      <c r="AZ569" s="341"/>
      <c r="BA569" s="341"/>
      <c r="BB569" s="341"/>
      <c r="BC569" s="341"/>
      <c r="BD569" s="341"/>
      <c r="BE569" s="341"/>
      <c r="BF569" s="341"/>
      <c r="BG569" s="341"/>
      <c r="BH569" s="341"/>
      <c r="BI569" s="341"/>
      <c r="BJ569" s="341"/>
      <c r="BK569" s="341"/>
      <c r="BL569" s="341"/>
      <c r="BM569" s="341"/>
      <c r="BN569" s="341"/>
      <c r="BO569" s="341"/>
      <c r="BP569" s="341"/>
      <c r="BQ569" s="341"/>
      <c r="BR569" s="341"/>
      <c r="BS569" s="341"/>
      <c r="BT569" s="341"/>
      <c r="BU569" s="341"/>
      <c r="BV569" s="341"/>
      <c r="BW569" s="341"/>
      <c r="BX569" s="341"/>
      <c r="BY569" s="341"/>
      <c r="BZ569" s="431"/>
      <c r="CA569" s="431"/>
      <c r="CB569" s="431"/>
      <c r="CC569" s="431"/>
      <c r="CD569" s="431"/>
      <c r="CE569" s="431"/>
      <c r="CF569" s="431"/>
      <c r="CG569" s="341"/>
      <c r="CH569" s="341"/>
      <c r="CI569" s="341"/>
      <c r="CJ569" s="341"/>
      <c r="CK569" s="341"/>
      <c r="CL569" s="341"/>
      <c r="CM569" s="341"/>
      <c r="CN569" s="341"/>
      <c r="CO569" s="341"/>
      <c r="CP569" s="341"/>
      <c r="CQ569" s="341"/>
      <c r="CR569" s="341"/>
      <c r="CS569" s="341"/>
      <c r="CT569" s="341"/>
      <c r="CU569" s="341"/>
      <c r="CV569" s="341"/>
      <c r="CW569" s="341"/>
      <c r="CX569" s="341"/>
      <c r="CY569" s="341"/>
      <c r="CZ569" s="341"/>
      <c r="DA569" s="341"/>
      <c r="DB569" s="341"/>
      <c r="DC569" s="341"/>
      <c r="DD569" s="341"/>
      <c r="DE569" s="341"/>
      <c r="DF569" s="341"/>
      <c r="DG569" s="341"/>
      <c r="DH569" s="341"/>
      <c r="DI569" s="341"/>
      <c r="DJ569" s="341"/>
      <c r="DK569" s="341"/>
      <c r="DL569" s="341"/>
      <c r="DM569" s="341"/>
      <c r="DN569" s="341"/>
      <c r="DO569" s="341"/>
      <c r="DP569" s="341"/>
      <c r="DQ569" s="341"/>
      <c r="DR569" s="341"/>
      <c r="DS569" s="341"/>
      <c r="DT569" s="341"/>
      <c r="DU569" s="341"/>
      <c r="DV569" s="341"/>
      <c r="DW569" s="341"/>
      <c r="DX569" s="341"/>
      <c r="DY569" s="341"/>
      <c r="DZ569" s="341"/>
      <c r="EA569" s="341"/>
      <c r="EB569" s="341"/>
      <c r="EC569" s="341"/>
      <c r="ED569" s="341"/>
      <c r="EE569" s="341"/>
      <c r="EF569" s="341"/>
      <c r="EG569" s="341"/>
      <c r="EH569" s="341"/>
      <c r="EI569" s="341"/>
      <c r="EJ569" s="341"/>
      <c r="EK569" s="341"/>
      <c r="EL569" s="341"/>
      <c r="EM569" s="341"/>
      <c r="EN569" s="341"/>
      <c r="EO569" s="341"/>
      <c r="EP569" s="341"/>
      <c r="EQ569" s="341"/>
      <c r="ER569" s="341"/>
      <c r="ES569" s="341"/>
      <c r="ET569" s="341"/>
      <c r="EU569" s="341"/>
      <c r="EV569" s="341"/>
      <c r="EW569" s="341"/>
      <c r="EX569" s="341"/>
      <c r="EY569" s="341"/>
      <c r="EZ569" s="341"/>
      <c r="FA569" s="341"/>
      <c r="FB569" s="341"/>
      <c r="FC569" s="341"/>
      <c r="FD569" s="341"/>
      <c r="FE569" s="341"/>
      <c r="FF569" s="341"/>
      <c r="FG569" s="341"/>
      <c r="FH569" s="341"/>
      <c r="FI569" s="341"/>
      <c r="FJ569" s="341"/>
      <c r="FK569" s="341"/>
      <c r="FL569" s="341"/>
      <c r="FM569" s="341"/>
      <c r="FN569" s="341"/>
      <c r="FO569" s="341"/>
      <c r="FP569" s="341"/>
      <c r="FQ569" s="341"/>
      <c r="FR569" s="341"/>
      <c r="FS569" s="341"/>
      <c r="FT569" s="341"/>
      <c r="FU569" s="341"/>
      <c r="FV569" s="341"/>
      <c r="FW569" s="341"/>
      <c r="FX569" s="341"/>
      <c r="FY569" s="341"/>
      <c r="FZ569" s="341"/>
      <c r="GA569" s="341"/>
      <c r="GB569" s="341"/>
      <c r="GC569" s="341"/>
      <c r="GD569" s="341"/>
      <c r="GE569" s="341"/>
      <c r="GF569" s="341"/>
      <c r="GG569" s="341"/>
      <c r="GH569" s="341"/>
      <c r="GI569" s="341"/>
      <c r="GJ569" s="341"/>
      <c r="GK569" s="341"/>
      <c r="GL569" s="341"/>
      <c r="GM569" s="341"/>
      <c r="GN569" s="341"/>
      <c r="GO569" s="341"/>
      <c r="GP569" s="341"/>
      <c r="GQ569" s="341"/>
      <c r="GR569" s="341"/>
      <c r="GS569" s="341"/>
      <c r="GT569" s="341"/>
      <c r="GU569" s="341"/>
      <c r="GV569" s="341"/>
      <c r="GW569" s="341"/>
      <c r="GX569" s="341"/>
      <c r="GY569" s="341"/>
      <c r="GZ569" s="341"/>
      <c r="HA569" s="341"/>
      <c r="HB569" s="341"/>
      <c r="HC569" s="341"/>
      <c r="HD569" s="341"/>
      <c r="HE569" s="341"/>
      <c r="HF569" s="341"/>
      <c r="HG569" s="341"/>
      <c r="HH569" s="341"/>
      <c r="HI569" s="341"/>
      <c r="HJ569" s="341"/>
      <c r="HK569" s="341"/>
      <c r="HL569" s="341"/>
      <c r="HM569" s="341"/>
      <c r="HN569" s="341"/>
      <c r="HO569" s="341"/>
      <c r="HP569" s="341"/>
      <c r="HQ569" s="341"/>
      <c r="HR569" s="341"/>
      <c r="HS569" s="341"/>
      <c r="HT569" s="341"/>
      <c r="HU569" s="341"/>
      <c r="HV569" s="341"/>
      <c r="HW569" s="341"/>
      <c r="HX569" s="341"/>
      <c r="HY569" s="341"/>
      <c r="HZ569" s="341"/>
      <c r="IA569" s="341"/>
      <c r="IB569" s="341"/>
      <c r="IC569" s="341"/>
      <c r="ID569" s="341"/>
      <c r="IE569" s="341"/>
      <c r="IF569" s="341"/>
      <c r="IG569" s="341"/>
      <c r="IH569" s="341"/>
      <c r="II569" s="341"/>
      <c r="IJ569" s="341"/>
      <c r="IK569" s="341"/>
      <c r="IL569" s="341"/>
      <c r="IM569" s="341"/>
      <c r="IN569" s="341"/>
      <c r="IO569" s="341"/>
      <c r="IP569" s="341"/>
      <c r="IQ569" s="341"/>
      <c r="IR569" s="341"/>
      <c r="IS569" s="341"/>
      <c r="IT569" s="341"/>
      <c r="IU569" s="341"/>
      <c r="IV569" s="341"/>
      <c r="IW569" s="341"/>
      <c r="IX569" s="341"/>
      <c r="IY569" s="341"/>
      <c r="IZ569" s="341"/>
      <c r="JA569" s="341"/>
      <c r="JB569" s="341"/>
      <c r="JC569" s="341"/>
      <c r="JD569" s="341"/>
      <c r="JE569" s="341"/>
      <c r="JF569" s="341"/>
      <c r="JG569" s="341"/>
      <c r="JH569" s="341"/>
      <c r="JI569" s="341"/>
      <c r="JJ569" s="341"/>
      <c r="JK569" s="341"/>
      <c r="JL569" s="341"/>
      <c r="JM569" s="341"/>
      <c r="JN569" s="341"/>
      <c r="JO569" s="341"/>
      <c r="JP569" s="341"/>
      <c r="JQ569" s="341"/>
      <c r="JR569" s="341"/>
      <c r="JS569" s="341"/>
      <c r="JT569" s="341"/>
      <c r="JU569" s="341"/>
      <c r="JV569" s="341"/>
      <c r="JW569" s="341"/>
      <c r="JX569" s="341"/>
      <c r="JY569" s="341"/>
      <c r="JZ569" s="341"/>
      <c r="KA569" s="341"/>
      <c r="KB569" s="341"/>
      <c r="KC569" s="341"/>
      <c r="KD569" s="341"/>
      <c r="KE569" s="341"/>
      <c r="KF569" s="341"/>
      <c r="KG569" s="341"/>
      <c r="KH569" s="341"/>
      <c r="KI569" s="341"/>
      <c r="KJ569" s="341"/>
      <c r="KK569" s="341"/>
      <c r="KL569" s="341"/>
      <c r="KM569" s="341"/>
      <c r="KN569" s="341"/>
      <c r="KO569" s="341"/>
      <c r="KP569" s="341"/>
      <c r="KQ569" s="341"/>
      <c r="KR569" s="341"/>
      <c r="KS569" s="341"/>
      <c r="KT569" s="341"/>
      <c r="KU569" s="341"/>
      <c r="KV569" s="341"/>
      <c r="KW569" s="341"/>
      <c r="KX569" s="341"/>
      <c r="KY569" s="341"/>
      <c r="KZ569" s="341"/>
      <c r="LA569" s="341"/>
      <c r="LB569" s="341"/>
      <c r="LC569" s="341"/>
      <c r="LD569" s="341"/>
      <c r="LE569" s="341"/>
      <c r="LF569" s="341"/>
      <c r="LG569" s="341"/>
      <c r="LH569" s="341"/>
      <c r="LI569" s="341"/>
      <c r="LJ569" s="341"/>
      <c r="LK569" s="341"/>
      <c r="LL569" s="341"/>
      <c r="LM569" s="341"/>
      <c r="LN569" s="341"/>
      <c r="LO569" s="341"/>
      <c r="LP569" s="341"/>
      <c r="LQ569" s="341"/>
      <c r="LR569" s="341"/>
      <c r="LS569" s="341"/>
      <c r="LT569" s="341"/>
      <c r="LU569" s="341"/>
      <c r="LV569" s="341"/>
      <c r="LW569" s="341"/>
      <c r="LX569" s="341"/>
      <c r="LY569" s="341"/>
      <c r="LZ569" s="341"/>
      <c r="MA569" s="341"/>
      <c r="MB569" s="341"/>
      <c r="MC569" s="341"/>
      <c r="MD569" s="341"/>
      <c r="ME569" s="341"/>
      <c r="MF569" s="341"/>
      <c r="MG569" s="341"/>
      <c r="MH569" s="341"/>
      <c r="MI569" s="341"/>
      <c r="MJ569" s="341"/>
      <c r="MK569" s="341"/>
      <c r="ML569" s="341"/>
      <c r="MM569" s="341"/>
      <c r="MN569" s="341"/>
      <c r="MO569" s="341"/>
      <c r="MP569" s="341"/>
      <c r="MQ569" s="341"/>
      <c r="MR569" s="341"/>
      <c r="MS569" s="341"/>
      <c r="MT569" s="341"/>
      <c r="MU569" s="341"/>
      <c r="MV569" s="341"/>
      <c r="MW569" s="341"/>
      <c r="MX569" s="341"/>
      <c r="MY569" s="341"/>
      <c r="MZ569" s="341"/>
      <c r="NA569" s="341"/>
      <c r="NB569" s="341"/>
      <c r="NC569" s="341"/>
      <c r="ND569" s="341"/>
      <c r="NE569" s="341"/>
      <c r="NF569" s="341"/>
      <c r="NG569" s="341"/>
      <c r="NH569" s="341"/>
      <c r="NI569" s="341"/>
      <c r="NJ569" s="341"/>
      <c r="NK569" s="341"/>
      <c r="NL569" s="341"/>
      <c r="NM569" s="341"/>
      <c r="NN569" s="341"/>
      <c r="NO569" s="341"/>
      <c r="NP569" s="341"/>
      <c r="NQ569" s="341"/>
      <c r="NR569" s="341"/>
      <c r="NS569" s="341"/>
      <c r="NT569" s="341"/>
      <c r="NU569" s="341"/>
      <c r="NV569" s="341"/>
      <c r="NW569" s="341"/>
      <c r="NX569" s="341"/>
      <c r="NY569" s="341"/>
      <c r="NZ569" s="341"/>
      <c r="OA569" s="341"/>
      <c r="OB569" s="341"/>
      <c r="OC569" s="341"/>
      <c r="OD569" s="341"/>
      <c r="OE569" s="341"/>
      <c r="OF569" s="341"/>
      <c r="OG569" s="341"/>
      <c r="OH569" s="341"/>
      <c r="OI569" s="341"/>
      <c r="OJ569" s="341"/>
      <c r="OK569" s="341"/>
      <c r="OL569" s="341"/>
      <c r="OM569" s="341"/>
      <c r="ON569" s="341"/>
      <c r="OO569" s="341"/>
      <c r="OP569" s="341"/>
      <c r="OQ569" s="341"/>
      <c r="OR569" s="341"/>
      <c r="OS569" s="341"/>
      <c r="OT569" s="341"/>
      <c r="OU569" s="341"/>
      <c r="OV569" s="341"/>
      <c r="OW569" s="341"/>
      <c r="OX569" s="341"/>
      <c r="OY569" s="341"/>
      <c r="OZ569" s="341"/>
      <c r="PA569" s="341"/>
      <c r="PB569" s="341"/>
      <c r="PC569" s="341"/>
      <c r="PD569" s="341"/>
      <c r="PE569" s="341"/>
      <c r="PF569" s="341"/>
      <c r="PG569" s="341"/>
      <c r="PH569" s="341"/>
      <c r="PI569" s="341"/>
      <c r="PJ569" s="341"/>
      <c r="PK569" s="341"/>
      <c r="PL569" s="341"/>
      <c r="PM569" s="341"/>
      <c r="PN569" s="341"/>
      <c r="PO569" s="341"/>
      <c r="PP569" s="341"/>
      <c r="PQ569" s="341"/>
      <c r="PR569" s="341"/>
      <c r="PS569" s="341"/>
      <c r="PT569" s="341"/>
      <c r="PU569" s="341"/>
      <c r="PV569" s="341"/>
      <c r="PW569" s="341"/>
      <c r="PX569" s="341"/>
      <c r="PY569" s="341"/>
      <c r="PZ569" s="341"/>
      <c r="QA569" s="341"/>
      <c r="QB569" s="341"/>
      <c r="QC569" s="341"/>
      <c r="QD569" s="341"/>
      <c r="QE569" s="341"/>
      <c r="QF569" s="341"/>
      <c r="QG569" s="341"/>
      <c r="QH569" s="341"/>
      <c r="QI569" s="341"/>
      <c r="QJ569" s="341"/>
      <c r="QK569" s="341"/>
      <c r="QL569" s="341"/>
      <c r="QM569" s="341"/>
      <c r="QN569" s="341"/>
      <c r="QO569" s="341"/>
      <c r="QP569" s="341"/>
      <c r="QQ569" s="341"/>
      <c r="QR569" s="341"/>
      <c r="QS569" s="341"/>
      <c r="QT569" s="341"/>
      <c r="QU569" s="341"/>
      <c r="QV569" s="341"/>
      <c r="QW569" s="341"/>
      <c r="QX569" s="341"/>
      <c r="QY569" s="341"/>
      <c r="QZ569" s="341"/>
      <c r="RA569" s="341"/>
      <c r="RB569" s="341"/>
      <c r="RC569" s="341"/>
      <c r="RD569" s="341"/>
      <c r="RE569" s="341"/>
      <c r="RF569" s="341"/>
      <c r="RG569" s="341"/>
      <c r="RH569" s="341"/>
      <c r="RI569" s="341"/>
      <c r="RJ569" s="341"/>
      <c r="RK569" s="341"/>
      <c r="RL569" s="341"/>
      <c r="RM569" s="341"/>
      <c r="RN569" s="341"/>
      <c r="RO569" s="341"/>
      <c r="RP569" s="341"/>
      <c r="RQ569" s="341"/>
      <c r="RR569" s="341"/>
      <c r="RS569" s="341"/>
      <c r="RT569" s="341"/>
      <c r="RU569" s="341"/>
      <c r="RV569" s="341"/>
      <c r="RW569" s="341"/>
      <c r="RX569" s="341"/>
      <c r="RY569" s="341"/>
      <c r="RZ569" s="341"/>
      <c r="SA569" s="341"/>
      <c r="SB569" s="341"/>
      <c r="SC569" s="341"/>
      <c r="SD569" s="341"/>
      <c r="SE569" s="341"/>
      <c r="SF569" s="341"/>
      <c r="SG569" s="341"/>
      <c r="SH569" s="341"/>
      <c r="SI569" s="341"/>
      <c r="SJ569" s="341"/>
      <c r="SK569" s="341"/>
      <c r="SL569" s="341"/>
      <c r="SM569" s="341"/>
      <c r="SN569" s="341"/>
      <c r="SO569" s="341"/>
      <c r="SP569" s="341"/>
      <c r="SQ569" s="341"/>
      <c r="SR569" s="341"/>
      <c r="SS569" s="341"/>
      <c r="ST569" s="341"/>
      <c r="SU569" s="341"/>
      <c r="SV569" s="341"/>
      <c r="SW569" s="341"/>
      <c r="SX569" s="341"/>
      <c r="SY569" s="341"/>
      <c r="SZ569" s="341"/>
      <c r="TA569" s="341"/>
      <c r="TB569" s="341"/>
      <c r="TC569" s="341"/>
      <c r="TD569" s="341"/>
      <c r="TE569" s="341"/>
      <c r="TF569" s="341"/>
      <c r="TG569" s="341"/>
      <c r="TH569" s="341"/>
      <c r="TI569" s="341"/>
      <c r="TJ569" s="341"/>
      <c r="TK569" s="341"/>
      <c r="TL569" s="341"/>
      <c r="TM569" s="341"/>
      <c r="TN569" s="341"/>
      <c r="TO569" s="341"/>
      <c r="TP569" s="341"/>
      <c r="TQ569" s="341"/>
      <c r="TR569" s="341"/>
      <c r="TS569" s="341"/>
      <c r="TT569" s="341"/>
      <c r="TU569" s="341"/>
      <c r="TV569" s="341"/>
      <c r="TW569" s="341"/>
      <c r="TX569" s="341"/>
      <c r="TY569" s="341"/>
      <c r="TZ569" s="341"/>
      <c r="UA569" s="341"/>
      <c r="UB569" s="341"/>
      <c r="UC569" s="341"/>
      <c r="UD569" s="341"/>
      <c r="UE569" s="341"/>
      <c r="UF569" s="341"/>
      <c r="UG569" s="341"/>
      <c r="UH569" s="341"/>
      <c r="UI569" s="341"/>
      <c r="UJ569" s="341"/>
      <c r="UK569" s="341"/>
      <c r="UL569" s="341"/>
      <c r="UM569" s="341"/>
      <c r="UN569" s="341"/>
      <c r="UO569" s="341"/>
      <c r="UP569" s="341"/>
      <c r="UQ569" s="341"/>
      <c r="UR569" s="341"/>
      <c r="US569" s="341"/>
      <c r="UT569" s="341"/>
      <c r="UU569" s="341"/>
      <c r="UV569" s="341"/>
      <c r="UW569" s="341"/>
      <c r="UX569" s="341"/>
      <c r="UY569" s="341"/>
      <c r="UZ569" s="341"/>
      <c r="VA569" s="341"/>
      <c r="VB569" s="341"/>
      <c r="VC569" s="341"/>
      <c r="VD569" s="341"/>
      <c r="VE569" s="341"/>
      <c r="VF569" s="341"/>
      <c r="VG569" s="341"/>
      <c r="VH569" s="341"/>
      <c r="VI569" s="341"/>
      <c r="VJ569" s="341"/>
      <c r="VK569" s="341"/>
      <c r="VL569" s="341"/>
      <c r="VM569" s="341"/>
      <c r="VN569" s="341"/>
      <c r="VO569" s="341"/>
      <c r="VP569" s="341"/>
      <c r="VQ569" s="341"/>
      <c r="VR569" s="341"/>
      <c r="VS569" s="341"/>
      <c r="VT569" s="341"/>
      <c r="VU569" s="341"/>
      <c r="VV569" s="341"/>
      <c r="VW569" s="341"/>
      <c r="VX569" s="341"/>
      <c r="VY569" s="341"/>
      <c r="VZ569" s="341"/>
      <c r="WA569" s="341"/>
      <c r="WB569" s="341"/>
      <c r="WC569" s="341"/>
      <c r="WD569" s="341"/>
      <c r="WE569" s="341"/>
      <c r="WF569" s="341"/>
      <c r="WG569" s="341"/>
      <c r="WH569" s="341"/>
      <c r="WI569" s="341"/>
      <c r="WJ569" s="341"/>
      <c r="WK569" s="341"/>
      <c r="WL569" s="341"/>
      <c r="WM569" s="341"/>
      <c r="WN569" s="341"/>
      <c r="WO569" s="341"/>
      <c r="WP569" s="341"/>
      <c r="WQ569" s="341"/>
      <c r="WR569" s="341"/>
      <c r="WS569" s="341"/>
      <c r="WT569" s="341"/>
      <c r="WU569" s="341"/>
      <c r="WV569" s="341"/>
      <c r="WW569" s="341"/>
      <c r="WX569" s="341"/>
      <c r="WY569" s="341"/>
      <c r="WZ569" s="341"/>
      <c r="XA569" s="341"/>
      <c r="XB569" s="341"/>
      <c r="XC569" s="341"/>
      <c r="XD569" s="341"/>
      <c r="XE569" s="341"/>
      <c r="XF569" s="341"/>
      <c r="XG569" s="341"/>
      <c r="XH569" s="341"/>
      <c r="XI569" s="341"/>
      <c r="XJ569" s="341"/>
      <c r="XK569" s="341"/>
      <c r="XL569" s="341"/>
      <c r="XM569" s="341"/>
      <c r="XN569" s="341"/>
      <c r="XO569" s="341"/>
      <c r="XP569" s="341"/>
      <c r="XQ569" s="341"/>
      <c r="XR569" s="341"/>
      <c r="XS569" s="341"/>
      <c r="XT569" s="341"/>
      <c r="XU569" s="341"/>
      <c r="XV569" s="341"/>
      <c r="XW569" s="341"/>
      <c r="XX569" s="341"/>
      <c r="XY569" s="341"/>
      <c r="XZ569" s="341"/>
      <c r="YA569" s="341"/>
      <c r="YB569" s="341"/>
      <c r="YC569" s="341"/>
      <c r="YD569" s="341"/>
      <c r="YE569" s="341"/>
      <c r="YF569" s="341"/>
      <c r="YG569" s="341"/>
      <c r="YH569" s="341"/>
      <c r="YI569" s="341"/>
      <c r="YJ569" s="341"/>
      <c r="YK569" s="341"/>
      <c r="YL569" s="341"/>
      <c r="YM569" s="341"/>
      <c r="YN569" s="341"/>
      <c r="YO569" s="341"/>
      <c r="YP569" s="341"/>
      <c r="YQ569" s="341"/>
      <c r="YR569" s="341"/>
      <c r="YS569" s="341"/>
      <c r="YT569" s="341"/>
      <c r="YU569" s="341"/>
      <c r="YV569" s="341"/>
      <c r="YW569" s="341"/>
      <c r="YX569" s="341"/>
      <c r="YY569" s="341"/>
      <c r="YZ569" s="341"/>
      <c r="ZA569" s="341"/>
      <c r="ZB569" s="341"/>
      <c r="ZC569" s="341"/>
      <c r="ZD569" s="341"/>
      <c r="ZE569" s="341"/>
      <c r="ZF569" s="341"/>
      <c r="ZG569" s="341"/>
      <c r="ZH569" s="341"/>
      <c r="ZI569" s="341"/>
      <c r="ZJ569" s="341"/>
      <c r="ZK569" s="341"/>
      <c r="ZL569" s="341"/>
      <c r="ZM569" s="341"/>
      <c r="ZN569" s="341"/>
      <c r="ZO569" s="341"/>
      <c r="ZP569" s="341"/>
      <c r="ZQ569" s="341"/>
      <c r="ZR569" s="341"/>
      <c r="ZS569" s="341"/>
      <c r="ZT569" s="341"/>
      <c r="ZU569" s="341"/>
      <c r="ZV569" s="341"/>
      <c r="ZW569" s="341"/>
      <c r="ZX569" s="341"/>
      <c r="ZY569" s="341"/>
      <c r="ZZ569" s="341"/>
      <c r="AAA569" s="341"/>
      <c r="AAB569" s="341"/>
      <c r="AAC569" s="341"/>
      <c r="AAD569" s="341"/>
      <c r="AAE569" s="341"/>
      <c r="AAF569" s="341"/>
      <c r="AAG569" s="341"/>
      <c r="AAH569" s="341"/>
      <c r="AAI569" s="341"/>
      <c r="AAJ569" s="341"/>
      <c r="AAK569" s="341"/>
      <c r="AAL569" s="341"/>
      <c r="AAM569" s="341"/>
      <c r="AAN569" s="341"/>
      <c r="AAO569" s="341"/>
      <c r="AAP569" s="341"/>
      <c r="AAQ569" s="341"/>
      <c r="AAR569" s="341"/>
      <c r="AAS569" s="341"/>
      <c r="AAT569" s="341"/>
      <c r="AAU569" s="341"/>
      <c r="AAV569" s="341"/>
      <c r="AAW569" s="341"/>
      <c r="AAX569" s="341"/>
      <c r="AAY569" s="341"/>
      <c r="AAZ569" s="341"/>
      <c r="ABA569" s="341"/>
      <c r="ABB569" s="341"/>
      <c r="ABC569" s="341"/>
      <c r="ABD569" s="341"/>
      <c r="ABE569" s="341"/>
      <c r="ABF569" s="341"/>
      <c r="ABG569" s="341"/>
      <c r="ABH569" s="341"/>
      <c r="ABI569" s="341"/>
      <c r="ABJ569" s="341"/>
      <c r="ABK569" s="341"/>
      <c r="ABL569" s="341"/>
      <c r="ABM569" s="341"/>
      <c r="ABN569" s="341"/>
      <c r="ABO569" s="341"/>
      <c r="ABP569" s="341"/>
      <c r="ABQ569" s="341"/>
      <c r="ABR569" s="341"/>
      <c r="ABS569" s="341"/>
      <c r="ABT569" s="341"/>
      <c r="ABU569" s="341"/>
      <c r="ABV569" s="341"/>
      <c r="ABW569" s="341"/>
      <c r="ABX569" s="341"/>
      <c r="ABY569" s="341"/>
      <c r="ABZ569" s="341"/>
      <c r="ACA569" s="341"/>
      <c r="ACB569" s="341"/>
      <c r="ACC569" s="341"/>
      <c r="ACD569" s="341"/>
      <c r="ACE569" s="341"/>
      <c r="ACF569" s="341"/>
      <c r="ACG569" s="341"/>
      <c r="ACH569" s="341"/>
      <c r="ACI569" s="341"/>
      <c r="ACJ569" s="341"/>
      <c r="ACK569" s="341"/>
      <c r="ACL569" s="341"/>
      <c r="ACM569" s="341"/>
      <c r="ACN569" s="341"/>
      <c r="ACO569" s="341"/>
      <c r="ACP569" s="341"/>
      <c r="ACQ569" s="341"/>
      <c r="ACR569" s="341"/>
      <c r="ACS569" s="341"/>
      <c r="ACT569" s="341"/>
      <c r="ACU569" s="341"/>
      <c r="ACV569" s="341"/>
      <c r="ACW569" s="341"/>
      <c r="ACX569" s="341"/>
      <c r="ACY569" s="341"/>
      <c r="ACZ569" s="341"/>
      <c r="ADA569" s="341"/>
      <c r="ADB569" s="341"/>
      <c r="ADC569" s="341"/>
      <c r="ADD569" s="341"/>
      <c r="ADE569" s="341"/>
      <c r="ADF569" s="341"/>
      <c r="ADG569" s="341"/>
      <c r="ADH569" s="341"/>
      <c r="ADI569" s="341"/>
      <c r="ADJ569" s="341"/>
      <c r="ADK569" s="341"/>
      <c r="ADL569" s="341"/>
      <c r="ADM569" s="341"/>
      <c r="ADN569" s="341"/>
      <c r="ADO569" s="341"/>
      <c r="ADP569" s="341"/>
      <c r="ADQ569" s="341"/>
      <c r="ADR569" s="341"/>
      <c r="ADS569" s="341"/>
      <c r="ADT569" s="341"/>
      <c r="ADU569" s="341"/>
      <c r="ADV569" s="341"/>
      <c r="ADW569" s="341"/>
      <c r="ADX569" s="341"/>
      <c r="ADY569" s="341"/>
      <c r="ADZ569" s="341"/>
      <c r="AEA569" s="341"/>
      <c r="AEB569" s="341"/>
      <c r="AEC569" s="341"/>
      <c r="AED569" s="341"/>
      <c r="AEE569" s="341"/>
      <c r="AEF569" s="341"/>
      <c r="AEG569" s="341"/>
      <c r="AEH569" s="341"/>
      <c r="AEI569" s="341"/>
      <c r="AEJ569" s="341"/>
      <c r="AEK569" s="341"/>
      <c r="AEL569" s="341"/>
      <c r="AEM569" s="341"/>
      <c r="AEN569" s="341"/>
      <c r="AEO569" s="341"/>
      <c r="AEP569" s="341"/>
      <c r="AEQ569" s="341"/>
      <c r="AER569" s="341"/>
      <c r="AES569" s="341"/>
      <c r="AET569" s="341"/>
      <c r="AEU569" s="341"/>
      <c r="AEV569" s="341"/>
      <c r="AEW569" s="341"/>
      <c r="AEX569" s="341"/>
      <c r="AEY569" s="341"/>
      <c r="AEZ569" s="341"/>
      <c r="AFA569" s="341"/>
      <c r="AFB569" s="341"/>
      <c r="AFC569" s="341"/>
      <c r="AFD569" s="341"/>
      <c r="AFE569" s="341"/>
      <c r="AFF569" s="341"/>
      <c r="AFG569" s="341"/>
      <c r="AFH569" s="341"/>
      <c r="AFI569" s="341"/>
      <c r="AFJ569" s="341"/>
      <c r="AFK569" s="341"/>
      <c r="AFL569" s="341"/>
      <c r="AFM569" s="341"/>
      <c r="AFN569" s="341"/>
      <c r="AFO569" s="341"/>
      <c r="AFP569" s="341"/>
      <c r="AFQ569" s="341"/>
      <c r="AFR569" s="341"/>
      <c r="AFS569" s="341"/>
      <c r="AFT569" s="341"/>
      <c r="AFU569" s="341"/>
      <c r="AFV569" s="341"/>
      <c r="AFW569" s="341"/>
      <c r="AFX569" s="341"/>
      <c r="AFY569" s="341"/>
      <c r="AFZ569" s="341"/>
      <c r="AGA569" s="341"/>
      <c r="AGB569" s="341"/>
      <c r="AGC569" s="341"/>
      <c r="AGD569" s="341"/>
      <c r="AGE569" s="341"/>
      <c r="AGF569" s="341"/>
      <c r="AGG569" s="341"/>
      <c r="AGH569" s="341"/>
      <c r="AGI569" s="341"/>
      <c r="AGJ569" s="341"/>
      <c r="AGK569" s="341"/>
      <c r="AGL569" s="341"/>
      <c r="AGM569" s="341"/>
      <c r="AGN569" s="341"/>
      <c r="AGO569" s="341"/>
      <c r="AGP569" s="341"/>
      <c r="AGQ569" s="341"/>
      <c r="AGR569" s="341"/>
      <c r="AGS569" s="341"/>
      <c r="AGT569" s="341"/>
      <c r="AGU569" s="341"/>
      <c r="AGV569" s="341"/>
      <c r="AGW569" s="341"/>
      <c r="AGX569" s="341"/>
      <c r="AGY569" s="341"/>
      <c r="AGZ569" s="341"/>
      <c r="AHA569" s="341"/>
      <c r="AHB569" s="341"/>
      <c r="AHC569" s="341"/>
      <c r="AHD569" s="341"/>
      <c r="AHE569" s="341"/>
      <c r="AHF569" s="341"/>
      <c r="AHG569" s="341"/>
      <c r="AHH569" s="341"/>
      <c r="AHI569" s="341"/>
      <c r="AHJ569" s="341"/>
      <c r="AHK569" s="341"/>
      <c r="AHL569" s="341"/>
      <c r="AHM569" s="341"/>
      <c r="AHN569" s="341"/>
      <c r="AHO569" s="341"/>
      <c r="AHP569" s="341"/>
      <c r="AHQ569" s="341"/>
      <c r="AHR569" s="341"/>
      <c r="AHS569" s="341"/>
      <c r="AHT569" s="341"/>
      <c r="AHU569" s="341"/>
      <c r="AHV569" s="341"/>
      <c r="AHW569" s="341"/>
      <c r="AHX569" s="341"/>
      <c r="AHY569" s="341"/>
      <c r="AHZ569" s="341"/>
      <c r="AIA569" s="341"/>
      <c r="AIB569" s="341"/>
      <c r="AIC569" s="341"/>
      <c r="AID569" s="341"/>
      <c r="AIE569" s="341"/>
      <c r="AIF569" s="341"/>
      <c r="AIG569" s="341"/>
      <c r="AIH569" s="341"/>
      <c r="AII569" s="341"/>
      <c r="AIJ569" s="341"/>
      <c r="AIK569" s="341"/>
      <c r="AIL569" s="341"/>
      <c r="AIM569" s="341"/>
      <c r="AIN569" s="341"/>
      <c r="AIO569" s="341"/>
      <c r="AIP569" s="341"/>
      <c r="AIQ569" s="341"/>
      <c r="AIR569" s="341"/>
      <c r="AIS569" s="341"/>
      <c r="AIT569" s="341"/>
      <c r="AIU569" s="341"/>
      <c r="AIV569" s="341"/>
      <c r="AIW569" s="341"/>
      <c r="AIX569" s="341"/>
      <c r="AIY569" s="341"/>
      <c r="AIZ569" s="341"/>
      <c r="AJA569" s="341"/>
      <c r="AJB569" s="341"/>
      <c r="AJC569" s="341"/>
      <c r="AJD569" s="341"/>
      <c r="AJE569" s="341"/>
      <c r="AJF569" s="341"/>
      <c r="AJG569" s="341"/>
      <c r="AJH569" s="341"/>
      <c r="AJI569" s="341"/>
      <c r="AJJ569" s="341"/>
      <c r="AJK569" s="341"/>
      <c r="AJL569" s="341"/>
      <c r="AJM569" s="341"/>
      <c r="AJN569" s="341"/>
      <c r="AJO569" s="341"/>
      <c r="AJP569" s="341"/>
      <c r="AJQ569" s="341"/>
      <c r="AJR569" s="341"/>
      <c r="AJS569" s="341"/>
      <c r="AJT569" s="341"/>
      <c r="AJU569" s="341"/>
      <c r="AJV569" s="341"/>
      <c r="AJW569" s="341"/>
      <c r="AJX569" s="341"/>
      <c r="AJY569" s="341"/>
      <c r="AJZ569" s="341"/>
      <c r="AKA569" s="341"/>
      <c r="AKB569" s="341"/>
      <c r="AKC569" s="341"/>
      <c r="AKD569" s="341"/>
      <c r="AKE569" s="341"/>
      <c r="AKF569" s="341"/>
      <c r="AKG569" s="341"/>
      <c r="AKH569" s="341"/>
      <c r="AKI569" s="341"/>
      <c r="AKJ569" s="341"/>
      <c r="AKK569" s="341"/>
      <c r="AKL569" s="341"/>
      <c r="AKM569" s="341"/>
      <c r="AKN569" s="341"/>
      <c r="AKO569" s="341"/>
      <c r="AKP569" s="341"/>
      <c r="AKQ569" s="341"/>
      <c r="AKR569" s="341"/>
      <c r="AKS569" s="341"/>
      <c r="AKT569" s="341"/>
      <c r="AKU569" s="341"/>
      <c r="AKV569" s="341"/>
      <c r="AKW569" s="341"/>
      <c r="AKX569" s="341"/>
      <c r="AKY569" s="341"/>
      <c r="AKZ569" s="341"/>
      <c r="ALA569" s="341"/>
      <c r="ALB569" s="341"/>
      <c r="ALC569" s="341"/>
      <c r="ALD569" s="341"/>
      <c r="ALE569" s="341"/>
      <c r="ALF569" s="341"/>
      <c r="ALG569" s="341"/>
      <c r="ALH569" s="341"/>
      <c r="ALI569" s="341"/>
      <c r="ALJ569" s="341"/>
      <c r="ALK569" s="341"/>
      <c r="ALL569" s="341"/>
      <c r="ALM569" s="341"/>
      <c r="ALN569" s="341"/>
      <c r="ALO569" s="341"/>
      <c r="ALP569" s="341"/>
      <c r="ALQ569" s="341"/>
      <c r="ALR569" s="341"/>
      <c r="ALS569" s="341"/>
      <c r="ALT569" s="341"/>
      <c r="ALU569" s="341"/>
      <c r="ALV569" s="341"/>
      <c r="ALW569" s="341"/>
      <c r="ALX569" s="341"/>
      <c r="ALY569" s="341"/>
      <c r="ALZ569" s="341"/>
      <c r="AMA569" s="341"/>
      <c r="AMB569" s="341"/>
      <c r="AMC569" s="341"/>
      <c r="AMD569" s="341"/>
      <c r="AME569" s="341"/>
      <c r="AMF569" s="341"/>
      <c r="AMG569" s="341"/>
      <c r="AMH569" s="341"/>
      <c r="AMI569" s="341"/>
      <c r="AMJ569" s="341"/>
      <c r="AMK569" s="341"/>
      <c r="AML569" s="341"/>
      <c r="AMM569" s="341"/>
      <c r="AMN569" s="341"/>
      <c r="AMO569" s="341"/>
      <c r="AMP569" s="341"/>
      <c r="AMQ569" s="341"/>
      <c r="AMR569" s="341"/>
      <c r="AMS569" s="341"/>
      <c r="AMT569" s="341"/>
      <c r="AMU569" s="341"/>
      <c r="AMV569" s="341"/>
      <c r="AMW569" s="341"/>
      <c r="AMX569" s="341"/>
      <c r="AMY569" s="341"/>
      <c r="AMZ569" s="341"/>
      <c r="ANA569" s="341"/>
      <c r="ANB569" s="341"/>
      <c r="ANC569" s="341"/>
      <c r="AND569" s="341"/>
      <c r="ANE569" s="341"/>
      <c r="ANF569" s="341"/>
      <c r="ANG569" s="341"/>
      <c r="ANH569" s="341"/>
      <c r="ANI569" s="341"/>
      <c r="ANJ569" s="341"/>
      <c r="ANK569" s="341"/>
      <c r="ANL569" s="341"/>
      <c r="ANM569" s="341"/>
      <c r="ANN569" s="341"/>
      <c r="ANO569" s="341"/>
      <c r="ANP569" s="341"/>
      <c r="ANQ569" s="341"/>
      <c r="ANR569" s="341"/>
      <c r="ANS569" s="341"/>
      <c r="ANT569" s="341"/>
      <c r="ANU569" s="341"/>
      <c r="ANV569" s="341"/>
      <c r="ANW569" s="341"/>
      <c r="ANX569" s="341"/>
      <c r="ANY569" s="341"/>
      <c r="ANZ569" s="341"/>
      <c r="AOA569" s="341"/>
      <c r="AOB569" s="341"/>
      <c r="AOC569" s="341"/>
      <c r="AOD569" s="341"/>
      <c r="AOE569" s="341"/>
      <c r="AOF569" s="341"/>
      <c r="AOG569" s="341"/>
      <c r="AOH569" s="341"/>
      <c r="AOI569" s="341"/>
      <c r="AOJ569" s="341"/>
      <c r="AOK569" s="341"/>
      <c r="AOL569" s="341"/>
      <c r="AOM569" s="341"/>
      <c r="AON569" s="341"/>
      <c r="AOO569" s="341"/>
      <c r="AOP569" s="341"/>
      <c r="AOQ569" s="341"/>
      <c r="AOR569" s="341"/>
      <c r="AOS569" s="341"/>
      <c r="AOT569" s="341"/>
      <c r="AOU569" s="341"/>
      <c r="AOV569" s="341"/>
      <c r="AOW569" s="341"/>
      <c r="AOX569" s="341"/>
      <c r="AOY569" s="341"/>
      <c r="AOZ569" s="341"/>
      <c r="APA569" s="341"/>
      <c r="APB569" s="341"/>
      <c r="APC569" s="341"/>
      <c r="APD569" s="341"/>
      <c r="APE569" s="341"/>
      <c r="APF569" s="341"/>
      <c r="APG569" s="341"/>
      <c r="APH569" s="341"/>
      <c r="API569" s="341"/>
      <c r="APJ569" s="341"/>
      <c r="APK569" s="341"/>
      <c r="APL569" s="341"/>
      <c r="APM569" s="341"/>
      <c r="APN569" s="341"/>
      <c r="APO569" s="341"/>
      <c r="APP569" s="341"/>
      <c r="APQ569" s="341"/>
      <c r="APR569" s="341"/>
      <c r="APS569" s="341"/>
      <c r="APT569" s="341"/>
      <c r="APU569" s="341"/>
      <c r="APV569" s="341"/>
      <c r="APW569" s="341"/>
      <c r="APX569" s="341"/>
      <c r="APY569" s="341"/>
      <c r="APZ569" s="341"/>
      <c r="AQA569" s="341"/>
      <c r="AQB569" s="341"/>
      <c r="AQC569" s="341"/>
      <c r="AQD569" s="341"/>
      <c r="AQE569" s="341"/>
      <c r="AQF569" s="341"/>
      <c r="AQG569" s="341"/>
      <c r="AQH569" s="341"/>
      <c r="AQI569" s="341"/>
      <c r="AQJ569" s="341"/>
      <c r="AQK569" s="341"/>
      <c r="AQL569" s="341"/>
      <c r="AQM569" s="341"/>
      <c r="AQN569" s="341"/>
      <c r="AQO569" s="341"/>
      <c r="AQP569" s="341"/>
      <c r="AQQ569" s="341"/>
      <c r="AQR569" s="341"/>
      <c r="AQS569" s="341"/>
      <c r="AQT569" s="341"/>
      <c r="AQU569" s="341"/>
      <c r="AQV569" s="341"/>
      <c r="AQW569" s="341"/>
      <c r="AQX569" s="341"/>
      <c r="AQY569" s="341"/>
      <c r="AQZ569" s="341"/>
      <c r="ARA569" s="341"/>
      <c r="ARB569" s="341"/>
      <c r="ARC569" s="341"/>
      <c r="ARD569" s="341"/>
      <c r="ARE569" s="341"/>
      <c r="ARF569" s="341"/>
      <c r="ARG569" s="341"/>
      <c r="ARH569" s="341"/>
      <c r="ARI569" s="341"/>
      <c r="ARJ569" s="341"/>
      <c r="ARK569" s="341"/>
      <c r="ARL569" s="341"/>
      <c r="ARM569" s="341"/>
      <c r="ARN569" s="341"/>
      <c r="ARO569" s="341"/>
      <c r="ARP569" s="341"/>
      <c r="ARQ569" s="341"/>
      <c r="ARR569" s="341"/>
      <c r="ARS569" s="341"/>
      <c r="ART569" s="341"/>
      <c r="ARU569" s="341"/>
      <c r="ARV569" s="341"/>
      <c r="ARW569" s="341"/>
      <c r="ARX569" s="341"/>
      <c r="ARY569" s="341"/>
      <c r="ARZ569" s="341"/>
      <c r="ASA569" s="341"/>
      <c r="ASB569" s="341"/>
      <c r="ASC569" s="341"/>
      <c r="ASD569" s="341"/>
      <c r="ASE569" s="341"/>
      <c r="ASF569" s="341"/>
      <c r="ASG569" s="341"/>
      <c r="ASH569" s="341"/>
      <c r="ASI569" s="341"/>
      <c r="ASJ569" s="341"/>
      <c r="ASK569" s="341"/>
      <c r="ASL569" s="341"/>
      <c r="ASM569" s="341"/>
      <c r="ASN569" s="341"/>
      <c r="ASO569" s="341"/>
      <c r="ASP569" s="341"/>
      <c r="ASQ569" s="341"/>
      <c r="ASR569" s="341"/>
      <c r="ASS569" s="341"/>
      <c r="AST569" s="341"/>
      <c r="ASU569" s="341"/>
      <c r="ASV569" s="341"/>
      <c r="ASW569" s="341"/>
      <c r="ASX569" s="341"/>
      <c r="ASY569" s="341"/>
      <c r="ASZ569" s="341"/>
      <c r="ATA569" s="341"/>
      <c r="ATB569" s="341"/>
      <c r="ATC569" s="341"/>
      <c r="ATD569" s="341"/>
      <c r="ATE569" s="341"/>
      <c r="ATF569" s="341"/>
      <c r="ATG569" s="341"/>
      <c r="ATH569" s="341"/>
      <c r="ATI569" s="341"/>
      <c r="ATJ569" s="341"/>
      <c r="ATK569" s="341"/>
      <c r="ATL569" s="341"/>
      <c r="ATM569" s="341"/>
      <c r="ATN569" s="341"/>
      <c r="ATO569" s="341"/>
      <c r="ATP569" s="341"/>
      <c r="ATQ569" s="341"/>
      <c r="ATR569" s="341"/>
      <c r="ATS569" s="341"/>
      <c r="ATT569" s="341"/>
      <c r="ATU569" s="341"/>
      <c r="ATV569" s="341"/>
      <c r="ATW569" s="341"/>
      <c r="ATX569" s="341"/>
      <c r="ATY569" s="341"/>
      <c r="ATZ569" s="341"/>
      <c r="AUA569" s="341"/>
      <c r="AUB569" s="341"/>
      <c r="AUC569" s="341"/>
      <c r="AUD569" s="341"/>
      <c r="AUE569" s="341"/>
      <c r="AUF569" s="341"/>
      <c r="AUG569" s="341"/>
      <c r="AUH569" s="341"/>
      <c r="AUI569" s="341"/>
      <c r="AUJ569" s="341"/>
      <c r="AUK569" s="341"/>
      <c r="AUL569" s="341"/>
      <c r="AUM569" s="341"/>
      <c r="AUN569" s="341"/>
      <c r="AUO569" s="341"/>
      <c r="AUP569" s="341"/>
      <c r="AUQ569" s="341"/>
      <c r="AUR569" s="341"/>
      <c r="AUS569" s="341"/>
      <c r="AUT569" s="341"/>
      <c r="AUU569" s="341"/>
      <c r="AUV569" s="341"/>
      <c r="AUW569" s="341"/>
      <c r="AUX569" s="341"/>
      <c r="AUY569" s="341"/>
      <c r="AUZ569" s="341"/>
      <c r="AVA569" s="341"/>
      <c r="AVB569" s="341"/>
      <c r="AVC569" s="341"/>
      <c r="AVD569" s="341"/>
      <c r="AVE569" s="341"/>
      <c r="AVF569" s="341"/>
      <c r="AVG569" s="341"/>
      <c r="AVH569" s="341"/>
      <c r="AVI569" s="341"/>
      <c r="AVJ569" s="341"/>
      <c r="AVK569" s="341"/>
      <c r="AVL569" s="341"/>
      <c r="AVM569" s="341"/>
      <c r="AVN569" s="341"/>
      <c r="AVO569" s="341"/>
      <c r="AVP569" s="341"/>
      <c r="AVQ569" s="341"/>
      <c r="AVR569" s="341"/>
      <c r="AVS569" s="341"/>
      <c r="AVT569" s="341"/>
      <c r="AVU569" s="341"/>
      <c r="AVV569" s="341"/>
      <c r="AVW569" s="341"/>
      <c r="AVX569" s="341"/>
      <c r="AVY569" s="341"/>
      <c r="AVZ569" s="341"/>
      <c r="AWA569" s="341"/>
      <c r="AWB569" s="341"/>
      <c r="AWC569" s="341"/>
      <c r="AWD569" s="341"/>
      <c r="AWE569" s="341"/>
      <c r="AWF569" s="341"/>
      <c r="AWG569" s="341"/>
      <c r="AWH569" s="341"/>
      <c r="AWI569" s="341"/>
      <c r="AWJ569" s="341"/>
      <c r="AWK569" s="341"/>
      <c r="AWL569" s="341"/>
      <c r="AWM569" s="341"/>
      <c r="AWN569" s="341"/>
      <c r="AWO569" s="341"/>
      <c r="AWP569" s="341"/>
      <c r="AWQ569" s="341"/>
      <c r="AWR569" s="341"/>
      <c r="AWS569" s="341"/>
      <c r="AWT569" s="341"/>
      <c r="AWU569" s="341"/>
      <c r="AWV569" s="341"/>
      <c r="AWW569" s="341"/>
      <c r="AWX569" s="341"/>
      <c r="AWY569" s="341"/>
      <c r="AWZ569" s="341"/>
      <c r="AXA569" s="341"/>
      <c r="AXB569" s="341"/>
      <c r="AXC569" s="341"/>
      <c r="AXD569" s="341"/>
      <c r="AXE569" s="341"/>
      <c r="AXF569" s="341"/>
      <c r="AXG569" s="341"/>
      <c r="AXH569" s="341"/>
      <c r="AXI569" s="341"/>
      <c r="AXJ569" s="341"/>
      <c r="AXK569" s="341"/>
      <c r="AXL569" s="341"/>
      <c r="AXM569" s="341"/>
      <c r="AXN569" s="341"/>
      <c r="AXO569" s="341"/>
      <c r="AXP569" s="341"/>
      <c r="AXQ569" s="341"/>
      <c r="AXR569" s="341"/>
      <c r="AXS569" s="341"/>
      <c r="AXT569" s="341"/>
      <c r="AXU569" s="341"/>
      <c r="AXV569" s="341"/>
      <c r="AXW569" s="341"/>
      <c r="AXX569" s="341"/>
      <c r="AXY569" s="341"/>
      <c r="AXZ569" s="341"/>
      <c r="AYA569" s="341"/>
      <c r="AYB569" s="341"/>
      <c r="AYC569" s="341"/>
      <c r="AYD569" s="341"/>
      <c r="AYE569" s="341"/>
      <c r="AYF569" s="341"/>
      <c r="AYG569" s="341"/>
      <c r="AYH569" s="341"/>
      <c r="AYI569" s="341"/>
      <c r="AYJ569" s="341"/>
      <c r="AYK569" s="341"/>
      <c r="AYL569" s="341"/>
      <c r="AYM569" s="341"/>
      <c r="AYN569" s="341"/>
      <c r="AYO569" s="341"/>
      <c r="AYP569" s="341"/>
      <c r="AYQ569" s="341"/>
      <c r="AYR569" s="341"/>
      <c r="AYS569" s="341"/>
      <c r="AYT569" s="341"/>
      <c r="AYU569" s="341"/>
      <c r="AYV569" s="341"/>
      <c r="AYW569" s="341"/>
      <c r="AYX569" s="341"/>
      <c r="AYY569" s="341"/>
      <c r="AYZ569" s="341"/>
      <c r="AZA569" s="341"/>
      <c r="AZB569" s="341"/>
      <c r="AZC569" s="341"/>
      <c r="AZD569" s="341"/>
      <c r="AZE569" s="341"/>
      <c r="AZF569" s="341"/>
      <c r="AZG569" s="341"/>
      <c r="AZH569" s="341"/>
      <c r="AZI569" s="341"/>
      <c r="AZJ569" s="341"/>
      <c r="AZK569" s="341"/>
      <c r="AZL569" s="341"/>
      <c r="AZM569" s="341"/>
      <c r="AZN569" s="341"/>
      <c r="AZO569" s="341"/>
      <c r="AZP569" s="341"/>
      <c r="AZQ569" s="341"/>
      <c r="AZR569" s="341"/>
      <c r="AZS569" s="341"/>
      <c r="AZT569" s="341"/>
      <c r="AZU569" s="341"/>
      <c r="AZV569" s="341"/>
      <c r="AZW569" s="341"/>
      <c r="AZX569" s="341"/>
      <c r="AZY569" s="341"/>
      <c r="AZZ569" s="341"/>
      <c r="BAA569" s="341"/>
      <c r="BAB569" s="341"/>
      <c r="BAC569" s="341"/>
      <c r="BAD569" s="341"/>
      <c r="BAE569" s="341"/>
      <c r="BAF569" s="341"/>
      <c r="BAG569" s="341"/>
      <c r="BAH569" s="341"/>
      <c r="BAI569" s="341"/>
      <c r="BAJ569" s="341"/>
      <c r="BAK569" s="341"/>
      <c r="BAL569" s="341"/>
      <c r="BAM569" s="341"/>
      <c r="BAN569" s="341"/>
      <c r="BAO569" s="341"/>
      <c r="BAP569" s="341"/>
      <c r="BAQ569" s="341"/>
      <c r="BAR569" s="341"/>
      <c r="BAS569" s="341"/>
      <c r="BAT569" s="341"/>
      <c r="BAU569" s="341"/>
      <c r="BAV569" s="341"/>
      <c r="BAW569" s="341"/>
      <c r="BAX569" s="341"/>
      <c r="BAY569" s="341"/>
      <c r="BAZ569" s="341"/>
      <c r="BBA569" s="341"/>
      <c r="BBB569" s="341"/>
      <c r="BBC569" s="341"/>
      <c r="BBD569" s="341"/>
      <c r="BBE569" s="341"/>
      <c r="BBF569" s="341"/>
      <c r="BBG569" s="341"/>
      <c r="BBH569" s="341"/>
      <c r="BBI569" s="341"/>
      <c r="BBJ569" s="341"/>
      <c r="BBK569" s="341"/>
      <c r="BBL569" s="341"/>
      <c r="BBM569" s="341"/>
      <c r="BBN569" s="341"/>
      <c r="BBO569" s="341"/>
      <c r="BBP569" s="341"/>
      <c r="BBQ569" s="341"/>
      <c r="BBR569" s="341"/>
      <c r="BBS569" s="341"/>
      <c r="BBT569" s="341"/>
      <c r="BBU569" s="341"/>
      <c r="BBV569" s="341"/>
      <c r="BBW569" s="341"/>
      <c r="BBX569" s="341"/>
      <c r="BBY569" s="341"/>
      <c r="BBZ569" s="341"/>
      <c r="BCA569" s="341"/>
      <c r="BCB569" s="341"/>
      <c r="BCC569" s="341"/>
      <c r="BCD569" s="341"/>
      <c r="BCE569" s="341"/>
      <c r="BCF569" s="341"/>
      <c r="BCG569" s="341"/>
      <c r="BCH569" s="341"/>
      <c r="BCI569" s="341"/>
      <c r="BCJ569" s="341"/>
      <c r="BCK569" s="341"/>
      <c r="BCL569" s="341"/>
      <c r="BCM569" s="341"/>
      <c r="BCN569" s="341"/>
      <c r="BCO569" s="341"/>
      <c r="BCP569" s="341"/>
      <c r="BCQ569" s="341"/>
      <c r="BCR569" s="341"/>
      <c r="BCS569" s="341"/>
      <c r="BCT569" s="341"/>
      <c r="BCU569" s="341"/>
      <c r="BCV569" s="341"/>
      <c r="BCW569" s="341"/>
      <c r="BCX569" s="341"/>
      <c r="BCY569" s="341"/>
      <c r="BCZ569" s="341"/>
      <c r="BDA569" s="341"/>
      <c r="BDB569" s="341"/>
      <c r="BDC569" s="341"/>
      <c r="BDD569" s="341"/>
      <c r="BDE569" s="341"/>
      <c r="BDF569" s="341"/>
      <c r="BDG569" s="341"/>
      <c r="BDH569" s="341"/>
      <c r="BDI569" s="341"/>
      <c r="BDJ569" s="341"/>
      <c r="BDK569" s="341"/>
      <c r="BDL569" s="341"/>
      <c r="BDM569" s="341"/>
      <c r="BDN569" s="341"/>
      <c r="BDO569" s="341"/>
      <c r="BDP569" s="341"/>
      <c r="BDQ569" s="341"/>
      <c r="BDR569" s="341"/>
      <c r="BDS569" s="341"/>
      <c r="BDT569" s="341"/>
      <c r="BDU569" s="341"/>
      <c r="BDV569" s="341"/>
      <c r="BDW569" s="341"/>
      <c r="BDX569" s="341"/>
      <c r="BDY569" s="341"/>
      <c r="BDZ569" s="341"/>
      <c r="BEA569" s="341"/>
      <c r="BEB569" s="341"/>
      <c r="BEC569" s="341"/>
      <c r="BED569" s="341"/>
      <c r="BEE569" s="341"/>
      <c r="BEF569" s="341"/>
      <c r="BEG569" s="341"/>
      <c r="BEH569" s="341"/>
      <c r="BEI569" s="341"/>
      <c r="BEJ569" s="341"/>
      <c r="BEK569" s="341"/>
      <c r="BEL569" s="341"/>
      <c r="BEM569" s="341"/>
      <c r="BEN569" s="341"/>
      <c r="BEO569" s="341"/>
      <c r="BEP569" s="341"/>
      <c r="BEQ569" s="341"/>
      <c r="BER569" s="341"/>
      <c r="BES569" s="341"/>
      <c r="BET569" s="341"/>
      <c r="BEU569" s="341"/>
      <c r="BEV569" s="341"/>
      <c r="BEW569" s="341"/>
      <c r="BEX569" s="341"/>
      <c r="BEY569" s="341"/>
      <c r="BEZ569" s="341"/>
      <c r="BFA569" s="341"/>
      <c r="BFB569" s="341"/>
      <c r="BFC569" s="341"/>
      <c r="BFD569" s="341"/>
      <c r="BFE569" s="341"/>
      <c r="BFF569" s="341"/>
      <c r="BFG569" s="341"/>
      <c r="BFH569" s="341"/>
      <c r="BFI569" s="341"/>
      <c r="BFJ569" s="341"/>
      <c r="BFK569" s="341"/>
      <c r="BFL569" s="341"/>
      <c r="BFM569" s="341"/>
      <c r="BFN569" s="341"/>
      <c r="BFO569" s="341"/>
      <c r="BFP569" s="341"/>
      <c r="BFQ569" s="341"/>
      <c r="BFR569" s="341"/>
      <c r="BFS569" s="341"/>
      <c r="BFT569" s="341"/>
      <c r="BFU569" s="341"/>
      <c r="BFV569" s="341"/>
      <c r="BFW569" s="341"/>
      <c r="BFX569" s="341"/>
      <c r="BFY569" s="341"/>
      <c r="BFZ569" s="341"/>
      <c r="BGA569" s="341"/>
      <c r="BGB569" s="341"/>
      <c r="BGC569" s="341"/>
      <c r="BGD569" s="341"/>
      <c r="BGE569" s="341"/>
      <c r="BGF569" s="341"/>
      <c r="BGG569" s="341"/>
      <c r="BGH569" s="341"/>
      <c r="BGI569" s="341"/>
      <c r="BGJ569" s="341"/>
      <c r="BGK569" s="341"/>
      <c r="BGL569" s="341"/>
      <c r="BGM569" s="341"/>
      <c r="BGN569" s="341"/>
      <c r="BGO569" s="341"/>
      <c r="BGP569" s="341"/>
      <c r="BGQ569" s="341"/>
      <c r="BGR569" s="341"/>
      <c r="BGS569" s="341"/>
      <c r="BGT569" s="341"/>
      <c r="BGU569" s="341"/>
      <c r="BGV569" s="341"/>
      <c r="BGW569" s="341"/>
      <c r="BGX569" s="341"/>
      <c r="BGY569" s="341"/>
      <c r="BGZ569" s="341"/>
      <c r="BHA569" s="341"/>
      <c r="BHB569" s="341"/>
      <c r="BHC569" s="341"/>
      <c r="BHD569" s="341"/>
      <c r="BHE569" s="341"/>
      <c r="BHF569" s="341"/>
      <c r="BHG569" s="341"/>
      <c r="BHH569" s="341"/>
      <c r="BHI569" s="341"/>
      <c r="BHJ569" s="341"/>
      <c r="BHK569" s="341"/>
      <c r="BHL569" s="341"/>
      <c r="BHM569" s="341"/>
      <c r="BHN569" s="341"/>
      <c r="BHO569" s="341"/>
      <c r="BHP569" s="341"/>
      <c r="BHQ569" s="341"/>
      <c r="BHR569" s="341"/>
      <c r="BHS569" s="341"/>
      <c r="BHT569" s="341"/>
      <c r="BHU569" s="341"/>
      <c r="BHV569" s="341"/>
      <c r="BHW569" s="341"/>
      <c r="BHX569" s="341"/>
      <c r="BHY569" s="341"/>
      <c r="BHZ569" s="341"/>
      <c r="BIA569" s="341"/>
      <c r="BIB569" s="341"/>
      <c r="BIC569" s="341"/>
      <c r="BID569" s="341"/>
      <c r="BIE569" s="341"/>
      <c r="BIF569" s="341"/>
      <c r="BIG569" s="341"/>
      <c r="BIH569" s="341"/>
      <c r="BII569" s="341"/>
      <c r="BIJ569" s="341"/>
      <c r="BIK569" s="341"/>
      <c r="BIL569" s="341"/>
      <c r="BIM569" s="341"/>
      <c r="BIN569" s="341"/>
      <c r="BIO569" s="341"/>
      <c r="BIP569" s="341"/>
      <c r="BIQ569" s="341"/>
      <c r="BIR569" s="341"/>
      <c r="BIS569" s="341"/>
      <c r="BIT569" s="341"/>
      <c r="BIU569" s="341"/>
      <c r="BIV569" s="341"/>
      <c r="BIW569" s="341"/>
      <c r="BIX569" s="341"/>
      <c r="BIY569" s="341"/>
      <c r="BIZ569" s="341"/>
      <c r="BJA569" s="341"/>
      <c r="BJB569" s="341"/>
      <c r="BJC569" s="341"/>
      <c r="BJD569" s="341"/>
      <c r="BJE569" s="341"/>
      <c r="BJF569" s="341"/>
      <c r="BJG569" s="341"/>
      <c r="BJH569" s="341"/>
      <c r="BJI569" s="341"/>
      <c r="BJJ569" s="341"/>
      <c r="BJK569" s="341"/>
      <c r="BJL569" s="341"/>
      <c r="BJM569" s="341"/>
      <c r="BJN569" s="341"/>
      <c r="BJO569" s="341"/>
      <c r="BJP569" s="341"/>
      <c r="BJQ569" s="341"/>
      <c r="BJR569" s="341"/>
      <c r="BJS569" s="341"/>
      <c r="BJT569" s="341"/>
      <c r="BJU569" s="341"/>
      <c r="BJV569" s="341"/>
      <c r="BJW569" s="341"/>
      <c r="BJX569" s="341"/>
      <c r="BJY569" s="341"/>
      <c r="BJZ569" s="341"/>
      <c r="BKA569" s="341"/>
      <c r="BKB569" s="341"/>
      <c r="BKC569" s="341"/>
      <c r="BKD569" s="341"/>
      <c r="BKE569" s="341"/>
      <c r="BKF569" s="341"/>
      <c r="BKG569" s="341"/>
      <c r="BKH569" s="341"/>
      <c r="BKI569" s="341"/>
      <c r="BKJ569" s="341"/>
      <c r="BKK569" s="341"/>
      <c r="BKL569" s="341"/>
      <c r="BKM569" s="341"/>
      <c r="BKN569" s="341"/>
      <c r="BKO569" s="341"/>
      <c r="BKP569" s="341"/>
      <c r="BKQ569" s="341"/>
      <c r="BKR569" s="341"/>
      <c r="BKS569" s="341"/>
      <c r="BKT569" s="341"/>
      <c r="BKU569" s="341"/>
      <c r="BKV569" s="341"/>
      <c r="BKW569" s="341"/>
      <c r="BKX569" s="341"/>
      <c r="BKY569" s="341"/>
      <c r="BKZ569" s="341"/>
      <c r="BLA569" s="341"/>
      <c r="BLB569" s="341"/>
      <c r="BLC569" s="341"/>
      <c r="BLD569" s="341"/>
      <c r="BLE569" s="341"/>
      <c r="BLF569" s="341"/>
      <c r="BLG569" s="341"/>
      <c r="BLH569" s="341"/>
      <c r="BLI569" s="341"/>
      <c r="BLJ569" s="341"/>
      <c r="BLK569" s="341"/>
      <c r="BLL569" s="341"/>
      <c r="BLM569" s="341"/>
      <c r="BLN569" s="341"/>
      <c r="BLO569" s="341"/>
      <c r="BLP569" s="341"/>
      <c r="BLQ569" s="341"/>
      <c r="BLR569" s="341"/>
      <c r="BLS569" s="341"/>
      <c r="BLT569" s="341"/>
      <c r="BLU569" s="341"/>
      <c r="BLV569" s="341"/>
      <c r="BLW569" s="341"/>
      <c r="BLX569" s="341"/>
      <c r="BLY569" s="341"/>
      <c r="BLZ569" s="341"/>
      <c r="BMA569" s="341"/>
      <c r="BMB569" s="341"/>
      <c r="BMC569" s="341"/>
      <c r="BMD569" s="341"/>
      <c r="BME569" s="341"/>
      <c r="BMF569" s="341"/>
      <c r="BMG569" s="341"/>
      <c r="BMH569" s="341"/>
      <c r="BMI569" s="341"/>
      <c r="BMJ569" s="341"/>
      <c r="BMK569" s="341"/>
      <c r="BML569" s="341"/>
      <c r="BMM569" s="341"/>
      <c r="BMN569" s="341"/>
      <c r="BMO569" s="341"/>
      <c r="BMP569" s="341"/>
      <c r="BMQ569" s="341"/>
      <c r="BMR569" s="341"/>
      <c r="BMS569" s="341"/>
      <c r="BMT569" s="341"/>
      <c r="BMU569" s="341"/>
      <c r="BMV569" s="341"/>
      <c r="BMW569" s="341"/>
      <c r="BMX569" s="341"/>
      <c r="BMY569" s="341"/>
      <c r="BMZ569" s="341"/>
      <c r="BNA569" s="341"/>
      <c r="BNB569" s="341"/>
      <c r="BNC569" s="341"/>
      <c r="BND569" s="341"/>
      <c r="BNE569" s="341"/>
      <c r="BNF569" s="341"/>
      <c r="BNG569" s="341"/>
      <c r="BNH569" s="341"/>
      <c r="BNI569" s="341"/>
      <c r="BNJ569" s="341"/>
      <c r="BNK569" s="341"/>
      <c r="BNL569" s="341"/>
      <c r="BNM569" s="341"/>
      <c r="BNN569" s="341"/>
      <c r="BNO569" s="341"/>
      <c r="BNP569" s="341"/>
      <c r="BNQ569" s="341"/>
      <c r="BNR569" s="341"/>
      <c r="BNS569" s="341"/>
      <c r="BNT569" s="341"/>
      <c r="BNU569" s="341"/>
      <c r="BNV569" s="341"/>
      <c r="BNW569" s="341"/>
      <c r="BNX569" s="341"/>
      <c r="BNY569" s="341"/>
      <c r="BNZ569" s="341"/>
      <c r="BOA569" s="341"/>
      <c r="BOB569" s="341"/>
      <c r="BOC569" s="341"/>
      <c r="BOD569" s="341"/>
      <c r="BOE569" s="341"/>
      <c r="BOF569" s="341"/>
      <c r="BOG569" s="341"/>
      <c r="BOH569" s="341"/>
      <c r="BOI569" s="341"/>
      <c r="BOJ569" s="341"/>
      <c r="BOK569" s="341"/>
      <c r="BOL569" s="341"/>
      <c r="BOM569" s="341"/>
      <c r="BON569" s="341"/>
      <c r="BOO569" s="341"/>
      <c r="BOP569" s="341"/>
      <c r="BOQ569" s="341"/>
      <c r="BOR569" s="341"/>
      <c r="BOS569" s="341"/>
      <c r="BOT569" s="341"/>
      <c r="BOU569" s="341"/>
      <c r="BOV569" s="341"/>
      <c r="BOW569" s="341"/>
      <c r="BOX569" s="341"/>
      <c r="BOY569" s="341"/>
      <c r="BOZ569" s="341"/>
      <c r="BPA569" s="341"/>
      <c r="BPB569" s="341"/>
      <c r="BPC569" s="341"/>
      <c r="BPD569" s="341"/>
      <c r="BPE569" s="341"/>
      <c r="BPF569" s="341"/>
      <c r="BPG569" s="341"/>
      <c r="BPH569" s="341"/>
      <c r="BPI569" s="341"/>
      <c r="BPJ569" s="341"/>
      <c r="BPK569" s="341"/>
      <c r="BPL569" s="341"/>
      <c r="BPM569" s="341"/>
      <c r="BPN569" s="341"/>
      <c r="BPO569" s="341"/>
      <c r="BPP569" s="341"/>
      <c r="BPQ569" s="341"/>
      <c r="BPR569" s="341"/>
      <c r="BPS569" s="341"/>
      <c r="BPT569" s="341"/>
      <c r="BPU569" s="341"/>
      <c r="BPV569" s="341"/>
      <c r="BPW569" s="341"/>
      <c r="BPX569" s="341"/>
      <c r="BPY569" s="341"/>
      <c r="BPZ569" s="341"/>
      <c r="BQA569" s="341"/>
      <c r="BQB569" s="341"/>
      <c r="BQC569" s="341"/>
      <c r="BQD569" s="341"/>
      <c r="BQE569" s="341"/>
      <c r="BQF569" s="341"/>
      <c r="BQG569" s="341"/>
      <c r="BQH569" s="341"/>
      <c r="BQI569" s="341"/>
      <c r="BQJ569" s="341"/>
      <c r="BQK569" s="341"/>
      <c r="BQL569" s="341"/>
      <c r="BQM569" s="341"/>
      <c r="BQN569" s="341"/>
      <c r="BQO569" s="341"/>
      <c r="BQP569" s="341"/>
      <c r="BQQ569" s="341"/>
      <c r="BQR569" s="341"/>
      <c r="BQS569" s="341"/>
      <c r="BQT569" s="341"/>
      <c r="BQU569" s="341"/>
      <c r="BQV569" s="341"/>
      <c r="BQW569" s="341"/>
      <c r="BQX569" s="341"/>
      <c r="BQY569" s="341"/>
      <c r="BQZ569" s="341"/>
      <c r="BRA569" s="341"/>
      <c r="BRB569" s="341"/>
      <c r="BRC569" s="341"/>
      <c r="BRD569" s="341"/>
      <c r="BRE569" s="341"/>
      <c r="BRF569" s="341"/>
      <c r="BRG569" s="341"/>
      <c r="BRH569" s="341"/>
      <c r="BRI569" s="341"/>
      <c r="BRJ569" s="341"/>
      <c r="BRK569" s="341"/>
      <c r="BRL569" s="341"/>
      <c r="BRM569" s="341"/>
      <c r="BRN569" s="341"/>
      <c r="BRO569" s="341"/>
      <c r="BRP569" s="341"/>
      <c r="BRQ569" s="341"/>
      <c r="BRR569" s="341"/>
      <c r="BRS569" s="341"/>
      <c r="BRT569" s="341"/>
      <c r="BRU569" s="341"/>
      <c r="BRV569" s="341"/>
      <c r="BRW569" s="341"/>
      <c r="BRX569" s="341"/>
      <c r="BRY569" s="341"/>
      <c r="BRZ569" s="341"/>
      <c r="BSA569" s="341"/>
      <c r="BSB569" s="341"/>
      <c r="BSC569" s="341"/>
      <c r="BSD569" s="341"/>
      <c r="BSE569" s="341"/>
      <c r="BSF569" s="341"/>
      <c r="BSG569" s="341"/>
      <c r="BSH569" s="341"/>
      <c r="BSI569" s="341"/>
      <c r="BSJ569" s="341"/>
      <c r="BSK569" s="341"/>
      <c r="BSL569" s="341"/>
      <c r="BSM569" s="341"/>
      <c r="BSN569" s="341"/>
      <c r="BSO569" s="341"/>
      <c r="BSP569" s="341"/>
      <c r="BSQ569" s="341"/>
      <c r="BSR569" s="341"/>
      <c r="BSS569" s="341"/>
      <c r="BST569" s="341"/>
      <c r="BSU569" s="341"/>
      <c r="BSV569" s="341"/>
      <c r="BSW569" s="341"/>
      <c r="BSX569" s="341"/>
      <c r="BSY569" s="341"/>
      <c r="BSZ569" s="341"/>
      <c r="BTA569" s="341"/>
      <c r="BTB569" s="341"/>
      <c r="BTC569" s="341"/>
      <c r="BTD569" s="341"/>
      <c r="BTE569" s="341"/>
      <c r="BTF569" s="341"/>
      <c r="BTG569" s="341"/>
      <c r="BTH569" s="341"/>
      <c r="BTI569" s="341"/>
      <c r="BTJ569" s="341"/>
      <c r="BTK569" s="341"/>
      <c r="BTL569" s="341"/>
      <c r="BTM569" s="341"/>
      <c r="BTN569" s="341"/>
      <c r="BTO569" s="341"/>
      <c r="BTP569" s="341"/>
      <c r="BTQ569" s="341"/>
      <c r="BTR569" s="341"/>
      <c r="BTS569" s="341"/>
      <c r="BTT569" s="341"/>
      <c r="BTU569" s="341"/>
      <c r="BTV569" s="341"/>
      <c r="BTW569" s="341"/>
      <c r="BTX569" s="341"/>
      <c r="BTY569" s="341"/>
      <c r="BTZ569" s="341"/>
      <c r="BUA569" s="341"/>
      <c r="BUB569" s="341"/>
      <c r="BUC569" s="341"/>
      <c r="BUD569" s="341"/>
      <c r="BUE569" s="341"/>
      <c r="BUF569" s="341"/>
      <c r="BUG569" s="341"/>
      <c r="BUH569" s="341"/>
      <c r="BUI569" s="341"/>
      <c r="BUJ569" s="341"/>
      <c r="BUK569" s="341"/>
      <c r="BUL569" s="341"/>
      <c r="BUM569" s="341"/>
      <c r="BUN569" s="341"/>
      <c r="BUO569" s="341"/>
      <c r="BUP569" s="341"/>
      <c r="BUQ569" s="341"/>
      <c r="BUR569" s="341"/>
      <c r="BUS569" s="341"/>
      <c r="BUT569" s="341"/>
      <c r="BUU569" s="341"/>
      <c r="BUV569" s="341"/>
      <c r="BUW569" s="341"/>
      <c r="BUX569" s="341"/>
      <c r="BUY569" s="341"/>
      <c r="BUZ569" s="341"/>
      <c r="BVA569" s="341"/>
      <c r="BVB569" s="341"/>
      <c r="BVC569" s="341"/>
      <c r="BVD569" s="341"/>
      <c r="BVE569" s="341"/>
      <c r="BVF569" s="341"/>
      <c r="BVG569" s="341"/>
      <c r="BVH569" s="341"/>
      <c r="BVI569" s="341"/>
      <c r="BVJ569" s="341"/>
      <c r="BVK569" s="341"/>
      <c r="BVL569" s="341"/>
      <c r="BVM569" s="341"/>
      <c r="BVN569" s="341"/>
      <c r="BVO569" s="341"/>
      <c r="BVP569" s="341"/>
      <c r="BVQ569" s="341"/>
      <c r="BVR569" s="341"/>
      <c r="BVS569" s="341"/>
      <c r="BVT569" s="341"/>
      <c r="BVU569" s="341"/>
      <c r="BVV569" s="341"/>
      <c r="BVW569" s="341"/>
      <c r="BVX569" s="341"/>
      <c r="BVY569" s="341"/>
      <c r="BVZ569" s="341"/>
      <c r="BWA569" s="341"/>
      <c r="BWB569" s="341"/>
      <c r="BWC569" s="341"/>
      <c r="BWD569" s="341"/>
      <c r="BWE569" s="341"/>
      <c r="BWF569" s="341"/>
      <c r="BWG569" s="341"/>
      <c r="BWH569" s="341"/>
      <c r="BWI569" s="341"/>
      <c r="BWJ569" s="341"/>
      <c r="BWK569" s="341"/>
      <c r="BWL569" s="341"/>
      <c r="BWM569" s="341"/>
      <c r="BWN569" s="341"/>
      <c r="BWO569" s="341"/>
      <c r="BWP569" s="341"/>
      <c r="BWQ569" s="341"/>
      <c r="BWR569" s="341"/>
      <c r="BWS569" s="341"/>
      <c r="BWT569" s="341"/>
      <c r="BWU569" s="341"/>
      <c r="BWV569" s="341"/>
      <c r="BWW569" s="341"/>
      <c r="BWX569" s="341"/>
      <c r="BWY569" s="341"/>
      <c r="BWZ569" s="341"/>
      <c r="BXA569" s="341"/>
      <c r="BXB569" s="341"/>
      <c r="BXC569" s="341"/>
      <c r="BXD569" s="341"/>
      <c r="BXE569" s="341"/>
      <c r="BXF569" s="341"/>
      <c r="BXG569" s="341"/>
      <c r="BXH569" s="341"/>
      <c r="BXI569" s="341"/>
      <c r="BXJ569" s="341"/>
      <c r="BXK569" s="341"/>
      <c r="BXL569" s="341"/>
      <c r="BXM569" s="341"/>
      <c r="BXN569" s="341"/>
      <c r="BXO569" s="341"/>
      <c r="BXP569" s="341"/>
      <c r="BXQ569" s="341"/>
      <c r="BXR569" s="341"/>
      <c r="BXS569" s="341"/>
      <c r="BXT569" s="341"/>
      <c r="BXU569" s="341"/>
      <c r="BXV569" s="341"/>
      <c r="BXW569" s="341"/>
      <c r="BXX569" s="341"/>
      <c r="BXY569" s="341"/>
      <c r="BXZ569" s="341"/>
      <c r="BYA569" s="341"/>
      <c r="BYB569" s="341"/>
      <c r="BYC569" s="341"/>
      <c r="BYD569" s="341"/>
      <c r="BYE569" s="341"/>
      <c r="BYF569" s="341"/>
      <c r="BYG569" s="341"/>
      <c r="BYH569" s="341"/>
      <c r="BYI569" s="341"/>
      <c r="BYJ569" s="341"/>
      <c r="BYK569" s="341"/>
      <c r="BYL569" s="341"/>
      <c r="BYM569" s="341"/>
      <c r="BYN569" s="341"/>
      <c r="BYO569" s="341"/>
      <c r="BYP569" s="341"/>
      <c r="BYQ569" s="341"/>
      <c r="BYR569" s="341"/>
      <c r="BYS569" s="341"/>
      <c r="BYT569" s="341"/>
      <c r="BYU569" s="341"/>
      <c r="BYV569" s="341"/>
      <c r="BYW569" s="341"/>
      <c r="BYX569" s="341"/>
      <c r="BYY569" s="341"/>
      <c r="BYZ569" s="341"/>
      <c r="BZA569" s="341"/>
      <c r="BZB569" s="341"/>
      <c r="BZC569" s="341"/>
      <c r="BZD569" s="341"/>
      <c r="BZE569" s="341"/>
      <c r="BZF569" s="341"/>
      <c r="BZG569" s="341"/>
      <c r="BZH569" s="341"/>
      <c r="BZI569" s="341"/>
      <c r="BZJ569" s="341"/>
      <c r="BZK569" s="341"/>
      <c r="BZL569" s="341"/>
      <c r="BZM569" s="341"/>
      <c r="BZN569" s="341"/>
      <c r="BZO569" s="341"/>
      <c r="BZP569" s="341"/>
      <c r="BZQ569" s="341"/>
      <c r="BZR569" s="341"/>
      <c r="BZS569" s="341"/>
      <c r="BZT569" s="341"/>
      <c r="BZU569" s="341"/>
      <c r="BZV569" s="341"/>
      <c r="BZW569" s="341"/>
      <c r="BZX569" s="341"/>
      <c r="BZY569" s="341"/>
      <c r="BZZ569" s="341"/>
      <c r="CAA569" s="341"/>
      <c r="CAB569" s="341"/>
      <c r="CAC569" s="341"/>
      <c r="CAD569" s="341"/>
      <c r="CAE569" s="341"/>
      <c r="CAF569" s="341"/>
      <c r="CAG569" s="341"/>
      <c r="CAH569" s="341"/>
      <c r="CAI569" s="341"/>
      <c r="CAJ569" s="341"/>
      <c r="CAK569" s="341"/>
      <c r="CAL569" s="341"/>
      <c r="CAM569" s="341"/>
      <c r="CAN569" s="341"/>
      <c r="CAO569" s="341"/>
      <c r="CAP569" s="341"/>
      <c r="CAQ569" s="341"/>
      <c r="CAR569" s="341"/>
      <c r="CAS569" s="341"/>
      <c r="CAT569" s="341"/>
      <c r="CAU569" s="341"/>
      <c r="CAV569" s="341"/>
      <c r="CAW569" s="341"/>
      <c r="CAX569" s="341"/>
      <c r="CAY569" s="341"/>
      <c r="CAZ569" s="341"/>
      <c r="CBA569" s="341"/>
      <c r="CBB569" s="341"/>
      <c r="CBC569" s="341"/>
      <c r="CBD569" s="341"/>
      <c r="CBE569" s="341"/>
      <c r="CBF569" s="341"/>
      <c r="CBG569" s="341"/>
      <c r="CBH569" s="341"/>
      <c r="CBI569" s="341"/>
      <c r="CBJ569" s="341"/>
      <c r="CBK569" s="341"/>
      <c r="CBL569" s="341"/>
      <c r="CBM569" s="341"/>
      <c r="CBN569" s="341"/>
      <c r="CBO569" s="341"/>
      <c r="CBP569" s="341"/>
      <c r="CBQ569" s="341"/>
      <c r="CBR569" s="341"/>
      <c r="CBS569" s="341"/>
      <c r="CBT569" s="341"/>
      <c r="CBU569" s="341"/>
      <c r="CBV569" s="341"/>
      <c r="CBW569" s="341"/>
      <c r="CBX569" s="341"/>
      <c r="CBY569" s="341"/>
      <c r="CBZ569" s="341"/>
      <c r="CCA569" s="341"/>
      <c r="CCB569" s="341"/>
      <c r="CCC569" s="341"/>
      <c r="CCD569" s="341"/>
      <c r="CCE569" s="341"/>
      <c r="CCF569" s="341"/>
      <c r="CCG569" s="341"/>
      <c r="CCH569" s="341"/>
      <c r="CCI569" s="341"/>
      <c r="CCJ569" s="341"/>
      <c r="CCK569" s="341"/>
      <c r="CCL569" s="341"/>
      <c r="CCM569" s="341"/>
      <c r="CCN569" s="341"/>
      <c r="CCO569" s="341"/>
      <c r="CCP569" s="341"/>
      <c r="CCQ569" s="341"/>
      <c r="CCR569" s="341"/>
      <c r="CCS569" s="341"/>
      <c r="CCT569" s="341"/>
      <c r="CCU569" s="341"/>
      <c r="CCV569" s="341"/>
      <c r="CCW569" s="341"/>
      <c r="CCX569" s="341"/>
      <c r="CCY569" s="341"/>
      <c r="CCZ569" s="341"/>
      <c r="CDA569" s="341"/>
      <c r="CDB569" s="341"/>
      <c r="CDC569" s="341"/>
      <c r="CDD569" s="341"/>
      <c r="CDE569" s="341"/>
      <c r="CDF569" s="341"/>
      <c r="CDG569" s="341"/>
      <c r="CDH569" s="341"/>
      <c r="CDI569" s="341"/>
      <c r="CDJ569" s="341"/>
      <c r="CDK569" s="341"/>
      <c r="CDL569" s="341"/>
      <c r="CDM569" s="341"/>
      <c r="CDN569" s="341"/>
      <c r="CDO569" s="341"/>
      <c r="CDP569" s="341"/>
      <c r="CDQ569" s="341"/>
      <c r="CDR569" s="341"/>
      <c r="CDS569" s="341"/>
      <c r="CDT569" s="341"/>
      <c r="CDU569" s="341"/>
      <c r="CDV569" s="341"/>
      <c r="CDW569" s="341"/>
      <c r="CDX569" s="341"/>
      <c r="CDY569" s="341"/>
      <c r="CDZ569" s="341"/>
      <c r="CEA569" s="341"/>
      <c r="CEB569" s="341"/>
      <c r="CEC569" s="341"/>
      <c r="CED569" s="341"/>
      <c r="CEE569" s="341"/>
      <c r="CEF569" s="341"/>
      <c r="CEG569" s="341"/>
      <c r="CEH569" s="341"/>
      <c r="CEI569" s="341"/>
      <c r="CEJ569" s="341"/>
      <c r="CEK569" s="341"/>
      <c r="CEL569" s="341"/>
      <c r="CEM569" s="341"/>
      <c r="CEN569" s="341"/>
      <c r="CEO569" s="341"/>
      <c r="CEP569" s="341"/>
      <c r="CEQ569" s="341"/>
      <c r="CER569" s="341"/>
      <c r="CES569" s="341"/>
      <c r="CET569" s="341"/>
      <c r="CEU569" s="341"/>
      <c r="CEV569" s="341"/>
      <c r="CEW569" s="341"/>
      <c r="CEX569" s="341"/>
      <c r="CEY569" s="341"/>
      <c r="CEZ569" s="341"/>
      <c r="CFA569" s="341"/>
      <c r="CFB569" s="341"/>
      <c r="CFC569" s="341"/>
      <c r="CFD569" s="341"/>
      <c r="CFE569" s="341"/>
      <c r="CFF569" s="341"/>
      <c r="CFG569" s="341"/>
      <c r="CFH569" s="341"/>
      <c r="CFI569" s="341"/>
      <c r="CFJ569" s="341"/>
      <c r="CFK569" s="341"/>
      <c r="CFL569" s="341"/>
      <c r="CFM569" s="341"/>
      <c r="CFN569" s="341"/>
      <c r="CFO569" s="341"/>
      <c r="CFP569" s="341"/>
      <c r="CFQ569" s="341"/>
      <c r="CFR569" s="341"/>
      <c r="CFS569" s="341"/>
      <c r="CFT569" s="341"/>
      <c r="CFU569" s="341"/>
      <c r="CFV569" s="341"/>
      <c r="CFW569" s="341"/>
      <c r="CFX569" s="341"/>
      <c r="CFY569" s="341"/>
      <c r="CFZ569" s="341"/>
      <c r="CGA569" s="341"/>
      <c r="CGB569" s="341"/>
      <c r="CGC569" s="341"/>
      <c r="CGD569" s="341"/>
      <c r="CGE569" s="341"/>
      <c r="CGF569" s="341"/>
      <c r="CGG569" s="341"/>
      <c r="CGH569" s="341"/>
      <c r="CGI569" s="341"/>
      <c r="CGJ569" s="341"/>
      <c r="CGK569" s="341"/>
      <c r="CGL569" s="341"/>
      <c r="CGM569" s="341"/>
      <c r="CGN569" s="341"/>
      <c r="CGO569" s="341"/>
      <c r="CGP569" s="341"/>
      <c r="CGQ569" s="341"/>
      <c r="CGR569" s="341"/>
      <c r="CGS569" s="341"/>
      <c r="CGT569" s="341"/>
      <c r="CGU569" s="341"/>
      <c r="CGV569" s="341"/>
      <c r="CGW569" s="341"/>
      <c r="CGX569" s="341"/>
      <c r="CGY569" s="341"/>
      <c r="CGZ569" s="341"/>
      <c r="CHA569" s="341"/>
      <c r="CHB569" s="341"/>
      <c r="CHC569" s="341"/>
      <c r="CHD569" s="341"/>
      <c r="CHE569" s="341"/>
      <c r="CHF569" s="341"/>
      <c r="CHG569" s="341"/>
      <c r="CHH569" s="341"/>
      <c r="CHI569" s="341"/>
      <c r="CHJ569" s="341"/>
      <c r="CHK569" s="341"/>
      <c r="CHL569" s="341"/>
      <c r="CHM569" s="341"/>
      <c r="CHN569" s="341"/>
      <c r="CHO569" s="341"/>
      <c r="CHP569" s="341"/>
      <c r="CHQ569" s="341"/>
      <c r="CHR569" s="341"/>
      <c r="CHS569" s="341"/>
      <c r="CHT569" s="341"/>
      <c r="CHU569" s="341"/>
      <c r="CHV569" s="341"/>
      <c r="CHW569" s="341"/>
      <c r="CHX569" s="341"/>
      <c r="CHY569" s="341"/>
      <c r="CHZ569" s="341"/>
      <c r="CIA569" s="341"/>
      <c r="CIB569" s="341"/>
      <c r="CIC569" s="341"/>
      <c r="CID569" s="341"/>
      <c r="CIE569" s="341"/>
      <c r="CIF569" s="341"/>
      <c r="CIG569" s="341"/>
      <c r="CIH569" s="341"/>
      <c r="CII569" s="341"/>
      <c r="CIJ569" s="341"/>
      <c r="CIK569" s="341"/>
      <c r="CIL569" s="341"/>
      <c r="CIM569" s="341"/>
      <c r="CIN569" s="341"/>
      <c r="CIO569" s="341"/>
      <c r="CIP569" s="341"/>
      <c r="CIQ569" s="341"/>
      <c r="CIR569" s="341"/>
      <c r="CIS569" s="341"/>
      <c r="CIT569" s="341"/>
      <c r="CIU569" s="341"/>
      <c r="CIV569" s="341"/>
      <c r="CIW569" s="341"/>
      <c r="CIX569" s="341"/>
      <c r="CIY569" s="341"/>
      <c r="CIZ569" s="341"/>
      <c r="CJA569" s="341"/>
      <c r="CJB569" s="341"/>
      <c r="CJC569" s="341"/>
      <c r="CJD569" s="341"/>
      <c r="CJE569" s="341"/>
      <c r="CJF569" s="341"/>
      <c r="CJG569" s="341"/>
      <c r="CJH569" s="341"/>
      <c r="CJI569" s="341"/>
      <c r="CJJ569" s="341"/>
      <c r="CJK569" s="341"/>
      <c r="CJL569" s="341"/>
      <c r="CJM569" s="341"/>
      <c r="CJN569" s="341"/>
      <c r="CJO569" s="341"/>
      <c r="CJP569" s="341"/>
      <c r="CJQ569" s="341"/>
      <c r="CJR569" s="341"/>
      <c r="CJS569" s="341"/>
      <c r="CJT569" s="341"/>
      <c r="CJU569" s="341"/>
      <c r="CJV569" s="341"/>
      <c r="CJW569" s="341"/>
      <c r="CJX569" s="341"/>
      <c r="CJY569" s="341"/>
      <c r="CJZ569" s="341"/>
      <c r="CKA569" s="341"/>
      <c r="CKB569" s="341"/>
      <c r="CKC569" s="341"/>
      <c r="CKD569" s="341"/>
      <c r="CKE569" s="341"/>
      <c r="CKF569" s="341"/>
      <c r="CKG569" s="341"/>
      <c r="CKH569" s="341"/>
      <c r="CKI569" s="341"/>
      <c r="CKJ569" s="341"/>
      <c r="CKK569" s="341"/>
      <c r="CKL569" s="341"/>
      <c r="CKM569" s="341"/>
      <c r="CKN569" s="341"/>
      <c r="CKO569" s="341"/>
      <c r="CKP569" s="341"/>
      <c r="CKQ569" s="341"/>
      <c r="CKR569" s="341"/>
      <c r="CKS569" s="341"/>
      <c r="CKT569" s="341"/>
      <c r="CKU569" s="341"/>
      <c r="CKV569" s="341"/>
      <c r="CKW569" s="341"/>
      <c r="CKX569" s="341"/>
      <c r="CKY569" s="341"/>
      <c r="CKZ569" s="341"/>
      <c r="CLA569" s="341"/>
      <c r="CLB569" s="341"/>
      <c r="CLC569" s="341"/>
      <c r="CLD569" s="341"/>
      <c r="CLE569" s="341"/>
      <c r="CLF569" s="341"/>
      <c r="CLG569" s="341"/>
      <c r="CLH569" s="341"/>
      <c r="CLI569" s="341"/>
      <c r="CLJ569" s="341"/>
      <c r="CLK569" s="341"/>
      <c r="CLL569" s="341"/>
      <c r="CLM569" s="341"/>
      <c r="CLN569" s="341"/>
      <c r="CLO569" s="341"/>
      <c r="CLP569" s="341"/>
      <c r="CLQ569" s="341"/>
      <c r="CLR569" s="341"/>
      <c r="CLS569" s="341"/>
      <c r="CLT569" s="341"/>
      <c r="CLU569" s="341"/>
      <c r="CLV569" s="341"/>
      <c r="CLW569" s="341"/>
      <c r="CLX569" s="341"/>
      <c r="CLY569" s="341"/>
      <c r="CLZ569" s="341"/>
      <c r="CMA569" s="341"/>
      <c r="CMB569" s="341"/>
      <c r="CMC569" s="341"/>
      <c r="CMD569" s="341"/>
      <c r="CME569" s="341"/>
      <c r="CMF569" s="341"/>
      <c r="CMG569" s="341"/>
      <c r="CMH569" s="341"/>
      <c r="CMI569" s="341"/>
      <c r="CMJ569" s="341"/>
      <c r="CMK569" s="341"/>
      <c r="CML569" s="341"/>
      <c r="CMM569" s="341"/>
      <c r="CMN569" s="341"/>
      <c r="CMO569" s="341"/>
      <c r="CMP569" s="341"/>
      <c r="CMQ569" s="341"/>
      <c r="CMR569" s="341"/>
      <c r="CMS569" s="341"/>
      <c r="CMT569" s="341"/>
      <c r="CMU569" s="341"/>
      <c r="CMV569" s="341"/>
      <c r="CMW569" s="341"/>
      <c r="CMX569" s="341"/>
      <c r="CMY569" s="341"/>
      <c r="CMZ569" s="341"/>
      <c r="CNA569" s="341"/>
      <c r="CNB569" s="341"/>
      <c r="CNC569" s="341"/>
      <c r="CND569" s="341"/>
      <c r="CNE569" s="341"/>
      <c r="CNF569" s="341"/>
      <c r="CNG569" s="341"/>
      <c r="CNH569" s="341"/>
      <c r="CNI569" s="341"/>
      <c r="CNJ569" s="341"/>
      <c r="CNK569" s="341"/>
      <c r="CNL569" s="341"/>
      <c r="CNM569" s="341"/>
      <c r="CNN569" s="341"/>
      <c r="CNO569" s="341"/>
      <c r="CNP569" s="341"/>
      <c r="CNQ569" s="341"/>
      <c r="CNR569" s="341"/>
      <c r="CNS569" s="341"/>
      <c r="CNT569" s="341"/>
      <c r="CNU569" s="341"/>
      <c r="CNV569" s="341"/>
      <c r="CNW569" s="341"/>
      <c r="CNX569" s="341"/>
      <c r="CNY569" s="341"/>
      <c r="CNZ569" s="341"/>
      <c r="COA569" s="341"/>
      <c r="COB569" s="341"/>
      <c r="COC569" s="341"/>
      <c r="COD569" s="341"/>
      <c r="COE569" s="341"/>
      <c r="COF569" s="341"/>
      <c r="COG569" s="341"/>
      <c r="COH569" s="341"/>
      <c r="COI569" s="341"/>
      <c r="COJ569" s="341"/>
      <c r="COK569" s="341"/>
      <c r="COL569" s="341"/>
      <c r="COM569" s="341"/>
      <c r="CON569" s="341"/>
      <c r="COO569" s="341"/>
      <c r="COP569" s="341"/>
      <c r="COQ569" s="341"/>
      <c r="COR569" s="341"/>
      <c r="COS569" s="341"/>
      <c r="COT569" s="341"/>
      <c r="COU569" s="341"/>
      <c r="COV569" s="341"/>
      <c r="COW569" s="341"/>
      <c r="COX569" s="341"/>
      <c r="COY569" s="341"/>
      <c r="COZ569" s="341"/>
      <c r="CPA569" s="341"/>
      <c r="CPB569" s="341"/>
      <c r="CPC569" s="341"/>
      <c r="CPD569" s="341"/>
      <c r="CPE569" s="341"/>
      <c r="CPF569" s="341"/>
      <c r="CPG569" s="341"/>
      <c r="CPH569" s="341"/>
      <c r="CPI569" s="341"/>
      <c r="CPJ569" s="341"/>
      <c r="CPK569" s="341"/>
      <c r="CPL569" s="341"/>
      <c r="CPM569" s="341"/>
      <c r="CPN569" s="341"/>
      <c r="CPO569" s="341"/>
      <c r="CPP569" s="341"/>
      <c r="CPQ569" s="341"/>
      <c r="CPR569" s="341"/>
      <c r="CPS569" s="341"/>
      <c r="CPT569" s="341"/>
      <c r="CPU569" s="341"/>
      <c r="CPV569" s="341"/>
      <c r="CPW569" s="341"/>
      <c r="CPX569" s="341"/>
      <c r="CPY569" s="341"/>
      <c r="CPZ569" s="341"/>
      <c r="CQA569" s="341"/>
      <c r="CQB569" s="341"/>
      <c r="CQC569" s="341"/>
      <c r="CQD569" s="341"/>
      <c r="CQE569" s="341"/>
      <c r="CQF569" s="341"/>
      <c r="CQG569" s="341"/>
      <c r="CQH569" s="341"/>
      <c r="CQI569" s="341"/>
      <c r="CQJ569" s="341"/>
      <c r="CQK569" s="341"/>
      <c r="CQL569" s="341"/>
      <c r="CQM569" s="341"/>
      <c r="CQN569" s="341"/>
      <c r="CQO569" s="341"/>
      <c r="CQP569" s="341"/>
      <c r="CQQ569" s="341"/>
      <c r="CQR569" s="341"/>
      <c r="CQS569" s="341"/>
      <c r="CQT569" s="341"/>
      <c r="CQU569" s="341"/>
      <c r="CQV569" s="341"/>
      <c r="CQW569" s="341"/>
      <c r="CQX569" s="341"/>
      <c r="CQY569" s="341"/>
      <c r="CQZ569" s="341"/>
      <c r="CRA569" s="341"/>
      <c r="CRB569" s="341"/>
      <c r="CRC569" s="341"/>
      <c r="CRD569" s="341"/>
      <c r="CRE569" s="341"/>
      <c r="CRF569" s="341"/>
      <c r="CRG569" s="341"/>
      <c r="CRH569" s="341"/>
      <c r="CRI569" s="341"/>
      <c r="CRJ569" s="341"/>
      <c r="CRK569" s="341"/>
      <c r="CRL569" s="341"/>
      <c r="CRM569" s="341"/>
      <c r="CRN569" s="341"/>
      <c r="CRO569" s="341"/>
      <c r="CRP569" s="341"/>
      <c r="CRQ569" s="341"/>
      <c r="CRR569" s="341"/>
      <c r="CRS569" s="341"/>
      <c r="CRT569" s="341"/>
      <c r="CRU569" s="341"/>
      <c r="CRV569" s="341"/>
      <c r="CRW569" s="341"/>
      <c r="CRX569" s="341"/>
      <c r="CRY569" s="341"/>
      <c r="CRZ569" s="341"/>
      <c r="CSA569" s="341"/>
      <c r="CSB569" s="341"/>
      <c r="CSC569" s="341"/>
      <c r="CSD569" s="341"/>
      <c r="CSE569" s="341"/>
      <c r="CSF569" s="341"/>
      <c r="CSG569" s="341"/>
      <c r="CSH569" s="341"/>
      <c r="CSI569" s="341"/>
      <c r="CSJ569" s="341"/>
      <c r="CSK569" s="341"/>
      <c r="CSL569" s="341"/>
      <c r="CSM569" s="341"/>
      <c r="CSN569" s="341"/>
      <c r="CSO569" s="341"/>
      <c r="CSP569" s="341"/>
      <c r="CSQ569" s="341"/>
      <c r="CSR569" s="341"/>
      <c r="CSS569" s="341"/>
      <c r="CST569" s="341"/>
      <c r="CSU569" s="341"/>
      <c r="CSV569" s="341"/>
      <c r="CSW569" s="341"/>
      <c r="CSX569" s="341"/>
      <c r="CSY569" s="341"/>
      <c r="CSZ569" s="341"/>
      <c r="CTA569" s="341"/>
      <c r="CTB569" s="341"/>
      <c r="CTC569" s="341"/>
      <c r="CTD569" s="341"/>
      <c r="CTE569" s="341"/>
      <c r="CTF569" s="341"/>
      <c r="CTG569" s="341"/>
      <c r="CTH569" s="341"/>
      <c r="CTI569" s="341"/>
      <c r="CTJ569" s="341"/>
      <c r="CTK569" s="341"/>
      <c r="CTL569" s="341"/>
      <c r="CTM569" s="341"/>
      <c r="CTN569" s="341"/>
      <c r="CTO569" s="341"/>
      <c r="CTP569" s="341"/>
      <c r="CTQ569" s="341"/>
      <c r="CTR569" s="341"/>
      <c r="CTS569" s="341"/>
      <c r="CTT569" s="341"/>
      <c r="CTU569" s="341"/>
      <c r="CTV569" s="341"/>
      <c r="CTW569" s="341"/>
      <c r="CTX569" s="341"/>
      <c r="CTY569" s="341"/>
      <c r="CTZ569" s="341"/>
      <c r="CUA569" s="341"/>
      <c r="CUB569" s="341"/>
      <c r="CUC569" s="341"/>
      <c r="CUD569" s="341"/>
      <c r="CUE569" s="341"/>
      <c r="CUF569" s="341"/>
      <c r="CUG569" s="341"/>
      <c r="CUH569" s="341"/>
      <c r="CUI569" s="341"/>
      <c r="CUJ569" s="341"/>
      <c r="CUK569" s="341"/>
      <c r="CUL569" s="341"/>
      <c r="CUM569" s="341"/>
      <c r="CUN569" s="341"/>
      <c r="CUO569" s="341"/>
      <c r="CUP569" s="341"/>
      <c r="CUQ569" s="341"/>
      <c r="CUR569" s="341"/>
      <c r="CUS569" s="341"/>
      <c r="CUT569" s="341"/>
      <c r="CUU569" s="341"/>
      <c r="CUV569" s="341"/>
      <c r="CUW569" s="341"/>
      <c r="CUX569" s="341"/>
      <c r="CUY569" s="341"/>
      <c r="CUZ569" s="341"/>
      <c r="CVA569" s="341"/>
      <c r="CVB569" s="341"/>
      <c r="CVC569" s="341"/>
      <c r="CVD569" s="341"/>
      <c r="CVE569" s="341"/>
      <c r="CVF569" s="341"/>
      <c r="CVG569" s="341"/>
      <c r="CVH569" s="341"/>
      <c r="CVI569" s="341"/>
      <c r="CVJ569" s="341"/>
      <c r="CVK569" s="341"/>
      <c r="CVL569" s="341"/>
      <c r="CVM569" s="341"/>
      <c r="CVN569" s="341"/>
      <c r="CVO569" s="341"/>
      <c r="CVP569" s="341"/>
      <c r="CVQ569" s="341"/>
      <c r="CVR569" s="341"/>
      <c r="CVS569" s="341"/>
      <c r="CVT569" s="341"/>
      <c r="CVU569" s="341"/>
      <c r="CVV569" s="341"/>
      <c r="CVW569" s="341"/>
      <c r="CVX569" s="341"/>
      <c r="CVY569" s="341"/>
      <c r="CVZ569" s="341"/>
      <c r="CWA569" s="341"/>
      <c r="CWB569" s="341"/>
      <c r="CWC569" s="341"/>
      <c r="CWD569" s="341"/>
      <c r="CWE569" s="341"/>
      <c r="CWF569" s="341"/>
      <c r="CWG569" s="341"/>
      <c r="CWH569" s="341"/>
      <c r="CWI569" s="341"/>
      <c r="CWJ569" s="341"/>
      <c r="CWK569" s="341"/>
      <c r="CWL569" s="341"/>
      <c r="CWM569" s="341"/>
      <c r="CWN569" s="341"/>
      <c r="CWO569" s="341"/>
      <c r="CWP569" s="341"/>
      <c r="CWQ569" s="341"/>
      <c r="CWR569" s="341"/>
      <c r="CWS569" s="341"/>
      <c r="CWT569" s="341"/>
      <c r="CWU569" s="341"/>
      <c r="CWV569" s="341"/>
      <c r="CWW569" s="341"/>
      <c r="CWX569" s="341"/>
      <c r="CWY569" s="341"/>
      <c r="CWZ569" s="341"/>
      <c r="CXA569" s="341"/>
      <c r="CXB569" s="341"/>
      <c r="CXC569" s="341"/>
      <c r="CXD569" s="341"/>
      <c r="CXE569" s="341"/>
      <c r="CXF569" s="341"/>
      <c r="CXG569" s="341"/>
      <c r="CXH569" s="341"/>
      <c r="CXI569" s="341"/>
      <c r="CXJ569" s="341"/>
      <c r="CXK569" s="341"/>
      <c r="CXL569" s="341"/>
      <c r="CXM569" s="341"/>
      <c r="CXN569" s="341"/>
      <c r="CXO569" s="341"/>
      <c r="CXP569" s="341"/>
      <c r="CXQ569" s="341"/>
      <c r="CXR569" s="341"/>
      <c r="CXS569" s="341"/>
      <c r="CXT569" s="341"/>
      <c r="CXU569" s="341"/>
      <c r="CXV569" s="341"/>
      <c r="CXW569" s="341"/>
      <c r="CXX569" s="341"/>
      <c r="CXY569" s="341"/>
      <c r="CXZ569" s="341"/>
      <c r="CYA569" s="341"/>
      <c r="CYB569" s="341"/>
      <c r="CYC569" s="341"/>
      <c r="CYD569" s="341"/>
      <c r="CYE569" s="341"/>
      <c r="CYF569" s="341"/>
      <c r="CYG569" s="341"/>
      <c r="CYH569" s="341"/>
      <c r="CYI569" s="341"/>
      <c r="CYJ569" s="341"/>
      <c r="CYK569" s="341"/>
      <c r="CYL569" s="341"/>
      <c r="CYM569" s="341"/>
      <c r="CYN569" s="341"/>
      <c r="CYO569" s="341"/>
      <c r="CYP569" s="341"/>
      <c r="CYQ569" s="341"/>
      <c r="CYR569" s="341"/>
      <c r="CYS569" s="341"/>
      <c r="CYT569" s="341"/>
      <c r="CYU569" s="341"/>
      <c r="CYV569" s="341"/>
      <c r="CYW569" s="341"/>
      <c r="CYX569" s="341"/>
      <c r="CYY569" s="341"/>
      <c r="CYZ569" s="341"/>
      <c r="CZA569" s="341"/>
      <c r="CZB569" s="341"/>
      <c r="CZC569" s="341"/>
      <c r="CZD569" s="341"/>
      <c r="CZE569" s="341"/>
      <c r="CZF569" s="341"/>
      <c r="CZG569" s="341"/>
      <c r="CZH569" s="341"/>
      <c r="CZI569" s="341"/>
      <c r="CZJ569" s="341"/>
      <c r="CZK569" s="341"/>
      <c r="CZL569" s="341"/>
      <c r="CZM569" s="341"/>
      <c r="CZN569" s="341"/>
      <c r="CZO569" s="341"/>
      <c r="CZP569" s="341"/>
      <c r="CZQ569" s="341"/>
      <c r="CZR569" s="341"/>
      <c r="CZS569" s="341"/>
      <c r="CZT569" s="341"/>
      <c r="CZU569" s="341"/>
      <c r="CZV569" s="341"/>
      <c r="CZW569" s="341"/>
      <c r="CZX569" s="341"/>
      <c r="CZY569" s="341"/>
      <c r="CZZ569" s="341"/>
      <c r="DAA569" s="341"/>
      <c r="DAB569" s="341"/>
      <c r="DAC569" s="341"/>
      <c r="DAD569" s="341"/>
      <c r="DAE569" s="341"/>
      <c r="DAF569" s="341"/>
      <c r="DAG569" s="341"/>
      <c r="DAH569" s="341"/>
      <c r="DAI569" s="341"/>
      <c r="DAJ569" s="341"/>
      <c r="DAK569" s="341"/>
      <c r="DAL569" s="341"/>
      <c r="DAM569" s="341"/>
      <c r="DAN569" s="341"/>
      <c r="DAO569" s="341"/>
      <c r="DAP569" s="341"/>
      <c r="DAQ569" s="341"/>
      <c r="DAR569" s="341"/>
      <c r="DAS569" s="341"/>
      <c r="DAT569" s="341"/>
      <c r="DAU569" s="341"/>
      <c r="DAV569" s="341"/>
      <c r="DAW569" s="341"/>
      <c r="DAX569" s="341"/>
      <c r="DAY569" s="341"/>
      <c r="DAZ569" s="341"/>
      <c r="DBA569" s="341"/>
      <c r="DBB569" s="341"/>
      <c r="DBC569" s="341"/>
      <c r="DBD569" s="341"/>
      <c r="DBE569" s="341"/>
      <c r="DBF569" s="341"/>
      <c r="DBG569" s="341"/>
      <c r="DBH569" s="341"/>
      <c r="DBI569" s="341"/>
      <c r="DBJ569" s="341"/>
      <c r="DBK569" s="341"/>
      <c r="DBL569" s="341"/>
      <c r="DBM569" s="341"/>
      <c r="DBN569" s="341"/>
      <c r="DBO569" s="341"/>
      <c r="DBP569" s="341"/>
      <c r="DBQ569" s="341"/>
      <c r="DBR569" s="341"/>
      <c r="DBS569" s="341"/>
      <c r="DBT569" s="341"/>
      <c r="DBU569" s="341"/>
      <c r="DBV569" s="341"/>
      <c r="DBW569" s="341"/>
      <c r="DBX569" s="341"/>
      <c r="DBY569" s="341"/>
      <c r="DBZ569" s="341"/>
      <c r="DCA569" s="341"/>
      <c r="DCB569" s="341"/>
      <c r="DCC569" s="341"/>
      <c r="DCD569" s="341"/>
      <c r="DCE569" s="341"/>
      <c r="DCF569" s="341"/>
      <c r="DCG569" s="341"/>
      <c r="DCH569" s="341"/>
      <c r="DCI569" s="341"/>
      <c r="DCJ569" s="341"/>
      <c r="DCK569" s="341"/>
      <c r="DCL569" s="341"/>
      <c r="DCM569" s="341"/>
      <c r="DCN569" s="341"/>
      <c r="DCO569" s="341"/>
      <c r="DCP569" s="341"/>
      <c r="DCQ569" s="341"/>
      <c r="DCR569" s="341"/>
      <c r="DCS569" s="341"/>
      <c r="DCT569" s="341"/>
      <c r="DCU569" s="341"/>
      <c r="DCV569" s="341"/>
      <c r="DCW569" s="341"/>
      <c r="DCX569" s="341"/>
      <c r="DCY569" s="341"/>
      <c r="DCZ569" s="341"/>
      <c r="DDA569" s="341"/>
      <c r="DDB569" s="341"/>
      <c r="DDC569" s="341"/>
      <c r="DDD569" s="341"/>
      <c r="DDE569" s="341"/>
      <c r="DDF569" s="341"/>
      <c r="DDG569" s="341"/>
      <c r="DDH569" s="341"/>
      <c r="DDI569" s="341"/>
      <c r="DDJ569" s="341"/>
      <c r="DDK569" s="341"/>
      <c r="DDL569" s="341"/>
      <c r="DDM569" s="341"/>
      <c r="DDN569" s="341"/>
      <c r="DDO569" s="341"/>
      <c r="DDP569" s="341"/>
      <c r="DDQ569" s="341"/>
      <c r="DDR569" s="341"/>
      <c r="DDS569" s="341"/>
      <c r="DDT569" s="341"/>
      <c r="DDU569" s="341"/>
      <c r="DDV569" s="341"/>
      <c r="DDW569" s="341"/>
      <c r="DDX569" s="341"/>
      <c r="DDY569" s="341"/>
      <c r="DDZ569" s="341"/>
      <c r="DEA569" s="341"/>
      <c r="DEB569" s="341"/>
      <c r="DEC569" s="341"/>
      <c r="DED569" s="341"/>
      <c r="DEE569" s="341"/>
      <c r="DEF569" s="341"/>
      <c r="DEG569" s="341"/>
      <c r="DEH569" s="341"/>
      <c r="DEI569" s="341"/>
      <c r="DEJ569" s="341"/>
      <c r="DEK569" s="341"/>
      <c r="DEL569" s="341"/>
      <c r="DEM569" s="341"/>
      <c r="DEN569" s="341"/>
      <c r="DEO569" s="341"/>
      <c r="DEP569" s="341"/>
      <c r="DEQ569" s="341"/>
      <c r="DER569" s="341"/>
      <c r="DES569" s="341"/>
      <c r="DET569" s="341"/>
      <c r="DEU569" s="341"/>
      <c r="DEV569" s="341"/>
      <c r="DEW569" s="341"/>
      <c r="DEX569" s="341"/>
      <c r="DEY569" s="341"/>
      <c r="DEZ569" s="341"/>
      <c r="DFA569" s="341"/>
      <c r="DFB569" s="341"/>
      <c r="DFC569" s="341"/>
      <c r="DFD569" s="341"/>
      <c r="DFE569" s="341"/>
      <c r="DFF569" s="341"/>
      <c r="DFG569" s="341"/>
      <c r="DFH569" s="341"/>
      <c r="DFI569" s="341"/>
      <c r="DFJ569" s="341"/>
      <c r="DFK569" s="341"/>
      <c r="DFL569" s="341"/>
      <c r="DFM569" s="341"/>
      <c r="DFN569" s="341"/>
      <c r="DFO569" s="341"/>
      <c r="DFP569" s="341"/>
      <c r="DFQ569" s="341"/>
      <c r="DFR569" s="341"/>
      <c r="DFS569" s="341"/>
      <c r="DFT569" s="341"/>
      <c r="DFU569" s="341"/>
      <c r="DFV569" s="341"/>
      <c r="DFW569" s="341"/>
      <c r="DFX569" s="341"/>
      <c r="DFY569" s="341"/>
      <c r="DFZ569" s="341"/>
      <c r="DGA569" s="341"/>
      <c r="DGB569" s="341"/>
      <c r="DGC569" s="341"/>
      <c r="DGD569" s="341"/>
      <c r="DGE569" s="341"/>
      <c r="DGF569" s="341"/>
      <c r="DGG569" s="341"/>
      <c r="DGH569" s="341"/>
      <c r="DGI569" s="341"/>
      <c r="DGJ569" s="341"/>
      <c r="DGK569" s="341"/>
      <c r="DGL569" s="341"/>
      <c r="DGM569" s="341"/>
      <c r="DGN569" s="341"/>
      <c r="DGO569" s="341"/>
      <c r="DGP569" s="341"/>
      <c r="DGQ569" s="341"/>
      <c r="DGR569" s="341"/>
      <c r="DGS569" s="341"/>
      <c r="DGT569" s="341"/>
      <c r="DGU569" s="341"/>
      <c r="DGV569" s="341"/>
      <c r="DGW569" s="341"/>
      <c r="DGX569" s="341"/>
      <c r="DGY569" s="341"/>
      <c r="DGZ569" s="341"/>
      <c r="DHA569" s="341"/>
      <c r="DHB569" s="341"/>
      <c r="DHC569" s="341"/>
      <c r="DHD569" s="341"/>
      <c r="DHE569" s="341"/>
      <c r="DHF569" s="341"/>
      <c r="DHG569" s="341"/>
      <c r="DHH569" s="341"/>
      <c r="DHI569" s="341"/>
      <c r="DHJ569" s="341"/>
      <c r="DHK569" s="341"/>
      <c r="DHL569" s="341"/>
      <c r="DHM569" s="341"/>
      <c r="DHN569" s="341"/>
      <c r="DHO569" s="341"/>
      <c r="DHP569" s="341"/>
      <c r="DHQ569" s="341"/>
      <c r="DHR569" s="341"/>
      <c r="DHS569" s="341"/>
      <c r="DHT569" s="341"/>
      <c r="DHU569" s="341"/>
      <c r="DHV569" s="341"/>
      <c r="DHW569" s="341"/>
      <c r="DHX569" s="341"/>
      <c r="DHY569" s="341"/>
      <c r="DHZ569" s="341"/>
      <c r="DIA569" s="341"/>
      <c r="DIB569" s="341"/>
      <c r="DIC569" s="341"/>
      <c r="DID569" s="341"/>
      <c r="DIE569" s="341"/>
      <c r="DIF569" s="341"/>
      <c r="DIG569" s="341"/>
      <c r="DIH569" s="341"/>
      <c r="DII569" s="341"/>
      <c r="DIJ569" s="341"/>
      <c r="DIK569" s="341"/>
      <c r="DIL569" s="341"/>
      <c r="DIM569" s="341"/>
      <c r="DIN569" s="341"/>
      <c r="DIO569" s="341"/>
      <c r="DIP569" s="341"/>
      <c r="DIQ569" s="341"/>
      <c r="DIR569" s="341"/>
      <c r="DIS569" s="341"/>
      <c r="DIT569" s="341"/>
      <c r="DIU569" s="341"/>
      <c r="DIV569" s="341"/>
      <c r="DIW569" s="341"/>
      <c r="DIX569" s="341"/>
      <c r="DIY569" s="341"/>
      <c r="DIZ569" s="341"/>
      <c r="DJA569" s="341"/>
      <c r="DJB569" s="341"/>
      <c r="DJC569" s="341"/>
      <c r="DJD569" s="341"/>
      <c r="DJE569" s="341"/>
      <c r="DJF569" s="341"/>
      <c r="DJG569" s="341"/>
      <c r="DJH569" s="341"/>
      <c r="DJI569" s="341"/>
      <c r="DJJ569" s="341"/>
      <c r="DJK569" s="341"/>
      <c r="DJL569" s="341"/>
      <c r="DJM569" s="341"/>
      <c r="DJN569" s="341"/>
      <c r="DJO569" s="341"/>
      <c r="DJP569" s="341"/>
      <c r="DJQ569" s="341"/>
      <c r="DJR569" s="341"/>
      <c r="DJS569" s="341"/>
      <c r="DJT569" s="341"/>
      <c r="DJU569" s="341"/>
      <c r="DJV569" s="341"/>
      <c r="DJW569" s="341"/>
      <c r="DJX569" s="341"/>
      <c r="DJY569" s="341"/>
      <c r="DJZ569" s="341"/>
      <c r="DKA569" s="341"/>
      <c r="DKB569" s="341"/>
      <c r="DKC569" s="341"/>
      <c r="DKD569" s="341"/>
      <c r="DKE569" s="341"/>
      <c r="DKF569" s="341"/>
      <c r="DKG569" s="341"/>
      <c r="DKH569" s="341"/>
      <c r="DKI569" s="341"/>
      <c r="DKJ569" s="341"/>
      <c r="DKK569" s="341"/>
      <c r="DKL569" s="341"/>
      <c r="DKM569" s="341"/>
      <c r="DKN569" s="341"/>
      <c r="DKO569" s="341"/>
      <c r="DKP569" s="341"/>
      <c r="DKQ569" s="341"/>
      <c r="DKR569" s="341"/>
      <c r="DKS569" s="341"/>
      <c r="DKT569" s="341"/>
      <c r="DKU569" s="341"/>
      <c r="DKV569" s="341"/>
      <c r="DKW569" s="341"/>
      <c r="DKX569" s="341"/>
      <c r="DKY569" s="341"/>
      <c r="DKZ569" s="341"/>
      <c r="DLA569" s="341"/>
      <c r="DLB569" s="341"/>
      <c r="DLC569" s="341"/>
      <c r="DLD569" s="341"/>
      <c r="DLE569" s="341"/>
      <c r="DLF569" s="341"/>
      <c r="DLG569" s="341"/>
      <c r="DLH569" s="341"/>
      <c r="DLI569" s="341"/>
      <c r="DLJ569" s="341"/>
      <c r="DLK569" s="341"/>
      <c r="DLL569" s="341"/>
      <c r="DLM569" s="341"/>
      <c r="DLN569" s="341"/>
      <c r="DLO569" s="341"/>
      <c r="DLP569" s="341"/>
      <c r="DLQ569" s="341"/>
      <c r="DLR569" s="341"/>
      <c r="DLS569" s="341"/>
      <c r="DLT569" s="341"/>
      <c r="DLU569" s="341"/>
      <c r="DLV569" s="341"/>
      <c r="DLW569" s="341"/>
      <c r="DLX569" s="341"/>
      <c r="DLY569" s="341"/>
      <c r="DLZ569" s="341"/>
      <c r="DMA569" s="341"/>
      <c r="DMB569" s="341"/>
      <c r="DMC569" s="341"/>
      <c r="DMD569" s="341"/>
      <c r="DME569" s="341"/>
      <c r="DMF569" s="341"/>
      <c r="DMG569" s="341"/>
      <c r="DMH569" s="341"/>
      <c r="DMI569" s="341"/>
      <c r="DMJ569" s="341"/>
      <c r="DMK569" s="341"/>
      <c r="DML569" s="341"/>
      <c r="DMM569" s="341"/>
      <c r="DMN569" s="341"/>
      <c r="DMO569" s="341"/>
      <c r="DMP569" s="341"/>
      <c r="DMQ569" s="341"/>
      <c r="DMR569" s="341"/>
      <c r="DMS569" s="341"/>
      <c r="DMT569" s="341"/>
      <c r="DMU569" s="341"/>
      <c r="DMV569" s="341"/>
      <c r="DMW569" s="341"/>
      <c r="DMX569" s="341"/>
      <c r="DMY569" s="341"/>
      <c r="DMZ569" s="341"/>
      <c r="DNA569" s="341"/>
      <c r="DNB569" s="341"/>
      <c r="DNC569" s="341"/>
      <c r="DND569" s="341"/>
      <c r="DNE569" s="341"/>
      <c r="DNF569" s="341"/>
      <c r="DNG569" s="341"/>
      <c r="DNH569" s="341"/>
      <c r="DNI569" s="341"/>
      <c r="DNJ569" s="341"/>
      <c r="DNK569" s="341"/>
      <c r="DNL569" s="341"/>
      <c r="DNM569" s="341"/>
      <c r="DNN569" s="341"/>
      <c r="DNO569" s="341"/>
      <c r="DNP569" s="341"/>
      <c r="DNQ569" s="341"/>
      <c r="DNR569" s="341"/>
      <c r="DNS569" s="341"/>
      <c r="DNT569" s="341"/>
      <c r="DNU569" s="341"/>
      <c r="DNV569" s="341"/>
      <c r="DNW569" s="341"/>
      <c r="DNX569" s="341"/>
      <c r="DNY569" s="341"/>
      <c r="DNZ569" s="341"/>
      <c r="DOA569" s="341"/>
      <c r="DOB569" s="341"/>
      <c r="DOC569" s="341"/>
      <c r="DOD569" s="341"/>
      <c r="DOE569" s="341"/>
      <c r="DOF569" s="341"/>
      <c r="DOG569" s="341"/>
      <c r="DOH569" s="341"/>
      <c r="DOI569" s="341"/>
      <c r="DOJ569" s="341"/>
      <c r="DOK569" s="341"/>
      <c r="DOL569" s="341"/>
      <c r="DOM569" s="341"/>
      <c r="DON569" s="341"/>
      <c r="DOO569" s="341"/>
      <c r="DOP569" s="341"/>
      <c r="DOQ569" s="341"/>
      <c r="DOR569" s="341"/>
      <c r="DOS569" s="341"/>
      <c r="DOT569" s="341"/>
      <c r="DOU569" s="341"/>
      <c r="DOV569" s="341"/>
      <c r="DOW569" s="341"/>
      <c r="DOX569" s="341"/>
      <c r="DOY569" s="341"/>
      <c r="DOZ569" s="341"/>
      <c r="DPA569" s="341"/>
      <c r="DPB569" s="341"/>
      <c r="DPC569" s="341"/>
      <c r="DPD569" s="341"/>
      <c r="DPE569" s="341"/>
      <c r="DPF569" s="341"/>
      <c r="DPG569" s="341"/>
      <c r="DPH569" s="341"/>
      <c r="DPI569" s="341"/>
      <c r="DPJ569" s="341"/>
      <c r="DPK569" s="341"/>
      <c r="DPL569" s="341"/>
      <c r="DPM569" s="341"/>
      <c r="DPN569" s="341"/>
      <c r="DPO569" s="341"/>
      <c r="DPP569" s="341"/>
      <c r="DPQ569" s="341"/>
      <c r="DPR569" s="341"/>
      <c r="DPS569" s="341"/>
      <c r="DPT569" s="341"/>
      <c r="DPU569" s="341"/>
      <c r="DPV569" s="341"/>
      <c r="DPW569" s="341"/>
      <c r="DPX569" s="341"/>
      <c r="DPY569" s="341"/>
      <c r="DPZ569" s="341"/>
      <c r="DQA569" s="341"/>
      <c r="DQB569" s="341"/>
      <c r="DQC569" s="341"/>
      <c r="DQD569" s="341"/>
      <c r="DQE569" s="341"/>
      <c r="DQF569" s="341"/>
      <c r="DQG569" s="341"/>
      <c r="DQH569" s="341"/>
      <c r="DQI569" s="341"/>
      <c r="DQJ569" s="341"/>
      <c r="DQK569" s="341"/>
      <c r="DQL569" s="341"/>
      <c r="DQM569" s="341"/>
      <c r="DQN569" s="341"/>
      <c r="DQO569" s="341"/>
      <c r="DQP569" s="341"/>
      <c r="DQQ569" s="341"/>
      <c r="DQR569" s="341"/>
      <c r="DQS569" s="341"/>
      <c r="DQT569" s="341"/>
      <c r="DQU569" s="341"/>
      <c r="DQV569" s="341"/>
      <c r="DQW569" s="341"/>
      <c r="DQX569" s="341"/>
      <c r="DQY569" s="341"/>
      <c r="DQZ569" s="341"/>
      <c r="DRA569" s="341"/>
      <c r="DRB569" s="341"/>
      <c r="DRC569" s="341"/>
      <c r="DRD569" s="341"/>
      <c r="DRE569" s="341"/>
      <c r="DRF569" s="341"/>
      <c r="DRG569" s="341"/>
      <c r="DRH569" s="341"/>
      <c r="DRI569" s="341"/>
      <c r="DRJ569" s="341"/>
      <c r="DRK569" s="341"/>
      <c r="DRL569" s="341"/>
      <c r="DRM569" s="341"/>
      <c r="DRN569" s="341"/>
      <c r="DRO569" s="341"/>
      <c r="DRP569" s="341"/>
      <c r="DRQ569" s="341"/>
      <c r="DRR569" s="341"/>
      <c r="DRS569" s="341"/>
      <c r="DRT569" s="341"/>
      <c r="DRU569" s="341"/>
      <c r="DRV569" s="341"/>
      <c r="DRW569" s="341"/>
      <c r="DRX569" s="341"/>
      <c r="DRY569" s="341"/>
      <c r="DRZ569" s="341"/>
      <c r="DSA569" s="341"/>
      <c r="DSB569" s="341"/>
      <c r="DSC569" s="341"/>
      <c r="DSD569" s="341"/>
      <c r="DSE569" s="341"/>
      <c r="DSF569" s="341"/>
      <c r="DSG569" s="341"/>
      <c r="DSH569" s="341"/>
      <c r="DSI569" s="341"/>
      <c r="DSJ569" s="341"/>
      <c r="DSK569" s="341"/>
      <c r="DSL569" s="341"/>
      <c r="DSM569" s="341"/>
      <c r="DSN569" s="341"/>
      <c r="DSO569" s="341"/>
      <c r="DSP569" s="341"/>
      <c r="DSQ569" s="341"/>
      <c r="DSR569" s="341"/>
      <c r="DSS569" s="341"/>
      <c r="DST569" s="341"/>
      <c r="DSU569" s="341"/>
      <c r="DSV569" s="341"/>
      <c r="DSW569" s="341"/>
      <c r="DSX569" s="341"/>
      <c r="DSY569" s="341"/>
      <c r="DSZ569" s="341"/>
      <c r="DTA569" s="341"/>
      <c r="DTB569" s="341"/>
      <c r="DTC569" s="341"/>
      <c r="DTD569" s="341"/>
      <c r="DTE569" s="341"/>
      <c r="DTF569" s="341"/>
      <c r="DTG569" s="341"/>
      <c r="DTH569" s="341"/>
      <c r="DTI569" s="341"/>
      <c r="DTJ569" s="341"/>
      <c r="DTK569" s="341"/>
      <c r="DTL569" s="341"/>
      <c r="DTM569" s="341"/>
      <c r="DTN569" s="341"/>
      <c r="DTO569" s="341"/>
      <c r="DTP569" s="341"/>
      <c r="DTQ569" s="341"/>
      <c r="DTR569" s="341"/>
      <c r="DTS569" s="341"/>
      <c r="DTT569" s="341"/>
      <c r="DTU569" s="341"/>
      <c r="DTV569" s="341"/>
      <c r="DTW569" s="341"/>
      <c r="DTX569" s="341"/>
      <c r="DTY569" s="341"/>
      <c r="DTZ569" s="341"/>
      <c r="DUA569" s="341"/>
      <c r="DUB569" s="341"/>
      <c r="DUC569" s="341"/>
      <c r="DUD569" s="341"/>
      <c r="DUE569" s="341"/>
      <c r="DUF569" s="341"/>
      <c r="DUG569" s="341"/>
      <c r="DUH569" s="341"/>
      <c r="DUI569" s="341"/>
      <c r="DUJ569" s="341"/>
      <c r="DUK569" s="341"/>
      <c r="DUL569" s="341"/>
      <c r="DUM569" s="341"/>
      <c r="DUN569" s="341"/>
      <c r="DUO569" s="341"/>
      <c r="DUP569" s="341"/>
      <c r="DUQ569" s="341"/>
      <c r="DUR569" s="341"/>
      <c r="DUS569" s="341"/>
      <c r="DUT569" s="341"/>
      <c r="DUU569" s="341"/>
      <c r="DUV569" s="341"/>
      <c r="DUW569" s="341"/>
      <c r="DUX569" s="341"/>
      <c r="DUY569" s="341"/>
      <c r="DUZ569" s="341"/>
      <c r="DVA569" s="341"/>
      <c r="DVB569" s="341"/>
      <c r="DVC569" s="341"/>
      <c r="DVD569" s="341"/>
      <c r="DVE569" s="341"/>
      <c r="DVF569" s="341"/>
      <c r="DVG569" s="341"/>
      <c r="DVH569" s="341"/>
      <c r="DVI569" s="341"/>
      <c r="DVJ569" s="341"/>
      <c r="DVK569" s="341"/>
      <c r="DVL569" s="341"/>
      <c r="DVM569" s="341"/>
      <c r="DVN569" s="341"/>
      <c r="DVO569" s="341"/>
      <c r="DVP569" s="341"/>
      <c r="DVQ569" s="341"/>
      <c r="DVR569" s="341"/>
      <c r="DVS569" s="341"/>
      <c r="DVT569" s="341"/>
      <c r="DVU569" s="341"/>
      <c r="DVV569" s="341"/>
      <c r="DVW569" s="341"/>
      <c r="DVX569" s="341"/>
      <c r="DVY569" s="341"/>
      <c r="DVZ569" s="341"/>
      <c r="DWA569" s="341"/>
      <c r="DWB569" s="341"/>
      <c r="DWC569" s="341"/>
      <c r="DWD569" s="341"/>
      <c r="DWE569" s="341"/>
      <c r="DWF569" s="341"/>
      <c r="DWG569" s="341"/>
      <c r="DWH569" s="341"/>
      <c r="DWI569" s="341"/>
      <c r="DWJ569" s="341"/>
      <c r="DWK569" s="341"/>
      <c r="DWL569" s="341"/>
      <c r="DWM569" s="341"/>
      <c r="DWN569" s="341"/>
      <c r="DWO569" s="341"/>
      <c r="DWP569" s="341"/>
      <c r="DWQ569" s="341"/>
      <c r="DWR569" s="341"/>
      <c r="DWS569" s="341"/>
      <c r="DWT569" s="341"/>
      <c r="DWU569" s="341"/>
      <c r="DWV569" s="341"/>
      <c r="DWW569" s="341"/>
      <c r="DWX569" s="341"/>
      <c r="DWY569" s="341"/>
      <c r="DWZ569" s="341"/>
      <c r="DXA569" s="341"/>
      <c r="DXB569" s="341"/>
      <c r="DXC569" s="341"/>
      <c r="DXD569" s="341"/>
      <c r="DXE569" s="341"/>
      <c r="DXF569" s="341"/>
      <c r="DXG569" s="341"/>
      <c r="DXH569" s="341"/>
      <c r="DXI569" s="341"/>
      <c r="DXJ569" s="341"/>
      <c r="DXK569" s="341"/>
      <c r="DXL569" s="341"/>
      <c r="DXM569" s="341"/>
      <c r="DXN569" s="341"/>
      <c r="DXO569" s="341"/>
      <c r="DXP569" s="341"/>
      <c r="DXQ569" s="341"/>
      <c r="DXR569" s="341"/>
      <c r="DXS569" s="341"/>
      <c r="DXT569" s="341"/>
      <c r="DXU569" s="341"/>
      <c r="DXV569" s="341"/>
      <c r="DXW569" s="341"/>
      <c r="DXX569" s="341"/>
      <c r="DXY569" s="341"/>
      <c r="DXZ569" s="341"/>
      <c r="DYA569" s="341"/>
      <c r="DYB569" s="341"/>
      <c r="DYC569" s="341"/>
      <c r="DYD569" s="341"/>
      <c r="DYE569" s="341"/>
      <c r="DYF569" s="341"/>
      <c r="DYG569" s="341"/>
      <c r="DYH569" s="341"/>
      <c r="DYI569" s="341"/>
      <c r="DYJ569" s="341"/>
      <c r="DYK569" s="341"/>
      <c r="DYL569" s="341"/>
      <c r="DYM569" s="341"/>
      <c r="DYN569" s="341"/>
      <c r="DYO569" s="341"/>
      <c r="DYP569" s="341"/>
      <c r="DYQ569" s="341"/>
      <c r="DYR569" s="341"/>
      <c r="DYS569" s="341"/>
      <c r="DYT569" s="341"/>
      <c r="DYU569" s="341"/>
      <c r="DYV569" s="341"/>
      <c r="DYW569" s="341"/>
      <c r="DYX569" s="341"/>
      <c r="DYY569" s="341"/>
      <c r="DYZ569" s="341"/>
      <c r="DZA569" s="341"/>
      <c r="DZB569" s="341"/>
      <c r="DZC569" s="341"/>
      <c r="DZD569" s="341"/>
      <c r="DZE569" s="341"/>
      <c r="DZF569" s="341"/>
      <c r="DZG569" s="341"/>
      <c r="DZH569" s="341"/>
      <c r="DZI569" s="341"/>
      <c r="DZJ569" s="341"/>
      <c r="DZK569" s="341"/>
      <c r="DZL569" s="341"/>
      <c r="DZM569" s="341"/>
      <c r="DZN569" s="341"/>
      <c r="DZO569" s="341"/>
      <c r="DZP569" s="341"/>
      <c r="DZQ569" s="341"/>
      <c r="DZR569" s="341"/>
      <c r="DZS569" s="341"/>
      <c r="DZT569" s="341"/>
      <c r="DZU569" s="341"/>
      <c r="DZV569" s="341"/>
      <c r="DZW569" s="341"/>
      <c r="DZX569" s="341"/>
      <c r="DZY569" s="341"/>
      <c r="DZZ569" s="341"/>
      <c r="EAA569" s="341"/>
      <c r="EAB569" s="341"/>
      <c r="EAC569" s="341"/>
      <c r="EAD569" s="341"/>
      <c r="EAE569" s="341"/>
      <c r="EAF569" s="341"/>
      <c r="EAG569" s="341"/>
      <c r="EAH569" s="341"/>
      <c r="EAI569" s="341"/>
      <c r="EAJ569" s="341"/>
      <c r="EAK569" s="341"/>
      <c r="EAL569" s="341"/>
      <c r="EAM569" s="341"/>
      <c r="EAN569" s="341"/>
      <c r="EAO569" s="341"/>
      <c r="EAP569" s="341"/>
      <c r="EAQ569" s="341"/>
      <c r="EAR569" s="341"/>
      <c r="EAS569" s="341"/>
      <c r="EAT569" s="341"/>
      <c r="EAU569" s="341"/>
      <c r="EAV569" s="341"/>
      <c r="EAW569" s="341"/>
      <c r="EAX569" s="341"/>
      <c r="EAY569" s="341"/>
      <c r="EAZ569" s="341"/>
      <c r="EBA569" s="341"/>
      <c r="EBB569" s="341"/>
      <c r="EBC569" s="341"/>
      <c r="EBD569" s="341"/>
      <c r="EBE569" s="341"/>
      <c r="EBF569" s="341"/>
      <c r="EBG569" s="341"/>
      <c r="EBH569" s="341"/>
      <c r="EBI569" s="341"/>
      <c r="EBJ569" s="341"/>
      <c r="EBK569" s="341"/>
      <c r="EBL569" s="341"/>
      <c r="EBM569" s="341"/>
      <c r="EBN569" s="341"/>
      <c r="EBO569" s="341"/>
      <c r="EBP569" s="341"/>
      <c r="EBQ569" s="341"/>
      <c r="EBR569" s="341"/>
      <c r="EBS569" s="341"/>
      <c r="EBT569" s="341"/>
      <c r="EBU569" s="341"/>
      <c r="EBV569" s="341"/>
      <c r="EBW569" s="341"/>
      <c r="EBX569" s="341"/>
      <c r="EBY569" s="341"/>
      <c r="EBZ569" s="341"/>
      <c r="ECA569" s="341"/>
      <c r="ECB569" s="341"/>
      <c r="ECC569" s="341"/>
      <c r="ECD569" s="341"/>
      <c r="ECE569" s="341"/>
      <c r="ECF569" s="341"/>
      <c r="ECG569" s="341"/>
      <c r="ECH569" s="341"/>
      <c r="ECI569" s="341"/>
      <c r="ECJ569" s="341"/>
      <c r="ECK569" s="341"/>
      <c r="ECL569" s="341"/>
      <c r="ECM569" s="341"/>
      <c r="ECN569" s="341"/>
      <c r="ECO569" s="341"/>
      <c r="ECP569" s="341"/>
      <c r="ECQ569" s="341"/>
      <c r="ECR569" s="341"/>
      <c r="ECS569" s="341"/>
      <c r="ECT569" s="341"/>
      <c r="ECU569" s="341"/>
      <c r="ECV569" s="341"/>
      <c r="ECW569" s="341"/>
      <c r="ECX569" s="341"/>
      <c r="ECY569" s="341"/>
      <c r="ECZ569" s="341"/>
      <c r="EDA569" s="341"/>
      <c r="EDB569" s="341"/>
      <c r="EDC569" s="341"/>
      <c r="EDD569" s="341"/>
      <c r="EDE569" s="341"/>
      <c r="EDF569" s="341"/>
      <c r="EDG569" s="341"/>
      <c r="EDH569" s="341"/>
      <c r="EDI569" s="341"/>
      <c r="EDJ569" s="341"/>
      <c r="EDK569" s="341"/>
      <c r="EDL569" s="341"/>
      <c r="EDM569" s="341"/>
      <c r="EDN569" s="341"/>
      <c r="EDO569" s="341"/>
      <c r="EDP569" s="341"/>
      <c r="EDQ569" s="341"/>
      <c r="EDR569" s="341"/>
      <c r="EDS569" s="341"/>
      <c r="EDT569" s="341"/>
      <c r="EDU569" s="341"/>
      <c r="EDV569" s="341"/>
      <c r="EDW569" s="341"/>
      <c r="EDX569" s="341"/>
      <c r="EDY569" s="341"/>
      <c r="EDZ569" s="341"/>
      <c r="EEA569" s="341"/>
      <c r="EEB569" s="341"/>
      <c r="EEC569" s="341"/>
      <c r="EED569" s="341"/>
      <c r="EEE569" s="341"/>
      <c r="EEF569" s="341"/>
      <c r="EEG569" s="341"/>
      <c r="EEH569" s="341"/>
      <c r="EEI569" s="341"/>
      <c r="EEJ569" s="341"/>
      <c r="EEK569" s="341"/>
      <c r="EEL569" s="341"/>
      <c r="EEM569" s="341"/>
      <c r="EEN569" s="341"/>
      <c r="EEO569" s="341"/>
      <c r="EEP569" s="341"/>
      <c r="EEQ569" s="341"/>
      <c r="EER569" s="341"/>
      <c r="EES569" s="341"/>
      <c r="EET569" s="341"/>
      <c r="EEU569" s="341"/>
      <c r="EEV569" s="341"/>
      <c r="EEW569" s="341"/>
      <c r="EEX569" s="341"/>
      <c r="EEY569" s="341"/>
      <c r="EEZ569" s="341"/>
      <c r="EFA569" s="341"/>
      <c r="EFB569" s="341"/>
      <c r="EFC569" s="341"/>
      <c r="EFD569" s="341"/>
      <c r="EFE569" s="341"/>
      <c r="EFF569" s="341"/>
      <c r="EFG569" s="341"/>
      <c r="EFH569" s="341"/>
      <c r="EFI569" s="341"/>
      <c r="EFJ569" s="341"/>
      <c r="EFK569" s="341"/>
      <c r="EFL569" s="341"/>
      <c r="EFM569" s="341"/>
      <c r="EFN569" s="341"/>
      <c r="EFO569" s="341"/>
      <c r="EFP569" s="341"/>
      <c r="EFQ569" s="341"/>
      <c r="EFR569" s="341"/>
      <c r="EFS569" s="341"/>
      <c r="EFT569" s="341"/>
      <c r="EFU569" s="341"/>
      <c r="EFV569" s="341"/>
      <c r="EFW569" s="341"/>
      <c r="EFX569" s="341"/>
      <c r="EFY569" s="341"/>
      <c r="EFZ569" s="341"/>
      <c r="EGA569" s="341"/>
      <c r="EGB569" s="341"/>
      <c r="EGC569" s="341"/>
      <c r="EGD569" s="341"/>
      <c r="EGE569" s="341"/>
      <c r="EGF569" s="341"/>
      <c r="EGG569" s="341"/>
      <c r="EGH569" s="341"/>
      <c r="EGI569" s="341"/>
      <c r="EGJ569" s="341"/>
      <c r="EGK569" s="341"/>
      <c r="EGL569" s="341"/>
      <c r="EGM569" s="341"/>
      <c r="EGN569" s="341"/>
      <c r="EGO569" s="341"/>
      <c r="EGP569" s="341"/>
      <c r="EGQ569" s="341"/>
      <c r="EGR569" s="341"/>
      <c r="EGS569" s="341"/>
      <c r="EGT569" s="341"/>
      <c r="EGU569" s="341"/>
      <c r="EGV569" s="341"/>
      <c r="EGW569" s="341"/>
      <c r="EGX569" s="341"/>
      <c r="EGY569" s="341"/>
      <c r="EGZ569" s="341"/>
      <c r="EHA569" s="341"/>
      <c r="EHB569" s="341"/>
      <c r="EHC569" s="341"/>
      <c r="EHD569" s="341"/>
      <c r="EHE569" s="341"/>
      <c r="EHF569" s="341"/>
      <c r="EHG569" s="341"/>
      <c r="EHH569" s="341"/>
      <c r="EHI569" s="341"/>
      <c r="EHJ569" s="341"/>
      <c r="EHK569" s="341"/>
      <c r="EHL569" s="341"/>
      <c r="EHM569" s="341"/>
      <c r="EHN569" s="341"/>
      <c r="EHO569" s="341"/>
      <c r="EHP569" s="341"/>
      <c r="EHQ569" s="341"/>
      <c r="EHR569" s="341"/>
      <c r="EHS569" s="341"/>
      <c r="EHT569" s="341"/>
      <c r="EHU569" s="341"/>
      <c r="EHV569" s="341"/>
      <c r="EHW569" s="341"/>
      <c r="EHX569" s="341"/>
      <c r="EHY569" s="341"/>
      <c r="EHZ569" s="341"/>
      <c r="EIA569" s="341"/>
      <c r="EIB569" s="341"/>
      <c r="EIC569" s="341"/>
      <c r="EID569" s="341"/>
      <c r="EIE569" s="341"/>
      <c r="EIF569" s="341"/>
      <c r="EIG569" s="341"/>
      <c r="EIH569" s="341"/>
      <c r="EII569" s="341"/>
      <c r="EIJ569" s="341"/>
      <c r="EIK569" s="341"/>
      <c r="EIL569" s="341"/>
      <c r="EIM569" s="341"/>
      <c r="EIN569" s="341"/>
      <c r="EIO569" s="341"/>
      <c r="EIP569" s="341"/>
      <c r="EIQ569" s="341"/>
      <c r="EIR569" s="341"/>
      <c r="EIS569" s="341"/>
      <c r="EIT569" s="341"/>
      <c r="EIU569" s="341"/>
      <c r="EIV569" s="341"/>
      <c r="EIW569" s="341"/>
      <c r="EIX569" s="341"/>
      <c r="EIY569" s="341"/>
      <c r="EIZ569" s="341"/>
      <c r="EJA569" s="341"/>
      <c r="EJB569" s="341"/>
      <c r="EJC569" s="341"/>
      <c r="EJD569" s="341"/>
      <c r="EJE569" s="341"/>
      <c r="EJF569" s="341"/>
      <c r="EJG569" s="341"/>
      <c r="EJH569" s="341"/>
      <c r="EJI569" s="341"/>
      <c r="EJJ569" s="341"/>
      <c r="EJK569" s="341"/>
      <c r="EJL569" s="341"/>
      <c r="EJM569" s="341"/>
      <c r="EJN569" s="341"/>
      <c r="EJO569" s="341"/>
      <c r="EJP569" s="341"/>
      <c r="EJQ569" s="341"/>
      <c r="EJR569" s="341"/>
      <c r="EJS569" s="341"/>
      <c r="EJT569" s="341"/>
      <c r="EJU569" s="341"/>
      <c r="EJV569" s="341"/>
      <c r="EJW569" s="341"/>
      <c r="EJX569" s="341"/>
      <c r="EJY569" s="341"/>
      <c r="EJZ569" s="341"/>
      <c r="EKA569" s="341"/>
      <c r="EKB569" s="341"/>
      <c r="EKC569" s="341"/>
      <c r="EKD569" s="341"/>
      <c r="EKE569" s="341"/>
      <c r="EKF569" s="341"/>
      <c r="EKG569" s="341"/>
      <c r="EKH569" s="341"/>
      <c r="EKI569" s="341"/>
      <c r="EKJ569" s="341"/>
      <c r="EKK569" s="341"/>
      <c r="EKL569" s="341"/>
      <c r="EKM569" s="341"/>
      <c r="EKN569" s="341"/>
      <c r="EKO569" s="341"/>
      <c r="EKP569" s="341"/>
      <c r="EKQ569" s="341"/>
      <c r="EKR569" s="341"/>
      <c r="EKS569" s="341"/>
      <c r="EKT569" s="341"/>
      <c r="EKU569" s="341"/>
      <c r="EKV569" s="341"/>
      <c r="EKW569" s="341"/>
      <c r="EKX569" s="341"/>
      <c r="EKY569" s="341"/>
      <c r="EKZ569" s="341"/>
      <c r="ELA569" s="341"/>
      <c r="ELB569" s="341"/>
      <c r="ELC569" s="341"/>
      <c r="ELD569" s="341"/>
      <c r="ELE569" s="341"/>
      <c r="ELF569" s="341"/>
      <c r="ELG569" s="341"/>
      <c r="ELH569" s="341"/>
      <c r="ELI569" s="341"/>
      <c r="ELJ569" s="341"/>
      <c r="ELK569" s="341"/>
      <c r="ELL569" s="341"/>
      <c r="ELM569" s="341"/>
      <c r="ELN569" s="341"/>
      <c r="ELO569" s="341"/>
      <c r="ELP569" s="341"/>
      <c r="ELQ569" s="341"/>
      <c r="ELR569" s="341"/>
      <c r="ELS569" s="341"/>
      <c r="ELT569" s="341"/>
      <c r="ELU569" s="341"/>
      <c r="ELV569" s="341"/>
      <c r="ELW569" s="341"/>
      <c r="ELX569" s="341"/>
      <c r="ELY569" s="341"/>
      <c r="ELZ569" s="341"/>
      <c r="EMA569" s="341"/>
      <c r="EMB569" s="341"/>
      <c r="EMC569" s="341"/>
      <c r="EMD569" s="341"/>
      <c r="EME569" s="341"/>
      <c r="EMF569" s="341"/>
      <c r="EMG569" s="341"/>
      <c r="EMH569" s="341"/>
      <c r="EMI569" s="341"/>
      <c r="EMJ569" s="341"/>
      <c r="EMK569" s="341"/>
      <c r="EML569" s="341"/>
      <c r="EMM569" s="341"/>
      <c r="EMN569" s="341"/>
      <c r="EMO569" s="341"/>
      <c r="EMP569" s="341"/>
      <c r="EMQ569" s="341"/>
      <c r="EMR569" s="341"/>
      <c r="EMS569" s="341"/>
      <c r="EMT569" s="341"/>
      <c r="EMU569" s="341"/>
      <c r="EMV569" s="341"/>
      <c r="EMW569" s="341"/>
      <c r="EMX569" s="341"/>
      <c r="EMY569" s="341"/>
      <c r="EMZ569" s="341"/>
      <c r="ENA569" s="341"/>
      <c r="ENB569" s="341"/>
      <c r="ENC569" s="341"/>
      <c r="END569" s="341"/>
      <c r="ENE569" s="341"/>
      <c r="ENF569" s="341"/>
      <c r="ENG569" s="341"/>
      <c r="ENH569" s="341"/>
      <c r="ENI569" s="341"/>
      <c r="ENJ569" s="341"/>
      <c r="ENK569" s="341"/>
      <c r="ENL569" s="341"/>
      <c r="ENM569" s="341"/>
      <c r="ENN569" s="341"/>
      <c r="ENO569" s="341"/>
      <c r="ENP569" s="341"/>
      <c r="ENQ569" s="341"/>
      <c r="ENR569" s="341"/>
      <c r="ENS569" s="341"/>
      <c r="ENT569" s="341"/>
      <c r="ENU569" s="341"/>
      <c r="ENV569" s="341"/>
      <c r="ENW569" s="341"/>
      <c r="ENX569" s="341"/>
      <c r="ENY569" s="341"/>
      <c r="ENZ569" s="341"/>
      <c r="EOA569" s="341"/>
      <c r="EOB569" s="341"/>
      <c r="EOC569" s="341"/>
      <c r="EOD569" s="341"/>
      <c r="EOE569" s="341"/>
      <c r="EOF569" s="341"/>
      <c r="EOG569" s="341"/>
      <c r="EOH569" s="341"/>
      <c r="EOI569" s="341"/>
      <c r="EOJ569" s="341"/>
      <c r="EOK569" s="341"/>
      <c r="EOL569" s="341"/>
      <c r="EOM569" s="341"/>
      <c r="EON569" s="341"/>
      <c r="EOO569" s="341"/>
      <c r="EOP569" s="341"/>
      <c r="EOQ569" s="341"/>
      <c r="EOR569" s="341"/>
      <c r="EOS569" s="341"/>
      <c r="EOT569" s="341"/>
      <c r="EOU569" s="341"/>
      <c r="EOV569" s="341"/>
      <c r="EOW569" s="341"/>
      <c r="EOX569" s="341"/>
      <c r="EOY569" s="341"/>
      <c r="EOZ569" s="341"/>
      <c r="EPA569" s="341"/>
      <c r="EPB569" s="341"/>
      <c r="EPC569" s="341"/>
      <c r="EPD569" s="341"/>
      <c r="EPE569" s="341"/>
      <c r="EPF569" s="341"/>
      <c r="EPG569" s="341"/>
      <c r="EPH569" s="341"/>
      <c r="EPI569" s="341"/>
      <c r="EPJ569" s="341"/>
      <c r="EPK569" s="341"/>
      <c r="EPL569" s="341"/>
      <c r="EPM569" s="341"/>
      <c r="EPN569" s="341"/>
      <c r="EPO569" s="341"/>
      <c r="EPP569" s="341"/>
      <c r="EPQ569" s="341"/>
      <c r="EPR569" s="341"/>
      <c r="EPS569" s="341"/>
      <c r="EPT569" s="341"/>
      <c r="EPU569" s="341"/>
      <c r="EPV569" s="341"/>
      <c r="EPW569" s="341"/>
      <c r="EPX569" s="341"/>
      <c r="EPY569" s="341"/>
      <c r="EPZ569" s="341"/>
      <c r="EQA569" s="341"/>
      <c r="EQB569" s="341"/>
      <c r="EQC569" s="341"/>
      <c r="EQD569" s="341"/>
      <c r="EQE569" s="341"/>
      <c r="EQF569" s="341"/>
      <c r="EQG569" s="341"/>
      <c r="EQH569" s="341"/>
      <c r="EQI569" s="341"/>
      <c r="EQJ569" s="341"/>
      <c r="EQK569" s="341"/>
      <c r="EQL569" s="341"/>
      <c r="EQM569" s="341"/>
      <c r="EQN569" s="341"/>
      <c r="EQO569" s="341"/>
      <c r="EQP569" s="341"/>
      <c r="EQQ569" s="341"/>
      <c r="EQR569" s="341"/>
      <c r="EQS569" s="341"/>
      <c r="EQT569" s="341"/>
      <c r="EQU569" s="341"/>
      <c r="EQV569" s="341"/>
      <c r="EQW569" s="341"/>
      <c r="EQX569" s="341"/>
      <c r="EQY569" s="341"/>
      <c r="EQZ569" s="341"/>
      <c r="ERA569" s="341"/>
      <c r="ERB569" s="341"/>
      <c r="ERC569" s="341"/>
      <c r="ERD569" s="341"/>
      <c r="ERE569" s="341"/>
      <c r="ERF569" s="341"/>
      <c r="ERG569" s="341"/>
      <c r="ERH569" s="341"/>
      <c r="ERI569" s="341"/>
      <c r="ERJ569" s="341"/>
      <c r="ERK569" s="341"/>
      <c r="ERL569" s="341"/>
      <c r="ERM569" s="341"/>
      <c r="ERN569" s="341"/>
      <c r="ERO569" s="341"/>
      <c r="ERP569" s="341"/>
      <c r="ERQ569" s="341"/>
      <c r="ERR569" s="341"/>
      <c r="ERS569" s="341"/>
      <c r="ERT569" s="341"/>
      <c r="ERU569" s="341"/>
      <c r="ERV569" s="341"/>
      <c r="ERW569" s="341"/>
      <c r="ERX569" s="341"/>
      <c r="ERY569" s="341"/>
      <c r="ERZ569" s="341"/>
      <c r="ESA569" s="341"/>
      <c r="ESB569" s="341"/>
      <c r="ESC569" s="341"/>
      <c r="ESD569" s="341"/>
      <c r="ESE569" s="341"/>
      <c r="ESF569" s="341"/>
      <c r="ESG569" s="341"/>
      <c r="ESH569" s="341"/>
      <c r="ESI569" s="341"/>
      <c r="ESJ569" s="341"/>
      <c r="ESK569" s="341"/>
      <c r="ESL569" s="341"/>
      <c r="ESM569" s="341"/>
      <c r="ESN569" s="341"/>
      <c r="ESO569" s="341"/>
      <c r="ESP569" s="341"/>
      <c r="ESQ569" s="341"/>
      <c r="ESR569" s="341"/>
      <c r="ESS569" s="341"/>
      <c r="EST569" s="341"/>
      <c r="ESU569" s="341"/>
      <c r="ESV569" s="341"/>
      <c r="ESW569" s="341"/>
      <c r="ESX569" s="341"/>
      <c r="ESY569" s="341"/>
      <c r="ESZ569" s="341"/>
      <c r="ETA569" s="341"/>
      <c r="ETB569" s="341"/>
      <c r="ETC569" s="341"/>
      <c r="ETD569" s="341"/>
      <c r="ETE569" s="341"/>
      <c r="ETF569" s="341"/>
      <c r="ETG569" s="341"/>
      <c r="ETH569" s="341"/>
      <c r="ETI569" s="341"/>
      <c r="ETJ569" s="341"/>
      <c r="ETK569" s="341"/>
      <c r="ETL569" s="341"/>
      <c r="ETM569" s="341"/>
      <c r="ETN569" s="341"/>
      <c r="ETO569" s="341"/>
      <c r="ETP569" s="341"/>
      <c r="ETQ569" s="341"/>
      <c r="ETR569" s="341"/>
      <c r="ETS569" s="341"/>
      <c r="ETT569" s="341"/>
      <c r="ETU569" s="341"/>
      <c r="ETV569" s="341"/>
      <c r="ETW569" s="341"/>
      <c r="ETX569" s="341"/>
      <c r="ETY569" s="341"/>
      <c r="ETZ569" s="341"/>
      <c r="EUA569" s="341"/>
      <c r="EUB569" s="341"/>
      <c r="EUC569" s="341"/>
      <c r="EUD569" s="341"/>
      <c r="EUE569" s="341"/>
      <c r="EUF569" s="341"/>
      <c r="EUG569" s="341"/>
      <c r="EUH569" s="341"/>
      <c r="EUI569" s="341"/>
      <c r="EUJ569" s="341"/>
      <c r="EUK569" s="341"/>
      <c r="EUL569" s="341"/>
      <c r="EUM569" s="341"/>
      <c r="EUN569" s="341"/>
      <c r="EUO569" s="341"/>
      <c r="EUP569" s="341"/>
      <c r="EUQ569" s="341"/>
      <c r="EUR569" s="341"/>
      <c r="EUS569" s="341"/>
      <c r="EUT569" s="341"/>
      <c r="EUU569" s="341"/>
      <c r="EUV569" s="341"/>
      <c r="EUW569" s="341"/>
      <c r="EUX569" s="341"/>
      <c r="EUY569" s="341"/>
      <c r="EUZ569" s="341"/>
      <c r="EVA569" s="341"/>
      <c r="EVB569" s="341"/>
      <c r="EVC569" s="341"/>
      <c r="EVD569" s="341"/>
      <c r="EVE569" s="341"/>
      <c r="EVF569" s="341"/>
      <c r="EVG569" s="341"/>
      <c r="EVH569" s="341"/>
      <c r="EVI569" s="341"/>
      <c r="EVJ569" s="341"/>
      <c r="EVK569" s="341"/>
      <c r="EVL569" s="341"/>
      <c r="EVM569" s="341"/>
      <c r="EVN569" s="341"/>
      <c r="EVO569" s="341"/>
      <c r="EVP569" s="341"/>
      <c r="EVQ569" s="341"/>
      <c r="EVR569" s="341"/>
      <c r="EVS569" s="341"/>
      <c r="EVT569" s="341"/>
      <c r="EVU569" s="341"/>
      <c r="EVV569" s="341"/>
      <c r="EVW569" s="341"/>
      <c r="EVX569" s="341"/>
      <c r="EVY569" s="341"/>
      <c r="EVZ569" s="341"/>
      <c r="EWA569" s="341"/>
      <c r="EWB569" s="341"/>
      <c r="EWC569" s="341"/>
      <c r="EWD569" s="341"/>
      <c r="EWE569" s="341"/>
      <c r="EWF569" s="341"/>
      <c r="EWG569" s="341"/>
      <c r="EWH569" s="341"/>
      <c r="EWI569" s="341"/>
      <c r="EWJ569" s="341"/>
      <c r="EWK569" s="341"/>
      <c r="EWL569" s="341"/>
      <c r="EWM569" s="341"/>
      <c r="EWN569" s="341"/>
      <c r="EWO569" s="341"/>
      <c r="EWP569" s="341"/>
      <c r="EWQ569" s="341"/>
      <c r="EWR569" s="341"/>
      <c r="EWS569" s="341"/>
      <c r="EWT569" s="341"/>
      <c r="EWU569" s="341"/>
      <c r="EWV569" s="341"/>
      <c r="EWW569" s="341"/>
      <c r="EWX569" s="341"/>
      <c r="EWY569" s="341"/>
      <c r="EWZ569" s="341"/>
      <c r="EXA569" s="341"/>
      <c r="EXB569" s="341"/>
      <c r="EXC569" s="341"/>
      <c r="EXD569" s="341"/>
      <c r="EXE569" s="341"/>
      <c r="EXF569" s="341"/>
      <c r="EXG569" s="341"/>
      <c r="EXH569" s="341"/>
      <c r="EXI569" s="341"/>
      <c r="EXJ569" s="341"/>
      <c r="EXK569" s="341"/>
      <c r="EXL569" s="341"/>
      <c r="EXM569" s="341"/>
      <c r="EXN569" s="341"/>
      <c r="EXO569" s="341"/>
      <c r="EXP569" s="341"/>
      <c r="EXQ569" s="341"/>
      <c r="EXR569" s="341"/>
      <c r="EXS569" s="341"/>
      <c r="EXT569" s="341"/>
      <c r="EXU569" s="341"/>
      <c r="EXV569" s="341"/>
      <c r="EXW569" s="341"/>
      <c r="EXX569" s="341"/>
      <c r="EXY569" s="341"/>
      <c r="EXZ569" s="341"/>
      <c r="EYA569" s="341"/>
      <c r="EYB569" s="341"/>
      <c r="EYC569" s="341"/>
      <c r="EYD569" s="341"/>
      <c r="EYE569" s="341"/>
      <c r="EYF569" s="341"/>
      <c r="EYG569" s="341"/>
      <c r="EYH569" s="341"/>
      <c r="EYI569" s="341"/>
      <c r="EYJ569" s="341"/>
      <c r="EYK569" s="341"/>
      <c r="EYL569" s="341"/>
      <c r="EYM569" s="341"/>
      <c r="EYN569" s="341"/>
      <c r="EYO569" s="341"/>
      <c r="EYP569" s="341"/>
      <c r="EYQ569" s="341"/>
      <c r="EYR569" s="341"/>
      <c r="EYS569" s="341"/>
      <c r="EYT569" s="341"/>
      <c r="EYU569" s="341"/>
      <c r="EYV569" s="341"/>
      <c r="EYW569" s="341"/>
      <c r="EYX569" s="341"/>
      <c r="EYY569" s="341"/>
      <c r="EYZ569" s="341"/>
      <c r="EZA569" s="341"/>
      <c r="EZB569" s="341"/>
      <c r="EZC569" s="341"/>
      <c r="EZD569" s="341"/>
      <c r="EZE569" s="341"/>
      <c r="EZF569" s="341"/>
      <c r="EZG569" s="341"/>
      <c r="EZH569" s="341"/>
      <c r="EZI569" s="341"/>
      <c r="EZJ569" s="341"/>
      <c r="EZK569" s="341"/>
      <c r="EZL569" s="341"/>
      <c r="EZM569" s="341"/>
      <c r="EZN569" s="341"/>
      <c r="EZO569" s="341"/>
      <c r="EZP569" s="341"/>
      <c r="EZQ569" s="341"/>
      <c r="EZR569" s="341"/>
      <c r="EZS569" s="341"/>
      <c r="EZT569" s="341"/>
      <c r="EZU569" s="341"/>
      <c r="EZV569" s="341"/>
      <c r="EZW569" s="341"/>
      <c r="EZX569" s="341"/>
      <c r="EZY569" s="341"/>
      <c r="EZZ569" s="341"/>
      <c r="FAA569" s="341"/>
      <c r="FAB569" s="341"/>
      <c r="FAC569" s="341"/>
      <c r="FAD569" s="341"/>
      <c r="FAE569" s="341"/>
      <c r="FAF569" s="341"/>
      <c r="FAG569" s="341"/>
      <c r="FAH569" s="341"/>
      <c r="FAI569" s="341"/>
      <c r="FAJ569" s="341"/>
      <c r="FAK569" s="341"/>
      <c r="FAL569" s="341"/>
      <c r="FAM569" s="341"/>
      <c r="FAN569" s="341"/>
      <c r="FAO569" s="341"/>
      <c r="FAP569" s="341"/>
      <c r="FAQ569" s="341"/>
      <c r="FAR569" s="341"/>
      <c r="FAS569" s="341"/>
      <c r="FAT569" s="341"/>
      <c r="FAU569" s="341"/>
      <c r="FAV569" s="341"/>
      <c r="FAW569" s="341"/>
      <c r="FAX569" s="341"/>
      <c r="FAY569" s="341"/>
      <c r="FAZ569" s="341"/>
      <c r="FBA569" s="341"/>
      <c r="FBB569" s="341"/>
      <c r="FBC569" s="341"/>
      <c r="FBD569" s="341"/>
      <c r="FBE569" s="341"/>
      <c r="FBF569" s="341"/>
      <c r="FBG569" s="341"/>
      <c r="FBH569" s="341"/>
      <c r="FBI569" s="341"/>
      <c r="FBJ569" s="341"/>
      <c r="FBK569" s="341"/>
      <c r="FBL569" s="341"/>
      <c r="FBM569" s="341"/>
      <c r="FBN569" s="341"/>
      <c r="FBO569" s="341"/>
      <c r="FBP569" s="341"/>
      <c r="FBQ569" s="341"/>
      <c r="FBR569" s="341"/>
      <c r="FBS569" s="341"/>
      <c r="FBT569" s="341"/>
      <c r="FBU569" s="341"/>
      <c r="FBV569" s="341"/>
      <c r="FBW569" s="341"/>
      <c r="FBX569" s="341"/>
      <c r="FBY569" s="341"/>
      <c r="FBZ569" s="341"/>
      <c r="FCA569" s="341"/>
      <c r="FCB569" s="341"/>
      <c r="FCC569" s="341"/>
      <c r="FCD569" s="341"/>
      <c r="FCE569" s="341"/>
      <c r="FCF569" s="341"/>
      <c r="FCG569" s="341"/>
      <c r="FCH569" s="341"/>
      <c r="FCI569" s="341"/>
      <c r="FCJ569" s="341"/>
      <c r="FCK569" s="341"/>
      <c r="FCL569" s="341"/>
      <c r="FCM569" s="341"/>
      <c r="FCN569" s="341"/>
      <c r="FCO569" s="341"/>
      <c r="FCP569" s="341"/>
      <c r="FCQ569" s="341"/>
      <c r="FCR569" s="341"/>
      <c r="FCS569" s="341"/>
      <c r="FCT569" s="341"/>
      <c r="FCU569" s="341"/>
      <c r="FCV569" s="341"/>
      <c r="FCW569" s="341"/>
      <c r="FCX569" s="341"/>
      <c r="FCY569" s="341"/>
      <c r="FCZ569" s="341"/>
      <c r="FDA569" s="341"/>
      <c r="FDB569" s="341"/>
      <c r="FDC569" s="341"/>
      <c r="FDD569" s="341"/>
      <c r="FDE569" s="341"/>
      <c r="FDF569" s="341"/>
      <c r="FDG569" s="341"/>
      <c r="FDH569" s="341"/>
      <c r="FDI569" s="341"/>
      <c r="FDJ569" s="341"/>
      <c r="FDK569" s="341"/>
      <c r="FDL569" s="341"/>
      <c r="FDM569" s="341"/>
      <c r="FDN569" s="341"/>
      <c r="FDO569" s="341"/>
      <c r="FDP569" s="341"/>
      <c r="FDQ569" s="341"/>
      <c r="FDR569" s="341"/>
      <c r="FDS569" s="341"/>
      <c r="FDT569" s="341"/>
      <c r="FDU569" s="341"/>
      <c r="FDV569" s="341"/>
      <c r="FDW569" s="341"/>
      <c r="FDX569" s="341"/>
      <c r="FDY569" s="341"/>
      <c r="FDZ569" s="341"/>
      <c r="FEA569" s="341"/>
      <c r="FEB569" s="341"/>
      <c r="FEC569" s="341"/>
      <c r="FED569" s="341"/>
      <c r="FEE569" s="341"/>
      <c r="FEF569" s="341"/>
      <c r="FEG569" s="341"/>
      <c r="FEH569" s="341"/>
      <c r="FEI569" s="341"/>
      <c r="FEJ569" s="341"/>
      <c r="FEK569" s="341"/>
      <c r="FEL569" s="341"/>
      <c r="FEM569" s="341"/>
      <c r="FEN569" s="341"/>
      <c r="FEO569" s="341"/>
      <c r="FEP569" s="341"/>
      <c r="FEQ569" s="341"/>
      <c r="FER569" s="341"/>
      <c r="FES569" s="341"/>
      <c r="FET569" s="341"/>
      <c r="FEU569" s="341"/>
      <c r="FEV569" s="341"/>
      <c r="FEW569" s="341"/>
      <c r="FEX569" s="341"/>
      <c r="FEY569" s="341"/>
      <c r="FEZ569" s="341"/>
      <c r="FFA569" s="341"/>
      <c r="FFB569" s="341"/>
      <c r="FFC569" s="341"/>
      <c r="FFD569" s="341"/>
      <c r="FFE569" s="341"/>
      <c r="FFF569" s="341"/>
      <c r="FFG569" s="341"/>
      <c r="FFH569" s="341"/>
      <c r="FFI569" s="341"/>
      <c r="FFJ569" s="341"/>
      <c r="FFK569" s="341"/>
      <c r="FFL569" s="341"/>
      <c r="FFM569" s="341"/>
      <c r="FFN569" s="341"/>
      <c r="FFO569" s="341"/>
      <c r="FFP569" s="341"/>
      <c r="FFQ569" s="341"/>
      <c r="FFR569" s="341"/>
      <c r="FFS569" s="341"/>
      <c r="FFT569" s="341"/>
      <c r="FFU569" s="341"/>
      <c r="FFV569" s="341"/>
      <c r="FFW569" s="341"/>
      <c r="FFX569" s="341"/>
      <c r="FFY569" s="341"/>
      <c r="FFZ569" s="341"/>
      <c r="FGA569" s="341"/>
      <c r="FGB569" s="341"/>
      <c r="FGC569" s="341"/>
      <c r="FGD569" s="341"/>
      <c r="FGE569" s="341"/>
      <c r="FGF569" s="341"/>
      <c r="FGG569" s="341"/>
      <c r="FGH569" s="341"/>
      <c r="FGI569" s="341"/>
      <c r="FGJ569" s="341"/>
      <c r="FGK569" s="341"/>
      <c r="FGL569" s="341"/>
      <c r="FGM569" s="341"/>
      <c r="FGN569" s="341"/>
      <c r="FGO569" s="341"/>
      <c r="FGP569" s="341"/>
      <c r="FGQ569" s="341"/>
      <c r="FGR569" s="341"/>
      <c r="FGS569" s="341"/>
      <c r="FGT569" s="341"/>
      <c r="FGU569" s="341"/>
      <c r="FGV569" s="341"/>
      <c r="FGW569" s="341"/>
      <c r="FGX569" s="341"/>
      <c r="FGY569" s="341"/>
      <c r="FGZ569" s="341"/>
      <c r="FHA569" s="341"/>
      <c r="FHB569" s="341"/>
      <c r="FHC569" s="341"/>
      <c r="FHD569" s="341"/>
      <c r="FHE569" s="341"/>
      <c r="FHF569" s="341"/>
      <c r="FHG569" s="341"/>
      <c r="FHH569" s="341"/>
      <c r="FHI569" s="341"/>
      <c r="FHJ569" s="341"/>
      <c r="FHK569" s="341"/>
      <c r="FHL569" s="341"/>
      <c r="FHM569" s="341"/>
      <c r="FHN569" s="341"/>
      <c r="FHO569" s="341"/>
      <c r="FHP569" s="341"/>
      <c r="FHQ569" s="341"/>
      <c r="FHR569" s="341"/>
      <c r="FHS569" s="341"/>
      <c r="FHT569" s="341"/>
      <c r="FHU569" s="341"/>
      <c r="FHV569" s="341"/>
      <c r="FHW569" s="341"/>
      <c r="FHX569" s="341"/>
      <c r="FHY569" s="341"/>
      <c r="FHZ569" s="341"/>
      <c r="FIA569" s="341"/>
      <c r="FIB569" s="341"/>
      <c r="FIC569" s="341"/>
      <c r="FID569" s="341"/>
      <c r="FIE569" s="341"/>
      <c r="FIF569" s="341"/>
      <c r="FIG569" s="341"/>
      <c r="FIH569" s="341"/>
      <c r="FII569" s="341"/>
      <c r="FIJ569" s="341"/>
      <c r="FIK569" s="341"/>
      <c r="FIL569" s="341"/>
      <c r="FIM569" s="341"/>
      <c r="FIN569" s="341"/>
      <c r="FIO569" s="341"/>
      <c r="FIP569" s="341"/>
      <c r="FIQ569" s="341"/>
      <c r="FIR569" s="341"/>
      <c r="FIS569" s="341"/>
      <c r="FIT569" s="341"/>
      <c r="FIU569" s="341"/>
      <c r="FIV569" s="341"/>
      <c r="FIW569" s="341"/>
      <c r="FIX569" s="341"/>
      <c r="FIY569" s="341"/>
      <c r="FIZ569" s="341"/>
      <c r="FJA569" s="341"/>
      <c r="FJB569" s="341"/>
      <c r="FJC569" s="341"/>
      <c r="FJD569" s="341"/>
      <c r="FJE569" s="341"/>
      <c r="FJF569" s="341"/>
      <c r="FJG569" s="341"/>
      <c r="FJH569" s="341"/>
      <c r="FJI569" s="341"/>
      <c r="FJJ569" s="341"/>
      <c r="FJK569" s="341"/>
      <c r="FJL569" s="341"/>
      <c r="FJM569" s="341"/>
      <c r="FJN569" s="341"/>
      <c r="FJO569" s="341"/>
      <c r="FJP569" s="341"/>
      <c r="FJQ569" s="341"/>
      <c r="FJR569" s="341"/>
      <c r="FJS569" s="341"/>
      <c r="FJT569" s="341"/>
      <c r="FJU569" s="341"/>
      <c r="FJV569" s="341"/>
      <c r="FJW569" s="341"/>
      <c r="FJX569" s="341"/>
      <c r="FJY569" s="341"/>
      <c r="FJZ569" s="341"/>
      <c r="FKA569" s="341"/>
      <c r="FKB569" s="341"/>
      <c r="FKC569" s="341"/>
      <c r="FKD569" s="341"/>
      <c r="FKE569" s="341"/>
      <c r="FKF569" s="341"/>
      <c r="FKG569" s="341"/>
      <c r="FKH569" s="341"/>
      <c r="FKI569" s="341"/>
      <c r="FKJ569" s="341"/>
      <c r="FKK569" s="341"/>
      <c r="FKL569" s="341"/>
      <c r="FKM569" s="341"/>
      <c r="FKN569" s="341"/>
      <c r="FKO569" s="341"/>
      <c r="FKP569" s="341"/>
      <c r="FKQ569" s="341"/>
      <c r="FKR569" s="341"/>
      <c r="FKS569" s="341"/>
      <c r="FKT569" s="341"/>
      <c r="FKU569" s="341"/>
      <c r="FKV569" s="341"/>
      <c r="FKW569" s="341"/>
      <c r="FKX569" s="341"/>
      <c r="FKY569" s="341"/>
      <c r="FKZ569" s="341"/>
      <c r="FLA569" s="341"/>
      <c r="FLB569" s="341"/>
      <c r="FLC569" s="341"/>
      <c r="FLD569" s="341"/>
      <c r="FLE569" s="341"/>
      <c r="FLF569" s="341"/>
      <c r="FLG569" s="341"/>
      <c r="FLH569" s="341"/>
      <c r="FLI569" s="341"/>
      <c r="FLJ569" s="341"/>
      <c r="FLK569" s="341"/>
      <c r="FLL569" s="341"/>
      <c r="FLM569" s="341"/>
      <c r="FLN569" s="341"/>
      <c r="FLO569" s="341"/>
      <c r="FLP569" s="341"/>
      <c r="FLQ569" s="341"/>
      <c r="FLR569" s="341"/>
      <c r="FLS569" s="341"/>
      <c r="FLT569" s="341"/>
      <c r="FLU569" s="341"/>
      <c r="FLV569" s="341"/>
      <c r="FLW569" s="341"/>
      <c r="FLX569" s="341"/>
      <c r="FLY569" s="341"/>
      <c r="FLZ569" s="341"/>
      <c r="FMA569" s="341"/>
      <c r="FMB569" s="341"/>
      <c r="FMC569" s="341"/>
      <c r="FMD569" s="341"/>
      <c r="FME569" s="341"/>
      <c r="FMF569" s="341"/>
      <c r="FMG569" s="341"/>
      <c r="FMH569" s="341"/>
      <c r="FMI569" s="341"/>
      <c r="FMJ569" s="341"/>
      <c r="FMK569" s="341"/>
      <c r="FML569" s="341"/>
      <c r="FMM569" s="341"/>
      <c r="FMN569" s="341"/>
      <c r="FMO569" s="341"/>
      <c r="FMP569" s="341"/>
      <c r="FMQ569" s="341"/>
      <c r="FMR569" s="341"/>
      <c r="FMS569" s="341"/>
      <c r="FMT569" s="341"/>
      <c r="FMU569" s="341"/>
      <c r="FMV569" s="341"/>
      <c r="FMW569" s="341"/>
      <c r="FMX569" s="341"/>
      <c r="FMY569" s="341"/>
      <c r="FMZ569" s="341"/>
      <c r="FNA569" s="341"/>
      <c r="FNB569" s="341"/>
      <c r="FNC569" s="341"/>
      <c r="FND569" s="341"/>
      <c r="FNE569" s="341"/>
      <c r="FNF569" s="341"/>
      <c r="FNG569" s="341"/>
      <c r="FNH569" s="341"/>
      <c r="FNI569" s="341"/>
      <c r="FNJ569" s="341"/>
      <c r="FNK569" s="341"/>
      <c r="FNL569" s="341"/>
      <c r="FNM569" s="341"/>
      <c r="FNN569" s="341"/>
      <c r="FNO569" s="341"/>
      <c r="FNP569" s="341"/>
      <c r="FNQ569" s="341"/>
      <c r="FNR569" s="341"/>
      <c r="FNS569" s="341"/>
      <c r="FNT569" s="341"/>
      <c r="FNU569" s="341"/>
      <c r="FNV569" s="341"/>
      <c r="FNW569" s="341"/>
      <c r="FNX569" s="341"/>
      <c r="FNY569" s="341"/>
      <c r="FNZ569" s="341"/>
      <c r="FOA569" s="341"/>
      <c r="FOB569" s="341"/>
      <c r="FOC569" s="341"/>
      <c r="FOD569" s="341"/>
      <c r="FOE569" s="341"/>
      <c r="FOF569" s="341"/>
      <c r="FOG569" s="341"/>
      <c r="FOH569" s="341"/>
      <c r="FOI569" s="341"/>
      <c r="FOJ569" s="341"/>
      <c r="FOK569" s="341"/>
      <c r="FOL569" s="341"/>
      <c r="FOM569" s="341"/>
      <c r="FON569" s="341"/>
      <c r="FOO569" s="341"/>
      <c r="FOP569" s="341"/>
      <c r="FOQ569" s="341"/>
      <c r="FOR569" s="341"/>
      <c r="FOS569" s="341"/>
      <c r="FOT569" s="341"/>
      <c r="FOU569" s="341"/>
      <c r="FOV569" s="341"/>
      <c r="FOW569" s="341"/>
      <c r="FOX569" s="341"/>
      <c r="FOY569" s="341"/>
      <c r="FOZ569" s="341"/>
      <c r="FPA569" s="341"/>
      <c r="FPB569" s="341"/>
      <c r="FPC569" s="341"/>
      <c r="FPD569" s="341"/>
      <c r="FPE569" s="341"/>
      <c r="FPF569" s="341"/>
      <c r="FPG569" s="341"/>
      <c r="FPH569" s="341"/>
      <c r="FPI569" s="341"/>
      <c r="FPJ569" s="341"/>
      <c r="FPK569" s="341"/>
      <c r="FPL569" s="341"/>
      <c r="FPM569" s="341"/>
      <c r="FPN569" s="341"/>
      <c r="FPO569" s="341"/>
      <c r="FPP569" s="341"/>
      <c r="FPQ569" s="341"/>
      <c r="FPR569" s="341"/>
      <c r="FPS569" s="341"/>
      <c r="FPT569" s="341"/>
      <c r="FPU569" s="341"/>
      <c r="FPV569" s="341"/>
      <c r="FPW569" s="341"/>
      <c r="FPX569" s="341"/>
      <c r="FPY569" s="341"/>
      <c r="FPZ569" s="341"/>
      <c r="FQA569" s="341"/>
      <c r="FQB569" s="341"/>
      <c r="FQC569" s="341"/>
      <c r="FQD569" s="341"/>
      <c r="FQE569" s="341"/>
      <c r="FQF569" s="341"/>
      <c r="FQG569" s="341"/>
      <c r="FQH569" s="341"/>
      <c r="FQI569" s="341"/>
      <c r="FQJ569" s="341"/>
      <c r="FQK569" s="341"/>
      <c r="FQL569" s="341"/>
      <c r="FQM569" s="341"/>
      <c r="FQN569" s="341"/>
      <c r="FQO569" s="341"/>
      <c r="FQP569" s="341"/>
      <c r="FQQ569" s="341"/>
      <c r="FQR569" s="341"/>
      <c r="FQS569" s="341"/>
      <c r="FQT569" s="341"/>
      <c r="FQU569" s="341"/>
      <c r="FQV569" s="341"/>
      <c r="FQW569" s="341"/>
      <c r="FQX569" s="341"/>
      <c r="FQY569" s="341"/>
      <c r="FQZ569" s="341"/>
      <c r="FRA569" s="341"/>
      <c r="FRB569" s="341"/>
      <c r="FRC569" s="341"/>
      <c r="FRD569" s="341"/>
      <c r="FRE569" s="341"/>
      <c r="FRF569" s="341"/>
      <c r="FRG569" s="341"/>
      <c r="FRH569" s="341"/>
      <c r="FRI569" s="341"/>
      <c r="FRJ569" s="341"/>
      <c r="FRK569" s="341"/>
      <c r="FRL569" s="341"/>
      <c r="FRM569" s="341"/>
      <c r="FRN569" s="341"/>
      <c r="FRO569" s="341"/>
      <c r="FRP569" s="341"/>
      <c r="FRQ569" s="341"/>
      <c r="FRR569" s="341"/>
      <c r="FRS569" s="341"/>
      <c r="FRT569" s="341"/>
      <c r="FRU569" s="341"/>
      <c r="FRV569" s="341"/>
      <c r="FRW569" s="341"/>
      <c r="FRX569" s="341"/>
      <c r="FRY569" s="341"/>
      <c r="FRZ569" s="341"/>
      <c r="FSA569" s="341"/>
      <c r="FSB569" s="341"/>
      <c r="FSC569" s="341"/>
      <c r="FSD569" s="341"/>
      <c r="FSE569" s="341"/>
      <c r="FSF569" s="341"/>
      <c r="FSG569" s="341"/>
      <c r="FSH569" s="341"/>
      <c r="FSI569" s="341"/>
      <c r="FSJ569" s="341"/>
      <c r="FSK569" s="341"/>
      <c r="FSL569" s="341"/>
      <c r="FSM569" s="341"/>
      <c r="FSN569" s="341"/>
      <c r="FSO569" s="341"/>
      <c r="FSP569" s="341"/>
      <c r="FSQ569" s="341"/>
      <c r="FSR569" s="341"/>
      <c r="FSS569" s="341"/>
      <c r="FST569" s="341"/>
      <c r="FSU569" s="341"/>
      <c r="FSV569" s="341"/>
      <c r="FSW569" s="341"/>
      <c r="FSX569" s="341"/>
      <c r="FSY569" s="341"/>
      <c r="FSZ569" s="341"/>
      <c r="FTA569" s="341"/>
      <c r="FTB569" s="341"/>
      <c r="FTC569" s="341"/>
      <c r="FTD569" s="341"/>
      <c r="FTE569" s="341"/>
      <c r="FTF569" s="341"/>
      <c r="FTG569" s="341"/>
      <c r="FTH569" s="341"/>
      <c r="FTI569" s="341"/>
      <c r="FTJ569" s="341"/>
      <c r="FTK569" s="341"/>
      <c r="FTL569" s="341"/>
      <c r="FTM569" s="341"/>
      <c r="FTN569" s="341"/>
      <c r="FTO569" s="341"/>
      <c r="FTP569" s="341"/>
      <c r="FTQ569" s="341"/>
      <c r="FTR569" s="341"/>
      <c r="FTS569" s="341"/>
      <c r="FTT569" s="341"/>
      <c r="FTU569" s="341"/>
      <c r="FTV569" s="341"/>
      <c r="FTW569" s="341"/>
      <c r="FTX569" s="341"/>
      <c r="FTY569" s="341"/>
      <c r="FTZ569" s="341"/>
      <c r="FUA569" s="341"/>
      <c r="FUB569" s="341"/>
      <c r="FUC569" s="341"/>
      <c r="FUD569" s="341"/>
      <c r="FUE569" s="341"/>
      <c r="FUF569" s="341"/>
      <c r="FUG569" s="341"/>
      <c r="FUH569" s="341"/>
      <c r="FUI569" s="341"/>
      <c r="FUJ569" s="341"/>
      <c r="FUK569" s="341"/>
      <c r="FUL569" s="341"/>
      <c r="FUM569" s="341"/>
      <c r="FUN569" s="341"/>
      <c r="FUO569" s="341"/>
      <c r="FUP569" s="341"/>
      <c r="FUQ569" s="341"/>
      <c r="FUR569" s="341"/>
      <c r="FUS569" s="341"/>
      <c r="FUT569" s="341"/>
      <c r="FUU569" s="341"/>
      <c r="FUV569" s="341"/>
      <c r="FUW569" s="341"/>
      <c r="FUX569" s="341"/>
      <c r="FUY569" s="341"/>
      <c r="FUZ569" s="341"/>
      <c r="FVA569" s="341"/>
      <c r="FVB569" s="341"/>
      <c r="FVC569" s="341"/>
      <c r="FVD569" s="341"/>
      <c r="FVE569" s="341"/>
      <c r="FVF569" s="341"/>
      <c r="FVG569" s="341"/>
      <c r="FVH569" s="341"/>
      <c r="FVI569" s="341"/>
      <c r="FVJ569" s="341"/>
      <c r="FVK569" s="341"/>
      <c r="FVL569" s="341"/>
      <c r="FVM569" s="341"/>
      <c r="FVN569" s="341"/>
      <c r="FVO569" s="341"/>
      <c r="FVP569" s="341"/>
      <c r="FVQ569" s="341"/>
      <c r="FVR569" s="341"/>
      <c r="FVS569" s="341"/>
      <c r="FVT569" s="341"/>
      <c r="FVU569" s="341"/>
      <c r="FVV569" s="341"/>
      <c r="FVW569" s="341"/>
      <c r="FVX569" s="341"/>
      <c r="FVY569" s="341"/>
      <c r="FVZ569" s="341"/>
      <c r="FWA569" s="341"/>
      <c r="FWB569" s="341"/>
      <c r="FWC569" s="341"/>
      <c r="FWD569" s="341"/>
      <c r="FWE569" s="341"/>
      <c r="FWF569" s="341"/>
      <c r="FWG569" s="341"/>
      <c r="FWH569" s="341"/>
      <c r="FWI569" s="341"/>
      <c r="FWJ569" s="341"/>
      <c r="FWK569" s="341"/>
      <c r="FWL569" s="341"/>
      <c r="FWM569" s="341"/>
      <c r="FWN569" s="341"/>
      <c r="FWO569" s="341"/>
      <c r="FWP569" s="341"/>
      <c r="FWQ569" s="341"/>
      <c r="FWR569" s="341"/>
      <c r="FWS569" s="341"/>
      <c r="FWT569" s="341"/>
      <c r="FWU569" s="341"/>
      <c r="FWV569" s="341"/>
      <c r="FWW569" s="341"/>
      <c r="FWX569" s="341"/>
      <c r="FWY569" s="341"/>
      <c r="FWZ569" s="341"/>
      <c r="FXA569" s="341"/>
      <c r="FXB569" s="341"/>
      <c r="FXC569" s="341"/>
      <c r="FXD569" s="341"/>
      <c r="FXE569" s="341"/>
      <c r="FXF569" s="341"/>
      <c r="FXG569" s="341"/>
      <c r="FXH569" s="341"/>
      <c r="FXI569" s="341"/>
      <c r="FXJ569" s="341"/>
      <c r="FXK569" s="341"/>
      <c r="FXL569" s="341"/>
      <c r="FXM569" s="341"/>
      <c r="FXN569" s="341"/>
      <c r="FXO569" s="341"/>
      <c r="FXP569" s="341"/>
      <c r="FXQ569" s="341"/>
      <c r="FXR569" s="341"/>
      <c r="FXS569" s="341"/>
      <c r="FXT569" s="341"/>
      <c r="FXU569" s="341"/>
      <c r="FXV569" s="341"/>
      <c r="FXW569" s="341"/>
      <c r="FXX569" s="341"/>
      <c r="FXY569" s="341"/>
      <c r="FXZ569" s="341"/>
      <c r="FYA569" s="341"/>
      <c r="FYB569" s="341"/>
      <c r="FYC569" s="341"/>
      <c r="FYD569" s="341"/>
      <c r="FYE569" s="341"/>
      <c r="FYF569" s="341"/>
      <c r="FYG569" s="341"/>
      <c r="FYH569" s="341"/>
      <c r="FYI569" s="341"/>
      <c r="FYJ569" s="341"/>
      <c r="FYK569" s="341"/>
      <c r="FYL569" s="341"/>
      <c r="FYM569" s="341"/>
      <c r="FYN569" s="341"/>
      <c r="FYO569" s="341"/>
      <c r="FYP569" s="341"/>
      <c r="FYQ569" s="341"/>
      <c r="FYR569" s="341"/>
      <c r="FYS569" s="341"/>
      <c r="FYT569" s="341"/>
      <c r="FYU569" s="341"/>
      <c r="FYV569" s="341"/>
      <c r="FYW569" s="341"/>
      <c r="FYX569" s="341"/>
      <c r="FYY569" s="341"/>
      <c r="FYZ569" s="341"/>
      <c r="FZA569" s="341"/>
      <c r="FZB569" s="341"/>
      <c r="FZC569" s="341"/>
      <c r="FZD569" s="341"/>
      <c r="FZE569" s="341"/>
      <c r="FZF569" s="341"/>
      <c r="FZG569" s="341"/>
      <c r="FZH569" s="341"/>
      <c r="FZI569" s="341"/>
      <c r="FZJ569" s="341"/>
      <c r="FZK569" s="341"/>
      <c r="FZL569" s="341"/>
      <c r="FZM569" s="341"/>
      <c r="FZN569" s="341"/>
      <c r="FZO569" s="341"/>
      <c r="FZP569" s="341"/>
      <c r="FZQ569" s="341"/>
      <c r="FZR569" s="341"/>
      <c r="FZS569" s="341"/>
      <c r="FZT569" s="341"/>
      <c r="FZU569" s="341"/>
      <c r="FZV569" s="341"/>
      <c r="FZW569" s="341"/>
      <c r="FZX569" s="341"/>
      <c r="FZY569" s="341"/>
      <c r="FZZ569" s="341"/>
      <c r="GAA569" s="341"/>
      <c r="GAB569" s="341"/>
      <c r="GAC569" s="341"/>
      <c r="GAD569" s="341"/>
      <c r="GAE569" s="341"/>
      <c r="GAF569" s="341"/>
      <c r="GAG569" s="341"/>
      <c r="GAH569" s="341"/>
      <c r="GAI569" s="341"/>
      <c r="GAJ569" s="341"/>
      <c r="GAK569" s="341"/>
      <c r="GAL569" s="341"/>
      <c r="GAM569" s="341"/>
      <c r="GAN569" s="341"/>
      <c r="GAO569" s="341"/>
      <c r="GAP569" s="341"/>
      <c r="GAQ569" s="341"/>
      <c r="GAR569" s="341"/>
      <c r="GAS569" s="341"/>
      <c r="GAT569" s="341"/>
      <c r="GAU569" s="341"/>
      <c r="GAV569" s="341"/>
      <c r="GAW569" s="341"/>
      <c r="GAX569" s="341"/>
      <c r="GAY569" s="341"/>
      <c r="GAZ569" s="341"/>
      <c r="GBA569" s="341"/>
      <c r="GBB569" s="341"/>
      <c r="GBC569" s="341"/>
      <c r="GBD569" s="341"/>
      <c r="GBE569" s="341"/>
      <c r="GBF569" s="341"/>
      <c r="GBG569" s="341"/>
      <c r="GBH569" s="341"/>
      <c r="GBI569" s="341"/>
      <c r="GBJ569" s="341"/>
      <c r="GBK569" s="341"/>
      <c r="GBL569" s="341"/>
      <c r="GBM569" s="341"/>
      <c r="GBN569" s="341"/>
      <c r="GBO569" s="341"/>
      <c r="GBP569" s="341"/>
      <c r="GBQ569" s="341"/>
      <c r="GBR569" s="341"/>
      <c r="GBS569" s="341"/>
      <c r="GBT569" s="341"/>
      <c r="GBU569" s="341"/>
      <c r="GBV569" s="341"/>
      <c r="GBW569" s="341"/>
      <c r="GBX569" s="341"/>
      <c r="GBY569" s="341"/>
      <c r="GBZ569" s="341"/>
      <c r="GCA569" s="341"/>
      <c r="GCB569" s="341"/>
      <c r="GCC569" s="341"/>
      <c r="GCD569" s="341"/>
      <c r="GCE569" s="341"/>
      <c r="GCF569" s="341"/>
      <c r="GCG569" s="341"/>
      <c r="GCH569" s="341"/>
      <c r="GCI569" s="341"/>
      <c r="GCJ569" s="341"/>
      <c r="GCK569" s="341"/>
      <c r="GCL569" s="341"/>
      <c r="GCM569" s="341"/>
      <c r="GCN569" s="341"/>
      <c r="GCO569" s="341"/>
      <c r="GCP569" s="341"/>
      <c r="GCQ569" s="341"/>
      <c r="GCR569" s="341"/>
      <c r="GCS569" s="341"/>
      <c r="GCT569" s="341"/>
      <c r="GCU569" s="341"/>
      <c r="GCV569" s="341"/>
      <c r="GCW569" s="341"/>
      <c r="GCX569" s="341"/>
      <c r="GCY569" s="341"/>
      <c r="GCZ569" s="341"/>
      <c r="GDA569" s="341"/>
      <c r="GDB569" s="341"/>
      <c r="GDC569" s="341"/>
      <c r="GDD569" s="341"/>
      <c r="GDE569" s="341"/>
      <c r="GDF569" s="341"/>
      <c r="GDG569" s="341"/>
      <c r="GDH569" s="341"/>
      <c r="GDI569" s="341"/>
      <c r="GDJ569" s="341"/>
      <c r="GDK569" s="341"/>
      <c r="GDL569" s="341"/>
      <c r="GDM569" s="341"/>
      <c r="GDN569" s="341"/>
      <c r="GDO569" s="341"/>
      <c r="GDP569" s="341"/>
      <c r="GDQ569" s="341"/>
      <c r="GDR569" s="341"/>
      <c r="GDS569" s="341"/>
      <c r="GDT569" s="341"/>
      <c r="GDU569" s="341"/>
      <c r="GDV569" s="341"/>
      <c r="GDW569" s="341"/>
      <c r="GDX569" s="341"/>
      <c r="GDY569" s="341"/>
      <c r="GDZ569" s="341"/>
      <c r="GEA569" s="341"/>
      <c r="GEB569" s="341"/>
      <c r="GEC569" s="341"/>
      <c r="GED569" s="341"/>
      <c r="GEE569" s="341"/>
      <c r="GEF569" s="341"/>
      <c r="GEG569" s="341"/>
      <c r="GEH569" s="341"/>
      <c r="GEI569" s="341"/>
      <c r="GEJ569" s="341"/>
      <c r="GEK569" s="341"/>
      <c r="GEL569" s="341"/>
      <c r="GEM569" s="341"/>
      <c r="GEN569" s="341"/>
      <c r="GEO569" s="341"/>
      <c r="GEP569" s="341"/>
      <c r="GEQ569" s="341"/>
      <c r="GER569" s="341"/>
      <c r="GES569" s="341"/>
      <c r="GET569" s="341"/>
      <c r="GEU569" s="341"/>
      <c r="GEV569" s="341"/>
      <c r="GEW569" s="341"/>
      <c r="GEX569" s="341"/>
      <c r="GEY569" s="341"/>
      <c r="GEZ569" s="341"/>
      <c r="GFA569" s="341"/>
      <c r="GFB569" s="341"/>
      <c r="GFC569" s="341"/>
      <c r="GFD569" s="341"/>
      <c r="GFE569" s="341"/>
      <c r="GFF569" s="341"/>
      <c r="GFG569" s="341"/>
      <c r="GFH569" s="341"/>
      <c r="GFI569" s="341"/>
      <c r="GFJ569" s="341"/>
      <c r="GFK569" s="341"/>
      <c r="GFL569" s="341"/>
      <c r="GFM569" s="341"/>
      <c r="GFN569" s="341"/>
      <c r="GFO569" s="341"/>
      <c r="GFP569" s="341"/>
      <c r="GFQ569" s="341"/>
      <c r="GFR569" s="341"/>
      <c r="GFS569" s="341"/>
      <c r="GFT569" s="341"/>
      <c r="GFU569" s="341"/>
      <c r="GFV569" s="341"/>
      <c r="GFW569" s="341"/>
      <c r="GFX569" s="341"/>
      <c r="GFY569" s="341"/>
      <c r="GFZ569" s="341"/>
      <c r="GGA569" s="341"/>
      <c r="GGB569" s="341"/>
      <c r="GGC569" s="341"/>
      <c r="GGD569" s="341"/>
      <c r="GGE569" s="341"/>
      <c r="GGF569" s="341"/>
      <c r="GGG569" s="341"/>
      <c r="GGH569" s="341"/>
      <c r="GGI569" s="341"/>
      <c r="GGJ569" s="341"/>
      <c r="GGK569" s="341"/>
      <c r="GGL569" s="341"/>
      <c r="GGM569" s="341"/>
      <c r="GGN569" s="341"/>
      <c r="GGO569" s="341"/>
      <c r="GGP569" s="341"/>
      <c r="GGQ569" s="341"/>
      <c r="GGR569" s="341"/>
      <c r="GGS569" s="341"/>
      <c r="GGT569" s="341"/>
      <c r="GGU569" s="341"/>
      <c r="GGV569" s="341"/>
      <c r="GGW569" s="341"/>
      <c r="GGX569" s="341"/>
      <c r="GGY569" s="341"/>
      <c r="GGZ569" s="341"/>
      <c r="GHA569" s="341"/>
      <c r="GHB569" s="341"/>
      <c r="GHC569" s="341"/>
      <c r="GHD569" s="341"/>
      <c r="GHE569" s="341"/>
      <c r="GHF569" s="341"/>
      <c r="GHG569" s="341"/>
      <c r="GHH569" s="341"/>
      <c r="GHI569" s="341"/>
      <c r="GHJ569" s="341"/>
      <c r="GHK569" s="341"/>
      <c r="GHL569" s="341"/>
      <c r="GHM569" s="341"/>
      <c r="GHN569" s="341"/>
      <c r="GHO569" s="341"/>
      <c r="GHP569" s="341"/>
      <c r="GHQ569" s="341"/>
      <c r="GHR569" s="341"/>
      <c r="GHS569" s="341"/>
      <c r="GHT569" s="341"/>
      <c r="GHU569" s="341"/>
      <c r="GHV569" s="341"/>
      <c r="GHW569" s="341"/>
      <c r="GHX569" s="341"/>
      <c r="GHY569" s="341"/>
      <c r="GHZ569" s="341"/>
      <c r="GIA569" s="341"/>
      <c r="GIB569" s="341"/>
      <c r="GIC569" s="341"/>
      <c r="GID569" s="341"/>
      <c r="GIE569" s="341"/>
      <c r="GIF569" s="341"/>
      <c r="GIG569" s="341"/>
      <c r="GIH569" s="341"/>
      <c r="GII569" s="341"/>
      <c r="GIJ569" s="341"/>
      <c r="GIK569" s="341"/>
      <c r="GIL569" s="341"/>
      <c r="GIM569" s="341"/>
      <c r="GIN569" s="341"/>
      <c r="GIO569" s="341"/>
      <c r="GIP569" s="341"/>
      <c r="GIQ569" s="341"/>
      <c r="GIR569" s="341"/>
      <c r="GIS569" s="341"/>
      <c r="GIT569" s="341"/>
      <c r="GIU569" s="341"/>
      <c r="GIV569" s="341"/>
      <c r="GIW569" s="341"/>
      <c r="GIX569" s="341"/>
      <c r="GIY569" s="341"/>
      <c r="GIZ569" s="341"/>
      <c r="GJA569" s="341"/>
      <c r="GJB569" s="341"/>
      <c r="GJC569" s="341"/>
      <c r="GJD569" s="341"/>
      <c r="GJE569" s="341"/>
      <c r="GJF569" s="341"/>
      <c r="GJG569" s="341"/>
      <c r="GJH569" s="341"/>
      <c r="GJI569" s="341"/>
      <c r="GJJ569" s="341"/>
      <c r="GJK569" s="341"/>
      <c r="GJL569" s="341"/>
      <c r="GJM569" s="341"/>
      <c r="GJN569" s="341"/>
      <c r="GJO569" s="341"/>
      <c r="GJP569" s="341"/>
      <c r="GJQ569" s="341"/>
      <c r="GJR569" s="341"/>
      <c r="GJS569" s="341"/>
      <c r="GJT569" s="341"/>
      <c r="GJU569" s="341"/>
      <c r="GJV569" s="341"/>
      <c r="GJW569" s="341"/>
      <c r="GJX569" s="341"/>
      <c r="GJY569" s="341"/>
      <c r="GJZ569" s="341"/>
      <c r="GKA569" s="341"/>
      <c r="GKB569" s="341"/>
      <c r="GKC569" s="341"/>
      <c r="GKD569" s="341"/>
      <c r="GKE569" s="341"/>
      <c r="GKF569" s="341"/>
      <c r="GKG569" s="341"/>
      <c r="GKH569" s="341"/>
      <c r="GKI569" s="341"/>
      <c r="GKJ569" s="341"/>
      <c r="GKK569" s="341"/>
      <c r="GKL569" s="341"/>
      <c r="GKM569" s="341"/>
      <c r="GKN569" s="341"/>
      <c r="GKO569" s="341"/>
      <c r="GKP569" s="341"/>
      <c r="GKQ569" s="341"/>
      <c r="GKR569" s="341"/>
      <c r="GKS569" s="341"/>
      <c r="GKT569" s="341"/>
      <c r="GKU569" s="341"/>
      <c r="GKV569" s="341"/>
      <c r="GKW569" s="341"/>
      <c r="GKX569" s="341"/>
      <c r="GKY569" s="341"/>
      <c r="GKZ569" s="341"/>
      <c r="GLA569" s="341"/>
      <c r="GLB569" s="341"/>
      <c r="GLC569" s="341"/>
      <c r="GLD569" s="341"/>
      <c r="GLE569" s="341"/>
      <c r="GLF569" s="341"/>
      <c r="GLG569" s="341"/>
      <c r="GLH569" s="341"/>
      <c r="GLI569" s="341"/>
      <c r="GLJ569" s="341"/>
      <c r="GLK569" s="341"/>
      <c r="GLL569" s="341"/>
      <c r="GLM569" s="341"/>
      <c r="GLN569" s="341"/>
      <c r="GLO569" s="341"/>
      <c r="GLP569" s="341"/>
      <c r="GLQ569" s="341"/>
      <c r="GLR569" s="341"/>
      <c r="GLS569" s="341"/>
      <c r="GLT569" s="341"/>
      <c r="GLU569" s="341"/>
      <c r="GLV569" s="341"/>
      <c r="GLW569" s="341"/>
      <c r="GLX569" s="341"/>
      <c r="GLY569" s="341"/>
      <c r="GLZ569" s="341"/>
      <c r="GMA569" s="341"/>
      <c r="GMB569" s="341"/>
      <c r="GMC569" s="341"/>
      <c r="GMD569" s="341"/>
      <c r="GME569" s="341"/>
      <c r="GMF569" s="341"/>
      <c r="GMG569" s="341"/>
      <c r="GMH569" s="341"/>
      <c r="GMI569" s="341"/>
      <c r="GMJ569" s="341"/>
      <c r="GMK569" s="341"/>
      <c r="GML569" s="341"/>
      <c r="GMM569" s="341"/>
      <c r="GMN569" s="341"/>
      <c r="GMO569" s="341"/>
      <c r="GMP569" s="341"/>
      <c r="GMQ569" s="341"/>
      <c r="GMR569" s="341"/>
      <c r="GMS569" s="341"/>
      <c r="GMT569" s="341"/>
      <c r="GMU569" s="341"/>
      <c r="GMV569" s="341"/>
      <c r="GMW569" s="341"/>
      <c r="GMX569" s="341"/>
      <c r="GMY569" s="341"/>
      <c r="GMZ569" s="341"/>
      <c r="GNA569" s="341"/>
      <c r="GNB569" s="341"/>
      <c r="GNC569" s="341"/>
      <c r="GND569" s="341"/>
      <c r="GNE569" s="341"/>
      <c r="GNF569" s="341"/>
      <c r="GNG569" s="341"/>
      <c r="GNH569" s="341"/>
      <c r="GNI569" s="341"/>
      <c r="GNJ569" s="341"/>
      <c r="GNK569" s="341"/>
      <c r="GNL569" s="341"/>
      <c r="GNM569" s="341"/>
      <c r="GNN569" s="341"/>
      <c r="GNO569" s="341"/>
      <c r="GNP569" s="341"/>
      <c r="GNQ569" s="341"/>
      <c r="GNR569" s="341"/>
      <c r="GNS569" s="341"/>
      <c r="GNT569" s="341"/>
      <c r="GNU569" s="341"/>
      <c r="GNV569" s="341"/>
      <c r="GNW569" s="341"/>
      <c r="GNX569" s="341"/>
      <c r="GNY569" s="341"/>
      <c r="GNZ569" s="341"/>
      <c r="GOA569" s="341"/>
      <c r="GOB569" s="341"/>
      <c r="GOC569" s="341"/>
      <c r="GOD569" s="341"/>
      <c r="GOE569" s="341"/>
      <c r="GOF569" s="341"/>
      <c r="GOG569" s="341"/>
      <c r="GOH569" s="341"/>
      <c r="GOI569" s="341"/>
      <c r="GOJ569" s="341"/>
      <c r="GOK569" s="341"/>
      <c r="GOL569" s="341"/>
      <c r="GOM569" s="341"/>
      <c r="GON569" s="341"/>
      <c r="GOO569" s="341"/>
      <c r="GOP569" s="341"/>
      <c r="GOQ569" s="341"/>
      <c r="GOR569" s="341"/>
      <c r="GOS569" s="341"/>
      <c r="GOT569" s="341"/>
      <c r="GOU569" s="341"/>
      <c r="GOV569" s="341"/>
      <c r="GOW569" s="341"/>
      <c r="GOX569" s="341"/>
      <c r="GOY569" s="341"/>
      <c r="GOZ569" s="341"/>
      <c r="GPA569" s="341"/>
      <c r="GPB569" s="341"/>
      <c r="GPC569" s="341"/>
      <c r="GPD569" s="341"/>
      <c r="GPE569" s="341"/>
      <c r="GPF569" s="341"/>
      <c r="GPG569" s="341"/>
      <c r="GPH569" s="341"/>
      <c r="GPI569" s="341"/>
      <c r="GPJ569" s="341"/>
      <c r="GPK569" s="341"/>
      <c r="GPL569" s="341"/>
      <c r="GPM569" s="341"/>
      <c r="GPN569" s="341"/>
      <c r="GPO569" s="341"/>
      <c r="GPP569" s="341"/>
      <c r="GPQ569" s="341"/>
      <c r="GPR569" s="341"/>
      <c r="GPS569" s="341"/>
      <c r="GPT569" s="341"/>
      <c r="GPU569" s="341"/>
      <c r="GPV569" s="341"/>
      <c r="GPW569" s="341"/>
      <c r="GPX569" s="341"/>
      <c r="GPY569" s="341"/>
      <c r="GPZ569" s="341"/>
      <c r="GQA569" s="341"/>
      <c r="GQB569" s="341"/>
      <c r="GQC569" s="341"/>
      <c r="GQD569" s="341"/>
      <c r="GQE569" s="341"/>
      <c r="GQF569" s="341"/>
      <c r="GQG569" s="341"/>
      <c r="GQH569" s="341"/>
      <c r="GQI569" s="341"/>
      <c r="GQJ569" s="341"/>
      <c r="GQK569" s="341"/>
      <c r="GQL569" s="341"/>
      <c r="GQM569" s="341"/>
      <c r="GQN569" s="341"/>
      <c r="GQO569" s="341"/>
      <c r="GQP569" s="341"/>
      <c r="GQQ569" s="341"/>
      <c r="GQR569" s="341"/>
      <c r="GQS569" s="341"/>
      <c r="GQT569" s="341"/>
      <c r="GQU569" s="341"/>
      <c r="GQV569" s="341"/>
      <c r="GQW569" s="341"/>
      <c r="GQX569" s="341"/>
      <c r="GQY569" s="341"/>
      <c r="GQZ569" s="341"/>
      <c r="GRA569" s="341"/>
      <c r="GRB569" s="341"/>
      <c r="GRC569" s="341"/>
      <c r="GRD569" s="341"/>
      <c r="GRE569" s="341"/>
      <c r="GRF569" s="341"/>
      <c r="GRG569" s="341"/>
      <c r="GRH569" s="341"/>
      <c r="GRI569" s="341"/>
      <c r="GRJ569" s="341"/>
      <c r="GRK569" s="341"/>
      <c r="GRL569" s="341"/>
      <c r="GRM569" s="341"/>
      <c r="GRN569" s="341"/>
      <c r="GRO569" s="341"/>
      <c r="GRP569" s="341"/>
      <c r="GRQ569" s="341"/>
      <c r="GRR569" s="341"/>
      <c r="GRS569" s="341"/>
      <c r="GRT569" s="341"/>
      <c r="GRU569" s="341"/>
      <c r="GRV569" s="341"/>
      <c r="GRW569" s="341"/>
      <c r="GRX569" s="341"/>
      <c r="GRY569" s="341"/>
      <c r="GRZ569" s="341"/>
      <c r="GSA569" s="341"/>
      <c r="GSB569" s="341"/>
      <c r="GSC569" s="341"/>
      <c r="GSD569" s="341"/>
      <c r="GSE569" s="341"/>
      <c r="GSF569" s="341"/>
      <c r="GSG569" s="341"/>
      <c r="GSH569" s="341"/>
      <c r="GSI569" s="341"/>
      <c r="GSJ569" s="341"/>
      <c r="GSK569" s="341"/>
      <c r="GSL569" s="341"/>
      <c r="GSM569" s="341"/>
      <c r="GSN569" s="341"/>
      <c r="GSO569" s="341"/>
      <c r="GSP569" s="341"/>
      <c r="GSQ569" s="341"/>
      <c r="GSR569" s="341"/>
      <c r="GSS569" s="341"/>
      <c r="GST569" s="341"/>
      <c r="GSU569" s="341"/>
      <c r="GSV569" s="341"/>
      <c r="GSW569" s="341"/>
      <c r="GSX569" s="341"/>
      <c r="GSY569" s="341"/>
      <c r="GSZ569" s="341"/>
      <c r="GTA569" s="341"/>
      <c r="GTB569" s="341"/>
      <c r="GTC569" s="341"/>
      <c r="GTD569" s="341"/>
      <c r="GTE569" s="341"/>
      <c r="GTF569" s="341"/>
      <c r="GTG569" s="341"/>
      <c r="GTH569" s="341"/>
      <c r="GTI569" s="341"/>
      <c r="GTJ569" s="341"/>
      <c r="GTK569" s="341"/>
      <c r="GTL569" s="341"/>
      <c r="GTM569" s="341"/>
      <c r="GTN569" s="341"/>
      <c r="GTO569" s="341"/>
      <c r="GTP569" s="341"/>
      <c r="GTQ569" s="341"/>
      <c r="GTR569" s="341"/>
      <c r="GTS569" s="341"/>
      <c r="GTT569" s="341"/>
      <c r="GTU569" s="341"/>
      <c r="GTV569" s="341"/>
      <c r="GTW569" s="341"/>
      <c r="GTX569" s="341"/>
      <c r="GTY569" s="341"/>
      <c r="GTZ569" s="341"/>
      <c r="GUA569" s="341"/>
      <c r="GUB569" s="341"/>
      <c r="GUC569" s="341"/>
      <c r="GUD569" s="341"/>
      <c r="GUE569" s="341"/>
      <c r="GUF569" s="341"/>
      <c r="GUG569" s="341"/>
      <c r="GUH569" s="341"/>
      <c r="GUI569" s="341"/>
      <c r="GUJ569" s="341"/>
      <c r="GUK569" s="341"/>
      <c r="GUL569" s="341"/>
      <c r="GUM569" s="341"/>
      <c r="GUN569" s="341"/>
      <c r="GUO569" s="341"/>
      <c r="GUP569" s="341"/>
      <c r="GUQ569" s="341"/>
      <c r="GUR569" s="341"/>
      <c r="GUS569" s="341"/>
      <c r="GUT569" s="341"/>
      <c r="GUU569" s="341"/>
      <c r="GUV569" s="341"/>
      <c r="GUW569" s="341"/>
      <c r="GUX569" s="341"/>
      <c r="GUY569" s="341"/>
      <c r="GUZ569" s="341"/>
      <c r="GVA569" s="341"/>
      <c r="GVB569" s="341"/>
      <c r="GVC569" s="341"/>
      <c r="GVD569" s="341"/>
      <c r="GVE569" s="341"/>
      <c r="GVF569" s="341"/>
      <c r="GVG569" s="341"/>
      <c r="GVH569" s="341"/>
      <c r="GVI569" s="341"/>
      <c r="GVJ569" s="341"/>
      <c r="GVK569" s="341"/>
      <c r="GVL569" s="341"/>
      <c r="GVM569" s="341"/>
      <c r="GVN569" s="341"/>
      <c r="GVO569" s="341"/>
      <c r="GVP569" s="341"/>
      <c r="GVQ569" s="341"/>
      <c r="GVR569" s="341"/>
      <c r="GVS569" s="341"/>
      <c r="GVT569" s="341"/>
      <c r="GVU569" s="341"/>
      <c r="GVV569" s="341"/>
      <c r="GVW569" s="341"/>
      <c r="GVX569" s="341"/>
      <c r="GVY569" s="341"/>
      <c r="GVZ569" s="341"/>
      <c r="GWA569" s="341"/>
      <c r="GWB569" s="341"/>
      <c r="GWC569" s="341"/>
      <c r="GWD569" s="341"/>
      <c r="GWE569" s="341"/>
      <c r="GWF569" s="341"/>
      <c r="GWG569" s="341"/>
      <c r="GWH569" s="341"/>
      <c r="GWI569" s="341"/>
      <c r="GWJ569" s="341"/>
      <c r="GWK569" s="341"/>
      <c r="GWL569" s="341"/>
      <c r="GWM569" s="341"/>
      <c r="GWN569" s="341"/>
      <c r="GWO569" s="341"/>
      <c r="GWP569" s="341"/>
      <c r="GWQ569" s="341"/>
      <c r="GWR569" s="341"/>
      <c r="GWS569" s="341"/>
      <c r="GWT569" s="341"/>
      <c r="GWU569" s="341"/>
      <c r="GWV569" s="341"/>
      <c r="GWW569" s="341"/>
      <c r="GWX569" s="341"/>
      <c r="GWY569" s="341"/>
      <c r="GWZ569" s="341"/>
      <c r="GXA569" s="341"/>
      <c r="GXB569" s="341"/>
      <c r="GXC569" s="341"/>
      <c r="GXD569" s="341"/>
      <c r="GXE569" s="341"/>
      <c r="GXF569" s="341"/>
      <c r="GXG569" s="341"/>
      <c r="GXH569" s="341"/>
      <c r="GXI569" s="341"/>
      <c r="GXJ569" s="341"/>
      <c r="GXK569" s="341"/>
      <c r="GXL569" s="341"/>
      <c r="GXM569" s="341"/>
      <c r="GXN569" s="341"/>
      <c r="GXO569" s="341"/>
      <c r="GXP569" s="341"/>
      <c r="GXQ569" s="341"/>
      <c r="GXR569" s="341"/>
      <c r="GXS569" s="341"/>
      <c r="GXT569" s="341"/>
      <c r="GXU569" s="341"/>
      <c r="GXV569" s="341"/>
      <c r="GXW569" s="341"/>
      <c r="GXX569" s="341"/>
      <c r="GXY569" s="341"/>
      <c r="GXZ569" s="341"/>
      <c r="GYA569" s="341"/>
      <c r="GYB569" s="341"/>
      <c r="GYC569" s="341"/>
      <c r="GYD569" s="341"/>
      <c r="GYE569" s="341"/>
      <c r="GYF569" s="341"/>
      <c r="GYG569" s="341"/>
      <c r="GYH569" s="341"/>
      <c r="GYI569" s="341"/>
      <c r="GYJ569" s="341"/>
      <c r="GYK569" s="341"/>
      <c r="GYL569" s="341"/>
      <c r="GYM569" s="341"/>
      <c r="GYN569" s="341"/>
      <c r="GYO569" s="341"/>
      <c r="GYP569" s="341"/>
      <c r="GYQ569" s="341"/>
      <c r="GYR569" s="341"/>
      <c r="GYS569" s="341"/>
      <c r="GYT569" s="341"/>
      <c r="GYU569" s="341"/>
      <c r="GYV569" s="341"/>
      <c r="GYW569" s="341"/>
      <c r="GYX569" s="341"/>
      <c r="GYY569" s="341"/>
      <c r="GYZ569" s="341"/>
      <c r="GZA569" s="341"/>
      <c r="GZB569" s="341"/>
      <c r="GZC569" s="341"/>
      <c r="GZD569" s="341"/>
      <c r="GZE569" s="341"/>
      <c r="GZF569" s="341"/>
      <c r="GZG569" s="341"/>
      <c r="GZH569" s="341"/>
      <c r="GZI569" s="341"/>
      <c r="GZJ569" s="341"/>
      <c r="GZK569" s="341"/>
      <c r="GZL569" s="341"/>
      <c r="GZM569" s="341"/>
      <c r="GZN569" s="341"/>
      <c r="GZO569" s="341"/>
      <c r="GZP569" s="341"/>
      <c r="GZQ569" s="341"/>
      <c r="GZR569" s="341"/>
      <c r="GZS569" s="341"/>
      <c r="GZT569" s="341"/>
      <c r="GZU569" s="341"/>
      <c r="GZV569" s="341"/>
      <c r="GZW569" s="341"/>
      <c r="GZX569" s="341"/>
      <c r="GZY569" s="341"/>
      <c r="GZZ569" s="341"/>
      <c r="HAA569" s="341"/>
      <c r="HAB569" s="341"/>
      <c r="HAC569" s="341"/>
      <c r="HAD569" s="341"/>
      <c r="HAE569" s="341"/>
      <c r="HAF569" s="341"/>
      <c r="HAG569" s="341"/>
      <c r="HAH569" s="341"/>
      <c r="HAI569" s="341"/>
      <c r="HAJ569" s="341"/>
      <c r="HAK569" s="341"/>
      <c r="HAL569" s="341"/>
      <c r="HAM569" s="341"/>
      <c r="HAN569" s="341"/>
      <c r="HAO569" s="341"/>
      <c r="HAP569" s="341"/>
      <c r="HAQ569" s="341"/>
      <c r="HAR569" s="341"/>
      <c r="HAS569" s="341"/>
      <c r="HAT569" s="341"/>
      <c r="HAU569" s="341"/>
      <c r="HAV569" s="341"/>
      <c r="HAW569" s="341"/>
      <c r="HAX569" s="341"/>
      <c r="HAY569" s="341"/>
      <c r="HAZ569" s="341"/>
      <c r="HBA569" s="341"/>
      <c r="HBB569" s="341"/>
      <c r="HBC569" s="341"/>
      <c r="HBD569" s="341"/>
      <c r="HBE569" s="341"/>
      <c r="HBF569" s="341"/>
      <c r="HBG569" s="341"/>
      <c r="HBH569" s="341"/>
      <c r="HBI569" s="341"/>
      <c r="HBJ569" s="341"/>
      <c r="HBK569" s="341"/>
      <c r="HBL569" s="341"/>
      <c r="HBM569" s="341"/>
      <c r="HBN569" s="341"/>
      <c r="HBO569" s="341"/>
      <c r="HBP569" s="341"/>
      <c r="HBQ569" s="341"/>
      <c r="HBR569" s="341"/>
      <c r="HBS569" s="341"/>
      <c r="HBT569" s="341"/>
      <c r="HBU569" s="341"/>
      <c r="HBV569" s="341"/>
      <c r="HBW569" s="341"/>
      <c r="HBX569" s="341"/>
      <c r="HBY569" s="341"/>
      <c r="HBZ569" s="341"/>
      <c r="HCA569" s="341"/>
      <c r="HCB569" s="341"/>
      <c r="HCC569" s="341"/>
      <c r="HCD569" s="341"/>
      <c r="HCE569" s="341"/>
      <c r="HCF569" s="341"/>
      <c r="HCG569" s="341"/>
      <c r="HCH569" s="341"/>
      <c r="HCI569" s="341"/>
      <c r="HCJ569" s="341"/>
      <c r="HCK569" s="341"/>
      <c r="HCL569" s="341"/>
      <c r="HCM569" s="341"/>
      <c r="HCN569" s="341"/>
      <c r="HCO569" s="341"/>
      <c r="HCP569" s="341"/>
      <c r="HCQ569" s="341"/>
      <c r="HCR569" s="341"/>
      <c r="HCS569" s="341"/>
      <c r="HCT569" s="341"/>
      <c r="HCU569" s="341"/>
      <c r="HCV569" s="341"/>
      <c r="HCW569" s="341"/>
      <c r="HCX569" s="341"/>
      <c r="HCY569" s="341"/>
      <c r="HCZ569" s="341"/>
      <c r="HDA569" s="341"/>
      <c r="HDB569" s="341"/>
      <c r="HDC569" s="341"/>
      <c r="HDD569" s="341"/>
      <c r="HDE569" s="341"/>
      <c r="HDF569" s="341"/>
      <c r="HDG569" s="341"/>
      <c r="HDH569" s="341"/>
      <c r="HDI569" s="341"/>
      <c r="HDJ569" s="341"/>
      <c r="HDK569" s="341"/>
      <c r="HDL569" s="341"/>
      <c r="HDM569" s="341"/>
      <c r="HDN569" s="341"/>
      <c r="HDO569" s="341"/>
      <c r="HDP569" s="341"/>
      <c r="HDQ569" s="341"/>
      <c r="HDR569" s="341"/>
      <c r="HDS569" s="341"/>
      <c r="HDT569" s="341"/>
      <c r="HDU569" s="341"/>
      <c r="HDV569" s="341"/>
      <c r="HDW569" s="341"/>
      <c r="HDX569" s="341"/>
      <c r="HDY569" s="341"/>
      <c r="HDZ569" s="341"/>
      <c r="HEA569" s="341"/>
      <c r="HEB569" s="341"/>
      <c r="HEC569" s="341"/>
      <c r="HED569" s="341"/>
      <c r="HEE569" s="341"/>
      <c r="HEF569" s="341"/>
      <c r="HEG569" s="341"/>
      <c r="HEH569" s="341"/>
      <c r="HEI569" s="341"/>
      <c r="HEJ569" s="341"/>
      <c r="HEK569" s="341"/>
      <c r="HEL569" s="341"/>
      <c r="HEM569" s="341"/>
      <c r="HEN569" s="341"/>
      <c r="HEO569" s="341"/>
      <c r="HEP569" s="341"/>
      <c r="HEQ569" s="341"/>
      <c r="HER569" s="341"/>
      <c r="HES569" s="341"/>
      <c r="HET569" s="341"/>
      <c r="HEU569" s="341"/>
      <c r="HEV569" s="341"/>
      <c r="HEW569" s="341"/>
      <c r="HEX569" s="341"/>
      <c r="HEY569" s="341"/>
      <c r="HEZ569" s="341"/>
      <c r="HFA569" s="341"/>
      <c r="HFB569" s="341"/>
      <c r="HFC569" s="341"/>
      <c r="HFD569" s="341"/>
      <c r="HFE569" s="341"/>
      <c r="HFF569" s="341"/>
      <c r="HFG569" s="341"/>
      <c r="HFH569" s="341"/>
      <c r="HFI569" s="341"/>
      <c r="HFJ569" s="341"/>
      <c r="HFK569" s="341"/>
      <c r="HFL569" s="341"/>
      <c r="HFM569" s="341"/>
      <c r="HFN569" s="341"/>
      <c r="HFO569" s="341"/>
      <c r="HFP569" s="341"/>
      <c r="HFQ569" s="341"/>
      <c r="HFR569" s="341"/>
      <c r="HFS569" s="341"/>
      <c r="HFT569" s="341"/>
      <c r="HFU569" s="341"/>
      <c r="HFV569" s="341"/>
      <c r="HFW569" s="341"/>
      <c r="HFX569" s="341"/>
      <c r="HFY569" s="341"/>
      <c r="HFZ569" s="341"/>
      <c r="HGA569" s="341"/>
      <c r="HGB569" s="341"/>
      <c r="HGC569" s="341"/>
      <c r="HGD569" s="341"/>
      <c r="HGE569" s="341"/>
      <c r="HGF569" s="341"/>
      <c r="HGG569" s="341"/>
      <c r="HGH569" s="341"/>
      <c r="HGI569" s="341"/>
      <c r="HGJ569" s="341"/>
      <c r="HGK569" s="341"/>
      <c r="HGL569" s="341"/>
      <c r="HGM569" s="341"/>
      <c r="HGN569" s="341"/>
      <c r="HGO569" s="341"/>
      <c r="HGP569" s="341"/>
      <c r="HGQ569" s="341"/>
      <c r="HGR569" s="341"/>
      <c r="HGS569" s="341"/>
      <c r="HGT569" s="341"/>
      <c r="HGU569" s="341"/>
      <c r="HGV569" s="341"/>
      <c r="HGW569" s="341"/>
      <c r="HGX569" s="341"/>
      <c r="HGY569" s="341"/>
      <c r="HGZ569" s="341"/>
      <c r="HHA569" s="341"/>
      <c r="HHB569" s="341"/>
      <c r="HHC569" s="341"/>
      <c r="HHD569" s="341"/>
      <c r="HHE569" s="341"/>
      <c r="HHF569" s="341"/>
      <c r="HHG569" s="341"/>
      <c r="HHH569" s="341"/>
      <c r="HHI569" s="341"/>
      <c r="HHJ569" s="341"/>
      <c r="HHK569" s="341"/>
      <c r="HHL569" s="341"/>
      <c r="HHM569" s="341"/>
      <c r="HHN569" s="341"/>
      <c r="HHO569" s="341"/>
      <c r="HHP569" s="341"/>
      <c r="HHQ569" s="341"/>
      <c r="HHR569" s="341"/>
      <c r="HHS569" s="341"/>
      <c r="HHT569" s="341"/>
      <c r="HHU569" s="341"/>
      <c r="HHV569" s="341"/>
      <c r="HHW569" s="341"/>
      <c r="HHX569" s="341"/>
      <c r="HHY569" s="341"/>
      <c r="HHZ569" s="341"/>
      <c r="HIA569" s="341"/>
      <c r="HIB569" s="341"/>
      <c r="HIC569" s="341"/>
      <c r="HID569" s="341"/>
      <c r="HIE569" s="341"/>
      <c r="HIF569" s="341"/>
      <c r="HIG569" s="341"/>
      <c r="HIH569" s="341"/>
      <c r="HII569" s="341"/>
      <c r="HIJ569" s="341"/>
      <c r="HIK569" s="341"/>
      <c r="HIL569" s="341"/>
      <c r="HIM569" s="341"/>
      <c r="HIN569" s="341"/>
      <c r="HIO569" s="341"/>
      <c r="HIP569" s="341"/>
      <c r="HIQ569" s="341"/>
      <c r="HIR569" s="341"/>
      <c r="HIS569" s="341"/>
      <c r="HIT569" s="341"/>
      <c r="HIU569" s="341"/>
      <c r="HIV569" s="341"/>
      <c r="HIW569" s="341"/>
      <c r="HIX569" s="341"/>
      <c r="HIY569" s="341"/>
      <c r="HIZ569" s="341"/>
      <c r="HJA569" s="341"/>
      <c r="HJB569" s="341"/>
      <c r="HJC569" s="341"/>
      <c r="HJD569" s="341"/>
      <c r="HJE569" s="341"/>
      <c r="HJF569" s="341"/>
      <c r="HJG569" s="341"/>
      <c r="HJH569" s="341"/>
      <c r="HJI569" s="341"/>
      <c r="HJJ569" s="341"/>
      <c r="HJK569" s="341"/>
      <c r="HJL569" s="341"/>
      <c r="HJM569" s="341"/>
      <c r="HJN569" s="341"/>
      <c r="HJO569" s="341"/>
      <c r="HJP569" s="341"/>
      <c r="HJQ569" s="341"/>
      <c r="HJR569" s="341"/>
      <c r="HJS569" s="341"/>
      <c r="HJT569" s="341"/>
      <c r="HJU569" s="341"/>
      <c r="HJV569" s="341"/>
      <c r="HJW569" s="341"/>
      <c r="HJX569" s="341"/>
      <c r="HJY569" s="341"/>
      <c r="HJZ569" s="341"/>
      <c r="HKA569" s="341"/>
      <c r="HKB569" s="341"/>
      <c r="HKC569" s="341"/>
      <c r="HKD569" s="341"/>
      <c r="HKE569" s="341"/>
      <c r="HKF569" s="341"/>
      <c r="HKG569" s="341"/>
      <c r="HKH569" s="341"/>
      <c r="HKI569" s="341"/>
      <c r="HKJ569" s="341"/>
      <c r="HKK569" s="341"/>
      <c r="HKL569" s="341"/>
      <c r="HKM569" s="341"/>
      <c r="HKN569" s="341"/>
      <c r="HKO569" s="341"/>
      <c r="HKP569" s="341"/>
      <c r="HKQ569" s="341"/>
      <c r="HKR569" s="341"/>
      <c r="HKS569" s="341"/>
      <c r="HKT569" s="341"/>
      <c r="HKU569" s="341"/>
      <c r="HKV569" s="341"/>
      <c r="HKW569" s="341"/>
      <c r="HKX569" s="341"/>
      <c r="HKY569" s="341"/>
      <c r="HKZ569" s="341"/>
      <c r="HLA569" s="341"/>
      <c r="HLB569" s="341"/>
      <c r="HLC569" s="341"/>
      <c r="HLD569" s="341"/>
      <c r="HLE569" s="341"/>
      <c r="HLF569" s="341"/>
      <c r="HLG569" s="341"/>
      <c r="HLH569" s="341"/>
      <c r="HLI569" s="341"/>
      <c r="HLJ569" s="341"/>
      <c r="HLK569" s="341"/>
      <c r="HLL569" s="341"/>
      <c r="HLM569" s="341"/>
      <c r="HLN569" s="341"/>
      <c r="HLO569" s="341"/>
      <c r="HLP569" s="341"/>
      <c r="HLQ569" s="341"/>
      <c r="HLR569" s="341"/>
      <c r="HLS569" s="341"/>
      <c r="HLT569" s="341"/>
      <c r="HLU569" s="341"/>
      <c r="HLV569" s="341"/>
      <c r="HLW569" s="341"/>
      <c r="HLX569" s="341"/>
      <c r="HLY569" s="341"/>
      <c r="HLZ569" s="341"/>
      <c r="HMA569" s="341"/>
      <c r="HMB569" s="341"/>
      <c r="HMC569" s="341"/>
      <c r="HMD569" s="341"/>
      <c r="HME569" s="341"/>
      <c r="HMF569" s="341"/>
      <c r="HMG569" s="341"/>
      <c r="HMH569" s="341"/>
      <c r="HMI569" s="341"/>
      <c r="HMJ569" s="341"/>
      <c r="HMK569" s="341"/>
      <c r="HML569" s="341"/>
      <c r="HMM569" s="341"/>
      <c r="HMN569" s="341"/>
      <c r="HMO569" s="341"/>
      <c r="HMP569" s="341"/>
      <c r="HMQ569" s="341"/>
      <c r="HMR569" s="341"/>
      <c r="HMS569" s="341"/>
      <c r="HMT569" s="341"/>
      <c r="HMU569" s="341"/>
      <c r="HMV569" s="341"/>
      <c r="HMW569" s="341"/>
      <c r="HMX569" s="341"/>
      <c r="HMY569" s="341"/>
      <c r="HMZ569" s="341"/>
      <c r="HNA569" s="341"/>
      <c r="HNB569" s="341"/>
      <c r="HNC569" s="341"/>
      <c r="HND569" s="341"/>
      <c r="HNE569" s="341"/>
      <c r="HNF569" s="341"/>
      <c r="HNG569" s="341"/>
      <c r="HNH569" s="341"/>
      <c r="HNI569" s="341"/>
      <c r="HNJ569" s="341"/>
      <c r="HNK569" s="341"/>
      <c r="HNL569" s="341"/>
      <c r="HNM569" s="341"/>
      <c r="HNN569" s="341"/>
      <c r="HNO569" s="341"/>
      <c r="HNP569" s="341"/>
      <c r="HNQ569" s="341"/>
      <c r="HNR569" s="341"/>
      <c r="HNS569" s="341"/>
      <c r="HNT569" s="341"/>
      <c r="HNU569" s="341"/>
      <c r="HNV569" s="341"/>
      <c r="HNW569" s="341"/>
      <c r="HNX569" s="341"/>
      <c r="HNY569" s="341"/>
      <c r="HNZ569" s="341"/>
      <c r="HOA569" s="341"/>
      <c r="HOB569" s="341"/>
      <c r="HOC569" s="341"/>
      <c r="HOD569" s="341"/>
      <c r="HOE569" s="341"/>
      <c r="HOF569" s="341"/>
      <c r="HOG569" s="341"/>
      <c r="HOH569" s="341"/>
      <c r="HOI569" s="341"/>
      <c r="HOJ569" s="341"/>
      <c r="HOK569" s="341"/>
      <c r="HOL569" s="341"/>
      <c r="HOM569" s="341"/>
      <c r="HON569" s="341"/>
      <c r="HOO569" s="341"/>
      <c r="HOP569" s="341"/>
      <c r="HOQ569" s="341"/>
      <c r="HOR569" s="341"/>
      <c r="HOS569" s="341"/>
      <c r="HOT569" s="341"/>
      <c r="HOU569" s="341"/>
      <c r="HOV569" s="341"/>
      <c r="HOW569" s="341"/>
      <c r="HOX569" s="341"/>
      <c r="HOY569" s="341"/>
      <c r="HOZ569" s="341"/>
      <c r="HPA569" s="341"/>
      <c r="HPB569" s="341"/>
      <c r="HPC569" s="341"/>
      <c r="HPD569" s="341"/>
      <c r="HPE569" s="341"/>
      <c r="HPF569" s="341"/>
      <c r="HPG569" s="341"/>
      <c r="HPH569" s="341"/>
      <c r="HPI569" s="341"/>
      <c r="HPJ569" s="341"/>
      <c r="HPK569" s="341"/>
      <c r="HPL569" s="341"/>
      <c r="HPM569" s="341"/>
      <c r="HPN569" s="341"/>
      <c r="HPO569" s="341"/>
      <c r="HPP569" s="341"/>
      <c r="HPQ569" s="341"/>
      <c r="HPR569" s="341"/>
      <c r="HPS569" s="341"/>
      <c r="HPT569" s="341"/>
      <c r="HPU569" s="341"/>
      <c r="HPV569" s="341"/>
      <c r="HPW569" s="341"/>
      <c r="HPX569" s="341"/>
      <c r="HPY569" s="341"/>
      <c r="HPZ569" s="341"/>
      <c r="HQA569" s="341"/>
      <c r="HQB569" s="341"/>
      <c r="HQC569" s="341"/>
      <c r="HQD569" s="341"/>
      <c r="HQE569" s="341"/>
      <c r="HQF569" s="341"/>
      <c r="HQG569" s="341"/>
      <c r="HQH569" s="341"/>
      <c r="HQI569" s="341"/>
      <c r="HQJ569" s="341"/>
      <c r="HQK569" s="341"/>
      <c r="HQL569" s="341"/>
      <c r="HQM569" s="341"/>
      <c r="HQN569" s="341"/>
      <c r="HQO569" s="341"/>
      <c r="HQP569" s="341"/>
      <c r="HQQ569" s="341"/>
      <c r="HQR569" s="341"/>
      <c r="HQS569" s="341"/>
      <c r="HQT569" s="341"/>
      <c r="HQU569" s="341"/>
      <c r="HQV569" s="341"/>
      <c r="HQW569" s="341"/>
      <c r="HQX569" s="341"/>
      <c r="HQY569" s="341"/>
      <c r="HQZ569" s="341"/>
      <c r="HRA569" s="341"/>
      <c r="HRB569" s="341"/>
      <c r="HRC569" s="341"/>
      <c r="HRD569" s="341"/>
      <c r="HRE569" s="341"/>
      <c r="HRF569" s="341"/>
      <c r="HRG569" s="341"/>
      <c r="HRH569" s="341"/>
      <c r="HRI569" s="341"/>
      <c r="HRJ569" s="341"/>
      <c r="HRK569" s="341"/>
      <c r="HRL569" s="341"/>
      <c r="HRM569" s="341"/>
      <c r="HRN569" s="341"/>
      <c r="HRO569" s="341"/>
      <c r="HRP569" s="341"/>
      <c r="HRQ569" s="341"/>
      <c r="HRR569" s="341"/>
      <c r="HRS569" s="341"/>
      <c r="HRT569" s="341"/>
      <c r="HRU569" s="341"/>
      <c r="HRV569" s="341"/>
      <c r="HRW569" s="341"/>
      <c r="HRX569" s="341"/>
      <c r="HRY569" s="341"/>
      <c r="HRZ569" s="341"/>
      <c r="HSA569" s="341"/>
      <c r="HSB569" s="341"/>
      <c r="HSC569" s="341"/>
      <c r="HSD569" s="341"/>
      <c r="HSE569" s="341"/>
      <c r="HSF569" s="341"/>
      <c r="HSG569" s="341"/>
      <c r="HSH569" s="341"/>
      <c r="HSI569" s="341"/>
      <c r="HSJ569" s="341"/>
      <c r="HSK569" s="341"/>
      <c r="HSL569" s="341"/>
      <c r="HSM569" s="341"/>
      <c r="HSN569" s="341"/>
      <c r="HSO569" s="341"/>
      <c r="HSP569" s="341"/>
      <c r="HSQ569" s="341"/>
      <c r="HSR569" s="341"/>
      <c r="HSS569" s="341"/>
      <c r="HST569" s="341"/>
      <c r="HSU569" s="341"/>
      <c r="HSV569" s="341"/>
      <c r="HSW569" s="341"/>
      <c r="HSX569" s="341"/>
      <c r="HSY569" s="341"/>
      <c r="HSZ569" s="341"/>
      <c r="HTA569" s="341"/>
      <c r="HTB569" s="341"/>
      <c r="HTC569" s="341"/>
      <c r="HTD569" s="341"/>
      <c r="HTE569" s="341"/>
      <c r="HTF569" s="341"/>
      <c r="HTG569" s="341"/>
      <c r="HTH569" s="341"/>
      <c r="HTI569" s="341"/>
      <c r="HTJ569" s="341"/>
      <c r="HTK569" s="341"/>
      <c r="HTL569" s="341"/>
      <c r="HTM569" s="341"/>
      <c r="HTN569" s="341"/>
      <c r="HTO569" s="341"/>
      <c r="HTP569" s="341"/>
      <c r="HTQ569" s="341"/>
      <c r="HTR569" s="341"/>
      <c r="HTS569" s="341"/>
      <c r="HTT569" s="341"/>
      <c r="HTU569" s="341"/>
      <c r="HTV569" s="341"/>
      <c r="HTW569" s="341"/>
      <c r="HTX569" s="341"/>
      <c r="HTY569" s="341"/>
      <c r="HTZ569" s="341"/>
      <c r="HUA569" s="341"/>
      <c r="HUB569" s="341"/>
      <c r="HUC569" s="341"/>
      <c r="HUD569" s="341"/>
      <c r="HUE569" s="341"/>
      <c r="HUF569" s="341"/>
      <c r="HUG569" s="341"/>
      <c r="HUH569" s="341"/>
      <c r="HUI569" s="341"/>
      <c r="HUJ569" s="341"/>
      <c r="HUK569" s="341"/>
      <c r="HUL569" s="341"/>
      <c r="HUM569" s="341"/>
      <c r="HUN569" s="341"/>
      <c r="HUO569" s="341"/>
      <c r="HUP569" s="341"/>
      <c r="HUQ569" s="341"/>
      <c r="HUR569" s="341"/>
      <c r="HUS569" s="341"/>
      <c r="HUT569" s="341"/>
      <c r="HUU569" s="341"/>
      <c r="HUV569" s="341"/>
      <c r="HUW569" s="341"/>
      <c r="HUX569" s="341"/>
      <c r="HUY569" s="341"/>
      <c r="HUZ569" s="341"/>
      <c r="HVA569" s="341"/>
      <c r="HVB569" s="341"/>
      <c r="HVC569" s="341"/>
      <c r="HVD569" s="341"/>
      <c r="HVE569" s="341"/>
      <c r="HVF569" s="341"/>
      <c r="HVG569" s="341"/>
      <c r="HVH569" s="341"/>
      <c r="HVI569" s="341"/>
      <c r="HVJ569" s="341"/>
      <c r="HVK569" s="341"/>
      <c r="HVL569" s="341"/>
      <c r="HVM569" s="341"/>
      <c r="HVN569" s="341"/>
      <c r="HVO569" s="341"/>
      <c r="HVP569" s="341"/>
      <c r="HVQ569" s="341"/>
      <c r="HVR569" s="341"/>
      <c r="HVS569" s="341"/>
      <c r="HVT569" s="341"/>
      <c r="HVU569" s="341"/>
      <c r="HVV569" s="341"/>
      <c r="HVW569" s="341"/>
      <c r="HVX569" s="341"/>
      <c r="HVY569" s="341"/>
      <c r="HVZ569" s="341"/>
      <c r="HWA569" s="341"/>
      <c r="HWB569" s="341"/>
      <c r="HWC569" s="341"/>
      <c r="HWD569" s="341"/>
      <c r="HWE569" s="341"/>
      <c r="HWF569" s="341"/>
      <c r="HWG569" s="341"/>
      <c r="HWH569" s="341"/>
      <c r="HWI569" s="341"/>
      <c r="HWJ569" s="341"/>
      <c r="HWK569" s="341"/>
      <c r="HWL569" s="341"/>
      <c r="HWM569" s="341"/>
      <c r="HWN569" s="341"/>
      <c r="HWO569" s="341"/>
      <c r="HWP569" s="341"/>
      <c r="HWQ569" s="341"/>
      <c r="HWR569" s="341"/>
      <c r="HWS569" s="341"/>
      <c r="HWT569" s="341"/>
      <c r="HWU569" s="341"/>
      <c r="HWV569" s="341"/>
      <c r="HWW569" s="341"/>
      <c r="HWX569" s="341"/>
      <c r="HWY569" s="341"/>
      <c r="HWZ569" s="341"/>
      <c r="HXA569" s="341"/>
      <c r="HXB569" s="341"/>
      <c r="HXC569" s="341"/>
      <c r="HXD569" s="341"/>
      <c r="HXE569" s="341"/>
      <c r="HXF569" s="341"/>
      <c r="HXG569" s="341"/>
      <c r="HXH569" s="341"/>
      <c r="HXI569" s="341"/>
      <c r="HXJ569" s="341"/>
      <c r="HXK569" s="341"/>
      <c r="HXL569" s="341"/>
      <c r="HXM569" s="341"/>
      <c r="HXN569" s="341"/>
      <c r="HXO569" s="341"/>
      <c r="HXP569" s="341"/>
      <c r="HXQ569" s="341"/>
      <c r="HXR569" s="341"/>
      <c r="HXS569" s="341"/>
      <c r="HXT569" s="341"/>
      <c r="HXU569" s="341"/>
      <c r="HXV569" s="341"/>
      <c r="HXW569" s="341"/>
      <c r="HXX569" s="341"/>
      <c r="HXY569" s="341"/>
      <c r="HXZ569" s="341"/>
      <c r="HYA569" s="341"/>
      <c r="HYB569" s="341"/>
      <c r="HYC569" s="341"/>
      <c r="HYD569" s="341"/>
      <c r="HYE569" s="341"/>
      <c r="HYF569" s="341"/>
      <c r="HYG569" s="341"/>
      <c r="HYH569" s="341"/>
      <c r="HYI569" s="341"/>
      <c r="HYJ569" s="341"/>
      <c r="HYK569" s="341"/>
      <c r="HYL569" s="341"/>
      <c r="HYM569" s="341"/>
      <c r="HYN569" s="341"/>
      <c r="HYO569" s="341"/>
      <c r="HYP569" s="341"/>
      <c r="HYQ569" s="341"/>
      <c r="HYR569" s="341"/>
      <c r="HYS569" s="341"/>
      <c r="HYT569" s="341"/>
      <c r="HYU569" s="341"/>
      <c r="HYV569" s="341"/>
      <c r="HYW569" s="341"/>
      <c r="HYX569" s="341"/>
      <c r="HYY569" s="341"/>
      <c r="HYZ569" s="341"/>
      <c r="HZA569" s="341"/>
      <c r="HZB569" s="341"/>
      <c r="HZC569" s="341"/>
      <c r="HZD569" s="341"/>
      <c r="HZE569" s="341"/>
      <c r="HZF569" s="341"/>
      <c r="HZG569" s="341"/>
      <c r="HZH569" s="341"/>
      <c r="HZI569" s="341"/>
      <c r="HZJ569" s="341"/>
      <c r="HZK569" s="341"/>
      <c r="HZL569" s="341"/>
      <c r="HZM569" s="341"/>
      <c r="HZN569" s="341"/>
      <c r="HZO569" s="341"/>
      <c r="HZP569" s="341"/>
      <c r="HZQ569" s="341"/>
      <c r="HZR569" s="341"/>
      <c r="HZS569" s="341"/>
      <c r="HZT569" s="341"/>
      <c r="HZU569" s="341"/>
      <c r="HZV569" s="341"/>
      <c r="HZW569" s="341"/>
      <c r="HZX569" s="341"/>
      <c r="HZY569" s="341"/>
      <c r="HZZ569" s="341"/>
      <c r="IAA569" s="341"/>
      <c r="IAB569" s="341"/>
      <c r="IAC569" s="341"/>
      <c r="IAD569" s="341"/>
      <c r="IAE569" s="341"/>
      <c r="IAF569" s="341"/>
      <c r="IAG569" s="341"/>
      <c r="IAH569" s="341"/>
      <c r="IAI569" s="341"/>
      <c r="IAJ569" s="341"/>
      <c r="IAK569" s="341"/>
      <c r="IAL569" s="341"/>
      <c r="IAM569" s="341"/>
      <c r="IAN569" s="341"/>
      <c r="IAO569" s="341"/>
      <c r="IAP569" s="341"/>
      <c r="IAQ569" s="341"/>
      <c r="IAR569" s="341"/>
      <c r="IAS569" s="341"/>
      <c r="IAT569" s="341"/>
      <c r="IAU569" s="341"/>
      <c r="IAV569" s="341"/>
      <c r="IAW569" s="341"/>
      <c r="IAX569" s="341"/>
      <c r="IAY569" s="341"/>
      <c r="IAZ569" s="341"/>
      <c r="IBA569" s="341"/>
      <c r="IBB569" s="341"/>
      <c r="IBC569" s="341"/>
      <c r="IBD569" s="341"/>
      <c r="IBE569" s="341"/>
      <c r="IBF569" s="341"/>
      <c r="IBG569" s="341"/>
      <c r="IBH569" s="341"/>
      <c r="IBI569" s="341"/>
      <c r="IBJ569" s="341"/>
      <c r="IBK569" s="341"/>
      <c r="IBL569" s="341"/>
      <c r="IBM569" s="341"/>
      <c r="IBN569" s="341"/>
      <c r="IBO569" s="341"/>
      <c r="IBP569" s="341"/>
      <c r="IBQ569" s="341"/>
      <c r="IBR569" s="341"/>
      <c r="IBS569" s="341"/>
      <c r="IBT569" s="341"/>
      <c r="IBU569" s="341"/>
      <c r="IBV569" s="341"/>
      <c r="IBW569" s="341"/>
      <c r="IBX569" s="341"/>
      <c r="IBY569" s="341"/>
      <c r="IBZ569" s="341"/>
      <c r="ICA569" s="341"/>
      <c r="ICB569" s="341"/>
      <c r="ICC569" s="341"/>
      <c r="ICD569" s="341"/>
      <c r="ICE569" s="341"/>
      <c r="ICF569" s="341"/>
      <c r="ICG569" s="341"/>
      <c r="ICH569" s="341"/>
      <c r="ICI569" s="341"/>
      <c r="ICJ569" s="341"/>
      <c r="ICK569" s="341"/>
      <c r="ICL569" s="341"/>
      <c r="ICM569" s="341"/>
      <c r="ICN569" s="341"/>
      <c r="ICO569" s="341"/>
      <c r="ICP569" s="341"/>
      <c r="ICQ569" s="341"/>
      <c r="ICR569" s="341"/>
      <c r="ICS569" s="341"/>
      <c r="ICT569" s="341"/>
      <c r="ICU569" s="341"/>
      <c r="ICV569" s="341"/>
      <c r="ICW569" s="341"/>
      <c r="ICX569" s="341"/>
      <c r="ICY569" s="341"/>
      <c r="ICZ569" s="341"/>
      <c r="IDA569" s="341"/>
      <c r="IDB569" s="341"/>
      <c r="IDC569" s="341"/>
      <c r="IDD569" s="341"/>
      <c r="IDE569" s="341"/>
      <c r="IDF569" s="341"/>
      <c r="IDG569" s="341"/>
      <c r="IDH569" s="341"/>
      <c r="IDI569" s="341"/>
      <c r="IDJ569" s="341"/>
      <c r="IDK569" s="341"/>
      <c r="IDL569" s="341"/>
      <c r="IDM569" s="341"/>
      <c r="IDN569" s="341"/>
      <c r="IDO569" s="341"/>
      <c r="IDP569" s="341"/>
      <c r="IDQ569" s="341"/>
      <c r="IDR569" s="341"/>
      <c r="IDS569" s="341"/>
      <c r="IDT569" s="341"/>
      <c r="IDU569" s="341"/>
      <c r="IDV569" s="341"/>
      <c r="IDW569" s="341"/>
      <c r="IDX569" s="341"/>
      <c r="IDY569" s="341"/>
      <c r="IDZ569" s="341"/>
      <c r="IEA569" s="341"/>
      <c r="IEB569" s="341"/>
      <c r="IEC569" s="341"/>
      <c r="IED569" s="341"/>
      <c r="IEE569" s="341"/>
      <c r="IEF569" s="341"/>
      <c r="IEG569" s="341"/>
      <c r="IEH569" s="341"/>
      <c r="IEI569" s="341"/>
      <c r="IEJ569" s="341"/>
      <c r="IEK569" s="341"/>
      <c r="IEL569" s="341"/>
      <c r="IEM569" s="341"/>
      <c r="IEN569" s="341"/>
      <c r="IEO569" s="341"/>
      <c r="IEP569" s="341"/>
      <c r="IEQ569" s="341"/>
      <c r="IER569" s="341"/>
      <c r="IES569" s="341"/>
      <c r="IET569" s="341"/>
      <c r="IEU569" s="341"/>
      <c r="IEV569" s="341"/>
      <c r="IEW569" s="341"/>
      <c r="IEX569" s="341"/>
      <c r="IEY569" s="341"/>
      <c r="IEZ569" s="341"/>
      <c r="IFA569" s="341"/>
      <c r="IFB569" s="341"/>
      <c r="IFC569" s="341"/>
      <c r="IFD569" s="341"/>
      <c r="IFE569" s="341"/>
      <c r="IFF569" s="341"/>
      <c r="IFG569" s="341"/>
      <c r="IFH569" s="341"/>
      <c r="IFI569" s="341"/>
      <c r="IFJ569" s="341"/>
      <c r="IFK569" s="341"/>
      <c r="IFL569" s="341"/>
      <c r="IFM569" s="341"/>
      <c r="IFN569" s="341"/>
      <c r="IFO569" s="341"/>
      <c r="IFP569" s="341"/>
      <c r="IFQ569" s="341"/>
      <c r="IFR569" s="341"/>
      <c r="IFS569" s="341"/>
      <c r="IFT569" s="341"/>
      <c r="IFU569" s="341"/>
      <c r="IFV569" s="341"/>
      <c r="IFW569" s="341"/>
      <c r="IFX569" s="341"/>
      <c r="IFY569" s="341"/>
      <c r="IFZ569" s="341"/>
      <c r="IGA569" s="341"/>
      <c r="IGB569" s="341"/>
      <c r="IGC569" s="341"/>
      <c r="IGD569" s="341"/>
      <c r="IGE569" s="341"/>
      <c r="IGF569" s="341"/>
      <c r="IGG569" s="341"/>
      <c r="IGH569" s="341"/>
      <c r="IGI569" s="341"/>
      <c r="IGJ569" s="341"/>
      <c r="IGK569" s="341"/>
      <c r="IGL569" s="341"/>
      <c r="IGM569" s="341"/>
      <c r="IGN569" s="341"/>
      <c r="IGO569" s="341"/>
      <c r="IGP569" s="341"/>
      <c r="IGQ569" s="341"/>
      <c r="IGR569" s="341"/>
      <c r="IGS569" s="341"/>
      <c r="IGT569" s="341"/>
      <c r="IGU569" s="341"/>
      <c r="IGV569" s="341"/>
      <c r="IGW569" s="341"/>
      <c r="IGX569" s="341"/>
      <c r="IGY569" s="341"/>
      <c r="IGZ569" s="341"/>
      <c r="IHA569" s="341"/>
      <c r="IHB569" s="341"/>
      <c r="IHC569" s="341"/>
      <c r="IHD569" s="341"/>
      <c r="IHE569" s="341"/>
      <c r="IHF569" s="341"/>
      <c r="IHG569" s="341"/>
      <c r="IHH569" s="341"/>
      <c r="IHI569" s="341"/>
      <c r="IHJ569" s="341"/>
      <c r="IHK569" s="341"/>
      <c r="IHL569" s="341"/>
      <c r="IHM569" s="341"/>
      <c r="IHN569" s="341"/>
      <c r="IHO569" s="341"/>
      <c r="IHP569" s="341"/>
      <c r="IHQ569" s="341"/>
      <c r="IHR569" s="341"/>
      <c r="IHS569" s="341"/>
      <c r="IHT569" s="341"/>
      <c r="IHU569" s="341"/>
      <c r="IHV569" s="341"/>
      <c r="IHW569" s="341"/>
      <c r="IHX569" s="341"/>
      <c r="IHY569" s="341"/>
      <c r="IHZ569" s="341"/>
      <c r="IIA569" s="341"/>
      <c r="IIB569" s="341"/>
      <c r="IIC569" s="341"/>
      <c r="IID569" s="341"/>
      <c r="IIE569" s="341"/>
      <c r="IIF569" s="341"/>
      <c r="IIG569" s="341"/>
      <c r="IIH569" s="341"/>
      <c r="III569" s="341"/>
      <c r="IIJ569" s="341"/>
      <c r="IIK569" s="341"/>
      <c r="IIL569" s="341"/>
      <c r="IIM569" s="341"/>
      <c r="IIN569" s="341"/>
      <c r="IIO569" s="341"/>
      <c r="IIP569" s="341"/>
      <c r="IIQ569" s="341"/>
      <c r="IIR569" s="341"/>
      <c r="IIS569" s="341"/>
      <c r="IIT569" s="341"/>
      <c r="IIU569" s="341"/>
      <c r="IIV569" s="341"/>
      <c r="IIW569" s="341"/>
      <c r="IIX569" s="341"/>
      <c r="IIY569" s="341"/>
      <c r="IIZ569" s="341"/>
      <c r="IJA569" s="341"/>
      <c r="IJB569" s="341"/>
      <c r="IJC569" s="341"/>
      <c r="IJD569" s="341"/>
      <c r="IJE569" s="341"/>
      <c r="IJF569" s="341"/>
      <c r="IJG569" s="341"/>
      <c r="IJH569" s="341"/>
      <c r="IJI569" s="341"/>
      <c r="IJJ569" s="341"/>
      <c r="IJK569" s="341"/>
      <c r="IJL569" s="341"/>
      <c r="IJM569" s="341"/>
      <c r="IJN569" s="341"/>
      <c r="IJO569" s="341"/>
      <c r="IJP569" s="341"/>
      <c r="IJQ569" s="341"/>
      <c r="IJR569" s="341"/>
      <c r="IJS569" s="341"/>
      <c r="IJT569" s="341"/>
      <c r="IJU569" s="341"/>
      <c r="IJV569" s="341"/>
      <c r="IJW569" s="341"/>
      <c r="IJX569" s="341"/>
      <c r="IJY569" s="341"/>
      <c r="IJZ569" s="341"/>
      <c r="IKA569" s="341"/>
      <c r="IKB569" s="341"/>
      <c r="IKC569" s="341"/>
      <c r="IKD569" s="341"/>
      <c r="IKE569" s="341"/>
      <c r="IKF569" s="341"/>
      <c r="IKG569" s="341"/>
      <c r="IKH569" s="341"/>
      <c r="IKI569" s="341"/>
      <c r="IKJ569" s="341"/>
      <c r="IKK569" s="341"/>
      <c r="IKL569" s="341"/>
      <c r="IKM569" s="341"/>
      <c r="IKN569" s="341"/>
      <c r="IKO569" s="341"/>
      <c r="IKP569" s="341"/>
      <c r="IKQ569" s="341"/>
      <c r="IKR569" s="341"/>
      <c r="IKS569" s="341"/>
      <c r="IKT569" s="341"/>
      <c r="IKU569" s="341"/>
      <c r="IKV569" s="341"/>
      <c r="IKW569" s="341"/>
      <c r="IKX569" s="341"/>
      <c r="IKY569" s="341"/>
      <c r="IKZ569" s="341"/>
      <c r="ILA569" s="341"/>
      <c r="ILB569" s="341"/>
      <c r="ILC569" s="341"/>
      <c r="ILD569" s="341"/>
      <c r="ILE569" s="341"/>
      <c r="ILF569" s="341"/>
      <c r="ILG569" s="341"/>
      <c r="ILH569" s="341"/>
      <c r="ILI569" s="341"/>
      <c r="ILJ569" s="341"/>
      <c r="ILK569" s="341"/>
      <c r="ILL569" s="341"/>
      <c r="ILM569" s="341"/>
      <c r="ILN569" s="341"/>
      <c r="ILO569" s="341"/>
      <c r="ILP569" s="341"/>
      <c r="ILQ569" s="341"/>
      <c r="ILR569" s="341"/>
      <c r="ILS569" s="341"/>
      <c r="ILT569" s="341"/>
      <c r="ILU569" s="341"/>
      <c r="ILV569" s="341"/>
      <c r="ILW569" s="341"/>
      <c r="ILX569" s="341"/>
      <c r="ILY569" s="341"/>
      <c r="ILZ569" s="341"/>
      <c r="IMA569" s="341"/>
      <c r="IMB569" s="341"/>
      <c r="IMC569" s="341"/>
      <c r="IMD569" s="341"/>
      <c r="IME569" s="341"/>
      <c r="IMF569" s="341"/>
      <c r="IMG569" s="341"/>
      <c r="IMH569" s="341"/>
      <c r="IMI569" s="341"/>
      <c r="IMJ569" s="341"/>
      <c r="IMK569" s="341"/>
      <c r="IML569" s="341"/>
      <c r="IMM569" s="341"/>
      <c r="IMN569" s="341"/>
      <c r="IMO569" s="341"/>
      <c r="IMP569" s="341"/>
      <c r="IMQ569" s="341"/>
      <c r="IMR569" s="341"/>
      <c r="IMS569" s="341"/>
      <c r="IMT569" s="341"/>
      <c r="IMU569" s="341"/>
      <c r="IMV569" s="341"/>
      <c r="IMW569" s="341"/>
      <c r="IMX569" s="341"/>
      <c r="IMY569" s="341"/>
      <c r="IMZ569" s="341"/>
      <c r="INA569" s="341"/>
      <c r="INB569" s="341"/>
      <c r="INC569" s="341"/>
      <c r="IND569" s="341"/>
      <c r="INE569" s="341"/>
      <c r="INF569" s="341"/>
      <c r="ING569" s="341"/>
      <c r="INH569" s="341"/>
      <c r="INI569" s="341"/>
      <c r="INJ569" s="341"/>
      <c r="INK569" s="341"/>
      <c r="INL569" s="341"/>
      <c r="INM569" s="341"/>
      <c r="INN569" s="341"/>
      <c r="INO569" s="341"/>
      <c r="INP569" s="341"/>
      <c r="INQ569" s="341"/>
      <c r="INR569" s="341"/>
      <c r="INS569" s="341"/>
      <c r="INT569" s="341"/>
      <c r="INU569" s="341"/>
      <c r="INV569" s="341"/>
      <c r="INW569" s="341"/>
      <c r="INX569" s="341"/>
      <c r="INY569" s="341"/>
      <c r="INZ569" s="341"/>
      <c r="IOA569" s="341"/>
      <c r="IOB569" s="341"/>
      <c r="IOC569" s="341"/>
      <c r="IOD569" s="341"/>
      <c r="IOE569" s="341"/>
      <c r="IOF569" s="341"/>
      <c r="IOG569" s="341"/>
      <c r="IOH569" s="341"/>
      <c r="IOI569" s="341"/>
      <c r="IOJ569" s="341"/>
      <c r="IOK569" s="341"/>
      <c r="IOL569" s="341"/>
      <c r="IOM569" s="341"/>
      <c r="ION569" s="341"/>
      <c r="IOO569" s="341"/>
      <c r="IOP569" s="341"/>
      <c r="IOQ569" s="341"/>
      <c r="IOR569" s="341"/>
      <c r="IOS569" s="341"/>
      <c r="IOT569" s="341"/>
      <c r="IOU569" s="341"/>
      <c r="IOV569" s="341"/>
      <c r="IOW569" s="341"/>
      <c r="IOX569" s="341"/>
      <c r="IOY569" s="341"/>
      <c r="IOZ569" s="341"/>
      <c r="IPA569" s="341"/>
      <c r="IPB569" s="341"/>
      <c r="IPC569" s="341"/>
      <c r="IPD569" s="341"/>
      <c r="IPE569" s="341"/>
      <c r="IPF569" s="341"/>
      <c r="IPG569" s="341"/>
      <c r="IPH569" s="341"/>
      <c r="IPI569" s="341"/>
      <c r="IPJ569" s="341"/>
      <c r="IPK569" s="341"/>
      <c r="IPL569" s="341"/>
      <c r="IPM569" s="341"/>
      <c r="IPN569" s="341"/>
      <c r="IPO569" s="341"/>
      <c r="IPP569" s="341"/>
      <c r="IPQ569" s="341"/>
      <c r="IPR569" s="341"/>
      <c r="IPS569" s="341"/>
      <c r="IPT569" s="341"/>
      <c r="IPU569" s="341"/>
      <c r="IPV569" s="341"/>
      <c r="IPW569" s="341"/>
      <c r="IPX569" s="341"/>
      <c r="IPY569" s="341"/>
      <c r="IPZ569" s="341"/>
      <c r="IQA569" s="341"/>
      <c r="IQB569" s="341"/>
      <c r="IQC569" s="341"/>
      <c r="IQD569" s="341"/>
      <c r="IQE569" s="341"/>
      <c r="IQF569" s="341"/>
      <c r="IQG569" s="341"/>
      <c r="IQH569" s="341"/>
      <c r="IQI569" s="341"/>
      <c r="IQJ569" s="341"/>
      <c r="IQK569" s="341"/>
      <c r="IQL569" s="341"/>
      <c r="IQM569" s="341"/>
      <c r="IQN569" s="341"/>
      <c r="IQO569" s="341"/>
      <c r="IQP569" s="341"/>
      <c r="IQQ569" s="341"/>
      <c r="IQR569" s="341"/>
      <c r="IQS569" s="341"/>
      <c r="IQT569" s="341"/>
      <c r="IQU569" s="341"/>
      <c r="IQV569" s="341"/>
      <c r="IQW569" s="341"/>
      <c r="IQX569" s="341"/>
      <c r="IQY569" s="341"/>
      <c r="IQZ569" s="341"/>
      <c r="IRA569" s="341"/>
      <c r="IRB569" s="341"/>
      <c r="IRC569" s="341"/>
      <c r="IRD569" s="341"/>
      <c r="IRE569" s="341"/>
      <c r="IRF569" s="341"/>
      <c r="IRG569" s="341"/>
      <c r="IRH569" s="341"/>
      <c r="IRI569" s="341"/>
      <c r="IRJ569" s="341"/>
      <c r="IRK569" s="341"/>
      <c r="IRL569" s="341"/>
      <c r="IRM569" s="341"/>
      <c r="IRN569" s="341"/>
      <c r="IRO569" s="341"/>
      <c r="IRP569" s="341"/>
      <c r="IRQ569" s="341"/>
      <c r="IRR569" s="341"/>
      <c r="IRS569" s="341"/>
      <c r="IRT569" s="341"/>
      <c r="IRU569" s="341"/>
      <c r="IRV569" s="341"/>
      <c r="IRW569" s="341"/>
      <c r="IRX569" s="341"/>
      <c r="IRY569" s="341"/>
      <c r="IRZ569" s="341"/>
      <c r="ISA569" s="341"/>
      <c r="ISB569" s="341"/>
      <c r="ISC569" s="341"/>
      <c r="ISD569" s="341"/>
      <c r="ISE569" s="341"/>
      <c r="ISF569" s="341"/>
      <c r="ISG569" s="341"/>
      <c r="ISH569" s="341"/>
      <c r="ISI569" s="341"/>
      <c r="ISJ569" s="341"/>
      <c r="ISK569" s="341"/>
      <c r="ISL569" s="341"/>
      <c r="ISM569" s="341"/>
      <c r="ISN569" s="341"/>
      <c r="ISO569" s="341"/>
      <c r="ISP569" s="341"/>
      <c r="ISQ569" s="341"/>
      <c r="ISR569" s="341"/>
      <c r="ISS569" s="341"/>
      <c r="IST569" s="341"/>
      <c r="ISU569" s="341"/>
      <c r="ISV569" s="341"/>
      <c r="ISW569" s="341"/>
      <c r="ISX569" s="341"/>
      <c r="ISY569" s="341"/>
      <c r="ISZ569" s="341"/>
      <c r="ITA569" s="341"/>
      <c r="ITB569" s="341"/>
      <c r="ITC569" s="341"/>
      <c r="ITD569" s="341"/>
      <c r="ITE569" s="341"/>
      <c r="ITF569" s="341"/>
      <c r="ITG569" s="341"/>
      <c r="ITH569" s="341"/>
      <c r="ITI569" s="341"/>
      <c r="ITJ569" s="341"/>
      <c r="ITK569" s="341"/>
      <c r="ITL569" s="341"/>
      <c r="ITM569" s="341"/>
      <c r="ITN569" s="341"/>
      <c r="ITO569" s="341"/>
      <c r="ITP569" s="341"/>
      <c r="ITQ569" s="341"/>
      <c r="ITR569" s="341"/>
      <c r="ITS569" s="341"/>
      <c r="ITT569" s="341"/>
      <c r="ITU569" s="341"/>
      <c r="ITV569" s="341"/>
      <c r="ITW569" s="341"/>
      <c r="ITX569" s="341"/>
      <c r="ITY569" s="341"/>
      <c r="ITZ569" s="341"/>
      <c r="IUA569" s="341"/>
      <c r="IUB569" s="341"/>
      <c r="IUC569" s="341"/>
      <c r="IUD569" s="341"/>
      <c r="IUE569" s="341"/>
      <c r="IUF569" s="341"/>
      <c r="IUG569" s="341"/>
      <c r="IUH569" s="341"/>
      <c r="IUI569" s="341"/>
      <c r="IUJ569" s="341"/>
      <c r="IUK569" s="341"/>
      <c r="IUL569" s="341"/>
      <c r="IUM569" s="341"/>
      <c r="IUN569" s="341"/>
      <c r="IUO569" s="341"/>
      <c r="IUP569" s="341"/>
      <c r="IUQ569" s="341"/>
      <c r="IUR569" s="341"/>
      <c r="IUS569" s="341"/>
      <c r="IUT569" s="341"/>
      <c r="IUU569" s="341"/>
      <c r="IUV569" s="341"/>
      <c r="IUW569" s="341"/>
      <c r="IUX569" s="341"/>
      <c r="IUY569" s="341"/>
      <c r="IUZ569" s="341"/>
      <c r="IVA569" s="341"/>
      <c r="IVB569" s="341"/>
      <c r="IVC569" s="341"/>
      <c r="IVD569" s="341"/>
      <c r="IVE569" s="341"/>
      <c r="IVF569" s="341"/>
      <c r="IVG569" s="341"/>
      <c r="IVH569" s="341"/>
      <c r="IVI569" s="341"/>
      <c r="IVJ569" s="341"/>
      <c r="IVK569" s="341"/>
      <c r="IVL569" s="341"/>
      <c r="IVM569" s="341"/>
      <c r="IVN569" s="341"/>
      <c r="IVO569" s="341"/>
      <c r="IVP569" s="341"/>
      <c r="IVQ569" s="341"/>
      <c r="IVR569" s="341"/>
      <c r="IVS569" s="341"/>
      <c r="IVT569" s="341"/>
      <c r="IVU569" s="341"/>
      <c r="IVV569" s="341"/>
      <c r="IVW569" s="341"/>
      <c r="IVX569" s="341"/>
      <c r="IVY569" s="341"/>
      <c r="IVZ569" s="341"/>
      <c r="IWA569" s="341"/>
      <c r="IWB569" s="341"/>
      <c r="IWC569" s="341"/>
      <c r="IWD569" s="341"/>
      <c r="IWE569" s="341"/>
      <c r="IWF569" s="341"/>
      <c r="IWG569" s="341"/>
      <c r="IWH569" s="341"/>
      <c r="IWI569" s="341"/>
      <c r="IWJ569" s="341"/>
      <c r="IWK569" s="341"/>
      <c r="IWL569" s="341"/>
      <c r="IWM569" s="341"/>
      <c r="IWN569" s="341"/>
      <c r="IWO569" s="341"/>
      <c r="IWP569" s="341"/>
      <c r="IWQ569" s="341"/>
      <c r="IWR569" s="341"/>
      <c r="IWS569" s="341"/>
      <c r="IWT569" s="341"/>
      <c r="IWU569" s="341"/>
      <c r="IWV569" s="341"/>
      <c r="IWW569" s="341"/>
      <c r="IWX569" s="341"/>
      <c r="IWY569" s="341"/>
      <c r="IWZ569" s="341"/>
      <c r="IXA569" s="341"/>
      <c r="IXB569" s="341"/>
      <c r="IXC569" s="341"/>
      <c r="IXD569" s="341"/>
      <c r="IXE569" s="341"/>
      <c r="IXF569" s="341"/>
      <c r="IXG569" s="341"/>
      <c r="IXH569" s="341"/>
      <c r="IXI569" s="341"/>
      <c r="IXJ569" s="341"/>
      <c r="IXK569" s="341"/>
      <c r="IXL569" s="341"/>
      <c r="IXM569" s="341"/>
      <c r="IXN569" s="341"/>
      <c r="IXO569" s="341"/>
      <c r="IXP569" s="341"/>
      <c r="IXQ569" s="341"/>
      <c r="IXR569" s="341"/>
      <c r="IXS569" s="341"/>
      <c r="IXT569" s="341"/>
      <c r="IXU569" s="341"/>
      <c r="IXV569" s="341"/>
      <c r="IXW569" s="341"/>
      <c r="IXX569" s="341"/>
      <c r="IXY569" s="341"/>
      <c r="IXZ569" s="341"/>
      <c r="IYA569" s="341"/>
      <c r="IYB569" s="341"/>
      <c r="IYC569" s="341"/>
      <c r="IYD569" s="341"/>
      <c r="IYE569" s="341"/>
      <c r="IYF569" s="341"/>
      <c r="IYG569" s="341"/>
      <c r="IYH569" s="341"/>
      <c r="IYI569" s="341"/>
      <c r="IYJ569" s="341"/>
      <c r="IYK569" s="341"/>
      <c r="IYL569" s="341"/>
      <c r="IYM569" s="341"/>
      <c r="IYN569" s="341"/>
      <c r="IYO569" s="341"/>
      <c r="IYP569" s="341"/>
      <c r="IYQ569" s="341"/>
      <c r="IYR569" s="341"/>
      <c r="IYS569" s="341"/>
      <c r="IYT569" s="341"/>
      <c r="IYU569" s="341"/>
      <c r="IYV569" s="341"/>
      <c r="IYW569" s="341"/>
      <c r="IYX569" s="341"/>
      <c r="IYY569" s="341"/>
      <c r="IYZ569" s="341"/>
      <c r="IZA569" s="341"/>
      <c r="IZB569" s="341"/>
      <c r="IZC569" s="341"/>
      <c r="IZD569" s="341"/>
      <c r="IZE569" s="341"/>
      <c r="IZF569" s="341"/>
      <c r="IZG569" s="341"/>
      <c r="IZH569" s="341"/>
      <c r="IZI569" s="341"/>
      <c r="IZJ569" s="341"/>
      <c r="IZK569" s="341"/>
      <c r="IZL569" s="341"/>
      <c r="IZM569" s="341"/>
      <c r="IZN569" s="341"/>
      <c r="IZO569" s="341"/>
      <c r="IZP569" s="341"/>
      <c r="IZQ569" s="341"/>
      <c r="IZR569" s="341"/>
      <c r="IZS569" s="341"/>
      <c r="IZT569" s="341"/>
      <c r="IZU569" s="341"/>
      <c r="IZV569" s="341"/>
      <c r="IZW569" s="341"/>
      <c r="IZX569" s="341"/>
      <c r="IZY569" s="341"/>
      <c r="IZZ569" s="341"/>
      <c r="JAA569" s="341"/>
      <c r="JAB569" s="341"/>
      <c r="JAC569" s="341"/>
      <c r="JAD569" s="341"/>
      <c r="JAE569" s="341"/>
      <c r="JAF569" s="341"/>
      <c r="JAG569" s="341"/>
      <c r="JAH569" s="341"/>
      <c r="JAI569" s="341"/>
      <c r="JAJ569" s="341"/>
      <c r="JAK569" s="341"/>
      <c r="JAL569" s="341"/>
      <c r="JAM569" s="341"/>
      <c r="JAN569" s="341"/>
      <c r="JAO569" s="341"/>
      <c r="JAP569" s="341"/>
      <c r="JAQ569" s="341"/>
      <c r="JAR569" s="341"/>
      <c r="JAS569" s="341"/>
      <c r="JAT569" s="341"/>
      <c r="JAU569" s="341"/>
      <c r="JAV569" s="341"/>
      <c r="JAW569" s="341"/>
      <c r="JAX569" s="341"/>
      <c r="JAY569" s="341"/>
      <c r="JAZ569" s="341"/>
      <c r="JBA569" s="341"/>
      <c r="JBB569" s="341"/>
      <c r="JBC569" s="341"/>
      <c r="JBD569" s="341"/>
      <c r="JBE569" s="341"/>
      <c r="JBF569" s="341"/>
      <c r="JBG569" s="341"/>
      <c r="JBH569" s="341"/>
      <c r="JBI569" s="341"/>
      <c r="JBJ569" s="341"/>
      <c r="JBK569" s="341"/>
      <c r="JBL569" s="341"/>
      <c r="JBM569" s="341"/>
      <c r="JBN569" s="341"/>
      <c r="JBO569" s="341"/>
      <c r="JBP569" s="341"/>
      <c r="JBQ569" s="341"/>
      <c r="JBR569" s="341"/>
      <c r="JBS569" s="341"/>
      <c r="JBT569" s="341"/>
      <c r="JBU569" s="341"/>
      <c r="JBV569" s="341"/>
      <c r="JBW569" s="341"/>
      <c r="JBX569" s="341"/>
      <c r="JBY569" s="341"/>
      <c r="JBZ569" s="341"/>
      <c r="JCA569" s="341"/>
      <c r="JCB569" s="341"/>
      <c r="JCC569" s="341"/>
      <c r="JCD569" s="341"/>
      <c r="JCE569" s="341"/>
      <c r="JCF569" s="341"/>
      <c r="JCG569" s="341"/>
      <c r="JCH569" s="341"/>
      <c r="JCI569" s="341"/>
      <c r="JCJ569" s="341"/>
      <c r="JCK569" s="341"/>
      <c r="JCL569" s="341"/>
      <c r="JCM569" s="341"/>
      <c r="JCN569" s="341"/>
      <c r="JCO569" s="341"/>
      <c r="JCP569" s="341"/>
      <c r="JCQ569" s="341"/>
      <c r="JCR569" s="341"/>
      <c r="JCS569" s="341"/>
      <c r="JCT569" s="341"/>
      <c r="JCU569" s="341"/>
      <c r="JCV569" s="341"/>
      <c r="JCW569" s="341"/>
      <c r="JCX569" s="341"/>
      <c r="JCY569" s="341"/>
      <c r="JCZ569" s="341"/>
      <c r="JDA569" s="341"/>
      <c r="JDB569" s="341"/>
      <c r="JDC569" s="341"/>
      <c r="JDD569" s="341"/>
      <c r="JDE569" s="341"/>
      <c r="JDF569" s="341"/>
      <c r="JDG569" s="341"/>
      <c r="JDH569" s="341"/>
      <c r="JDI569" s="341"/>
      <c r="JDJ569" s="341"/>
      <c r="JDK569" s="341"/>
      <c r="JDL569" s="341"/>
      <c r="JDM569" s="341"/>
      <c r="JDN569" s="341"/>
      <c r="JDO569" s="341"/>
      <c r="JDP569" s="341"/>
      <c r="JDQ569" s="341"/>
      <c r="JDR569" s="341"/>
      <c r="JDS569" s="341"/>
      <c r="JDT569" s="341"/>
      <c r="JDU569" s="341"/>
      <c r="JDV569" s="341"/>
      <c r="JDW569" s="341"/>
      <c r="JDX569" s="341"/>
      <c r="JDY569" s="341"/>
      <c r="JDZ569" s="341"/>
      <c r="JEA569" s="341"/>
      <c r="JEB569" s="341"/>
      <c r="JEC569" s="341"/>
      <c r="JED569" s="341"/>
      <c r="JEE569" s="341"/>
      <c r="JEF569" s="341"/>
      <c r="JEG569" s="341"/>
      <c r="JEH569" s="341"/>
      <c r="JEI569" s="341"/>
      <c r="JEJ569" s="341"/>
      <c r="JEK569" s="341"/>
      <c r="JEL569" s="341"/>
      <c r="JEM569" s="341"/>
      <c r="JEN569" s="341"/>
      <c r="JEO569" s="341"/>
      <c r="JEP569" s="341"/>
      <c r="JEQ569" s="341"/>
      <c r="JER569" s="341"/>
      <c r="JES569" s="341"/>
      <c r="JET569" s="341"/>
      <c r="JEU569" s="341"/>
      <c r="JEV569" s="341"/>
      <c r="JEW569" s="341"/>
      <c r="JEX569" s="341"/>
      <c r="JEY569" s="341"/>
      <c r="JEZ569" s="341"/>
      <c r="JFA569" s="341"/>
      <c r="JFB569" s="341"/>
      <c r="JFC569" s="341"/>
      <c r="JFD569" s="341"/>
      <c r="JFE569" s="341"/>
      <c r="JFF569" s="341"/>
      <c r="JFG569" s="341"/>
      <c r="JFH569" s="341"/>
      <c r="JFI569" s="341"/>
      <c r="JFJ569" s="341"/>
      <c r="JFK569" s="341"/>
      <c r="JFL569" s="341"/>
      <c r="JFM569" s="341"/>
      <c r="JFN569" s="341"/>
      <c r="JFO569" s="341"/>
      <c r="JFP569" s="341"/>
      <c r="JFQ569" s="341"/>
      <c r="JFR569" s="341"/>
      <c r="JFS569" s="341"/>
      <c r="JFT569" s="341"/>
      <c r="JFU569" s="341"/>
      <c r="JFV569" s="341"/>
      <c r="JFW569" s="341"/>
      <c r="JFX569" s="341"/>
      <c r="JFY569" s="341"/>
      <c r="JFZ569" s="341"/>
      <c r="JGA569" s="341"/>
      <c r="JGB569" s="341"/>
      <c r="JGC569" s="341"/>
      <c r="JGD569" s="341"/>
      <c r="JGE569" s="341"/>
      <c r="JGF569" s="341"/>
      <c r="JGG569" s="341"/>
      <c r="JGH569" s="341"/>
      <c r="JGI569" s="341"/>
      <c r="JGJ569" s="341"/>
      <c r="JGK569" s="341"/>
      <c r="JGL569" s="341"/>
      <c r="JGM569" s="341"/>
      <c r="JGN569" s="341"/>
      <c r="JGO569" s="341"/>
      <c r="JGP569" s="341"/>
      <c r="JGQ569" s="341"/>
      <c r="JGR569" s="341"/>
      <c r="JGS569" s="341"/>
      <c r="JGT569" s="341"/>
      <c r="JGU569" s="341"/>
      <c r="JGV569" s="341"/>
      <c r="JGW569" s="341"/>
      <c r="JGX569" s="341"/>
      <c r="JGY569" s="341"/>
      <c r="JGZ569" s="341"/>
      <c r="JHA569" s="341"/>
      <c r="JHB569" s="341"/>
      <c r="JHC569" s="341"/>
      <c r="JHD569" s="341"/>
      <c r="JHE569" s="341"/>
      <c r="JHF569" s="341"/>
      <c r="JHG569" s="341"/>
      <c r="JHH569" s="341"/>
      <c r="JHI569" s="341"/>
      <c r="JHJ569" s="341"/>
      <c r="JHK569" s="341"/>
      <c r="JHL569" s="341"/>
      <c r="JHM569" s="341"/>
      <c r="JHN569" s="341"/>
      <c r="JHO569" s="341"/>
      <c r="JHP569" s="341"/>
      <c r="JHQ569" s="341"/>
      <c r="JHR569" s="341"/>
      <c r="JHS569" s="341"/>
      <c r="JHT569" s="341"/>
      <c r="JHU569" s="341"/>
      <c r="JHV569" s="341"/>
      <c r="JHW569" s="341"/>
      <c r="JHX569" s="341"/>
      <c r="JHY569" s="341"/>
      <c r="JHZ569" s="341"/>
      <c r="JIA569" s="341"/>
      <c r="JIB569" s="341"/>
      <c r="JIC569" s="341"/>
      <c r="JID569" s="341"/>
      <c r="JIE569" s="341"/>
      <c r="JIF569" s="341"/>
      <c r="JIG569" s="341"/>
      <c r="JIH569" s="341"/>
      <c r="JII569" s="341"/>
      <c r="JIJ569" s="341"/>
      <c r="JIK569" s="341"/>
      <c r="JIL569" s="341"/>
      <c r="JIM569" s="341"/>
      <c r="JIN569" s="341"/>
      <c r="JIO569" s="341"/>
      <c r="JIP569" s="341"/>
      <c r="JIQ569" s="341"/>
      <c r="JIR569" s="341"/>
      <c r="JIS569" s="341"/>
      <c r="JIT569" s="341"/>
      <c r="JIU569" s="341"/>
      <c r="JIV569" s="341"/>
      <c r="JIW569" s="341"/>
      <c r="JIX569" s="341"/>
      <c r="JIY569" s="341"/>
      <c r="JIZ569" s="341"/>
      <c r="JJA569" s="341"/>
      <c r="JJB569" s="341"/>
      <c r="JJC569" s="341"/>
      <c r="JJD569" s="341"/>
      <c r="JJE569" s="341"/>
      <c r="JJF569" s="341"/>
      <c r="JJG569" s="341"/>
      <c r="JJH569" s="341"/>
      <c r="JJI569" s="341"/>
      <c r="JJJ569" s="341"/>
      <c r="JJK569" s="341"/>
      <c r="JJL569" s="341"/>
      <c r="JJM569" s="341"/>
      <c r="JJN569" s="341"/>
      <c r="JJO569" s="341"/>
      <c r="JJP569" s="341"/>
      <c r="JJQ569" s="341"/>
      <c r="JJR569" s="341"/>
      <c r="JJS569" s="341"/>
      <c r="JJT569" s="341"/>
      <c r="JJU569" s="341"/>
      <c r="JJV569" s="341"/>
      <c r="JJW569" s="341"/>
      <c r="JJX569" s="341"/>
      <c r="JJY569" s="341"/>
      <c r="JJZ569" s="341"/>
      <c r="JKA569" s="341"/>
      <c r="JKB569" s="341"/>
      <c r="JKC569" s="341"/>
      <c r="JKD569" s="341"/>
      <c r="JKE569" s="341"/>
      <c r="JKF569" s="341"/>
      <c r="JKG569" s="341"/>
      <c r="JKH569" s="341"/>
      <c r="JKI569" s="341"/>
      <c r="JKJ569" s="341"/>
      <c r="JKK569" s="341"/>
      <c r="JKL569" s="341"/>
      <c r="JKM569" s="341"/>
      <c r="JKN569" s="341"/>
      <c r="JKO569" s="341"/>
      <c r="JKP569" s="341"/>
      <c r="JKQ569" s="341"/>
      <c r="JKR569" s="341"/>
      <c r="JKS569" s="341"/>
      <c r="JKT569" s="341"/>
      <c r="JKU569" s="341"/>
      <c r="JKV569" s="341"/>
      <c r="JKW569" s="341"/>
      <c r="JKX569" s="341"/>
      <c r="JKY569" s="341"/>
      <c r="JKZ569" s="341"/>
      <c r="JLA569" s="341"/>
      <c r="JLB569" s="341"/>
      <c r="JLC569" s="341"/>
      <c r="JLD569" s="341"/>
      <c r="JLE569" s="341"/>
      <c r="JLF569" s="341"/>
      <c r="JLG569" s="341"/>
      <c r="JLH569" s="341"/>
      <c r="JLI569" s="341"/>
      <c r="JLJ569" s="341"/>
      <c r="JLK569" s="341"/>
      <c r="JLL569" s="341"/>
      <c r="JLM569" s="341"/>
      <c r="JLN569" s="341"/>
      <c r="JLO569" s="341"/>
      <c r="JLP569" s="341"/>
      <c r="JLQ569" s="341"/>
      <c r="JLR569" s="341"/>
      <c r="JLS569" s="341"/>
      <c r="JLT569" s="341"/>
      <c r="JLU569" s="341"/>
      <c r="JLV569" s="341"/>
      <c r="JLW569" s="341"/>
      <c r="JLX569" s="341"/>
      <c r="JLY569" s="341"/>
      <c r="JLZ569" s="341"/>
      <c r="JMA569" s="341"/>
      <c r="JMB569" s="341"/>
      <c r="JMC569" s="341"/>
      <c r="JMD569" s="341"/>
      <c r="JME569" s="341"/>
      <c r="JMF569" s="341"/>
      <c r="JMG569" s="341"/>
      <c r="JMH569" s="341"/>
      <c r="JMI569" s="341"/>
      <c r="JMJ569" s="341"/>
      <c r="JMK569" s="341"/>
      <c r="JML569" s="341"/>
      <c r="JMM569" s="341"/>
      <c r="JMN569" s="341"/>
      <c r="JMO569" s="341"/>
      <c r="JMP569" s="341"/>
      <c r="JMQ569" s="341"/>
      <c r="JMR569" s="341"/>
      <c r="JMS569" s="341"/>
      <c r="JMT569" s="341"/>
      <c r="JMU569" s="341"/>
      <c r="JMV569" s="341"/>
      <c r="JMW569" s="341"/>
      <c r="JMX569" s="341"/>
      <c r="JMY569" s="341"/>
      <c r="JMZ569" s="341"/>
      <c r="JNA569" s="341"/>
      <c r="JNB569" s="341"/>
      <c r="JNC569" s="341"/>
      <c r="JND569" s="341"/>
      <c r="JNE569" s="341"/>
      <c r="JNF569" s="341"/>
      <c r="JNG569" s="341"/>
      <c r="JNH569" s="341"/>
      <c r="JNI569" s="341"/>
      <c r="JNJ569" s="341"/>
      <c r="JNK569" s="341"/>
      <c r="JNL569" s="341"/>
      <c r="JNM569" s="341"/>
      <c r="JNN569" s="341"/>
      <c r="JNO569" s="341"/>
      <c r="JNP569" s="341"/>
      <c r="JNQ569" s="341"/>
      <c r="JNR569" s="341"/>
      <c r="JNS569" s="341"/>
      <c r="JNT569" s="341"/>
      <c r="JNU569" s="341"/>
      <c r="JNV569" s="341"/>
      <c r="JNW569" s="341"/>
      <c r="JNX569" s="341"/>
      <c r="JNY569" s="341"/>
      <c r="JNZ569" s="341"/>
      <c r="JOA569" s="341"/>
      <c r="JOB569" s="341"/>
      <c r="JOC569" s="341"/>
      <c r="JOD569" s="341"/>
      <c r="JOE569" s="341"/>
      <c r="JOF569" s="341"/>
      <c r="JOG569" s="341"/>
      <c r="JOH569" s="341"/>
      <c r="JOI569" s="341"/>
      <c r="JOJ569" s="341"/>
      <c r="JOK569" s="341"/>
      <c r="JOL569" s="341"/>
      <c r="JOM569" s="341"/>
      <c r="JON569" s="341"/>
      <c r="JOO569" s="341"/>
      <c r="JOP569" s="341"/>
      <c r="JOQ569" s="341"/>
      <c r="JOR569" s="341"/>
      <c r="JOS569" s="341"/>
      <c r="JOT569" s="341"/>
      <c r="JOU569" s="341"/>
      <c r="JOV569" s="341"/>
      <c r="JOW569" s="341"/>
      <c r="JOX569" s="341"/>
      <c r="JOY569" s="341"/>
      <c r="JOZ569" s="341"/>
      <c r="JPA569" s="341"/>
      <c r="JPB569" s="341"/>
      <c r="JPC569" s="341"/>
      <c r="JPD569" s="341"/>
      <c r="JPE569" s="341"/>
      <c r="JPF569" s="341"/>
      <c r="JPG569" s="341"/>
      <c r="JPH569" s="341"/>
      <c r="JPI569" s="341"/>
      <c r="JPJ569" s="341"/>
      <c r="JPK569" s="341"/>
      <c r="JPL569" s="341"/>
      <c r="JPM569" s="341"/>
      <c r="JPN569" s="341"/>
      <c r="JPO569" s="341"/>
      <c r="JPP569" s="341"/>
      <c r="JPQ569" s="341"/>
      <c r="JPR569" s="341"/>
      <c r="JPS569" s="341"/>
      <c r="JPT569" s="341"/>
      <c r="JPU569" s="341"/>
      <c r="JPV569" s="341"/>
      <c r="JPW569" s="341"/>
      <c r="JPX569" s="341"/>
      <c r="JPY569" s="341"/>
      <c r="JPZ569" s="341"/>
      <c r="JQA569" s="341"/>
      <c r="JQB569" s="341"/>
      <c r="JQC569" s="341"/>
      <c r="JQD569" s="341"/>
      <c r="JQE569" s="341"/>
      <c r="JQF569" s="341"/>
      <c r="JQG569" s="341"/>
      <c r="JQH569" s="341"/>
      <c r="JQI569" s="341"/>
      <c r="JQJ569" s="341"/>
      <c r="JQK569" s="341"/>
      <c r="JQL569" s="341"/>
      <c r="JQM569" s="341"/>
      <c r="JQN569" s="341"/>
      <c r="JQO569" s="341"/>
      <c r="JQP569" s="341"/>
      <c r="JQQ569" s="341"/>
      <c r="JQR569" s="341"/>
      <c r="JQS569" s="341"/>
      <c r="JQT569" s="341"/>
      <c r="JQU569" s="341"/>
      <c r="JQV569" s="341"/>
      <c r="JQW569" s="341"/>
      <c r="JQX569" s="341"/>
      <c r="JQY569" s="341"/>
      <c r="JQZ569" s="341"/>
      <c r="JRA569" s="341"/>
      <c r="JRB569" s="341"/>
      <c r="JRC569" s="341"/>
      <c r="JRD569" s="341"/>
      <c r="JRE569" s="341"/>
      <c r="JRF569" s="341"/>
      <c r="JRG569" s="341"/>
      <c r="JRH569" s="341"/>
      <c r="JRI569" s="341"/>
      <c r="JRJ569" s="341"/>
      <c r="JRK569" s="341"/>
      <c r="JRL569" s="341"/>
      <c r="JRM569" s="341"/>
      <c r="JRN569" s="341"/>
      <c r="JRO569" s="341"/>
      <c r="JRP569" s="341"/>
      <c r="JRQ569" s="341"/>
      <c r="JRR569" s="341"/>
      <c r="JRS569" s="341"/>
      <c r="JRT569" s="341"/>
      <c r="JRU569" s="341"/>
      <c r="JRV569" s="341"/>
      <c r="JRW569" s="341"/>
      <c r="JRX569" s="341"/>
      <c r="JRY569" s="341"/>
      <c r="JRZ569" s="341"/>
      <c r="JSA569" s="341"/>
      <c r="JSB569" s="341"/>
      <c r="JSC569" s="341"/>
      <c r="JSD569" s="341"/>
      <c r="JSE569" s="341"/>
      <c r="JSF569" s="341"/>
      <c r="JSG569" s="341"/>
      <c r="JSH569" s="341"/>
      <c r="JSI569" s="341"/>
      <c r="JSJ569" s="341"/>
      <c r="JSK569" s="341"/>
      <c r="JSL569" s="341"/>
      <c r="JSM569" s="341"/>
      <c r="JSN569" s="341"/>
      <c r="JSO569" s="341"/>
      <c r="JSP569" s="341"/>
      <c r="JSQ569" s="341"/>
      <c r="JSR569" s="341"/>
      <c r="JSS569" s="341"/>
      <c r="JST569" s="341"/>
      <c r="JSU569" s="341"/>
      <c r="JSV569" s="341"/>
      <c r="JSW569" s="341"/>
      <c r="JSX569" s="341"/>
      <c r="JSY569" s="341"/>
      <c r="JSZ569" s="341"/>
      <c r="JTA569" s="341"/>
      <c r="JTB569" s="341"/>
      <c r="JTC569" s="341"/>
      <c r="JTD569" s="341"/>
      <c r="JTE569" s="341"/>
      <c r="JTF569" s="341"/>
      <c r="JTG569" s="341"/>
      <c r="JTH569" s="341"/>
      <c r="JTI569" s="341"/>
      <c r="JTJ569" s="341"/>
      <c r="JTK569" s="341"/>
      <c r="JTL569" s="341"/>
      <c r="JTM569" s="341"/>
      <c r="JTN569" s="341"/>
      <c r="JTO569" s="341"/>
      <c r="JTP569" s="341"/>
      <c r="JTQ569" s="341"/>
      <c r="JTR569" s="341"/>
      <c r="JTS569" s="341"/>
      <c r="JTT569" s="341"/>
      <c r="JTU569" s="341"/>
      <c r="JTV569" s="341"/>
      <c r="JTW569" s="341"/>
      <c r="JTX569" s="341"/>
      <c r="JTY569" s="341"/>
      <c r="JTZ569" s="341"/>
      <c r="JUA569" s="341"/>
      <c r="JUB569" s="341"/>
      <c r="JUC569" s="341"/>
      <c r="JUD569" s="341"/>
      <c r="JUE569" s="341"/>
      <c r="JUF569" s="341"/>
      <c r="JUG569" s="341"/>
      <c r="JUH569" s="341"/>
      <c r="JUI569" s="341"/>
      <c r="JUJ569" s="341"/>
      <c r="JUK569" s="341"/>
      <c r="JUL569" s="341"/>
      <c r="JUM569" s="341"/>
      <c r="JUN569" s="341"/>
      <c r="JUO569" s="341"/>
      <c r="JUP569" s="341"/>
      <c r="JUQ569" s="341"/>
      <c r="JUR569" s="341"/>
      <c r="JUS569" s="341"/>
      <c r="JUT569" s="341"/>
      <c r="JUU569" s="341"/>
      <c r="JUV569" s="341"/>
      <c r="JUW569" s="341"/>
      <c r="JUX569" s="341"/>
      <c r="JUY569" s="341"/>
      <c r="JUZ569" s="341"/>
      <c r="JVA569" s="341"/>
      <c r="JVB569" s="341"/>
      <c r="JVC569" s="341"/>
      <c r="JVD569" s="341"/>
      <c r="JVE569" s="341"/>
      <c r="JVF569" s="341"/>
      <c r="JVG569" s="341"/>
      <c r="JVH569" s="341"/>
      <c r="JVI569" s="341"/>
      <c r="JVJ569" s="341"/>
      <c r="JVK569" s="341"/>
      <c r="JVL569" s="341"/>
      <c r="JVM569" s="341"/>
      <c r="JVN569" s="341"/>
      <c r="JVO569" s="341"/>
      <c r="JVP569" s="341"/>
      <c r="JVQ569" s="341"/>
      <c r="JVR569" s="341"/>
      <c r="JVS569" s="341"/>
      <c r="JVT569" s="341"/>
      <c r="JVU569" s="341"/>
      <c r="JVV569" s="341"/>
      <c r="JVW569" s="341"/>
      <c r="JVX569" s="341"/>
      <c r="JVY569" s="341"/>
      <c r="JVZ569" s="341"/>
      <c r="JWA569" s="341"/>
      <c r="JWB569" s="341"/>
      <c r="JWC569" s="341"/>
      <c r="JWD569" s="341"/>
      <c r="JWE569" s="341"/>
      <c r="JWF569" s="341"/>
      <c r="JWG569" s="341"/>
      <c r="JWH569" s="341"/>
      <c r="JWI569" s="341"/>
      <c r="JWJ569" s="341"/>
      <c r="JWK569" s="341"/>
      <c r="JWL569" s="341"/>
      <c r="JWM569" s="341"/>
      <c r="JWN569" s="341"/>
      <c r="JWO569" s="341"/>
      <c r="JWP569" s="341"/>
      <c r="JWQ569" s="341"/>
      <c r="JWR569" s="341"/>
      <c r="JWS569" s="341"/>
      <c r="JWT569" s="341"/>
      <c r="JWU569" s="341"/>
      <c r="JWV569" s="341"/>
      <c r="JWW569" s="341"/>
      <c r="JWX569" s="341"/>
      <c r="JWY569" s="341"/>
      <c r="JWZ569" s="341"/>
      <c r="JXA569" s="341"/>
      <c r="JXB569" s="341"/>
      <c r="JXC569" s="341"/>
      <c r="JXD569" s="341"/>
      <c r="JXE569" s="341"/>
      <c r="JXF569" s="341"/>
      <c r="JXG569" s="341"/>
      <c r="JXH569" s="341"/>
      <c r="JXI569" s="341"/>
      <c r="JXJ569" s="341"/>
      <c r="JXK569" s="341"/>
      <c r="JXL569" s="341"/>
      <c r="JXM569" s="341"/>
      <c r="JXN569" s="341"/>
      <c r="JXO569" s="341"/>
      <c r="JXP569" s="341"/>
      <c r="JXQ569" s="341"/>
      <c r="JXR569" s="341"/>
      <c r="JXS569" s="341"/>
      <c r="JXT569" s="341"/>
      <c r="JXU569" s="341"/>
      <c r="JXV569" s="341"/>
      <c r="JXW569" s="341"/>
      <c r="JXX569" s="341"/>
      <c r="JXY569" s="341"/>
      <c r="JXZ569" s="341"/>
      <c r="JYA569" s="341"/>
      <c r="JYB569" s="341"/>
      <c r="JYC569" s="341"/>
      <c r="JYD569" s="341"/>
      <c r="JYE569" s="341"/>
      <c r="JYF569" s="341"/>
      <c r="JYG569" s="341"/>
      <c r="JYH569" s="341"/>
      <c r="JYI569" s="341"/>
      <c r="JYJ569" s="341"/>
      <c r="JYK569" s="341"/>
      <c r="JYL569" s="341"/>
      <c r="JYM569" s="341"/>
      <c r="JYN569" s="341"/>
      <c r="JYO569" s="341"/>
      <c r="JYP569" s="341"/>
      <c r="JYQ569" s="341"/>
      <c r="JYR569" s="341"/>
      <c r="JYS569" s="341"/>
      <c r="JYT569" s="341"/>
      <c r="JYU569" s="341"/>
      <c r="JYV569" s="341"/>
      <c r="JYW569" s="341"/>
      <c r="JYX569" s="341"/>
      <c r="JYY569" s="341"/>
      <c r="JYZ569" s="341"/>
      <c r="JZA569" s="341"/>
      <c r="JZB569" s="341"/>
      <c r="JZC569" s="341"/>
      <c r="JZD569" s="341"/>
      <c r="JZE569" s="341"/>
      <c r="JZF569" s="341"/>
      <c r="JZG569" s="341"/>
      <c r="JZH569" s="341"/>
      <c r="JZI569" s="341"/>
      <c r="JZJ569" s="341"/>
      <c r="JZK569" s="341"/>
      <c r="JZL569" s="341"/>
      <c r="JZM569" s="341"/>
      <c r="JZN569" s="341"/>
      <c r="JZO569" s="341"/>
      <c r="JZP569" s="341"/>
      <c r="JZQ569" s="341"/>
      <c r="JZR569" s="341"/>
      <c r="JZS569" s="341"/>
      <c r="JZT569" s="341"/>
      <c r="JZU569" s="341"/>
      <c r="JZV569" s="341"/>
      <c r="JZW569" s="341"/>
      <c r="JZX569" s="341"/>
      <c r="JZY569" s="341"/>
      <c r="JZZ569" s="341"/>
      <c r="KAA569" s="341"/>
      <c r="KAB569" s="341"/>
      <c r="KAC569" s="341"/>
      <c r="KAD569" s="341"/>
      <c r="KAE569" s="341"/>
      <c r="KAF569" s="341"/>
      <c r="KAG569" s="341"/>
      <c r="KAH569" s="341"/>
      <c r="KAI569" s="341"/>
      <c r="KAJ569" s="341"/>
      <c r="KAK569" s="341"/>
      <c r="KAL569" s="341"/>
      <c r="KAM569" s="341"/>
      <c r="KAN569" s="341"/>
      <c r="KAO569" s="341"/>
      <c r="KAP569" s="341"/>
      <c r="KAQ569" s="341"/>
      <c r="KAR569" s="341"/>
      <c r="KAS569" s="341"/>
      <c r="KAT569" s="341"/>
      <c r="KAU569" s="341"/>
      <c r="KAV569" s="341"/>
      <c r="KAW569" s="341"/>
      <c r="KAX569" s="341"/>
      <c r="KAY569" s="341"/>
      <c r="KAZ569" s="341"/>
      <c r="KBA569" s="341"/>
      <c r="KBB569" s="341"/>
      <c r="KBC569" s="341"/>
      <c r="KBD569" s="341"/>
      <c r="KBE569" s="341"/>
      <c r="KBF569" s="341"/>
      <c r="KBG569" s="341"/>
      <c r="KBH569" s="341"/>
      <c r="KBI569" s="341"/>
      <c r="KBJ569" s="341"/>
      <c r="KBK569" s="341"/>
      <c r="KBL569" s="341"/>
      <c r="KBM569" s="341"/>
      <c r="KBN569" s="341"/>
      <c r="KBO569" s="341"/>
      <c r="KBP569" s="341"/>
      <c r="KBQ569" s="341"/>
      <c r="KBR569" s="341"/>
      <c r="KBS569" s="341"/>
      <c r="KBT569" s="341"/>
      <c r="KBU569" s="341"/>
      <c r="KBV569" s="341"/>
      <c r="KBW569" s="341"/>
      <c r="KBX569" s="341"/>
      <c r="KBY569" s="341"/>
      <c r="KBZ569" s="341"/>
      <c r="KCA569" s="341"/>
      <c r="KCB569" s="341"/>
      <c r="KCC569" s="341"/>
      <c r="KCD569" s="341"/>
      <c r="KCE569" s="341"/>
      <c r="KCF569" s="341"/>
      <c r="KCG569" s="341"/>
      <c r="KCH569" s="341"/>
      <c r="KCI569" s="341"/>
      <c r="KCJ569" s="341"/>
      <c r="KCK569" s="341"/>
      <c r="KCL569" s="341"/>
      <c r="KCM569" s="341"/>
      <c r="KCN569" s="341"/>
      <c r="KCO569" s="341"/>
      <c r="KCP569" s="341"/>
      <c r="KCQ569" s="341"/>
      <c r="KCR569" s="341"/>
      <c r="KCS569" s="341"/>
      <c r="KCT569" s="341"/>
      <c r="KCU569" s="341"/>
      <c r="KCV569" s="341"/>
      <c r="KCW569" s="341"/>
      <c r="KCX569" s="341"/>
      <c r="KCY569" s="341"/>
      <c r="KCZ569" s="341"/>
      <c r="KDA569" s="341"/>
      <c r="KDB569" s="341"/>
      <c r="KDC569" s="341"/>
      <c r="KDD569" s="341"/>
      <c r="KDE569" s="341"/>
      <c r="KDF569" s="341"/>
      <c r="KDG569" s="341"/>
      <c r="KDH569" s="341"/>
      <c r="KDI569" s="341"/>
      <c r="KDJ569" s="341"/>
      <c r="KDK569" s="341"/>
      <c r="KDL569" s="341"/>
      <c r="KDM569" s="341"/>
      <c r="KDN569" s="341"/>
      <c r="KDO569" s="341"/>
      <c r="KDP569" s="341"/>
      <c r="KDQ569" s="341"/>
      <c r="KDR569" s="341"/>
      <c r="KDS569" s="341"/>
      <c r="KDT569" s="341"/>
      <c r="KDU569" s="341"/>
      <c r="KDV569" s="341"/>
      <c r="KDW569" s="341"/>
      <c r="KDX569" s="341"/>
      <c r="KDY569" s="341"/>
      <c r="KDZ569" s="341"/>
      <c r="KEA569" s="341"/>
      <c r="KEB569" s="341"/>
      <c r="KEC569" s="341"/>
      <c r="KED569" s="341"/>
      <c r="KEE569" s="341"/>
      <c r="KEF569" s="341"/>
      <c r="KEG569" s="341"/>
      <c r="KEH569" s="341"/>
      <c r="KEI569" s="341"/>
      <c r="KEJ569" s="341"/>
      <c r="KEK569" s="341"/>
      <c r="KEL569" s="341"/>
      <c r="KEM569" s="341"/>
      <c r="KEN569" s="341"/>
      <c r="KEO569" s="341"/>
      <c r="KEP569" s="341"/>
      <c r="KEQ569" s="341"/>
      <c r="KER569" s="341"/>
      <c r="KES569" s="341"/>
      <c r="KET569" s="341"/>
      <c r="KEU569" s="341"/>
      <c r="KEV569" s="341"/>
      <c r="KEW569" s="341"/>
      <c r="KEX569" s="341"/>
      <c r="KEY569" s="341"/>
      <c r="KEZ569" s="341"/>
      <c r="KFA569" s="341"/>
      <c r="KFB569" s="341"/>
      <c r="KFC569" s="341"/>
      <c r="KFD569" s="341"/>
      <c r="KFE569" s="341"/>
      <c r="KFF569" s="341"/>
      <c r="KFG569" s="341"/>
      <c r="KFH569" s="341"/>
      <c r="KFI569" s="341"/>
      <c r="KFJ569" s="341"/>
      <c r="KFK569" s="341"/>
      <c r="KFL569" s="341"/>
      <c r="KFM569" s="341"/>
      <c r="KFN569" s="341"/>
      <c r="KFO569" s="341"/>
      <c r="KFP569" s="341"/>
      <c r="KFQ569" s="341"/>
      <c r="KFR569" s="341"/>
      <c r="KFS569" s="341"/>
      <c r="KFT569" s="341"/>
      <c r="KFU569" s="341"/>
      <c r="KFV569" s="341"/>
      <c r="KFW569" s="341"/>
      <c r="KFX569" s="341"/>
      <c r="KFY569" s="341"/>
      <c r="KFZ569" s="341"/>
      <c r="KGA569" s="341"/>
      <c r="KGB569" s="341"/>
      <c r="KGC569" s="341"/>
      <c r="KGD569" s="341"/>
      <c r="KGE569" s="341"/>
      <c r="KGF569" s="341"/>
      <c r="KGG569" s="341"/>
      <c r="KGH569" s="341"/>
      <c r="KGI569" s="341"/>
      <c r="KGJ569" s="341"/>
      <c r="KGK569" s="341"/>
      <c r="KGL569" s="341"/>
      <c r="KGM569" s="341"/>
      <c r="KGN569" s="341"/>
      <c r="KGO569" s="341"/>
      <c r="KGP569" s="341"/>
      <c r="KGQ569" s="341"/>
      <c r="KGR569" s="341"/>
      <c r="KGS569" s="341"/>
      <c r="KGT569" s="341"/>
      <c r="KGU569" s="341"/>
      <c r="KGV569" s="341"/>
      <c r="KGW569" s="341"/>
      <c r="KGX569" s="341"/>
      <c r="KGY569" s="341"/>
      <c r="KGZ569" s="341"/>
      <c r="KHA569" s="341"/>
      <c r="KHB569" s="341"/>
      <c r="KHC569" s="341"/>
      <c r="KHD569" s="341"/>
      <c r="KHE569" s="341"/>
      <c r="KHF569" s="341"/>
      <c r="KHG569" s="341"/>
      <c r="KHH569" s="341"/>
      <c r="KHI569" s="341"/>
      <c r="KHJ569" s="341"/>
      <c r="KHK569" s="341"/>
      <c r="KHL569" s="341"/>
      <c r="KHM569" s="341"/>
      <c r="KHN569" s="341"/>
      <c r="KHO569" s="341"/>
      <c r="KHP569" s="341"/>
      <c r="KHQ569" s="341"/>
      <c r="KHR569" s="341"/>
      <c r="KHS569" s="341"/>
      <c r="KHT569" s="341"/>
      <c r="KHU569" s="341"/>
      <c r="KHV569" s="341"/>
      <c r="KHW569" s="341"/>
      <c r="KHX569" s="341"/>
      <c r="KHY569" s="341"/>
      <c r="KHZ569" s="341"/>
      <c r="KIA569" s="341"/>
      <c r="KIB569" s="341"/>
      <c r="KIC569" s="341"/>
      <c r="KID569" s="341"/>
      <c r="KIE569" s="341"/>
      <c r="KIF569" s="341"/>
      <c r="KIG569" s="341"/>
      <c r="KIH569" s="341"/>
      <c r="KII569" s="341"/>
      <c r="KIJ569" s="341"/>
      <c r="KIK569" s="341"/>
      <c r="KIL569" s="341"/>
      <c r="KIM569" s="341"/>
      <c r="KIN569" s="341"/>
      <c r="KIO569" s="341"/>
      <c r="KIP569" s="341"/>
      <c r="KIQ569" s="341"/>
      <c r="KIR569" s="341"/>
      <c r="KIS569" s="341"/>
      <c r="KIT569" s="341"/>
      <c r="KIU569" s="341"/>
      <c r="KIV569" s="341"/>
      <c r="KIW569" s="341"/>
      <c r="KIX569" s="341"/>
      <c r="KIY569" s="341"/>
      <c r="KIZ569" s="341"/>
      <c r="KJA569" s="341"/>
      <c r="KJB569" s="341"/>
      <c r="KJC569" s="341"/>
      <c r="KJD569" s="341"/>
      <c r="KJE569" s="341"/>
      <c r="KJF569" s="341"/>
      <c r="KJG569" s="341"/>
      <c r="KJH569" s="341"/>
      <c r="KJI569" s="341"/>
      <c r="KJJ569" s="341"/>
      <c r="KJK569" s="341"/>
      <c r="KJL569" s="341"/>
      <c r="KJM569" s="341"/>
      <c r="KJN569" s="341"/>
      <c r="KJO569" s="341"/>
      <c r="KJP569" s="341"/>
      <c r="KJQ569" s="341"/>
      <c r="KJR569" s="341"/>
      <c r="KJS569" s="341"/>
      <c r="KJT569" s="341"/>
      <c r="KJU569" s="341"/>
      <c r="KJV569" s="341"/>
      <c r="KJW569" s="341"/>
      <c r="KJX569" s="341"/>
      <c r="KJY569" s="341"/>
      <c r="KJZ569" s="341"/>
      <c r="KKA569" s="341"/>
      <c r="KKB569" s="341"/>
      <c r="KKC569" s="341"/>
      <c r="KKD569" s="341"/>
      <c r="KKE569" s="341"/>
      <c r="KKF569" s="341"/>
      <c r="KKG569" s="341"/>
      <c r="KKH569" s="341"/>
      <c r="KKI569" s="341"/>
      <c r="KKJ569" s="341"/>
      <c r="KKK569" s="341"/>
      <c r="KKL569" s="341"/>
      <c r="KKM569" s="341"/>
      <c r="KKN569" s="341"/>
      <c r="KKO569" s="341"/>
      <c r="KKP569" s="341"/>
      <c r="KKQ569" s="341"/>
      <c r="KKR569" s="341"/>
      <c r="KKS569" s="341"/>
      <c r="KKT569" s="341"/>
      <c r="KKU569" s="341"/>
      <c r="KKV569" s="341"/>
      <c r="KKW569" s="341"/>
      <c r="KKX569" s="341"/>
      <c r="KKY569" s="341"/>
      <c r="KKZ569" s="341"/>
      <c r="KLA569" s="341"/>
      <c r="KLB569" s="341"/>
      <c r="KLC569" s="341"/>
      <c r="KLD569" s="341"/>
      <c r="KLE569" s="341"/>
      <c r="KLF569" s="341"/>
      <c r="KLG569" s="341"/>
      <c r="KLH569" s="341"/>
      <c r="KLI569" s="341"/>
      <c r="KLJ569" s="341"/>
      <c r="KLK569" s="341"/>
      <c r="KLL569" s="341"/>
      <c r="KLM569" s="341"/>
      <c r="KLN569" s="341"/>
      <c r="KLO569" s="341"/>
      <c r="KLP569" s="341"/>
      <c r="KLQ569" s="341"/>
      <c r="KLR569" s="341"/>
      <c r="KLS569" s="341"/>
      <c r="KLT569" s="341"/>
      <c r="KLU569" s="341"/>
      <c r="KLV569" s="341"/>
      <c r="KLW569" s="341"/>
      <c r="KLX569" s="341"/>
      <c r="KLY569" s="341"/>
      <c r="KLZ569" s="341"/>
      <c r="KMA569" s="341"/>
      <c r="KMB569" s="341"/>
      <c r="KMC569" s="341"/>
      <c r="KMD569" s="341"/>
      <c r="KME569" s="341"/>
      <c r="KMF569" s="341"/>
      <c r="KMG569" s="341"/>
      <c r="KMH569" s="341"/>
      <c r="KMI569" s="341"/>
      <c r="KMJ569" s="341"/>
      <c r="KMK569" s="341"/>
      <c r="KML569" s="341"/>
      <c r="KMM569" s="341"/>
      <c r="KMN569" s="341"/>
      <c r="KMO569" s="341"/>
      <c r="KMP569" s="341"/>
      <c r="KMQ569" s="341"/>
      <c r="KMR569" s="341"/>
      <c r="KMS569" s="341"/>
      <c r="KMT569" s="341"/>
      <c r="KMU569" s="341"/>
      <c r="KMV569" s="341"/>
      <c r="KMW569" s="341"/>
      <c r="KMX569" s="341"/>
      <c r="KMY569" s="341"/>
      <c r="KMZ569" s="341"/>
      <c r="KNA569" s="341"/>
      <c r="KNB569" s="341"/>
      <c r="KNC569" s="341"/>
      <c r="KND569" s="341"/>
      <c r="KNE569" s="341"/>
      <c r="KNF569" s="341"/>
      <c r="KNG569" s="341"/>
      <c r="KNH569" s="341"/>
      <c r="KNI569" s="341"/>
      <c r="KNJ569" s="341"/>
      <c r="KNK569" s="341"/>
      <c r="KNL569" s="341"/>
      <c r="KNM569" s="341"/>
      <c r="KNN569" s="341"/>
      <c r="KNO569" s="341"/>
      <c r="KNP569" s="341"/>
      <c r="KNQ569" s="341"/>
      <c r="KNR569" s="341"/>
      <c r="KNS569" s="341"/>
      <c r="KNT569" s="341"/>
      <c r="KNU569" s="341"/>
      <c r="KNV569" s="341"/>
      <c r="KNW569" s="341"/>
      <c r="KNX569" s="341"/>
      <c r="KNY569" s="341"/>
      <c r="KNZ569" s="341"/>
      <c r="KOA569" s="341"/>
      <c r="KOB569" s="341"/>
      <c r="KOC569" s="341"/>
      <c r="KOD569" s="341"/>
      <c r="KOE569" s="341"/>
      <c r="KOF569" s="341"/>
      <c r="KOG569" s="341"/>
      <c r="KOH569" s="341"/>
      <c r="KOI569" s="341"/>
      <c r="KOJ569" s="341"/>
      <c r="KOK569" s="341"/>
      <c r="KOL569" s="341"/>
      <c r="KOM569" s="341"/>
      <c r="KON569" s="341"/>
      <c r="KOO569" s="341"/>
      <c r="KOP569" s="341"/>
      <c r="KOQ569" s="341"/>
      <c r="KOR569" s="341"/>
      <c r="KOS569" s="341"/>
      <c r="KOT569" s="341"/>
      <c r="KOU569" s="341"/>
      <c r="KOV569" s="341"/>
      <c r="KOW569" s="341"/>
      <c r="KOX569" s="341"/>
      <c r="KOY569" s="341"/>
      <c r="KOZ569" s="341"/>
      <c r="KPA569" s="341"/>
      <c r="KPB569" s="341"/>
      <c r="KPC569" s="341"/>
      <c r="KPD569" s="341"/>
      <c r="KPE569" s="341"/>
      <c r="KPF569" s="341"/>
      <c r="KPG569" s="341"/>
      <c r="KPH569" s="341"/>
      <c r="KPI569" s="341"/>
      <c r="KPJ569" s="341"/>
      <c r="KPK569" s="341"/>
      <c r="KPL569" s="341"/>
      <c r="KPM569" s="341"/>
      <c r="KPN569" s="341"/>
      <c r="KPO569" s="341"/>
      <c r="KPP569" s="341"/>
      <c r="KPQ569" s="341"/>
      <c r="KPR569" s="341"/>
      <c r="KPS569" s="341"/>
      <c r="KPT569" s="341"/>
      <c r="KPU569" s="341"/>
      <c r="KPV569" s="341"/>
      <c r="KPW569" s="341"/>
      <c r="KPX569" s="341"/>
      <c r="KPY569" s="341"/>
      <c r="KPZ569" s="341"/>
      <c r="KQA569" s="341"/>
      <c r="KQB569" s="341"/>
      <c r="KQC569" s="341"/>
      <c r="KQD569" s="341"/>
      <c r="KQE569" s="341"/>
      <c r="KQF569" s="341"/>
      <c r="KQG569" s="341"/>
      <c r="KQH569" s="341"/>
      <c r="KQI569" s="341"/>
      <c r="KQJ569" s="341"/>
      <c r="KQK569" s="341"/>
      <c r="KQL569" s="341"/>
      <c r="KQM569" s="341"/>
      <c r="KQN569" s="341"/>
      <c r="KQO569" s="341"/>
      <c r="KQP569" s="341"/>
      <c r="KQQ569" s="341"/>
      <c r="KQR569" s="341"/>
      <c r="KQS569" s="341"/>
      <c r="KQT569" s="341"/>
      <c r="KQU569" s="341"/>
      <c r="KQV569" s="341"/>
      <c r="KQW569" s="341"/>
      <c r="KQX569" s="341"/>
      <c r="KQY569" s="341"/>
      <c r="KQZ569" s="341"/>
      <c r="KRA569" s="341"/>
      <c r="KRB569" s="341"/>
      <c r="KRC569" s="341"/>
      <c r="KRD569" s="341"/>
      <c r="KRE569" s="341"/>
      <c r="KRF569" s="341"/>
      <c r="KRG569" s="341"/>
      <c r="KRH569" s="341"/>
      <c r="KRI569" s="341"/>
      <c r="KRJ569" s="341"/>
      <c r="KRK569" s="341"/>
      <c r="KRL569" s="341"/>
      <c r="KRM569" s="341"/>
      <c r="KRN569" s="341"/>
      <c r="KRO569" s="341"/>
      <c r="KRP569" s="341"/>
      <c r="KRQ569" s="341"/>
      <c r="KRR569" s="341"/>
      <c r="KRS569" s="341"/>
      <c r="KRT569" s="341"/>
      <c r="KRU569" s="341"/>
      <c r="KRV569" s="341"/>
      <c r="KRW569" s="341"/>
      <c r="KRX569" s="341"/>
      <c r="KRY569" s="341"/>
      <c r="KRZ569" s="341"/>
      <c r="KSA569" s="341"/>
      <c r="KSB569" s="341"/>
      <c r="KSC569" s="341"/>
      <c r="KSD569" s="341"/>
      <c r="KSE569" s="341"/>
      <c r="KSF569" s="341"/>
      <c r="KSG569" s="341"/>
      <c r="KSH569" s="341"/>
      <c r="KSI569" s="341"/>
      <c r="KSJ569" s="341"/>
      <c r="KSK569" s="341"/>
      <c r="KSL569" s="341"/>
      <c r="KSM569" s="341"/>
      <c r="KSN569" s="341"/>
      <c r="KSO569" s="341"/>
      <c r="KSP569" s="341"/>
      <c r="KSQ569" s="341"/>
      <c r="KSR569" s="341"/>
      <c r="KSS569" s="341"/>
      <c r="KST569" s="341"/>
      <c r="KSU569" s="341"/>
      <c r="KSV569" s="341"/>
      <c r="KSW569" s="341"/>
      <c r="KSX569" s="341"/>
      <c r="KSY569" s="341"/>
      <c r="KSZ569" s="341"/>
      <c r="KTA569" s="341"/>
      <c r="KTB569" s="341"/>
      <c r="KTC569" s="341"/>
      <c r="KTD569" s="341"/>
      <c r="KTE569" s="341"/>
      <c r="KTF569" s="341"/>
      <c r="KTG569" s="341"/>
      <c r="KTH569" s="341"/>
      <c r="KTI569" s="341"/>
      <c r="KTJ569" s="341"/>
      <c r="KTK569" s="341"/>
      <c r="KTL569" s="341"/>
      <c r="KTM569" s="341"/>
      <c r="KTN569" s="341"/>
      <c r="KTO569" s="341"/>
      <c r="KTP569" s="341"/>
      <c r="KTQ569" s="341"/>
      <c r="KTR569" s="341"/>
      <c r="KTS569" s="341"/>
      <c r="KTT569" s="341"/>
      <c r="KTU569" s="341"/>
      <c r="KTV569" s="341"/>
      <c r="KTW569" s="341"/>
      <c r="KTX569" s="341"/>
      <c r="KTY569" s="341"/>
      <c r="KTZ569" s="341"/>
      <c r="KUA569" s="341"/>
      <c r="KUB569" s="341"/>
      <c r="KUC569" s="341"/>
      <c r="KUD569" s="341"/>
      <c r="KUE569" s="341"/>
      <c r="KUF569" s="341"/>
      <c r="KUG569" s="341"/>
      <c r="KUH569" s="341"/>
      <c r="KUI569" s="341"/>
      <c r="KUJ569" s="341"/>
      <c r="KUK569" s="341"/>
      <c r="KUL569" s="341"/>
      <c r="KUM569" s="341"/>
      <c r="KUN569" s="341"/>
      <c r="KUO569" s="341"/>
      <c r="KUP569" s="341"/>
      <c r="KUQ569" s="341"/>
      <c r="KUR569" s="341"/>
      <c r="KUS569" s="341"/>
      <c r="KUT569" s="341"/>
      <c r="KUU569" s="341"/>
      <c r="KUV569" s="341"/>
      <c r="KUW569" s="341"/>
      <c r="KUX569" s="341"/>
      <c r="KUY569" s="341"/>
      <c r="KUZ569" s="341"/>
      <c r="KVA569" s="341"/>
      <c r="KVB569" s="341"/>
      <c r="KVC569" s="341"/>
      <c r="KVD569" s="341"/>
      <c r="KVE569" s="341"/>
      <c r="KVF569" s="341"/>
      <c r="KVG569" s="341"/>
      <c r="KVH569" s="341"/>
      <c r="KVI569" s="341"/>
      <c r="KVJ569" s="341"/>
      <c r="KVK569" s="341"/>
      <c r="KVL569" s="341"/>
      <c r="KVM569" s="341"/>
      <c r="KVN569" s="341"/>
      <c r="KVO569" s="341"/>
      <c r="KVP569" s="341"/>
      <c r="KVQ569" s="341"/>
      <c r="KVR569" s="341"/>
      <c r="KVS569" s="341"/>
      <c r="KVT569" s="341"/>
      <c r="KVU569" s="341"/>
      <c r="KVV569" s="341"/>
      <c r="KVW569" s="341"/>
      <c r="KVX569" s="341"/>
      <c r="KVY569" s="341"/>
      <c r="KVZ569" s="341"/>
      <c r="KWA569" s="341"/>
      <c r="KWB569" s="341"/>
      <c r="KWC569" s="341"/>
      <c r="KWD569" s="341"/>
      <c r="KWE569" s="341"/>
      <c r="KWF569" s="341"/>
      <c r="KWG569" s="341"/>
      <c r="KWH569" s="341"/>
      <c r="KWI569" s="341"/>
      <c r="KWJ569" s="341"/>
      <c r="KWK569" s="341"/>
      <c r="KWL569" s="341"/>
      <c r="KWM569" s="341"/>
      <c r="KWN569" s="341"/>
      <c r="KWO569" s="341"/>
      <c r="KWP569" s="341"/>
      <c r="KWQ569" s="341"/>
      <c r="KWR569" s="341"/>
      <c r="KWS569" s="341"/>
      <c r="KWT569" s="341"/>
      <c r="KWU569" s="341"/>
      <c r="KWV569" s="341"/>
      <c r="KWW569" s="341"/>
      <c r="KWX569" s="341"/>
      <c r="KWY569" s="341"/>
      <c r="KWZ569" s="341"/>
      <c r="KXA569" s="341"/>
      <c r="KXB569" s="341"/>
      <c r="KXC569" s="341"/>
      <c r="KXD569" s="341"/>
      <c r="KXE569" s="341"/>
      <c r="KXF569" s="341"/>
      <c r="KXG569" s="341"/>
      <c r="KXH569" s="341"/>
      <c r="KXI569" s="341"/>
      <c r="KXJ569" s="341"/>
      <c r="KXK569" s="341"/>
      <c r="KXL569" s="341"/>
      <c r="KXM569" s="341"/>
      <c r="KXN569" s="341"/>
      <c r="KXO569" s="341"/>
      <c r="KXP569" s="341"/>
      <c r="KXQ569" s="341"/>
      <c r="KXR569" s="341"/>
      <c r="KXS569" s="341"/>
      <c r="KXT569" s="341"/>
      <c r="KXU569" s="341"/>
      <c r="KXV569" s="341"/>
      <c r="KXW569" s="341"/>
      <c r="KXX569" s="341"/>
      <c r="KXY569" s="341"/>
      <c r="KXZ569" s="341"/>
      <c r="KYA569" s="341"/>
      <c r="KYB569" s="341"/>
      <c r="KYC569" s="341"/>
      <c r="KYD569" s="341"/>
      <c r="KYE569" s="341"/>
      <c r="KYF569" s="341"/>
      <c r="KYG569" s="341"/>
      <c r="KYH569" s="341"/>
      <c r="KYI569" s="341"/>
      <c r="KYJ569" s="341"/>
      <c r="KYK569" s="341"/>
      <c r="KYL569" s="341"/>
      <c r="KYM569" s="341"/>
      <c r="KYN569" s="341"/>
      <c r="KYO569" s="341"/>
      <c r="KYP569" s="341"/>
      <c r="KYQ569" s="341"/>
      <c r="KYR569" s="341"/>
      <c r="KYS569" s="341"/>
      <c r="KYT569" s="341"/>
      <c r="KYU569" s="341"/>
      <c r="KYV569" s="341"/>
      <c r="KYW569" s="341"/>
      <c r="KYX569" s="341"/>
      <c r="KYY569" s="341"/>
      <c r="KYZ569" s="341"/>
      <c r="KZA569" s="341"/>
      <c r="KZB569" s="341"/>
      <c r="KZC569" s="341"/>
      <c r="KZD569" s="341"/>
      <c r="KZE569" s="341"/>
      <c r="KZF569" s="341"/>
      <c r="KZG569" s="341"/>
      <c r="KZH569" s="341"/>
      <c r="KZI569" s="341"/>
      <c r="KZJ569" s="341"/>
      <c r="KZK569" s="341"/>
      <c r="KZL569" s="341"/>
      <c r="KZM569" s="341"/>
      <c r="KZN569" s="341"/>
      <c r="KZO569" s="341"/>
      <c r="KZP569" s="341"/>
      <c r="KZQ569" s="341"/>
      <c r="KZR569" s="341"/>
      <c r="KZS569" s="341"/>
      <c r="KZT569" s="341"/>
      <c r="KZU569" s="341"/>
      <c r="KZV569" s="341"/>
      <c r="KZW569" s="341"/>
      <c r="KZX569" s="341"/>
      <c r="KZY569" s="341"/>
      <c r="KZZ569" s="341"/>
      <c r="LAA569" s="341"/>
      <c r="LAB569" s="341"/>
      <c r="LAC569" s="341"/>
      <c r="LAD569" s="341"/>
      <c r="LAE569" s="341"/>
      <c r="LAF569" s="341"/>
      <c r="LAG569" s="341"/>
      <c r="LAH569" s="341"/>
      <c r="LAI569" s="341"/>
      <c r="LAJ569" s="341"/>
      <c r="LAK569" s="341"/>
      <c r="LAL569" s="341"/>
      <c r="LAM569" s="341"/>
      <c r="LAN569" s="341"/>
      <c r="LAO569" s="341"/>
      <c r="LAP569" s="341"/>
      <c r="LAQ569" s="341"/>
      <c r="LAR569" s="341"/>
      <c r="LAS569" s="341"/>
      <c r="LAT569" s="341"/>
      <c r="LAU569" s="341"/>
      <c r="LAV569" s="341"/>
      <c r="LAW569" s="341"/>
      <c r="LAX569" s="341"/>
      <c r="LAY569" s="341"/>
      <c r="LAZ569" s="341"/>
      <c r="LBA569" s="341"/>
      <c r="LBB569" s="341"/>
      <c r="LBC569" s="341"/>
      <c r="LBD569" s="341"/>
      <c r="LBE569" s="341"/>
      <c r="LBF569" s="341"/>
      <c r="LBG569" s="341"/>
      <c r="LBH569" s="341"/>
      <c r="LBI569" s="341"/>
      <c r="LBJ569" s="341"/>
      <c r="LBK569" s="341"/>
      <c r="LBL569" s="341"/>
      <c r="LBM569" s="341"/>
      <c r="LBN569" s="341"/>
      <c r="LBO569" s="341"/>
      <c r="LBP569" s="341"/>
      <c r="LBQ569" s="341"/>
      <c r="LBR569" s="341"/>
      <c r="LBS569" s="341"/>
      <c r="LBT569" s="341"/>
      <c r="LBU569" s="341"/>
      <c r="LBV569" s="341"/>
      <c r="LBW569" s="341"/>
      <c r="LBX569" s="341"/>
      <c r="LBY569" s="341"/>
      <c r="LBZ569" s="341"/>
      <c r="LCA569" s="341"/>
      <c r="LCB569" s="341"/>
      <c r="LCC569" s="341"/>
      <c r="LCD569" s="341"/>
      <c r="LCE569" s="341"/>
      <c r="LCF569" s="341"/>
      <c r="LCG569" s="341"/>
      <c r="LCH569" s="341"/>
      <c r="LCI569" s="341"/>
      <c r="LCJ569" s="341"/>
      <c r="LCK569" s="341"/>
      <c r="LCL569" s="341"/>
      <c r="LCM569" s="341"/>
      <c r="LCN569" s="341"/>
      <c r="LCO569" s="341"/>
      <c r="LCP569" s="341"/>
      <c r="LCQ569" s="341"/>
      <c r="LCR569" s="341"/>
      <c r="LCS569" s="341"/>
      <c r="LCT569" s="341"/>
      <c r="LCU569" s="341"/>
      <c r="LCV569" s="341"/>
      <c r="LCW569" s="341"/>
      <c r="LCX569" s="341"/>
      <c r="LCY569" s="341"/>
      <c r="LCZ569" s="341"/>
      <c r="LDA569" s="341"/>
      <c r="LDB569" s="341"/>
      <c r="LDC569" s="341"/>
      <c r="LDD569" s="341"/>
      <c r="LDE569" s="341"/>
      <c r="LDF569" s="341"/>
      <c r="LDG569" s="341"/>
      <c r="LDH569" s="341"/>
      <c r="LDI569" s="341"/>
      <c r="LDJ569" s="341"/>
      <c r="LDK569" s="341"/>
      <c r="LDL569" s="341"/>
      <c r="LDM569" s="341"/>
      <c r="LDN569" s="341"/>
      <c r="LDO569" s="341"/>
      <c r="LDP569" s="341"/>
      <c r="LDQ569" s="341"/>
      <c r="LDR569" s="341"/>
      <c r="LDS569" s="341"/>
      <c r="LDT569" s="341"/>
      <c r="LDU569" s="341"/>
      <c r="LDV569" s="341"/>
      <c r="LDW569" s="341"/>
      <c r="LDX569" s="341"/>
      <c r="LDY569" s="341"/>
      <c r="LDZ569" s="341"/>
      <c r="LEA569" s="341"/>
      <c r="LEB569" s="341"/>
      <c r="LEC569" s="341"/>
      <c r="LED569" s="341"/>
      <c r="LEE569" s="341"/>
      <c r="LEF569" s="341"/>
      <c r="LEG569" s="341"/>
      <c r="LEH569" s="341"/>
      <c r="LEI569" s="341"/>
      <c r="LEJ569" s="341"/>
      <c r="LEK569" s="341"/>
      <c r="LEL569" s="341"/>
      <c r="LEM569" s="341"/>
      <c r="LEN569" s="341"/>
      <c r="LEO569" s="341"/>
      <c r="LEP569" s="341"/>
      <c r="LEQ569" s="341"/>
      <c r="LER569" s="341"/>
      <c r="LES569" s="341"/>
      <c r="LET569" s="341"/>
      <c r="LEU569" s="341"/>
      <c r="LEV569" s="341"/>
      <c r="LEW569" s="341"/>
      <c r="LEX569" s="341"/>
      <c r="LEY569" s="341"/>
      <c r="LEZ569" s="341"/>
      <c r="LFA569" s="341"/>
      <c r="LFB569" s="341"/>
      <c r="LFC569" s="341"/>
      <c r="LFD569" s="341"/>
      <c r="LFE569" s="341"/>
      <c r="LFF569" s="341"/>
      <c r="LFG569" s="341"/>
      <c r="LFH569" s="341"/>
      <c r="LFI569" s="341"/>
      <c r="LFJ569" s="341"/>
      <c r="LFK569" s="341"/>
      <c r="LFL569" s="341"/>
      <c r="LFM569" s="341"/>
      <c r="LFN569" s="341"/>
      <c r="LFO569" s="341"/>
      <c r="LFP569" s="341"/>
      <c r="LFQ569" s="341"/>
      <c r="LFR569" s="341"/>
      <c r="LFS569" s="341"/>
      <c r="LFT569" s="341"/>
      <c r="LFU569" s="341"/>
      <c r="LFV569" s="341"/>
      <c r="LFW569" s="341"/>
      <c r="LFX569" s="341"/>
      <c r="LFY569" s="341"/>
      <c r="LFZ569" s="341"/>
      <c r="LGA569" s="341"/>
      <c r="LGB569" s="341"/>
      <c r="LGC569" s="341"/>
      <c r="LGD569" s="341"/>
      <c r="LGE569" s="341"/>
      <c r="LGF569" s="341"/>
      <c r="LGG569" s="341"/>
      <c r="LGH569" s="341"/>
      <c r="LGI569" s="341"/>
      <c r="LGJ569" s="341"/>
      <c r="LGK569" s="341"/>
      <c r="LGL569" s="341"/>
      <c r="LGM569" s="341"/>
      <c r="LGN569" s="341"/>
      <c r="LGO569" s="341"/>
      <c r="LGP569" s="341"/>
      <c r="LGQ569" s="341"/>
      <c r="LGR569" s="341"/>
      <c r="LGS569" s="341"/>
      <c r="LGT569" s="341"/>
      <c r="LGU569" s="341"/>
      <c r="LGV569" s="341"/>
      <c r="LGW569" s="341"/>
      <c r="LGX569" s="341"/>
      <c r="LGY569" s="341"/>
      <c r="LGZ569" s="341"/>
      <c r="LHA569" s="341"/>
      <c r="LHB569" s="341"/>
      <c r="LHC569" s="341"/>
      <c r="LHD569" s="341"/>
      <c r="LHE569" s="341"/>
      <c r="LHF569" s="341"/>
      <c r="LHG569" s="341"/>
      <c r="LHH569" s="341"/>
      <c r="LHI569" s="341"/>
      <c r="LHJ569" s="341"/>
      <c r="LHK569" s="341"/>
      <c r="LHL569" s="341"/>
      <c r="LHM569" s="341"/>
      <c r="LHN569" s="341"/>
      <c r="LHO569" s="341"/>
      <c r="LHP569" s="341"/>
      <c r="LHQ569" s="341"/>
      <c r="LHR569" s="341"/>
      <c r="LHS569" s="341"/>
      <c r="LHT569" s="341"/>
      <c r="LHU569" s="341"/>
      <c r="LHV569" s="341"/>
      <c r="LHW569" s="341"/>
      <c r="LHX569" s="341"/>
      <c r="LHY569" s="341"/>
      <c r="LHZ569" s="341"/>
      <c r="LIA569" s="341"/>
      <c r="LIB569" s="341"/>
      <c r="LIC569" s="341"/>
      <c r="LID569" s="341"/>
      <c r="LIE569" s="341"/>
      <c r="LIF569" s="341"/>
      <c r="LIG569" s="341"/>
      <c r="LIH569" s="341"/>
      <c r="LII569" s="341"/>
      <c r="LIJ569" s="341"/>
      <c r="LIK569" s="341"/>
      <c r="LIL569" s="341"/>
      <c r="LIM569" s="341"/>
      <c r="LIN569" s="341"/>
      <c r="LIO569" s="341"/>
      <c r="LIP569" s="341"/>
      <c r="LIQ569" s="341"/>
      <c r="LIR569" s="341"/>
      <c r="LIS569" s="341"/>
      <c r="LIT569" s="341"/>
      <c r="LIU569" s="341"/>
      <c r="LIV569" s="341"/>
      <c r="LIW569" s="341"/>
      <c r="LIX569" s="341"/>
      <c r="LIY569" s="341"/>
      <c r="LIZ569" s="341"/>
      <c r="LJA569" s="341"/>
      <c r="LJB569" s="341"/>
      <c r="LJC569" s="341"/>
      <c r="LJD569" s="341"/>
      <c r="LJE569" s="341"/>
      <c r="LJF569" s="341"/>
      <c r="LJG569" s="341"/>
      <c r="LJH569" s="341"/>
      <c r="LJI569" s="341"/>
      <c r="LJJ569" s="341"/>
      <c r="LJK569" s="341"/>
      <c r="LJL569" s="341"/>
      <c r="LJM569" s="341"/>
      <c r="LJN569" s="341"/>
      <c r="LJO569" s="341"/>
      <c r="LJP569" s="341"/>
      <c r="LJQ569" s="341"/>
      <c r="LJR569" s="341"/>
      <c r="LJS569" s="341"/>
      <c r="LJT569" s="341"/>
      <c r="LJU569" s="341"/>
      <c r="LJV569" s="341"/>
      <c r="LJW569" s="341"/>
      <c r="LJX569" s="341"/>
      <c r="LJY569" s="341"/>
      <c r="LJZ569" s="341"/>
      <c r="LKA569" s="341"/>
      <c r="LKB569" s="341"/>
      <c r="LKC569" s="341"/>
      <c r="LKD569" s="341"/>
      <c r="LKE569" s="341"/>
      <c r="LKF569" s="341"/>
      <c r="LKG569" s="341"/>
      <c r="LKH569" s="341"/>
      <c r="LKI569" s="341"/>
      <c r="LKJ569" s="341"/>
      <c r="LKK569" s="341"/>
      <c r="LKL569" s="341"/>
      <c r="LKM569" s="341"/>
      <c r="LKN569" s="341"/>
      <c r="LKO569" s="341"/>
      <c r="LKP569" s="341"/>
      <c r="LKQ569" s="341"/>
      <c r="LKR569" s="341"/>
      <c r="LKS569" s="341"/>
      <c r="LKT569" s="341"/>
      <c r="LKU569" s="341"/>
      <c r="LKV569" s="341"/>
      <c r="LKW569" s="341"/>
      <c r="LKX569" s="341"/>
      <c r="LKY569" s="341"/>
      <c r="LKZ569" s="341"/>
      <c r="LLA569" s="341"/>
      <c r="LLB569" s="341"/>
      <c r="LLC569" s="341"/>
      <c r="LLD569" s="341"/>
      <c r="LLE569" s="341"/>
      <c r="LLF569" s="341"/>
      <c r="LLG569" s="341"/>
      <c r="LLH569" s="341"/>
      <c r="LLI569" s="341"/>
      <c r="LLJ569" s="341"/>
      <c r="LLK569" s="341"/>
      <c r="LLL569" s="341"/>
      <c r="LLM569" s="341"/>
      <c r="LLN569" s="341"/>
      <c r="LLO569" s="341"/>
      <c r="LLP569" s="341"/>
      <c r="LLQ569" s="341"/>
      <c r="LLR569" s="341"/>
      <c r="LLS569" s="341"/>
      <c r="LLT569" s="341"/>
      <c r="LLU569" s="341"/>
      <c r="LLV569" s="341"/>
      <c r="LLW569" s="341"/>
      <c r="LLX569" s="341"/>
      <c r="LLY569" s="341"/>
      <c r="LLZ569" s="341"/>
      <c r="LMA569" s="341"/>
      <c r="LMB569" s="341"/>
      <c r="LMC569" s="341"/>
      <c r="LMD569" s="341"/>
      <c r="LME569" s="341"/>
      <c r="LMF569" s="341"/>
      <c r="LMG569" s="341"/>
      <c r="LMH569" s="341"/>
      <c r="LMI569" s="341"/>
      <c r="LMJ569" s="341"/>
      <c r="LMK569" s="341"/>
      <c r="LML569" s="341"/>
      <c r="LMM569" s="341"/>
      <c r="LMN569" s="341"/>
      <c r="LMO569" s="341"/>
      <c r="LMP569" s="341"/>
      <c r="LMQ569" s="341"/>
      <c r="LMR569" s="341"/>
      <c r="LMS569" s="341"/>
      <c r="LMT569" s="341"/>
      <c r="LMU569" s="341"/>
      <c r="LMV569" s="341"/>
      <c r="LMW569" s="341"/>
      <c r="LMX569" s="341"/>
      <c r="LMY569" s="341"/>
      <c r="LMZ569" s="341"/>
      <c r="LNA569" s="341"/>
      <c r="LNB569" s="341"/>
      <c r="LNC569" s="341"/>
      <c r="LND569" s="341"/>
      <c r="LNE569" s="341"/>
      <c r="LNF569" s="341"/>
      <c r="LNG569" s="341"/>
      <c r="LNH569" s="341"/>
      <c r="LNI569" s="341"/>
      <c r="LNJ569" s="341"/>
      <c r="LNK569" s="341"/>
      <c r="LNL569" s="341"/>
      <c r="LNM569" s="341"/>
      <c r="LNN569" s="341"/>
      <c r="LNO569" s="341"/>
      <c r="LNP569" s="341"/>
      <c r="LNQ569" s="341"/>
      <c r="LNR569" s="341"/>
      <c r="LNS569" s="341"/>
      <c r="LNT569" s="341"/>
      <c r="LNU569" s="341"/>
      <c r="LNV569" s="341"/>
      <c r="LNW569" s="341"/>
      <c r="LNX569" s="341"/>
      <c r="LNY569" s="341"/>
      <c r="LNZ569" s="341"/>
      <c r="LOA569" s="341"/>
      <c r="LOB569" s="341"/>
      <c r="LOC569" s="341"/>
      <c r="LOD569" s="341"/>
      <c r="LOE569" s="341"/>
      <c r="LOF569" s="341"/>
      <c r="LOG569" s="341"/>
      <c r="LOH569" s="341"/>
      <c r="LOI569" s="341"/>
      <c r="LOJ569" s="341"/>
      <c r="LOK569" s="341"/>
      <c r="LOL569" s="341"/>
      <c r="LOM569" s="341"/>
      <c r="LON569" s="341"/>
      <c r="LOO569" s="341"/>
      <c r="LOP569" s="341"/>
      <c r="LOQ569" s="341"/>
      <c r="LOR569" s="341"/>
      <c r="LOS569" s="341"/>
      <c r="LOT569" s="341"/>
      <c r="LOU569" s="341"/>
      <c r="LOV569" s="341"/>
      <c r="LOW569" s="341"/>
      <c r="LOX569" s="341"/>
      <c r="LOY569" s="341"/>
      <c r="LOZ569" s="341"/>
      <c r="LPA569" s="341"/>
      <c r="LPB569" s="341"/>
      <c r="LPC569" s="341"/>
      <c r="LPD569" s="341"/>
      <c r="LPE569" s="341"/>
      <c r="LPF569" s="341"/>
      <c r="LPG569" s="341"/>
      <c r="LPH569" s="341"/>
      <c r="LPI569" s="341"/>
      <c r="LPJ569" s="341"/>
      <c r="LPK569" s="341"/>
      <c r="LPL569" s="341"/>
      <c r="LPM569" s="341"/>
      <c r="LPN569" s="341"/>
      <c r="LPO569" s="341"/>
      <c r="LPP569" s="341"/>
      <c r="LPQ569" s="341"/>
      <c r="LPR569" s="341"/>
      <c r="LPS569" s="341"/>
      <c r="LPT569" s="341"/>
      <c r="LPU569" s="341"/>
      <c r="LPV569" s="341"/>
      <c r="LPW569" s="341"/>
      <c r="LPX569" s="341"/>
      <c r="LPY569" s="341"/>
      <c r="LPZ569" s="341"/>
      <c r="LQA569" s="341"/>
      <c r="LQB569" s="341"/>
      <c r="LQC569" s="341"/>
      <c r="LQD569" s="341"/>
      <c r="LQE569" s="341"/>
      <c r="LQF569" s="341"/>
      <c r="LQG569" s="341"/>
      <c r="LQH569" s="341"/>
      <c r="LQI569" s="341"/>
      <c r="LQJ569" s="341"/>
      <c r="LQK569" s="341"/>
      <c r="LQL569" s="341"/>
      <c r="LQM569" s="341"/>
      <c r="LQN569" s="341"/>
      <c r="LQO569" s="341"/>
      <c r="LQP569" s="341"/>
      <c r="LQQ569" s="341"/>
      <c r="LQR569" s="341"/>
      <c r="LQS569" s="341"/>
      <c r="LQT569" s="341"/>
      <c r="LQU569" s="341"/>
      <c r="LQV569" s="341"/>
      <c r="LQW569" s="341"/>
      <c r="LQX569" s="341"/>
      <c r="LQY569" s="341"/>
      <c r="LQZ569" s="341"/>
      <c r="LRA569" s="341"/>
      <c r="LRB569" s="341"/>
      <c r="LRC569" s="341"/>
      <c r="LRD569" s="341"/>
      <c r="LRE569" s="341"/>
      <c r="LRF569" s="341"/>
      <c r="LRG569" s="341"/>
      <c r="LRH569" s="341"/>
      <c r="LRI569" s="341"/>
      <c r="LRJ569" s="341"/>
      <c r="LRK569" s="341"/>
      <c r="LRL569" s="341"/>
      <c r="LRM569" s="341"/>
      <c r="LRN569" s="341"/>
      <c r="LRO569" s="341"/>
      <c r="LRP569" s="341"/>
      <c r="LRQ569" s="341"/>
      <c r="LRR569" s="341"/>
      <c r="LRS569" s="341"/>
      <c r="LRT569" s="341"/>
      <c r="LRU569" s="341"/>
      <c r="LRV569" s="341"/>
      <c r="LRW569" s="341"/>
      <c r="LRX569" s="341"/>
      <c r="LRY569" s="341"/>
      <c r="LRZ569" s="341"/>
      <c r="LSA569" s="341"/>
      <c r="LSB569" s="341"/>
      <c r="LSC569" s="341"/>
      <c r="LSD569" s="341"/>
      <c r="LSE569" s="341"/>
      <c r="LSF569" s="341"/>
      <c r="LSG569" s="341"/>
      <c r="LSH569" s="341"/>
      <c r="LSI569" s="341"/>
      <c r="LSJ569" s="341"/>
      <c r="LSK569" s="341"/>
      <c r="LSL569" s="341"/>
      <c r="LSM569" s="341"/>
      <c r="LSN569" s="341"/>
      <c r="LSO569" s="341"/>
      <c r="LSP569" s="341"/>
      <c r="LSQ569" s="341"/>
      <c r="LSR569" s="341"/>
      <c r="LSS569" s="341"/>
      <c r="LST569" s="341"/>
      <c r="LSU569" s="341"/>
      <c r="LSV569" s="341"/>
      <c r="LSW569" s="341"/>
      <c r="LSX569" s="341"/>
      <c r="LSY569" s="341"/>
      <c r="LSZ569" s="341"/>
      <c r="LTA569" s="341"/>
      <c r="LTB569" s="341"/>
      <c r="LTC569" s="341"/>
      <c r="LTD569" s="341"/>
      <c r="LTE569" s="341"/>
      <c r="LTF569" s="341"/>
      <c r="LTG569" s="341"/>
      <c r="LTH569" s="341"/>
      <c r="LTI569" s="341"/>
      <c r="LTJ569" s="341"/>
      <c r="LTK569" s="341"/>
      <c r="LTL569" s="341"/>
      <c r="LTM569" s="341"/>
      <c r="LTN569" s="341"/>
      <c r="LTO569" s="341"/>
      <c r="LTP569" s="341"/>
      <c r="LTQ569" s="341"/>
      <c r="LTR569" s="341"/>
      <c r="LTS569" s="341"/>
      <c r="LTT569" s="341"/>
      <c r="LTU569" s="341"/>
      <c r="LTV569" s="341"/>
      <c r="LTW569" s="341"/>
      <c r="LTX569" s="341"/>
      <c r="LTY569" s="341"/>
      <c r="LTZ569" s="341"/>
      <c r="LUA569" s="341"/>
      <c r="LUB569" s="341"/>
      <c r="LUC569" s="341"/>
      <c r="LUD569" s="341"/>
      <c r="LUE569" s="341"/>
      <c r="LUF569" s="341"/>
      <c r="LUG569" s="341"/>
      <c r="LUH569" s="341"/>
      <c r="LUI569" s="341"/>
      <c r="LUJ569" s="341"/>
      <c r="LUK569" s="341"/>
      <c r="LUL569" s="341"/>
      <c r="LUM569" s="341"/>
      <c r="LUN569" s="341"/>
      <c r="LUO569" s="341"/>
      <c r="LUP569" s="341"/>
      <c r="LUQ569" s="341"/>
      <c r="LUR569" s="341"/>
      <c r="LUS569" s="341"/>
      <c r="LUT569" s="341"/>
      <c r="LUU569" s="341"/>
      <c r="LUV569" s="341"/>
      <c r="LUW569" s="341"/>
      <c r="LUX569" s="341"/>
      <c r="LUY569" s="341"/>
      <c r="LUZ569" s="341"/>
      <c r="LVA569" s="341"/>
      <c r="LVB569" s="341"/>
      <c r="LVC569" s="341"/>
      <c r="LVD569" s="341"/>
      <c r="LVE569" s="341"/>
      <c r="LVF569" s="341"/>
      <c r="LVG569" s="341"/>
      <c r="LVH569" s="341"/>
      <c r="LVI569" s="341"/>
      <c r="LVJ569" s="341"/>
      <c r="LVK569" s="341"/>
      <c r="LVL569" s="341"/>
      <c r="LVM569" s="341"/>
      <c r="LVN569" s="341"/>
      <c r="LVO569" s="341"/>
      <c r="LVP569" s="341"/>
      <c r="LVQ569" s="341"/>
      <c r="LVR569" s="341"/>
      <c r="LVS569" s="341"/>
      <c r="LVT569" s="341"/>
      <c r="LVU569" s="341"/>
      <c r="LVV569" s="341"/>
      <c r="LVW569" s="341"/>
      <c r="LVX569" s="341"/>
      <c r="LVY569" s="341"/>
      <c r="LVZ569" s="341"/>
      <c r="LWA569" s="341"/>
      <c r="LWB569" s="341"/>
      <c r="LWC569" s="341"/>
      <c r="LWD569" s="341"/>
      <c r="LWE569" s="341"/>
      <c r="LWF569" s="341"/>
      <c r="LWG569" s="341"/>
      <c r="LWH569" s="341"/>
      <c r="LWI569" s="341"/>
      <c r="LWJ569" s="341"/>
      <c r="LWK569" s="341"/>
      <c r="LWL569" s="341"/>
      <c r="LWM569" s="341"/>
      <c r="LWN569" s="341"/>
      <c r="LWO569" s="341"/>
      <c r="LWP569" s="341"/>
      <c r="LWQ569" s="341"/>
      <c r="LWR569" s="341"/>
      <c r="LWS569" s="341"/>
      <c r="LWT569" s="341"/>
      <c r="LWU569" s="341"/>
      <c r="LWV569" s="341"/>
      <c r="LWW569" s="341"/>
      <c r="LWX569" s="341"/>
      <c r="LWY569" s="341"/>
      <c r="LWZ569" s="341"/>
      <c r="LXA569" s="341"/>
      <c r="LXB569" s="341"/>
      <c r="LXC569" s="341"/>
      <c r="LXD569" s="341"/>
      <c r="LXE569" s="341"/>
      <c r="LXF569" s="341"/>
      <c r="LXG569" s="341"/>
      <c r="LXH569" s="341"/>
      <c r="LXI569" s="341"/>
      <c r="LXJ569" s="341"/>
      <c r="LXK569" s="341"/>
      <c r="LXL569" s="341"/>
      <c r="LXM569" s="341"/>
      <c r="LXN569" s="341"/>
      <c r="LXO569" s="341"/>
      <c r="LXP569" s="341"/>
      <c r="LXQ569" s="341"/>
      <c r="LXR569" s="341"/>
      <c r="LXS569" s="341"/>
      <c r="LXT569" s="341"/>
      <c r="LXU569" s="341"/>
      <c r="LXV569" s="341"/>
      <c r="LXW569" s="341"/>
      <c r="LXX569" s="341"/>
      <c r="LXY569" s="341"/>
      <c r="LXZ569" s="341"/>
      <c r="LYA569" s="341"/>
      <c r="LYB569" s="341"/>
      <c r="LYC569" s="341"/>
      <c r="LYD569" s="341"/>
      <c r="LYE569" s="341"/>
      <c r="LYF569" s="341"/>
      <c r="LYG569" s="341"/>
      <c r="LYH569" s="341"/>
      <c r="LYI569" s="341"/>
      <c r="LYJ569" s="341"/>
      <c r="LYK569" s="341"/>
      <c r="LYL569" s="341"/>
      <c r="LYM569" s="341"/>
      <c r="LYN569" s="341"/>
      <c r="LYO569" s="341"/>
      <c r="LYP569" s="341"/>
      <c r="LYQ569" s="341"/>
      <c r="LYR569" s="341"/>
      <c r="LYS569" s="341"/>
      <c r="LYT569" s="341"/>
      <c r="LYU569" s="341"/>
      <c r="LYV569" s="341"/>
      <c r="LYW569" s="341"/>
      <c r="LYX569" s="341"/>
      <c r="LYY569" s="341"/>
      <c r="LYZ569" s="341"/>
      <c r="LZA569" s="341"/>
      <c r="LZB569" s="341"/>
      <c r="LZC569" s="341"/>
      <c r="LZD569" s="341"/>
      <c r="LZE569" s="341"/>
      <c r="LZF569" s="341"/>
      <c r="LZG569" s="341"/>
      <c r="LZH569" s="341"/>
      <c r="LZI569" s="341"/>
      <c r="LZJ569" s="341"/>
      <c r="LZK569" s="341"/>
      <c r="LZL569" s="341"/>
      <c r="LZM569" s="341"/>
      <c r="LZN569" s="341"/>
      <c r="LZO569" s="341"/>
      <c r="LZP569" s="341"/>
      <c r="LZQ569" s="341"/>
      <c r="LZR569" s="341"/>
      <c r="LZS569" s="341"/>
      <c r="LZT569" s="341"/>
      <c r="LZU569" s="341"/>
      <c r="LZV569" s="341"/>
      <c r="LZW569" s="341"/>
      <c r="LZX569" s="341"/>
      <c r="LZY569" s="341"/>
      <c r="LZZ569" s="341"/>
      <c r="MAA569" s="341"/>
      <c r="MAB569" s="341"/>
      <c r="MAC569" s="341"/>
      <c r="MAD569" s="341"/>
      <c r="MAE569" s="341"/>
      <c r="MAF569" s="341"/>
      <c r="MAG569" s="341"/>
      <c r="MAH569" s="341"/>
      <c r="MAI569" s="341"/>
      <c r="MAJ569" s="341"/>
      <c r="MAK569" s="341"/>
      <c r="MAL569" s="341"/>
      <c r="MAM569" s="341"/>
      <c r="MAN569" s="341"/>
      <c r="MAO569" s="341"/>
      <c r="MAP569" s="341"/>
      <c r="MAQ569" s="341"/>
      <c r="MAR569" s="341"/>
      <c r="MAS569" s="341"/>
      <c r="MAT569" s="341"/>
      <c r="MAU569" s="341"/>
      <c r="MAV569" s="341"/>
      <c r="MAW569" s="341"/>
      <c r="MAX569" s="341"/>
      <c r="MAY569" s="341"/>
      <c r="MAZ569" s="341"/>
      <c r="MBA569" s="341"/>
      <c r="MBB569" s="341"/>
      <c r="MBC569" s="341"/>
      <c r="MBD569" s="341"/>
      <c r="MBE569" s="341"/>
      <c r="MBF569" s="341"/>
      <c r="MBG569" s="341"/>
      <c r="MBH569" s="341"/>
      <c r="MBI569" s="341"/>
      <c r="MBJ569" s="341"/>
      <c r="MBK569" s="341"/>
      <c r="MBL569" s="341"/>
      <c r="MBM569" s="341"/>
      <c r="MBN569" s="341"/>
      <c r="MBO569" s="341"/>
      <c r="MBP569" s="341"/>
      <c r="MBQ569" s="341"/>
      <c r="MBR569" s="341"/>
      <c r="MBS569" s="341"/>
      <c r="MBT569" s="341"/>
      <c r="MBU569" s="341"/>
      <c r="MBV569" s="341"/>
      <c r="MBW569" s="341"/>
      <c r="MBX569" s="341"/>
      <c r="MBY569" s="341"/>
      <c r="MBZ569" s="341"/>
      <c r="MCA569" s="341"/>
      <c r="MCB569" s="341"/>
      <c r="MCC569" s="341"/>
      <c r="MCD569" s="341"/>
      <c r="MCE569" s="341"/>
      <c r="MCF569" s="341"/>
      <c r="MCG569" s="341"/>
      <c r="MCH569" s="341"/>
      <c r="MCI569" s="341"/>
      <c r="MCJ569" s="341"/>
      <c r="MCK569" s="341"/>
      <c r="MCL569" s="341"/>
      <c r="MCM569" s="341"/>
      <c r="MCN569" s="341"/>
      <c r="MCO569" s="341"/>
      <c r="MCP569" s="341"/>
      <c r="MCQ569" s="341"/>
      <c r="MCR569" s="341"/>
      <c r="MCS569" s="341"/>
      <c r="MCT569" s="341"/>
      <c r="MCU569" s="341"/>
      <c r="MCV569" s="341"/>
      <c r="MCW569" s="341"/>
      <c r="MCX569" s="341"/>
      <c r="MCY569" s="341"/>
      <c r="MCZ569" s="341"/>
      <c r="MDA569" s="341"/>
      <c r="MDB569" s="341"/>
      <c r="MDC569" s="341"/>
      <c r="MDD569" s="341"/>
      <c r="MDE569" s="341"/>
      <c r="MDF569" s="341"/>
      <c r="MDG569" s="341"/>
      <c r="MDH569" s="341"/>
      <c r="MDI569" s="341"/>
      <c r="MDJ569" s="341"/>
      <c r="MDK569" s="341"/>
      <c r="MDL569" s="341"/>
      <c r="MDM569" s="341"/>
      <c r="MDN569" s="341"/>
      <c r="MDO569" s="341"/>
      <c r="MDP569" s="341"/>
      <c r="MDQ569" s="341"/>
      <c r="MDR569" s="341"/>
      <c r="MDS569" s="341"/>
      <c r="MDT569" s="341"/>
      <c r="MDU569" s="341"/>
      <c r="MDV569" s="341"/>
      <c r="MDW569" s="341"/>
      <c r="MDX569" s="341"/>
      <c r="MDY569" s="341"/>
      <c r="MDZ569" s="341"/>
      <c r="MEA569" s="341"/>
      <c r="MEB569" s="341"/>
      <c r="MEC569" s="341"/>
      <c r="MED569" s="341"/>
      <c r="MEE569" s="341"/>
      <c r="MEF569" s="341"/>
      <c r="MEG569" s="341"/>
      <c r="MEH569" s="341"/>
      <c r="MEI569" s="341"/>
      <c r="MEJ569" s="341"/>
      <c r="MEK569" s="341"/>
      <c r="MEL569" s="341"/>
      <c r="MEM569" s="341"/>
      <c r="MEN569" s="341"/>
      <c r="MEO569" s="341"/>
      <c r="MEP569" s="341"/>
      <c r="MEQ569" s="341"/>
      <c r="MER569" s="341"/>
      <c r="MES569" s="341"/>
      <c r="MET569" s="341"/>
      <c r="MEU569" s="341"/>
      <c r="MEV569" s="341"/>
      <c r="MEW569" s="341"/>
      <c r="MEX569" s="341"/>
      <c r="MEY569" s="341"/>
      <c r="MEZ569" s="341"/>
      <c r="MFA569" s="341"/>
      <c r="MFB569" s="341"/>
      <c r="MFC569" s="341"/>
      <c r="MFD569" s="341"/>
      <c r="MFE569" s="341"/>
      <c r="MFF569" s="341"/>
      <c r="MFG569" s="341"/>
      <c r="MFH569" s="341"/>
      <c r="MFI569" s="341"/>
      <c r="MFJ569" s="341"/>
      <c r="MFK569" s="341"/>
      <c r="MFL569" s="341"/>
      <c r="MFM569" s="341"/>
      <c r="MFN569" s="341"/>
      <c r="MFO569" s="341"/>
      <c r="MFP569" s="341"/>
      <c r="MFQ569" s="341"/>
      <c r="MFR569" s="341"/>
      <c r="MFS569" s="341"/>
      <c r="MFT569" s="341"/>
      <c r="MFU569" s="341"/>
      <c r="MFV569" s="341"/>
      <c r="MFW569" s="341"/>
      <c r="MFX569" s="341"/>
      <c r="MFY569" s="341"/>
      <c r="MFZ569" s="341"/>
      <c r="MGA569" s="341"/>
      <c r="MGB569" s="341"/>
      <c r="MGC569" s="341"/>
      <c r="MGD569" s="341"/>
      <c r="MGE569" s="341"/>
      <c r="MGF569" s="341"/>
      <c r="MGG569" s="341"/>
      <c r="MGH569" s="341"/>
      <c r="MGI569" s="341"/>
      <c r="MGJ569" s="341"/>
      <c r="MGK569" s="341"/>
      <c r="MGL569" s="341"/>
      <c r="MGM569" s="341"/>
      <c r="MGN569" s="341"/>
      <c r="MGO569" s="341"/>
      <c r="MGP569" s="341"/>
      <c r="MGQ569" s="341"/>
      <c r="MGR569" s="341"/>
      <c r="MGS569" s="341"/>
      <c r="MGT569" s="341"/>
      <c r="MGU569" s="341"/>
      <c r="MGV569" s="341"/>
      <c r="MGW569" s="341"/>
      <c r="MGX569" s="341"/>
      <c r="MGY569" s="341"/>
      <c r="MGZ569" s="341"/>
      <c r="MHA569" s="341"/>
      <c r="MHB569" s="341"/>
      <c r="MHC569" s="341"/>
      <c r="MHD569" s="341"/>
      <c r="MHE569" s="341"/>
      <c r="MHF569" s="341"/>
      <c r="MHG569" s="341"/>
      <c r="MHH569" s="341"/>
      <c r="MHI569" s="341"/>
      <c r="MHJ569" s="341"/>
      <c r="MHK569" s="341"/>
      <c r="MHL569" s="341"/>
      <c r="MHM569" s="341"/>
      <c r="MHN569" s="341"/>
      <c r="MHO569" s="341"/>
      <c r="MHP569" s="341"/>
      <c r="MHQ569" s="341"/>
      <c r="MHR569" s="341"/>
      <c r="MHS569" s="341"/>
      <c r="MHT569" s="341"/>
      <c r="MHU569" s="341"/>
      <c r="MHV569" s="341"/>
      <c r="MHW569" s="341"/>
      <c r="MHX569" s="341"/>
      <c r="MHY569" s="341"/>
      <c r="MHZ569" s="341"/>
      <c r="MIA569" s="341"/>
      <c r="MIB569" s="341"/>
      <c r="MIC569" s="341"/>
      <c r="MID569" s="341"/>
      <c r="MIE569" s="341"/>
      <c r="MIF569" s="341"/>
      <c r="MIG569" s="341"/>
      <c r="MIH569" s="341"/>
      <c r="MII569" s="341"/>
      <c r="MIJ569" s="341"/>
      <c r="MIK569" s="341"/>
      <c r="MIL569" s="341"/>
      <c r="MIM569" s="341"/>
      <c r="MIN569" s="341"/>
      <c r="MIO569" s="341"/>
      <c r="MIP569" s="341"/>
      <c r="MIQ569" s="341"/>
      <c r="MIR569" s="341"/>
      <c r="MIS569" s="341"/>
      <c r="MIT569" s="341"/>
      <c r="MIU569" s="341"/>
      <c r="MIV569" s="341"/>
      <c r="MIW569" s="341"/>
      <c r="MIX569" s="341"/>
      <c r="MIY569" s="341"/>
      <c r="MIZ569" s="341"/>
      <c r="MJA569" s="341"/>
      <c r="MJB569" s="341"/>
      <c r="MJC569" s="341"/>
      <c r="MJD569" s="341"/>
      <c r="MJE569" s="341"/>
      <c r="MJF569" s="341"/>
      <c r="MJG569" s="341"/>
      <c r="MJH569" s="341"/>
      <c r="MJI569" s="341"/>
      <c r="MJJ569" s="341"/>
      <c r="MJK569" s="341"/>
      <c r="MJL569" s="341"/>
      <c r="MJM569" s="341"/>
      <c r="MJN569" s="341"/>
      <c r="MJO569" s="341"/>
      <c r="MJP569" s="341"/>
      <c r="MJQ569" s="341"/>
      <c r="MJR569" s="341"/>
      <c r="MJS569" s="341"/>
      <c r="MJT569" s="341"/>
      <c r="MJU569" s="341"/>
      <c r="MJV569" s="341"/>
      <c r="MJW569" s="341"/>
      <c r="MJX569" s="341"/>
      <c r="MJY569" s="341"/>
      <c r="MJZ569" s="341"/>
      <c r="MKA569" s="341"/>
      <c r="MKB569" s="341"/>
      <c r="MKC569" s="341"/>
      <c r="MKD569" s="341"/>
      <c r="MKE569" s="341"/>
      <c r="MKF569" s="341"/>
      <c r="MKG569" s="341"/>
      <c r="MKH569" s="341"/>
      <c r="MKI569" s="341"/>
      <c r="MKJ569" s="341"/>
      <c r="MKK569" s="341"/>
      <c r="MKL569" s="341"/>
      <c r="MKM569" s="341"/>
      <c r="MKN569" s="341"/>
      <c r="MKO569" s="341"/>
      <c r="MKP569" s="341"/>
      <c r="MKQ569" s="341"/>
      <c r="MKR569" s="341"/>
      <c r="MKS569" s="341"/>
      <c r="MKT569" s="341"/>
      <c r="MKU569" s="341"/>
      <c r="MKV569" s="341"/>
      <c r="MKW569" s="341"/>
      <c r="MKX569" s="341"/>
      <c r="MKY569" s="341"/>
      <c r="MKZ569" s="341"/>
      <c r="MLA569" s="341"/>
      <c r="MLB569" s="341"/>
      <c r="MLC569" s="341"/>
      <c r="MLD569" s="341"/>
      <c r="MLE569" s="341"/>
      <c r="MLF569" s="341"/>
      <c r="MLG569" s="341"/>
      <c r="MLH569" s="341"/>
      <c r="MLI569" s="341"/>
      <c r="MLJ569" s="341"/>
      <c r="MLK569" s="341"/>
      <c r="MLL569" s="341"/>
      <c r="MLM569" s="341"/>
      <c r="MLN569" s="341"/>
      <c r="MLO569" s="341"/>
      <c r="MLP569" s="341"/>
      <c r="MLQ569" s="341"/>
      <c r="MLR569" s="341"/>
      <c r="MLS569" s="341"/>
      <c r="MLT569" s="341"/>
      <c r="MLU569" s="341"/>
      <c r="MLV569" s="341"/>
      <c r="MLW569" s="341"/>
      <c r="MLX569" s="341"/>
      <c r="MLY569" s="341"/>
      <c r="MLZ569" s="341"/>
      <c r="MMA569" s="341"/>
      <c r="MMB569" s="341"/>
      <c r="MMC569" s="341"/>
      <c r="MMD569" s="341"/>
      <c r="MME569" s="341"/>
      <c r="MMF569" s="341"/>
      <c r="MMG569" s="341"/>
      <c r="MMH569" s="341"/>
      <c r="MMI569" s="341"/>
      <c r="MMJ569" s="341"/>
      <c r="MMK569" s="341"/>
      <c r="MML569" s="341"/>
      <c r="MMM569" s="341"/>
      <c r="MMN569" s="341"/>
      <c r="MMO569" s="341"/>
      <c r="MMP569" s="341"/>
      <c r="MMQ569" s="341"/>
      <c r="MMR569" s="341"/>
      <c r="MMS569" s="341"/>
      <c r="MMT569" s="341"/>
      <c r="MMU569" s="341"/>
      <c r="MMV569" s="341"/>
      <c r="MMW569" s="341"/>
      <c r="MMX569" s="341"/>
      <c r="MMY569" s="341"/>
      <c r="MMZ569" s="341"/>
      <c r="MNA569" s="341"/>
      <c r="MNB569" s="341"/>
      <c r="MNC569" s="341"/>
      <c r="MND569" s="341"/>
      <c r="MNE569" s="341"/>
      <c r="MNF569" s="341"/>
      <c r="MNG569" s="341"/>
      <c r="MNH569" s="341"/>
      <c r="MNI569" s="341"/>
      <c r="MNJ569" s="341"/>
      <c r="MNK569" s="341"/>
      <c r="MNL569" s="341"/>
      <c r="MNM569" s="341"/>
      <c r="MNN569" s="341"/>
      <c r="MNO569" s="341"/>
      <c r="MNP569" s="341"/>
      <c r="MNQ569" s="341"/>
      <c r="MNR569" s="341"/>
      <c r="MNS569" s="341"/>
      <c r="MNT569" s="341"/>
      <c r="MNU569" s="341"/>
      <c r="MNV569" s="341"/>
      <c r="MNW569" s="341"/>
      <c r="MNX569" s="341"/>
      <c r="MNY569" s="341"/>
      <c r="MNZ569" s="341"/>
      <c r="MOA569" s="341"/>
      <c r="MOB569" s="341"/>
      <c r="MOC569" s="341"/>
      <c r="MOD569" s="341"/>
      <c r="MOE569" s="341"/>
      <c r="MOF569" s="341"/>
      <c r="MOG569" s="341"/>
      <c r="MOH569" s="341"/>
      <c r="MOI569" s="341"/>
      <c r="MOJ569" s="341"/>
      <c r="MOK569" s="341"/>
      <c r="MOL569" s="341"/>
      <c r="MOM569" s="341"/>
      <c r="MON569" s="341"/>
      <c r="MOO569" s="341"/>
      <c r="MOP569" s="341"/>
      <c r="MOQ569" s="341"/>
      <c r="MOR569" s="341"/>
      <c r="MOS569" s="341"/>
      <c r="MOT569" s="341"/>
      <c r="MOU569" s="341"/>
      <c r="MOV569" s="341"/>
      <c r="MOW569" s="341"/>
      <c r="MOX569" s="341"/>
      <c r="MOY569" s="341"/>
      <c r="MOZ569" s="341"/>
      <c r="MPA569" s="341"/>
      <c r="MPB569" s="341"/>
      <c r="MPC569" s="341"/>
      <c r="MPD569" s="341"/>
      <c r="MPE569" s="341"/>
      <c r="MPF569" s="341"/>
      <c r="MPG569" s="341"/>
      <c r="MPH569" s="341"/>
      <c r="MPI569" s="341"/>
      <c r="MPJ569" s="341"/>
      <c r="MPK569" s="341"/>
      <c r="MPL569" s="341"/>
      <c r="MPM569" s="341"/>
      <c r="MPN569" s="341"/>
      <c r="MPO569" s="341"/>
      <c r="MPP569" s="341"/>
      <c r="MPQ569" s="341"/>
      <c r="MPR569" s="341"/>
      <c r="MPS569" s="341"/>
      <c r="MPT569" s="341"/>
      <c r="MPU569" s="341"/>
      <c r="MPV569" s="341"/>
      <c r="MPW569" s="341"/>
      <c r="MPX569" s="341"/>
      <c r="MPY569" s="341"/>
      <c r="MPZ569" s="341"/>
      <c r="MQA569" s="341"/>
      <c r="MQB569" s="341"/>
      <c r="MQC569" s="341"/>
      <c r="MQD569" s="341"/>
      <c r="MQE569" s="341"/>
      <c r="MQF569" s="341"/>
      <c r="MQG569" s="341"/>
      <c r="MQH569" s="341"/>
      <c r="MQI569" s="341"/>
      <c r="MQJ569" s="341"/>
      <c r="MQK569" s="341"/>
      <c r="MQL569" s="341"/>
      <c r="MQM569" s="341"/>
      <c r="MQN569" s="341"/>
      <c r="MQO569" s="341"/>
      <c r="MQP569" s="341"/>
      <c r="MQQ569" s="341"/>
      <c r="MQR569" s="341"/>
      <c r="MQS569" s="341"/>
      <c r="MQT569" s="341"/>
      <c r="MQU569" s="341"/>
      <c r="MQV569" s="341"/>
      <c r="MQW569" s="341"/>
      <c r="MQX569" s="341"/>
      <c r="MQY569" s="341"/>
      <c r="MQZ569" s="341"/>
      <c r="MRA569" s="341"/>
      <c r="MRB569" s="341"/>
      <c r="MRC569" s="341"/>
      <c r="MRD569" s="341"/>
      <c r="MRE569" s="341"/>
      <c r="MRF569" s="341"/>
      <c r="MRG569" s="341"/>
      <c r="MRH569" s="341"/>
      <c r="MRI569" s="341"/>
      <c r="MRJ569" s="341"/>
      <c r="MRK569" s="341"/>
      <c r="MRL569" s="341"/>
      <c r="MRM569" s="341"/>
      <c r="MRN569" s="341"/>
      <c r="MRO569" s="341"/>
      <c r="MRP569" s="341"/>
      <c r="MRQ569" s="341"/>
      <c r="MRR569" s="341"/>
      <c r="MRS569" s="341"/>
      <c r="MRT569" s="341"/>
      <c r="MRU569" s="341"/>
      <c r="MRV569" s="341"/>
      <c r="MRW569" s="341"/>
      <c r="MRX569" s="341"/>
      <c r="MRY569" s="341"/>
      <c r="MRZ569" s="341"/>
      <c r="MSA569" s="341"/>
      <c r="MSB569" s="341"/>
      <c r="MSC569" s="341"/>
      <c r="MSD569" s="341"/>
      <c r="MSE569" s="341"/>
      <c r="MSF569" s="341"/>
      <c r="MSG569" s="341"/>
      <c r="MSH569" s="341"/>
      <c r="MSI569" s="341"/>
      <c r="MSJ569" s="341"/>
      <c r="MSK569" s="341"/>
      <c r="MSL569" s="341"/>
      <c r="MSM569" s="341"/>
      <c r="MSN569" s="341"/>
      <c r="MSO569" s="341"/>
      <c r="MSP569" s="341"/>
      <c r="MSQ569" s="341"/>
      <c r="MSR569" s="341"/>
      <c r="MSS569" s="341"/>
      <c r="MST569" s="341"/>
      <c r="MSU569" s="341"/>
      <c r="MSV569" s="341"/>
      <c r="MSW569" s="341"/>
      <c r="MSX569" s="341"/>
      <c r="MSY569" s="341"/>
      <c r="MSZ569" s="341"/>
      <c r="MTA569" s="341"/>
      <c r="MTB569" s="341"/>
      <c r="MTC569" s="341"/>
      <c r="MTD569" s="341"/>
      <c r="MTE569" s="341"/>
      <c r="MTF569" s="341"/>
      <c r="MTG569" s="341"/>
      <c r="MTH569" s="341"/>
      <c r="MTI569" s="341"/>
      <c r="MTJ569" s="341"/>
      <c r="MTK569" s="341"/>
      <c r="MTL569" s="341"/>
      <c r="MTM569" s="341"/>
      <c r="MTN569" s="341"/>
      <c r="MTO569" s="341"/>
      <c r="MTP569" s="341"/>
      <c r="MTQ569" s="341"/>
      <c r="MTR569" s="341"/>
      <c r="MTS569" s="341"/>
      <c r="MTT569" s="341"/>
      <c r="MTU569" s="341"/>
      <c r="MTV569" s="341"/>
      <c r="MTW569" s="341"/>
      <c r="MTX569" s="341"/>
      <c r="MTY569" s="341"/>
      <c r="MTZ569" s="341"/>
      <c r="MUA569" s="341"/>
      <c r="MUB569" s="341"/>
      <c r="MUC569" s="341"/>
      <c r="MUD569" s="341"/>
      <c r="MUE569" s="341"/>
      <c r="MUF569" s="341"/>
      <c r="MUG569" s="341"/>
      <c r="MUH569" s="341"/>
      <c r="MUI569" s="341"/>
      <c r="MUJ569" s="341"/>
      <c r="MUK569" s="341"/>
      <c r="MUL569" s="341"/>
      <c r="MUM569" s="341"/>
      <c r="MUN569" s="341"/>
      <c r="MUO569" s="341"/>
      <c r="MUP569" s="341"/>
      <c r="MUQ569" s="341"/>
      <c r="MUR569" s="341"/>
      <c r="MUS569" s="341"/>
      <c r="MUT569" s="341"/>
      <c r="MUU569" s="341"/>
      <c r="MUV569" s="341"/>
      <c r="MUW569" s="341"/>
      <c r="MUX569" s="341"/>
      <c r="MUY569" s="341"/>
      <c r="MUZ569" s="341"/>
      <c r="MVA569" s="341"/>
      <c r="MVB569" s="341"/>
      <c r="MVC569" s="341"/>
      <c r="MVD569" s="341"/>
      <c r="MVE569" s="341"/>
      <c r="MVF569" s="341"/>
      <c r="MVG569" s="341"/>
      <c r="MVH569" s="341"/>
      <c r="MVI569" s="341"/>
      <c r="MVJ569" s="341"/>
      <c r="MVK569" s="341"/>
      <c r="MVL569" s="341"/>
      <c r="MVM569" s="341"/>
      <c r="MVN569" s="341"/>
      <c r="MVO569" s="341"/>
      <c r="MVP569" s="341"/>
      <c r="MVQ569" s="341"/>
      <c r="MVR569" s="341"/>
      <c r="MVS569" s="341"/>
      <c r="MVT569" s="341"/>
      <c r="MVU569" s="341"/>
      <c r="MVV569" s="341"/>
      <c r="MVW569" s="341"/>
      <c r="MVX569" s="341"/>
      <c r="MVY569" s="341"/>
      <c r="MVZ569" s="341"/>
      <c r="MWA569" s="341"/>
      <c r="MWB569" s="341"/>
      <c r="MWC569" s="341"/>
      <c r="MWD569" s="341"/>
      <c r="MWE569" s="341"/>
      <c r="MWF569" s="341"/>
      <c r="MWG569" s="341"/>
      <c r="MWH569" s="341"/>
      <c r="MWI569" s="341"/>
      <c r="MWJ569" s="341"/>
      <c r="MWK569" s="341"/>
      <c r="MWL569" s="341"/>
      <c r="MWM569" s="341"/>
      <c r="MWN569" s="341"/>
      <c r="MWO569" s="341"/>
      <c r="MWP569" s="341"/>
      <c r="MWQ569" s="341"/>
      <c r="MWR569" s="341"/>
      <c r="MWS569" s="341"/>
      <c r="MWT569" s="341"/>
      <c r="MWU569" s="341"/>
      <c r="MWV569" s="341"/>
      <c r="MWW569" s="341"/>
      <c r="MWX569" s="341"/>
      <c r="MWY569" s="341"/>
      <c r="MWZ569" s="341"/>
      <c r="MXA569" s="341"/>
      <c r="MXB569" s="341"/>
      <c r="MXC569" s="341"/>
      <c r="MXD569" s="341"/>
      <c r="MXE569" s="341"/>
      <c r="MXF569" s="341"/>
      <c r="MXG569" s="341"/>
      <c r="MXH569" s="341"/>
      <c r="MXI569" s="341"/>
      <c r="MXJ569" s="341"/>
      <c r="MXK569" s="341"/>
      <c r="MXL569" s="341"/>
      <c r="MXM569" s="341"/>
      <c r="MXN569" s="341"/>
      <c r="MXO569" s="341"/>
      <c r="MXP569" s="341"/>
      <c r="MXQ569" s="341"/>
      <c r="MXR569" s="341"/>
      <c r="MXS569" s="341"/>
      <c r="MXT569" s="341"/>
      <c r="MXU569" s="341"/>
      <c r="MXV569" s="341"/>
      <c r="MXW569" s="341"/>
      <c r="MXX569" s="341"/>
      <c r="MXY569" s="341"/>
      <c r="MXZ569" s="341"/>
      <c r="MYA569" s="341"/>
      <c r="MYB569" s="341"/>
      <c r="MYC569" s="341"/>
      <c r="MYD569" s="341"/>
      <c r="MYE569" s="341"/>
      <c r="MYF569" s="341"/>
      <c r="MYG569" s="341"/>
      <c r="MYH569" s="341"/>
      <c r="MYI569" s="341"/>
      <c r="MYJ569" s="341"/>
      <c r="MYK569" s="341"/>
      <c r="MYL569" s="341"/>
      <c r="MYM569" s="341"/>
      <c r="MYN569" s="341"/>
      <c r="MYO569" s="341"/>
      <c r="MYP569" s="341"/>
      <c r="MYQ569" s="341"/>
      <c r="MYR569" s="341"/>
      <c r="MYS569" s="341"/>
      <c r="MYT569" s="341"/>
      <c r="MYU569" s="341"/>
      <c r="MYV569" s="341"/>
      <c r="MYW569" s="341"/>
      <c r="MYX569" s="341"/>
      <c r="MYY569" s="341"/>
      <c r="MYZ569" s="341"/>
      <c r="MZA569" s="341"/>
      <c r="MZB569" s="341"/>
      <c r="MZC569" s="341"/>
      <c r="MZD569" s="341"/>
      <c r="MZE569" s="341"/>
      <c r="MZF569" s="341"/>
      <c r="MZG569" s="341"/>
      <c r="MZH569" s="341"/>
      <c r="MZI569" s="341"/>
      <c r="MZJ569" s="341"/>
      <c r="MZK569" s="341"/>
      <c r="MZL569" s="341"/>
      <c r="MZM569" s="341"/>
      <c r="MZN569" s="341"/>
      <c r="MZO569" s="341"/>
      <c r="MZP569" s="341"/>
      <c r="MZQ569" s="341"/>
      <c r="MZR569" s="341"/>
      <c r="MZS569" s="341"/>
      <c r="MZT569" s="341"/>
      <c r="MZU569" s="341"/>
      <c r="MZV569" s="341"/>
      <c r="MZW569" s="341"/>
      <c r="MZX569" s="341"/>
      <c r="MZY569" s="341"/>
      <c r="MZZ569" s="341"/>
      <c r="NAA569" s="341"/>
      <c r="NAB569" s="341"/>
      <c r="NAC569" s="341"/>
      <c r="NAD569" s="341"/>
      <c r="NAE569" s="341"/>
      <c r="NAF569" s="341"/>
      <c r="NAG569" s="341"/>
      <c r="NAH569" s="341"/>
      <c r="NAI569" s="341"/>
      <c r="NAJ569" s="341"/>
      <c r="NAK569" s="341"/>
      <c r="NAL569" s="341"/>
      <c r="NAM569" s="341"/>
      <c r="NAN569" s="341"/>
      <c r="NAO569" s="341"/>
      <c r="NAP569" s="341"/>
      <c r="NAQ569" s="341"/>
      <c r="NAR569" s="341"/>
      <c r="NAS569" s="341"/>
      <c r="NAT569" s="341"/>
      <c r="NAU569" s="341"/>
      <c r="NAV569" s="341"/>
      <c r="NAW569" s="341"/>
      <c r="NAX569" s="341"/>
      <c r="NAY569" s="341"/>
      <c r="NAZ569" s="341"/>
      <c r="NBA569" s="341"/>
      <c r="NBB569" s="341"/>
      <c r="NBC569" s="341"/>
      <c r="NBD569" s="341"/>
      <c r="NBE569" s="341"/>
      <c r="NBF569" s="341"/>
      <c r="NBG569" s="341"/>
      <c r="NBH569" s="341"/>
      <c r="NBI569" s="341"/>
      <c r="NBJ569" s="341"/>
      <c r="NBK569" s="341"/>
      <c r="NBL569" s="341"/>
      <c r="NBM569" s="341"/>
      <c r="NBN569" s="341"/>
      <c r="NBO569" s="341"/>
      <c r="NBP569" s="341"/>
      <c r="NBQ569" s="341"/>
      <c r="NBR569" s="341"/>
      <c r="NBS569" s="341"/>
      <c r="NBT569" s="341"/>
      <c r="NBU569" s="341"/>
      <c r="NBV569" s="341"/>
      <c r="NBW569" s="341"/>
      <c r="NBX569" s="341"/>
      <c r="NBY569" s="341"/>
      <c r="NBZ569" s="341"/>
      <c r="NCA569" s="341"/>
      <c r="NCB569" s="341"/>
      <c r="NCC569" s="341"/>
      <c r="NCD569" s="341"/>
      <c r="NCE569" s="341"/>
      <c r="NCF569" s="341"/>
      <c r="NCG569" s="341"/>
      <c r="NCH569" s="341"/>
      <c r="NCI569" s="341"/>
      <c r="NCJ569" s="341"/>
      <c r="NCK569" s="341"/>
      <c r="NCL569" s="341"/>
      <c r="NCM569" s="341"/>
      <c r="NCN569" s="341"/>
      <c r="NCO569" s="341"/>
      <c r="NCP569" s="341"/>
      <c r="NCQ569" s="341"/>
      <c r="NCR569" s="341"/>
      <c r="NCS569" s="341"/>
      <c r="NCT569" s="341"/>
      <c r="NCU569" s="341"/>
      <c r="NCV569" s="341"/>
      <c r="NCW569" s="341"/>
      <c r="NCX569" s="341"/>
      <c r="NCY569" s="341"/>
      <c r="NCZ569" s="341"/>
      <c r="NDA569" s="341"/>
      <c r="NDB569" s="341"/>
      <c r="NDC569" s="341"/>
      <c r="NDD569" s="341"/>
      <c r="NDE569" s="341"/>
      <c r="NDF569" s="341"/>
      <c r="NDG569" s="341"/>
      <c r="NDH569" s="341"/>
      <c r="NDI569" s="341"/>
      <c r="NDJ569" s="341"/>
      <c r="NDK569" s="341"/>
      <c r="NDL569" s="341"/>
      <c r="NDM569" s="341"/>
      <c r="NDN569" s="341"/>
      <c r="NDO569" s="341"/>
      <c r="NDP569" s="341"/>
      <c r="NDQ569" s="341"/>
      <c r="NDR569" s="341"/>
      <c r="NDS569" s="341"/>
      <c r="NDT569" s="341"/>
      <c r="NDU569" s="341"/>
      <c r="NDV569" s="341"/>
      <c r="NDW569" s="341"/>
      <c r="NDX569" s="341"/>
      <c r="NDY569" s="341"/>
      <c r="NDZ569" s="341"/>
      <c r="NEA569" s="341"/>
      <c r="NEB569" s="341"/>
      <c r="NEC569" s="341"/>
      <c r="NED569" s="341"/>
      <c r="NEE569" s="341"/>
      <c r="NEF569" s="341"/>
      <c r="NEG569" s="341"/>
      <c r="NEH569" s="341"/>
      <c r="NEI569" s="341"/>
      <c r="NEJ569" s="341"/>
      <c r="NEK569" s="341"/>
      <c r="NEL569" s="341"/>
      <c r="NEM569" s="341"/>
      <c r="NEN569" s="341"/>
      <c r="NEO569" s="341"/>
      <c r="NEP569" s="341"/>
      <c r="NEQ569" s="341"/>
      <c r="NER569" s="341"/>
      <c r="NES569" s="341"/>
      <c r="NET569" s="341"/>
      <c r="NEU569" s="341"/>
      <c r="NEV569" s="341"/>
      <c r="NEW569" s="341"/>
      <c r="NEX569" s="341"/>
      <c r="NEY569" s="341"/>
      <c r="NEZ569" s="341"/>
      <c r="NFA569" s="341"/>
      <c r="NFB569" s="341"/>
      <c r="NFC569" s="341"/>
      <c r="NFD569" s="341"/>
      <c r="NFE569" s="341"/>
      <c r="NFF569" s="341"/>
      <c r="NFG569" s="341"/>
      <c r="NFH569" s="341"/>
      <c r="NFI569" s="341"/>
      <c r="NFJ569" s="341"/>
      <c r="NFK569" s="341"/>
      <c r="NFL569" s="341"/>
      <c r="NFM569" s="341"/>
      <c r="NFN569" s="341"/>
      <c r="NFO569" s="341"/>
      <c r="NFP569" s="341"/>
      <c r="NFQ569" s="341"/>
      <c r="NFR569" s="341"/>
      <c r="NFS569" s="341"/>
      <c r="NFT569" s="341"/>
      <c r="NFU569" s="341"/>
      <c r="NFV569" s="341"/>
      <c r="NFW569" s="341"/>
      <c r="NFX569" s="341"/>
      <c r="NFY569" s="341"/>
      <c r="NFZ569" s="341"/>
      <c r="NGA569" s="341"/>
      <c r="NGB569" s="341"/>
      <c r="NGC569" s="341"/>
      <c r="NGD569" s="341"/>
      <c r="NGE569" s="341"/>
      <c r="NGF569" s="341"/>
      <c r="NGG569" s="341"/>
      <c r="NGH569" s="341"/>
      <c r="NGI569" s="341"/>
      <c r="NGJ569" s="341"/>
      <c r="NGK569" s="341"/>
      <c r="NGL569" s="341"/>
      <c r="NGM569" s="341"/>
      <c r="NGN569" s="341"/>
      <c r="NGO569" s="341"/>
      <c r="NGP569" s="341"/>
      <c r="NGQ569" s="341"/>
      <c r="NGR569" s="341"/>
      <c r="NGS569" s="341"/>
      <c r="NGT569" s="341"/>
      <c r="NGU569" s="341"/>
      <c r="NGV569" s="341"/>
      <c r="NGW569" s="341"/>
      <c r="NGX569" s="341"/>
      <c r="NGY569" s="341"/>
      <c r="NGZ569" s="341"/>
      <c r="NHA569" s="341"/>
      <c r="NHB569" s="341"/>
      <c r="NHC569" s="341"/>
      <c r="NHD569" s="341"/>
      <c r="NHE569" s="341"/>
      <c r="NHF569" s="341"/>
      <c r="NHG569" s="341"/>
      <c r="NHH569" s="341"/>
      <c r="NHI569" s="341"/>
      <c r="NHJ569" s="341"/>
      <c r="NHK569" s="341"/>
      <c r="NHL569" s="341"/>
      <c r="NHM569" s="341"/>
      <c r="NHN569" s="341"/>
      <c r="NHO569" s="341"/>
      <c r="NHP569" s="341"/>
      <c r="NHQ569" s="341"/>
      <c r="NHR569" s="341"/>
      <c r="NHS569" s="341"/>
      <c r="NHT569" s="341"/>
      <c r="NHU569" s="341"/>
      <c r="NHV569" s="341"/>
      <c r="NHW569" s="341"/>
      <c r="NHX569" s="341"/>
      <c r="NHY569" s="341"/>
      <c r="NHZ569" s="341"/>
      <c r="NIA569" s="341"/>
      <c r="NIB569" s="341"/>
      <c r="NIC569" s="341"/>
      <c r="NID569" s="341"/>
      <c r="NIE569" s="341"/>
      <c r="NIF569" s="341"/>
      <c r="NIG569" s="341"/>
      <c r="NIH569" s="341"/>
      <c r="NII569" s="341"/>
      <c r="NIJ569" s="341"/>
      <c r="NIK569" s="341"/>
      <c r="NIL569" s="341"/>
      <c r="NIM569" s="341"/>
      <c r="NIN569" s="341"/>
      <c r="NIO569" s="341"/>
      <c r="NIP569" s="341"/>
      <c r="NIQ569" s="341"/>
      <c r="NIR569" s="341"/>
      <c r="NIS569" s="341"/>
      <c r="NIT569" s="341"/>
      <c r="NIU569" s="341"/>
      <c r="NIV569" s="341"/>
      <c r="NIW569" s="341"/>
      <c r="NIX569" s="341"/>
      <c r="NIY569" s="341"/>
      <c r="NIZ569" s="341"/>
      <c r="NJA569" s="341"/>
      <c r="NJB569" s="341"/>
      <c r="NJC569" s="341"/>
      <c r="NJD569" s="341"/>
      <c r="NJE569" s="341"/>
      <c r="NJF569" s="341"/>
      <c r="NJG569" s="341"/>
      <c r="NJH569" s="341"/>
      <c r="NJI569" s="341"/>
      <c r="NJJ569" s="341"/>
      <c r="NJK569" s="341"/>
      <c r="NJL569" s="341"/>
      <c r="NJM569" s="341"/>
      <c r="NJN569" s="341"/>
      <c r="NJO569" s="341"/>
      <c r="NJP569" s="341"/>
      <c r="NJQ569" s="341"/>
      <c r="NJR569" s="341"/>
      <c r="NJS569" s="341"/>
      <c r="NJT569" s="341"/>
      <c r="NJU569" s="341"/>
      <c r="NJV569" s="341"/>
      <c r="NJW569" s="341"/>
      <c r="NJX569" s="341"/>
      <c r="NJY569" s="341"/>
      <c r="NJZ569" s="341"/>
      <c r="NKA569" s="341"/>
      <c r="NKB569" s="341"/>
      <c r="NKC569" s="341"/>
      <c r="NKD569" s="341"/>
      <c r="NKE569" s="341"/>
      <c r="NKF569" s="341"/>
      <c r="NKG569" s="341"/>
      <c r="NKH569" s="341"/>
      <c r="NKI569" s="341"/>
      <c r="NKJ569" s="341"/>
      <c r="NKK569" s="341"/>
      <c r="NKL569" s="341"/>
      <c r="NKM569" s="341"/>
      <c r="NKN569" s="341"/>
      <c r="NKO569" s="341"/>
      <c r="NKP569" s="341"/>
      <c r="NKQ569" s="341"/>
      <c r="NKR569" s="341"/>
      <c r="NKS569" s="341"/>
      <c r="NKT569" s="341"/>
      <c r="NKU569" s="341"/>
      <c r="NKV569" s="341"/>
      <c r="NKW569" s="341"/>
      <c r="NKX569" s="341"/>
      <c r="NKY569" s="341"/>
      <c r="NKZ569" s="341"/>
      <c r="NLA569" s="341"/>
      <c r="NLB569" s="341"/>
      <c r="NLC569" s="341"/>
      <c r="NLD569" s="341"/>
      <c r="NLE569" s="341"/>
      <c r="NLF569" s="341"/>
      <c r="NLG569" s="341"/>
      <c r="NLH569" s="341"/>
      <c r="NLI569" s="341"/>
      <c r="NLJ569" s="341"/>
      <c r="NLK569" s="341"/>
      <c r="NLL569" s="341"/>
      <c r="NLM569" s="341"/>
      <c r="NLN569" s="341"/>
      <c r="NLO569" s="341"/>
      <c r="NLP569" s="341"/>
      <c r="NLQ569" s="341"/>
      <c r="NLR569" s="341"/>
      <c r="NLS569" s="341"/>
      <c r="NLT569" s="341"/>
      <c r="NLU569" s="341"/>
      <c r="NLV569" s="341"/>
      <c r="NLW569" s="341"/>
      <c r="NLX569" s="341"/>
      <c r="NLY569" s="341"/>
      <c r="NLZ569" s="341"/>
      <c r="NMA569" s="341"/>
      <c r="NMB569" s="341"/>
      <c r="NMC569" s="341"/>
      <c r="NMD569" s="341"/>
      <c r="NME569" s="341"/>
      <c r="NMF569" s="341"/>
      <c r="NMG569" s="341"/>
      <c r="NMH569" s="341"/>
      <c r="NMI569" s="341"/>
      <c r="NMJ569" s="341"/>
      <c r="NMK569" s="341"/>
      <c r="NML569" s="341"/>
      <c r="NMM569" s="341"/>
      <c r="NMN569" s="341"/>
      <c r="NMO569" s="341"/>
      <c r="NMP569" s="341"/>
      <c r="NMQ569" s="341"/>
      <c r="NMR569" s="341"/>
      <c r="NMS569" s="341"/>
      <c r="NMT569" s="341"/>
      <c r="NMU569" s="341"/>
      <c r="NMV569" s="341"/>
      <c r="NMW569" s="341"/>
      <c r="NMX569" s="341"/>
      <c r="NMY569" s="341"/>
      <c r="NMZ569" s="341"/>
      <c r="NNA569" s="341"/>
      <c r="NNB569" s="341"/>
      <c r="NNC569" s="341"/>
      <c r="NND569" s="341"/>
      <c r="NNE569" s="341"/>
      <c r="NNF569" s="341"/>
      <c r="NNG569" s="341"/>
      <c r="NNH569" s="341"/>
      <c r="NNI569" s="341"/>
      <c r="NNJ569" s="341"/>
      <c r="NNK569" s="341"/>
      <c r="NNL569" s="341"/>
      <c r="NNM569" s="341"/>
      <c r="NNN569" s="341"/>
      <c r="NNO569" s="341"/>
      <c r="NNP569" s="341"/>
      <c r="NNQ569" s="341"/>
      <c r="NNR569" s="341"/>
      <c r="NNS569" s="341"/>
      <c r="NNT569" s="341"/>
      <c r="NNU569" s="341"/>
      <c r="NNV569" s="341"/>
      <c r="NNW569" s="341"/>
      <c r="NNX569" s="341"/>
      <c r="NNY569" s="341"/>
      <c r="NNZ569" s="341"/>
      <c r="NOA569" s="341"/>
      <c r="NOB569" s="341"/>
      <c r="NOC569" s="341"/>
      <c r="NOD569" s="341"/>
      <c r="NOE569" s="341"/>
      <c r="NOF569" s="341"/>
      <c r="NOG569" s="341"/>
      <c r="NOH569" s="341"/>
      <c r="NOI569" s="341"/>
      <c r="NOJ569" s="341"/>
      <c r="NOK569" s="341"/>
      <c r="NOL569" s="341"/>
      <c r="NOM569" s="341"/>
      <c r="NON569" s="341"/>
      <c r="NOO569" s="341"/>
      <c r="NOP569" s="341"/>
      <c r="NOQ569" s="341"/>
      <c r="NOR569" s="341"/>
      <c r="NOS569" s="341"/>
      <c r="NOT569" s="341"/>
      <c r="NOU569" s="341"/>
      <c r="NOV569" s="341"/>
      <c r="NOW569" s="341"/>
      <c r="NOX569" s="341"/>
      <c r="NOY569" s="341"/>
      <c r="NOZ569" s="341"/>
      <c r="NPA569" s="341"/>
      <c r="NPB569" s="341"/>
      <c r="NPC569" s="341"/>
      <c r="NPD569" s="341"/>
      <c r="NPE569" s="341"/>
      <c r="NPF569" s="341"/>
      <c r="NPG569" s="341"/>
      <c r="NPH569" s="341"/>
      <c r="NPI569" s="341"/>
      <c r="NPJ569" s="341"/>
      <c r="NPK569" s="341"/>
      <c r="NPL569" s="341"/>
      <c r="NPM569" s="341"/>
      <c r="NPN569" s="341"/>
      <c r="NPO569" s="341"/>
      <c r="NPP569" s="341"/>
      <c r="NPQ569" s="341"/>
      <c r="NPR569" s="341"/>
      <c r="NPS569" s="341"/>
      <c r="NPT569" s="341"/>
      <c r="NPU569" s="341"/>
      <c r="NPV569" s="341"/>
      <c r="NPW569" s="341"/>
      <c r="NPX569" s="341"/>
      <c r="NPY569" s="341"/>
      <c r="NPZ569" s="341"/>
      <c r="NQA569" s="341"/>
      <c r="NQB569" s="341"/>
      <c r="NQC569" s="341"/>
      <c r="NQD569" s="341"/>
      <c r="NQE569" s="341"/>
      <c r="NQF569" s="341"/>
      <c r="NQG569" s="341"/>
      <c r="NQH569" s="341"/>
      <c r="NQI569" s="341"/>
      <c r="NQJ569" s="341"/>
      <c r="NQK569" s="341"/>
      <c r="NQL569" s="341"/>
      <c r="NQM569" s="341"/>
      <c r="NQN569" s="341"/>
      <c r="NQO569" s="341"/>
      <c r="NQP569" s="341"/>
      <c r="NQQ569" s="341"/>
      <c r="NQR569" s="341"/>
      <c r="NQS569" s="341"/>
      <c r="NQT569" s="341"/>
      <c r="NQU569" s="341"/>
      <c r="NQV569" s="341"/>
      <c r="NQW569" s="341"/>
      <c r="NQX569" s="341"/>
      <c r="NQY569" s="341"/>
      <c r="NQZ569" s="341"/>
      <c r="NRA569" s="341"/>
      <c r="NRB569" s="341"/>
      <c r="NRC569" s="341"/>
      <c r="NRD569" s="341"/>
      <c r="NRE569" s="341"/>
      <c r="NRF569" s="341"/>
      <c r="NRG569" s="341"/>
      <c r="NRH569" s="341"/>
      <c r="NRI569" s="341"/>
      <c r="NRJ569" s="341"/>
      <c r="NRK569" s="341"/>
      <c r="NRL569" s="341"/>
      <c r="NRM569" s="341"/>
      <c r="NRN569" s="341"/>
      <c r="NRO569" s="341"/>
      <c r="NRP569" s="341"/>
      <c r="NRQ569" s="341"/>
      <c r="NRR569" s="341"/>
      <c r="NRS569" s="341"/>
      <c r="NRT569" s="341"/>
      <c r="NRU569" s="341"/>
      <c r="NRV569" s="341"/>
      <c r="NRW569" s="341"/>
      <c r="NRX569" s="341"/>
      <c r="NRY569" s="341"/>
      <c r="NRZ569" s="341"/>
      <c r="NSA569" s="341"/>
      <c r="NSB569" s="341"/>
      <c r="NSC569" s="341"/>
      <c r="NSD569" s="341"/>
      <c r="NSE569" s="341"/>
      <c r="NSF569" s="341"/>
      <c r="NSG569" s="341"/>
      <c r="NSH569" s="341"/>
      <c r="NSI569" s="341"/>
      <c r="NSJ569" s="341"/>
      <c r="NSK569" s="341"/>
      <c r="NSL569" s="341"/>
      <c r="NSM569" s="341"/>
      <c r="NSN569" s="341"/>
      <c r="NSO569" s="341"/>
      <c r="NSP569" s="341"/>
      <c r="NSQ569" s="341"/>
      <c r="NSR569" s="341"/>
      <c r="NSS569" s="341"/>
      <c r="NST569" s="341"/>
      <c r="NSU569" s="341"/>
      <c r="NSV569" s="341"/>
      <c r="NSW569" s="341"/>
      <c r="NSX569" s="341"/>
      <c r="NSY569" s="341"/>
      <c r="NSZ569" s="341"/>
      <c r="NTA569" s="341"/>
      <c r="NTB569" s="341"/>
      <c r="NTC569" s="341"/>
      <c r="NTD569" s="341"/>
      <c r="NTE569" s="341"/>
      <c r="NTF569" s="341"/>
      <c r="NTG569" s="341"/>
      <c r="NTH569" s="341"/>
      <c r="NTI569" s="341"/>
      <c r="NTJ569" s="341"/>
      <c r="NTK569" s="341"/>
      <c r="NTL569" s="341"/>
      <c r="NTM569" s="341"/>
      <c r="NTN569" s="341"/>
      <c r="NTO569" s="341"/>
      <c r="NTP569" s="341"/>
      <c r="NTQ569" s="341"/>
      <c r="NTR569" s="341"/>
      <c r="NTS569" s="341"/>
      <c r="NTT569" s="341"/>
      <c r="NTU569" s="341"/>
      <c r="NTV569" s="341"/>
      <c r="NTW569" s="341"/>
      <c r="NTX569" s="341"/>
      <c r="NTY569" s="341"/>
      <c r="NTZ569" s="341"/>
      <c r="NUA569" s="341"/>
      <c r="NUB569" s="341"/>
      <c r="NUC569" s="341"/>
      <c r="NUD569" s="341"/>
      <c r="NUE569" s="341"/>
      <c r="NUF569" s="341"/>
      <c r="NUG569" s="341"/>
      <c r="NUH569" s="341"/>
      <c r="NUI569" s="341"/>
      <c r="NUJ569" s="341"/>
      <c r="NUK569" s="341"/>
      <c r="NUL569" s="341"/>
      <c r="NUM569" s="341"/>
      <c r="NUN569" s="341"/>
      <c r="NUO569" s="341"/>
      <c r="NUP569" s="341"/>
      <c r="NUQ569" s="341"/>
      <c r="NUR569" s="341"/>
      <c r="NUS569" s="341"/>
      <c r="NUT569" s="341"/>
      <c r="NUU569" s="341"/>
      <c r="NUV569" s="341"/>
      <c r="NUW569" s="341"/>
      <c r="NUX569" s="341"/>
      <c r="NUY569" s="341"/>
      <c r="NUZ569" s="341"/>
      <c r="NVA569" s="341"/>
      <c r="NVB569" s="341"/>
      <c r="NVC569" s="341"/>
      <c r="NVD569" s="341"/>
      <c r="NVE569" s="341"/>
      <c r="NVF569" s="341"/>
      <c r="NVG569" s="341"/>
      <c r="NVH569" s="341"/>
      <c r="NVI569" s="341"/>
      <c r="NVJ569" s="341"/>
      <c r="NVK569" s="341"/>
      <c r="NVL569" s="341"/>
      <c r="NVM569" s="341"/>
      <c r="NVN569" s="341"/>
      <c r="NVO569" s="341"/>
      <c r="NVP569" s="341"/>
      <c r="NVQ569" s="341"/>
      <c r="NVR569" s="341"/>
      <c r="NVS569" s="341"/>
      <c r="NVT569" s="341"/>
      <c r="NVU569" s="341"/>
      <c r="NVV569" s="341"/>
      <c r="NVW569" s="341"/>
      <c r="NVX569" s="341"/>
      <c r="NVY569" s="341"/>
      <c r="NVZ569" s="341"/>
      <c r="NWA569" s="341"/>
      <c r="NWB569" s="341"/>
      <c r="NWC569" s="341"/>
      <c r="NWD569" s="341"/>
      <c r="NWE569" s="341"/>
      <c r="NWF569" s="341"/>
      <c r="NWG569" s="341"/>
      <c r="NWH569" s="341"/>
      <c r="NWI569" s="341"/>
      <c r="NWJ569" s="341"/>
      <c r="NWK569" s="341"/>
      <c r="NWL569" s="341"/>
      <c r="NWM569" s="341"/>
      <c r="NWN569" s="341"/>
      <c r="NWO569" s="341"/>
      <c r="NWP569" s="341"/>
      <c r="NWQ569" s="341"/>
      <c r="NWR569" s="341"/>
      <c r="NWS569" s="341"/>
      <c r="NWT569" s="341"/>
      <c r="NWU569" s="341"/>
      <c r="NWV569" s="341"/>
      <c r="NWW569" s="341"/>
      <c r="NWX569" s="341"/>
      <c r="NWY569" s="341"/>
      <c r="NWZ569" s="341"/>
      <c r="NXA569" s="341"/>
      <c r="NXB569" s="341"/>
      <c r="NXC569" s="341"/>
      <c r="NXD569" s="341"/>
      <c r="NXE569" s="341"/>
      <c r="NXF569" s="341"/>
      <c r="NXG569" s="341"/>
      <c r="NXH569" s="341"/>
      <c r="NXI569" s="341"/>
      <c r="NXJ569" s="341"/>
      <c r="NXK569" s="341"/>
      <c r="NXL569" s="341"/>
      <c r="NXM569" s="341"/>
      <c r="NXN569" s="341"/>
      <c r="NXO569" s="341"/>
      <c r="NXP569" s="341"/>
      <c r="NXQ569" s="341"/>
      <c r="NXR569" s="341"/>
      <c r="NXS569" s="341"/>
      <c r="NXT569" s="341"/>
      <c r="NXU569" s="341"/>
      <c r="NXV569" s="341"/>
      <c r="NXW569" s="341"/>
      <c r="NXX569" s="341"/>
      <c r="NXY569" s="341"/>
      <c r="NXZ569" s="341"/>
      <c r="NYA569" s="341"/>
      <c r="NYB569" s="341"/>
      <c r="NYC569" s="341"/>
      <c r="NYD569" s="341"/>
      <c r="NYE569" s="341"/>
      <c r="NYF569" s="341"/>
      <c r="NYG569" s="341"/>
      <c r="NYH569" s="341"/>
      <c r="NYI569" s="341"/>
      <c r="NYJ569" s="341"/>
      <c r="NYK569" s="341"/>
      <c r="NYL569" s="341"/>
      <c r="NYM569" s="341"/>
      <c r="NYN569" s="341"/>
      <c r="NYO569" s="341"/>
      <c r="NYP569" s="341"/>
      <c r="NYQ569" s="341"/>
      <c r="NYR569" s="341"/>
      <c r="NYS569" s="341"/>
      <c r="NYT569" s="341"/>
      <c r="NYU569" s="341"/>
      <c r="NYV569" s="341"/>
      <c r="NYW569" s="341"/>
      <c r="NYX569" s="341"/>
      <c r="NYY569" s="341"/>
      <c r="NYZ569" s="341"/>
      <c r="NZA569" s="341"/>
      <c r="NZB569" s="341"/>
      <c r="NZC569" s="341"/>
      <c r="NZD569" s="341"/>
      <c r="NZE569" s="341"/>
      <c r="NZF569" s="341"/>
      <c r="NZG569" s="341"/>
      <c r="NZH569" s="341"/>
      <c r="NZI569" s="341"/>
      <c r="NZJ569" s="341"/>
      <c r="NZK569" s="341"/>
      <c r="NZL569" s="341"/>
      <c r="NZM569" s="341"/>
      <c r="NZN569" s="341"/>
      <c r="NZO569" s="341"/>
      <c r="NZP569" s="341"/>
      <c r="NZQ569" s="341"/>
      <c r="NZR569" s="341"/>
      <c r="NZS569" s="341"/>
      <c r="NZT569" s="341"/>
      <c r="NZU569" s="341"/>
      <c r="NZV569" s="341"/>
      <c r="NZW569" s="341"/>
      <c r="NZX569" s="341"/>
      <c r="NZY569" s="341"/>
      <c r="NZZ569" s="341"/>
      <c r="OAA569" s="341"/>
      <c r="OAB569" s="341"/>
      <c r="OAC569" s="341"/>
      <c r="OAD569" s="341"/>
      <c r="OAE569" s="341"/>
      <c r="OAF569" s="341"/>
      <c r="OAG569" s="341"/>
      <c r="OAH569" s="341"/>
      <c r="OAI569" s="341"/>
      <c r="OAJ569" s="341"/>
      <c r="OAK569" s="341"/>
      <c r="OAL569" s="341"/>
      <c r="OAM569" s="341"/>
      <c r="OAN569" s="341"/>
      <c r="OAO569" s="341"/>
      <c r="OAP569" s="341"/>
      <c r="OAQ569" s="341"/>
      <c r="OAR569" s="341"/>
      <c r="OAS569" s="341"/>
      <c r="OAT569" s="341"/>
      <c r="OAU569" s="341"/>
      <c r="OAV569" s="341"/>
      <c r="OAW569" s="341"/>
      <c r="OAX569" s="341"/>
      <c r="OAY569" s="341"/>
      <c r="OAZ569" s="341"/>
      <c r="OBA569" s="341"/>
      <c r="OBB569" s="341"/>
      <c r="OBC569" s="341"/>
      <c r="OBD569" s="341"/>
      <c r="OBE569" s="341"/>
      <c r="OBF569" s="341"/>
      <c r="OBG569" s="341"/>
      <c r="OBH569" s="341"/>
      <c r="OBI569" s="341"/>
      <c r="OBJ569" s="341"/>
      <c r="OBK569" s="341"/>
      <c r="OBL569" s="341"/>
      <c r="OBM569" s="341"/>
      <c r="OBN569" s="341"/>
      <c r="OBO569" s="341"/>
      <c r="OBP569" s="341"/>
      <c r="OBQ569" s="341"/>
      <c r="OBR569" s="341"/>
      <c r="OBS569" s="341"/>
      <c r="OBT569" s="341"/>
      <c r="OBU569" s="341"/>
      <c r="OBV569" s="341"/>
      <c r="OBW569" s="341"/>
      <c r="OBX569" s="341"/>
      <c r="OBY569" s="341"/>
      <c r="OBZ569" s="341"/>
      <c r="OCA569" s="341"/>
      <c r="OCB569" s="341"/>
      <c r="OCC569" s="341"/>
      <c r="OCD569" s="341"/>
      <c r="OCE569" s="341"/>
      <c r="OCF569" s="341"/>
      <c r="OCG569" s="341"/>
      <c r="OCH569" s="341"/>
      <c r="OCI569" s="341"/>
      <c r="OCJ569" s="341"/>
      <c r="OCK569" s="341"/>
      <c r="OCL569" s="341"/>
      <c r="OCM569" s="341"/>
      <c r="OCN569" s="341"/>
      <c r="OCO569" s="341"/>
      <c r="OCP569" s="341"/>
      <c r="OCQ569" s="341"/>
      <c r="OCR569" s="341"/>
      <c r="OCS569" s="341"/>
      <c r="OCT569" s="341"/>
      <c r="OCU569" s="341"/>
      <c r="OCV569" s="341"/>
      <c r="OCW569" s="341"/>
      <c r="OCX569" s="341"/>
      <c r="OCY569" s="341"/>
      <c r="OCZ569" s="341"/>
      <c r="ODA569" s="341"/>
      <c r="ODB569" s="341"/>
      <c r="ODC569" s="341"/>
      <c r="ODD569" s="341"/>
      <c r="ODE569" s="341"/>
      <c r="ODF569" s="341"/>
      <c r="ODG569" s="341"/>
      <c r="ODH569" s="341"/>
      <c r="ODI569" s="341"/>
      <c r="ODJ569" s="341"/>
      <c r="ODK569" s="341"/>
      <c r="ODL569" s="341"/>
      <c r="ODM569" s="341"/>
      <c r="ODN569" s="341"/>
      <c r="ODO569" s="341"/>
      <c r="ODP569" s="341"/>
      <c r="ODQ569" s="341"/>
      <c r="ODR569" s="341"/>
      <c r="ODS569" s="341"/>
      <c r="ODT569" s="341"/>
      <c r="ODU569" s="341"/>
      <c r="ODV569" s="341"/>
      <c r="ODW569" s="341"/>
      <c r="ODX569" s="341"/>
      <c r="ODY569" s="341"/>
      <c r="ODZ569" s="341"/>
      <c r="OEA569" s="341"/>
      <c r="OEB569" s="341"/>
      <c r="OEC569" s="341"/>
      <c r="OED569" s="341"/>
      <c r="OEE569" s="341"/>
      <c r="OEF569" s="341"/>
      <c r="OEG569" s="341"/>
      <c r="OEH569" s="341"/>
      <c r="OEI569" s="341"/>
      <c r="OEJ569" s="341"/>
      <c r="OEK569" s="341"/>
      <c r="OEL569" s="341"/>
      <c r="OEM569" s="341"/>
      <c r="OEN569" s="341"/>
      <c r="OEO569" s="341"/>
      <c r="OEP569" s="341"/>
      <c r="OEQ569" s="341"/>
      <c r="OER569" s="341"/>
      <c r="OES569" s="341"/>
      <c r="OET569" s="341"/>
      <c r="OEU569" s="341"/>
      <c r="OEV569" s="341"/>
      <c r="OEW569" s="341"/>
      <c r="OEX569" s="341"/>
      <c r="OEY569" s="341"/>
      <c r="OEZ569" s="341"/>
      <c r="OFA569" s="341"/>
      <c r="OFB569" s="341"/>
      <c r="OFC569" s="341"/>
      <c r="OFD569" s="341"/>
      <c r="OFE569" s="341"/>
      <c r="OFF569" s="341"/>
      <c r="OFG569" s="341"/>
      <c r="OFH569" s="341"/>
      <c r="OFI569" s="341"/>
      <c r="OFJ569" s="341"/>
      <c r="OFK569" s="341"/>
      <c r="OFL569" s="341"/>
      <c r="OFM569" s="341"/>
      <c r="OFN569" s="341"/>
      <c r="OFO569" s="341"/>
      <c r="OFP569" s="341"/>
      <c r="OFQ569" s="341"/>
      <c r="OFR569" s="341"/>
      <c r="OFS569" s="341"/>
      <c r="OFT569" s="341"/>
      <c r="OFU569" s="341"/>
      <c r="OFV569" s="341"/>
      <c r="OFW569" s="341"/>
      <c r="OFX569" s="341"/>
      <c r="OFY569" s="341"/>
      <c r="OFZ569" s="341"/>
      <c r="OGA569" s="341"/>
      <c r="OGB569" s="341"/>
      <c r="OGC569" s="341"/>
      <c r="OGD569" s="341"/>
      <c r="OGE569" s="341"/>
      <c r="OGF569" s="341"/>
      <c r="OGG569" s="341"/>
      <c r="OGH569" s="341"/>
      <c r="OGI569" s="341"/>
      <c r="OGJ569" s="341"/>
      <c r="OGK569" s="341"/>
      <c r="OGL569" s="341"/>
      <c r="OGM569" s="341"/>
      <c r="OGN569" s="341"/>
      <c r="OGO569" s="341"/>
      <c r="OGP569" s="341"/>
      <c r="OGQ569" s="341"/>
      <c r="OGR569" s="341"/>
      <c r="OGS569" s="341"/>
      <c r="OGT569" s="341"/>
      <c r="OGU569" s="341"/>
      <c r="OGV569" s="341"/>
      <c r="OGW569" s="341"/>
      <c r="OGX569" s="341"/>
      <c r="OGY569" s="341"/>
      <c r="OGZ569" s="341"/>
      <c r="OHA569" s="341"/>
      <c r="OHB569" s="341"/>
      <c r="OHC569" s="341"/>
      <c r="OHD569" s="341"/>
      <c r="OHE569" s="341"/>
      <c r="OHF569" s="341"/>
      <c r="OHG569" s="341"/>
      <c r="OHH569" s="341"/>
      <c r="OHI569" s="341"/>
      <c r="OHJ569" s="341"/>
      <c r="OHK569" s="341"/>
      <c r="OHL569" s="341"/>
      <c r="OHM569" s="341"/>
      <c r="OHN569" s="341"/>
      <c r="OHO569" s="341"/>
      <c r="OHP569" s="341"/>
      <c r="OHQ569" s="341"/>
      <c r="OHR569" s="341"/>
      <c r="OHS569" s="341"/>
      <c r="OHT569" s="341"/>
      <c r="OHU569" s="341"/>
      <c r="OHV569" s="341"/>
      <c r="OHW569" s="341"/>
      <c r="OHX569" s="341"/>
      <c r="OHY569" s="341"/>
      <c r="OHZ569" s="341"/>
      <c r="OIA569" s="341"/>
      <c r="OIB569" s="341"/>
      <c r="OIC569" s="341"/>
      <c r="OID569" s="341"/>
      <c r="OIE569" s="341"/>
      <c r="OIF569" s="341"/>
      <c r="OIG569" s="341"/>
      <c r="OIH569" s="341"/>
      <c r="OII569" s="341"/>
      <c r="OIJ569" s="341"/>
      <c r="OIK569" s="341"/>
      <c r="OIL569" s="341"/>
      <c r="OIM569" s="341"/>
      <c r="OIN569" s="341"/>
      <c r="OIO569" s="341"/>
      <c r="OIP569" s="341"/>
      <c r="OIQ569" s="341"/>
      <c r="OIR569" s="341"/>
      <c r="OIS569" s="341"/>
      <c r="OIT569" s="341"/>
      <c r="OIU569" s="341"/>
      <c r="OIV569" s="341"/>
      <c r="OIW569" s="341"/>
      <c r="OIX569" s="341"/>
      <c r="OIY569" s="341"/>
      <c r="OIZ569" s="341"/>
      <c r="OJA569" s="341"/>
      <c r="OJB569" s="341"/>
      <c r="OJC569" s="341"/>
      <c r="OJD569" s="341"/>
      <c r="OJE569" s="341"/>
      <c r="OJF569" s="341"/>
      <c r="OJG569" s="341"/>
      <c r="OJH569" s="341"/>
      <c r="OJI569" s="341"/>
      <c r="OJJ569" s="341"/>
      <c r="OJK569" s="341"/>
      <c r="OJL569" s="341"/>
      <c r="OJM569" s="341"/>
      <c r="OJN569" s="341"/>
      <c r="OJO569" s="341"/>
      <c r="OJP569" s="341"/>
      <c r="OJQ569" s="341"/>
      <c r="OJR569" s="341"/>
      <c r="OJS569" s="341"/>
      <c r="OJT569" s="341"/>
      <c r="OJU569" s="341"/>
      <c r="OJV569" s="341"/>
      <c r="OJW569" s="341"/>
      <c r="OJX569" s="341"/>
      <c r="OJY569" s="341"/>
      <c r="OJZ569" s="341"/>
      <c r="OKA569" s="341"/>
      <c r="OKB569" s="341"/>
      <c r="OKC569" s="341"/>
      <c r="OKD569" s="341"/>
      <c r="OKE569" s="341"/>
      <c r="OKF569" s="341"/>
      <c r="OKG569" s="341"/>
      <c r="OKH569" s="341"/>
      <c r="OKI569" s="341"/>
      <c r="OKJ569" s="341"/>
      <c r="OKK569" s="341"/>
      <c r="OKL569" s="341"/>
      <c r="OKM569" s="341"/>
      <c r="OKN569" s="341"/>
      <c r="OKO569" s="341"/>
      <c r="OKP569" s="341"/>
      <c r="OKQ569" s="341"/>
      <c r="OKR569" s="341"/>
      <c r="OKS569" s="341"/>
      <c r="OKT569" s="341"/>
      <c r="OKU569" s="341"/>
      <c r="OKV569" s="341"/>
      <c r="OKW569" s="341"/>
      <c r="OKX569" s="341"/>
      <c r="OKY569" s="341"/>
      <c r="OKZ569" s="341"/>
      <c r="OLA569" s="341"/>
      <c r="OLB569" s="341"/>
      <c r="OLC569" s="341"/>
      <c r="OLD569" s="341"/>
      <c r="OLE569" s="341"/>
      <c r="OLF569" s="341"/>
      <c r="OLG569" s="341"/>
      <c r="OLH569" s="341"/>
      <c r="OLI569" s="341"/>
      <c r="OLJ569" s="341"/>
      <c r="OLK569" s="341"/>
      <c r="OLL569" s="341"/>
      <c r="OLM569" s="341"/>
      <c r="OLN569" s="341"/>
      <c r="OLO569" s="341"/>
      <c r="OLP569" s="341"/>
      <c r="OLQ569" s="341"/>
      <c r="OLR569" s="341"/>
      <c r="OLS569" s="341"/>
      <c r="OLT569" s="341"/>
      <c r="OLU569" s="341"/>
      <c r="OLV569" s="341"/>
      <c r="OLW569" s="341"/>
      <c r="OLX569" s="341"/>
      <c r="OLY569" s="341"/>
      <c r="OLZ569" s="341"/>
      <c r="OMA569" s="341"/>
      <c r="OMB569" s="341"/>
      <c r="OMC569" s="341"/>
      <c r="OMD569" s="341"/>
      <c r="OME569" s="341"/>
      <c r="OMF569" s="341"/>
      <c r="OMG569" s="341"/>
      <c r="OMH569" s="341"/>
      <c r="OMI569" s="341"/>
      <c r="OMJ569" s="341"/>
      <c r="OMK569" s="341"/>
      <c r="OML569" s="341"/>
      <c r="OMM569" s="341"/>
      <c r="OMN569" s="341"/>
      <c r="OMO569" s="341"/>
      <c r="OMP569" s="341"/>
      <c r="OMQ569" s="341"/>
      <c r="OMR569" s="341"/>
      <c r="OMS569" s="341"/>
      <c r="OMT569" s="341"/>
      <c r="OMU569" s="341"/>
      <c r="OMV569" s="341"/>
      <c r="OMW569" s="341"/>
      <c r="OMX569" s="341"/>
      <c r="OMY569" s="341"/>
      <c r="OMZ569" s="341"/>
      <c r="ONA569" s="341"/>
      <c r="ONB569" s="341"/>
      <c r="ONC569" s="341"/>
      <c r="OND569" s="341"/>
      <c r="ONE569" s="341"/>
      <c r="ONF569" s="341"/>
      <c r="ONG569" s="341"/>
      <c r="ONH569" s="341"/>
      <c r="ONI569" s="341"/>
      <c r="ONJ569" s="341"/>
      <c r="ONK569" s="341"/>
      <c r="ONL569" s="341"/>
      <c r="ONM569" s="341"/>
      <c r="ONN569" s="341"/>
      <c r="ONO569" s="341"/>
      <c r="ONP569" s="341"/>
      <c r="ONQ569" s="341"/>
      <c r="ONR569" s="341"/>
      <c r="ONS569" s="341"/>
      <c r="ONT569" s="341"/>
      <c r="ONU569" s="341"/>
      <c r="ONV569" s="341"/>
      <c r="ONW569" s="341"/>
      <c r="ONX569" s="341"/>
      <c r="ONY569" s="341"/>
      <c r="ONZ569" s="341"/>
      <c r="OOA569" s="341"/>
      <c r="OOB569" s="341"/>
      <c r="OOC569" s="341"/>
      <c r="OOD569" s="341"/>
      <c r="OOE569" s="341"/>
      <c r="OOF569" s="341"/>
      <c r="OOG569" s="341"/>
      <c r="OOH569" s="341"/>
      <c r="OOI569" s="341"/>
      <c r="OOJ569" s="341"/>
      <c r="OOK569" s="341"/>
      <c r="OOL569" s="341"/>
      <c r="OOM569" s="341"/>
      <c r="OON569" s="341"/>
      <c r="OOO569" s="341"/>
      <c r="OOP569" s="341"/>
      <c r="OOQ569" s="341"/>
      <c r="OOR569" s="341"/>
      <c r="OOS569" s="341"/>
      <c r="OOT569" s="341"/>
      <c r="OOU569" s="341"/>
      <c r="OOV569" s="341"/>
      <c r="OOW569" s="341"/>
      <c r="OOX569" s="341"/>
      <c r="OOY569" s="341"/>
      <c r="OOZ569" s="341"/>
      <c r="OPA569" s="341"/>
      <c r="OPB569" s="341"/>
      <c r="OPC569" s="341"/>
      <c r="OPD569" s="341"/>
      <c r="OPE569" s="341"/>
      <c r="OPF569" s="341"/>
      <c r="OPG569" s="341"/>
      <c r="OPH569" s="341"/>
      <c r="OPI569" s="341"/>
      <c r="OPJ569" s="341"/>
      <c r="OPK569" s="341"/>
      <c r="OPL569" s="341"/>
      <c r="OPM569" s="341"/>
      <c r="OPN569" s="341"/>
      <c r="OPO569" s="341"/>
      <c r="OPP569" s="341"/>
      <c r="OPQ569" s="341"/>
      <c r="OPR569" s="341"/>
      <c r="OPS569" s="341"/>
      <c r="OPT569" s="341"/>
      <c r="OPU569" s="341"/>
      <c r="OPV569" s="341"/>
      <c r="OPW569" s="341"/>
      <c r="OPX569" s="341"/>
      <c r="OPY569" s="341"/>
      <c r="OPZ569" s="341"/>
      <c r="OQA569" s="341"/>
      <c r="OQB569" s="341"/>
      <c r="OQC569" s="341"/>
      <c r="OQD569" s="341"/>
      <c r="OQE569" s="341"/>
      <c r="OQF569" s="341"/>
      <c r="OQG569" s="341"/>
      <c r="OQH569" s="341"/>
      <c r="OQI569" s="341"/>
      <c r="OQJ569" s="341"/>
      <c r="OQK569" s="341"/>
      <c r="OQL569" s="341"/>
      <c r="OQM569" s="341"/>
      <c r="OQN569" s="341"/>
      <c r="OQO569" s="341"/>
      <c r="OQP569" s="341"/>
      <c r="OQQ569" s="341"/>
      <c r="OQR569" s="341"/>
      <c r="OQS569" s="341"/>
      <c r="OQT569" s="341"/>
      <c r="OQU569" s="341"/>
      <c r="OQV569" s="341"/>
      <c r="OQW569" s="341"/>
      <c r="OQX569" s="341"/>
      <c r="OQY569" s="341"/>
      <c r="OQZ569" s="341"/>
      <c r="ORA569" s="341"/>
      <c r="ORB569" s="341"/>
      <c r="ORC569" s="341"/>
      <c r="ORD569" s="341"/>
      <c r="ORE569" s="341"/>
      <c r="ORF569" s="341"/>
      <c r="ORG569" s="341"/>
      <c r="ORH569" s="341"/>
      <c r="ORI569" s="341"/>
      <c r="ORJ569" s="341"/>
      <c r="ORK569" s="341"/>
      <c r="ORL569" s="341"/>
      <c r="ORM569" s="341"/>
      <c r="ORN569" s="341"/>
      <c r="ORO569" s="341"/>
      <c r="ORP569" s="341"/>
      <c r="ORQ569" s="341"/>
      <c r="ORR569" s="341"/>
      <c r="ORS569" s="341"/>
      <c r="ORT569" s="341"/>
      <c r="ORU569" s="341"/>
      <c r="ORV569" s="341"/>
      <c r="ORW569" s="341"/>
      <c r="ORX569" s="341"/>
      <c r="ORY569" s="341"/>
      <c r="ORZ569" s="341"/>
      <c r="OSA569" s="341"/>
      <c r="OSB569" s="341"/>
      <c r="OSC569" s="341"/>
      <c r="OSD569" s="341"/>
      <c r="OSE569" s="341"/>
      <c r="OSF569" s="341"/>
      <c r="OSG569" s="341"/>
      <c r="OSH569" s="341"/>
      <c r="OSI569" s="341"/>
      <c r="OSJ569" s="341"/>
      <c r="OSK569" s="341"/>
      <c r="OSL569" s="341"/>
      <c r="OSM569" s="341"/>
      <c r="OSN569" s="341"/>
      <c r="OSO569" s="341"/>
      <c r="OSP569" s="341"/>
      <c r="OSQ569" s="341"/>
      <c r="OSR569" s="341"/>
      <c r="OSS569" s="341"/>
      <c r="OST569" s="341"/>
      <c r="OSU569" s="341"/>
      <c r="OSV569" s="341"/>
      <c r="OSW569" s="341"/>
      <c r="OSX569" s="341"/>
      <c r="OSY569" s="341"/>
      <c r="OSZ569" s="341"/>
      <c r="OTA569" s="341"/>
      <c r="OTB569" s="341"/>
      <c r="OTC569" s="341"/>
      <c r="OTD569" s="341"/>
      <c r="OTE569" s="341"/>
      <c r="OTF569" s="341"/>
      <c r="OTG569" s="341"/>
      <c r="OTH569" s="341"/>
      <c r="OTI569" s="341"/>
      <c r="OTJ569" s="341"/>
      <c r="OTK569" s="341"/>
      <c r="OTL569" s="341"/>
      <c r="OTM569" s="341"/>
      <c r="OTN569" s="341"/>
      <c r="OTO569" s="341"/>
      <c r="OTP569" s="341"/>
      <c r="OTQ569" s="341"/>
      <c r="OTR569" s="341"/>
      <c r="OTS569" s="341"/>
      <c r="OTT569" s="341"/>
      <c r="OTU569" s="341"/>
      <c r="OTV569" s="341"/>
      <c r="OTW569" s="341"/>
      <c r="OTX569" s="341"/>
      <c r="OTY569" s="341"/>
      <c r="OTZ569" s="341"/>
      <c r="OUA569" s="341"/>
      <c r="OUB569" s="341"/>
      <c r="OUC569" s="341"/>
      <c r="OUD569" s="341"/>
      <c r="OUE569" s="341"/>
      <c r="OUF569" s="341"/>
      <c r="OUG569" s="341"/>
      <c r="OUH569" s="341"/>
      <c r="OUI569" s="341"/>
      <c r="OUJ569" s="341"/>
      <c r="OUK569" s="341"/>
      <c r="OUL569" s="341"/>
      <c r="OUM569" s="341"/>
      <c r="OUN569" s="341"/>
      <c r="OUO569" s="341"/>
      <c r="OUP569" s="341"/>
      <c r="OUQ569" s="341"/>
      <c r="OUR569" s="341"/>
      <c r="OUS569" s="341"/>
      <c r="OUT569" s="341"/>
      <c r="OUU569" s="341"/>
      <c r="OUV569" s="341"/>
      <c r="OUW569" s="341"/>
      <c r="OUX569" s="341"/>
      <c r="OUY569" s="341"/>
      <c r="OUZ569" s="341"/>
      <c r="OVA569" s="341"/>
      <c r="OVB569" s="341"/>
      <c r="OVC569" s="341"/>
      <c r="OVD569" s="341"/>
      <c r="OVE569" s="341"/>
      <c r="OVF569" s="341"/>
      <c r="OVG569" s="341"/>
      <c r="OVH569" s="341"/>
      <c r="OVI569" s="341"/>
      <c r="OVJ569" s="341"/>
      <c r="OVK569" s="341"/>
      <c r="OVL569" s="341"/>
      <c r="OVM569" s="341"/>
      <c r="OVN569" s="341"/>
      <c r="OVO569" s="341"/>
      <c r="OVP569" s="341"/>
      <c r="OVQ569" s="341"/>
      <c r="OVR569" s="341"/>
      <c r="OVS569" s="341"/>
      <c r="OVT569" s="341"/>
      <c r="OVU569" s="341"/>
      <c r="OVV569" s="341"/>
      <c r="OVW569" s="341"/>
      <c r="OVX569" s="341"/>
      <c r="OVY569" s="341"/>
      <c r="OVZ569" s="341"/>
      <c r="OWA569" s="341"/>
      <c r="OWB569" s="341"/>
      <c r="OWC569" s="341"/>
      <c r="OWD569" s="341"/>
      <c r="OWE569" s="341"/>
      <c r="OWF569" s="341"/>
      <c r="OWG569" s="341"/>
      <c r="OWH569" s="341"/>
      <c r="OWI569" s="341"/>
      <c r="OWJ569" s="341"/>
      <c r="OWK569" s="341"/>
      <c r="OWL569" s="341"/>
      <c r="OWM569" s="341"/>
      <c r="OWN569" s="341"/>
      <c r="OWO569" s="341"/>
      <c r="OWP569" s="341"/>
      <c r="OWQ569" s="341"/>
      <c r="OWR569" s="341"/>
      <c r="OWS569" s="341"/>
      <c r="OWT569" s="341"/>
      <c r="OWU569" s="341"/>
      <c r="OWV569" s="341"/>
      <c r="OWW569" s="341"/>
      <c r="OWX569" s="341"/>
      <c r="OWY569" s="341"/>
      <c r="OWZ569" s="341"/>
      <c r="OXA569" s="341"/>
      <c r="OXB569" s="341"/>
      <c r="OXC569" s="341"/>
      <c r="OXD569" s="341"/>
      <c r="OXE569" s="341"/>
      <c r="OXF569" s="341"/>
      <c r="OXG569" s="341"/>
      <c r="OXH569" s="341"/>
      <c r="OXI569" s="341"/>
      <c r="OXJ569" s="341"/>
      <c r="OXK569" s="341"/>
      <c r="OXL569" s="341"/>
      <c r="OXM569" s="341"/>
      <c r="OXN569" s="341"/>
      <c r="OXO569" s="341"/>
      <c r="OXP569" s="341"/>
      <c r="OXQ569" s="341"/>
      <c r="OXR569" s="341"/>
      <c r="OXS569" s="341"/>
      <c r="OXT569" s="341"/>
      <c r="OXU569" s="341"/>
      <c r="OXV569" s="341"/>
      <c r="OXW569" s="341"/>
      <c r="OXX569" s="341"/>
      <c r="OXY569" s="341"/>
      <c r="OXZ569" s="341"/>
      <c r="OYA569" s="341"/>
      <c r="OYB569" s="341"/>
      <c r="OYC569" s="341"/>
      <c r="OYD569" s="341"/>
      <c r="OYE569" s="341"/>
      <c r="OYF569" s="341"/>
      <c r="OYG569" s="341"/>
      <c r="OYH569" s="341"/>
      <c r="OYI569" s="341"/>
      <c r="OYJ569" s="341"/>
      <c r="OYK569" s="341"/>
      <c r="OYL569" s="341"/>
      <c r="OYM569" s="341"/>
      <c r="OYN569" s="341"/>
      <c r="OYO569" s="341"/>
      <c r="OYP569" s="341"/>
      <c r="OYQ569" s="341"/>
      <c r="OYR569" s="341"/>
      <c r="OYS569" s="341"/>
      <c r="OYT569" s="341"/>
      <c r="OYU569" s="341"/>
      <c r="OYV569" s="341"/>
      <c r="OYW569" s="341"/>
      <c r="OYX569" s="341"/>
      <c r="OYY569" s="341"/>
      <c r="OYZ569" s="341"/>
      <c r="OZA569" s="341"/>
      <c r="OZB569" s="341"/>
      <c r="OZC569" s="341"/>
      <c r="OZD569" s="341"/>
      <c r="OZE569" s="341"/>
      <c r="OZF569" s="341"/>
      <c r="OZG569" s="341"/>
      <c r="OZH569" s="341"/>
      <c r="OZI569" s="341"/>
      <c r="OZJ569" s="341"/>
      <c r="OZK569" s="341"/>
      <c r="OZL569" s="341"/>
      <c r="OZM569" s="341"/>
      <c r="OZN569" s="341"/>
      <c r="OZO569" s="341"/>
      <c r="OZP569" s="341"/>
      <c r="OZQ569" s="341"/>
      <c r="OZR569" s="341"/>
      <c r="OZS569" s="341"/>
      <c r="OZT569" s="341"/>
      <c r="OZU569" s="341"/>
      <c r="OZV569" s="341"/>
      <c r="OZW569" s="341"/>
      <c r="OZX569" s="341"/>
      <c r="OZY569" s="341"/>
      <c r="OZZ569" s="341"/>
      <c r="PAA569" s="341"/>
      <c r="PAB569" s="341"/>
      <c r="PAC569" s="341"/>
      <c r="PAD569" s="341"/>
      <c r="PAE569" s="341"/>
      <c r="PAF569" s="341"/>
      <c r="PAG569" s="341"/>
      <c r="PAH569" s="341"/>
      <c r="PAI569" s="341"/>
      <c r="PAJ569" s="341"/>
      <c r="PAK569" s="341"/>
      <c r="PAL569" s="341"/>
      <c r="PAM569" s="341"/>
      <c r="PAN569" s="341"/>
      <c r="PAO569" s="341"/>
      <c r="PAP569" s="341"/>
      <c r="PAQ569" s="341"/>
      <c r="PAR569" s="341"/>
      <c r="PAS569" s="341"/>
      <c r="PAT569" s="341"/>
      <c r="PAU569" s="341"/>
      <c r="PAV569" s="341"/>
      <c r="PAW569" s="341"/>
      <c r="PAX569" s="341"/>
      <c r="PAY569" s="341"/>
      <c r="PAZ569" s="341"/>
      <c r="PBA569" s="341"/>
      <c r="PBB569" s="341"/>
      <c r="PBC569" s="341"/>
      <c r="PBD569" s="341"/>
      <c r="PBE569" s="341"/>
      <c r="PBF569" s="341"/>
      <c r="PBG569" s="341"/>
      <c r="PBH569" s="341"/>
      <c r="PBI569" s="341"/>
      <c r="PBJ569" s="341"/>
      <c r="PBK569" s="341"/>
      <c r="PBL569" s="341"/>
      <c r="PBM569" s="341"/>
      <c r="PBN569" s="341"/>
      <c r="PBO569" s="341"/>
      <c r="PBP569" s="341"/>
      <c r="PBQ569" s="341"/>
      <c r="PBR569" s="341"/>
      <c r="PBS569" s="341"/>
      <c r="PBT569" s="341"/>
      <c r="PBU569" s="341"/>
      <c r="PBV569" s="341"/>
      <c r="PBW569" s="341"/>
      <c r="PBX569" s="341"/>
      <c r="PBY569" s="341"/>
      <c r="PBZ569" s="341"/>
      <c r="PCA569" s="341"/>
      <c r="PCB569" s="341"/>
      <c r="PCC569" s="341"/>
      <c r="PCD569" s="341"/>
      <c r="PCE569" s="341"/>
      <c r="PCF569" s="341"/>
      <c r="PCG569" s="341"/>
      <c r="PCH569" s="341"/>
      <c r="PCI569" s="341"/>
      <c r="PCJ569" s="341"/>
      <c r="PCK569" s="341"/>
      <c r="PCL569" s="341"/>
      <c r="PCM569" s="341"/>
      <c r="PCN569" s="341"/>
      <c r="PCO569" s="341"/>
      <c r="PCP569" s="341"/>
      <c r="PCQ569" s="341"/>
      <c r="PCR569" s="341"/>
      <c r="PCS569" s="341"/>
      <c r="PCT569" s="341"/>
      <c r="PCU569" s="341"/>
      <c r="PCV569" s="341"/>
      <c r="PCW569" s="341"/>
      <c r="PCX569" s="341"/>
      <c r="PCY569" s="341"/>
      <c r="PCZ569" s="341"/>
      <c r="PDA569" s="341"/>
      <c r="PDB569" s="341"/>
      <c r="PDC569" s="341"/>
      <c r="PDD569" s="341"/>
      <c r="PDE569" s="341"/>
      <c r="PDF569" s="341"/>
      <c r="PDG569" s="341"/>
      <c r="PDH569" s="341"/>
      <c r="PDI569" s="341"/>
      <c r="PDJ569" s="341"/>
      <c r="PDK569" s="341"/>
      <c r="PDL569" s="341"/>
      <c r="PDM569" s="341"/>
      <c r="PDN569" s="341"/>
      <c r="PDO569" s="341"/>
      <c r="PDP569" s="341"/>
      <c r="PDQ569" s="341"/>
      <c r="PDR569" s="341"/>
      <c r="PDS569" s="341"/>
      <c r="PDT569" s="341"/>
      <c r="PDU569" s="341"/>
      <c r="PDV569" s="341"/>
      <c r="PDW569" s="341"/>
      <c r="PDX569" s="341"/>
      <c r="PDY569" s="341"/>
      <c r="PDZ569" s="341"/>
      <c r="PEA569" s="341"/>
      <c r="PEB569" s="341"/>
      <c r="PEC569" s="341"/>
      <c r="PED569" s="341"/>
      <c r="PEE569" s="341"/>
      <c r="PEF569" s="341"/>
      <c r="PEG569" s="341"/>
      <c r="PEH569" s="341"/>
      <c r="PEI569" s="341"/>
      <c r="PEJ569" s="341"/>
      <c r="PEK569" s="341"/>
      <c r="PEL569" s="341"/>
      <c r="PEM569" s="341"/>
      <c r="PEN569" s="341"/>
      <c r="PEO569" s="341"/>
      <c r="PEP569" s="341"/>
      <c r="PEQ569" s="341"/>
      <c r="PER569" s="341"/>
      <c r="PES569" s="341"/>
      <c r="PET569" s="341"/>
      <c r="PEU569" s="341"/>
      <c r="PEV569" s="341"/>
      <c r="PEW569" s="341"/>
      <c r="PEX569" s="341"/>
      <c r="PEY569" s="341"/>
      <c r="PEZ569" s="341"/>
      <c r="PFA569" s="341"/>
      <c r="PFB569" s="341"/>
      <c r="PFC569" s="341"/>
      <c r="PFD569" s="341"/>
      <c r="PFE569" s="341"/>
      <c r="PFF569" s="341"/>
      <c r="PFG569" s="341"/>
      <c r="PFH569" s="341"/>
      <c r="PFI569" s="341"/>
      <c r="PFJ569" s="341"/>
      <c r="PFK569" s="341"/>
      <c r="PFL569" s="341"/>
      <c r="PFM569" s="341"/>
      <c r="PFN569" s="341"/>
      <c r="PFO569" s="341"/>
      <c r="PFP569" s="341"/>
      <c r="PFQ569" s="341"/>
      <c r="PFR569" s="341"/>
      <c r="PFS569" s="341"/>
      <c r="PFT569" s="341"/>
      <c r="PFU569" s="341"/>
      <c r="PFV569" s="341"/>
      <c r="PFW569" s="341"/>
      <c r="PFX569" s="341"/>
      <c r="PFY569" s="341"/>
      <c r="PFZ569" s="341"/>
      <c r="PGA569" s="341"/>
      <c r="PGB569" s="341"/>
      <c r="PGC569" s="341"/>
      <c r="PGD569" s="341"/>
      <c r="PGE569" s="341"/>
      <c r="PGF569" s="341"/>
      <c r="PGG569" s="341"/>
      <c r="PGH569" s="341"/>
      <c r="PGI569" s="341"/>
      <c r="PGJ569" s="341"/>
      <c r="PGK569" s="341"/>
      <c r="PGL569" s="341"/>
      <c r="PGM569" s="341"/>
      <c r="PGN569" s="341"/>
      <c r="PGO569" s="341"/>
      <c r="PGP569" s="341"/>
      <c r="PGQ569" s="341"/>
      <c r="PGR569" s="341"/>
      <c r="PGS569" s="341"/>
      <c r="PGT569" s="341"/>
      <c r="PGU569" s="341"/>
      <c r="PGV569" s="341"/>
      <c r="PGW569" s="341"/>
      <c r="PGX569" s="341"/>
      <c r="PGY569" s="341"/>
      <c r="PGZ569" s="341"/>
      <c r="PHA569" s="341"/>
      <c r="PHB569" s="341"/>
      <c r="PHC569" s="341"/>
      <c r="PHD569" s="341"/>
      <c r="PHE569" s="341"/>
      <c r="PHF569" s="341"/>
      <c r="PHG569" s="341"/>
      <c r="PHH569" s="341"/>
      <c r="PHI569" s="341"/>
      <c r="PHJ569" s="341"/>
      <c r="PHK569" s="341"/>
      <c r="PHL569" s="341"/>
      <c r="PHM569" s="341"/>
      <c r="PHN569" s="341"/>
      <c r="PHO569" s="341"/>
      <c r="PHP569" s="341"/>
      <c r="PHQ569" s="341"/>
      <c r="PHR569" s="341"/>
      <c r="PHS569" s="341"/>
      <c r="PHT569" s="341"/>
      <c r="PHU569" s="341"/>
      <c r="PHV569" s="341"/>
      <c r="PHW569" s="341"/>
      <c r="PHX569" s="341"/>
      <c r="PHY569" s="341"/>
      <c r="PHZ569" s="341"/>
      <c r="PIA569" s="341"/>
      <c r="PIB569" s="341"/>
      <c r="PIC569" s="341"/>
      <c r="PID569" s="341"/>
      <c r="PIE569" s="341"/>
      <c r="PIF569" s="341"/>
      <c r="PIG569" s="341"/>
      <c r="PIH569" s="341"/>
      <c r="PII569" s="341"/>
      <c r="PIJ569" s="341"/>
      <c r="PIK569" s="341"/>
      <c r="PIL569" s="341"/>
      <c r="PIM569" s="341"/>
      <c r="PIN569" s="341"/>
      <c r="PIO569" s="341"/>
      <c r="PIP569" s="341"/>
      <c r="PIQ569" s="341"/>
      <c r="PIR569" s="341"/>
      <c r="PIS569" s="341"/>
      <c r="PIT569" s="341"/>
      <c r="PIU569" s="341"/>
      <c r="PIV569" s="341"/>
      <c r="PIW569" s="341"/>
      <c r="PIX569" s="341"/>
      <c r="PIY569" s="341"/>
      <c r="PIZ569" s="341"/>
      <c r="PJA569" s="341"/>
      <c r="PJB569" s="341"/>
      <c r="PJC569" s="341"/>
      <c r="PJD569" s="341"/>
      <c r="PJE569" s="341"/>
      <c r="PJF569" s="341"/>
      <c r="PJG569" s="341"/>
      <c r="PJH569" s="341"/>
      <c r="PJI569" s="341"/>
      <c r="PJJ569" s="341"/>
      <c r="PJK569" s="341"/>
      <c r="PJL569" s="341"/>
      <c r="PJM569" s="341"/>
      <c r="PJN569" s="341"/>
      <c r="PJO569" s="341"/>
      <c r="PJP569" s="341"/>
      <c r="PJQ569" s="341"/>
      <c r="PJR569" s="341"/>
      <c r="PJS569" s="341"/>
      <c r="PJT569" s="341"/>
      <c r="PJU569" s="341"/>
      <c r="PJV569" s="341"/>
      <c r="PJW569" s="341"/>
      <c r="PJX569" s="341"/>
      <c r="PJY569" s="341"/>
      <c r="PJZ569" s="341"/>
      <c r="PKA569" s="341"/>
      <c r="PKB569" s="341"/>
      <c r="PKC569" s="341"/>
      <c r="PKD569" s="341"/>
      <c r="PKE569" s="341"/>
      <c r="PKF569" s="341"/>
      <c r="PKG569" s="341"/>
      <c r="PKH569" s="341"/>
      <c r="PKI569" s="341"/>
      <c r="PKJ569" s="341"/>
      <c r="PKK569" s="341"/>
      <c r="PKL569" s="341"/>
      <c r="PKM569" s="341"/>
      <c r="PKN569" s="341"/>
      <c r="PKO569" s="341"/>
      <c r="PKP569" s="341"/>
      <c r="PKQ569" s="341"/>
      <c r="PKR569" s="341"/>
      <c r="PKS569" s="341"/>
      <c r="PKT569" s="341"/>
      <c r="PKU569" s="341"/>
      <c r="PKV569" s="341"/>
      <c r="PKW569" s="341"/>
      <c r="PKX569" s="341"/>
      <c r="PKY569" s="341"/>
      <c r="PKZ569" s="341"/>
      <c r="PLA569" s="341"/>
      <c r="PLB569" s="341"/>
      <c r="PLC569" s="341"/>
      <c r="PLD569" s="341"/>
      <c r="PLE569" s="341"/>
      <c r="PLF569" s="341"/>
      <c r="PLG569" s="341"/>
      <c r="PLH569" s="341"/>
      <c r="PLI569" s="341"/>
      <c r="PLJ569" s="341"/>
      <c r="PLK569" s="341"/>
      <c r="PLL569" s="341"/>
      <c r="PLM569" s="341"/>
      <c r="PLN569" s="341"/>
      <c r="PLO569" s="341"/>
      <c r="PLP569" s="341"/>
      <c r="PLQ569" s="341"/>
      <c r="PLR569" s="341"/>
      <c r="PLS569" s="341"/>
      <c r="PLT569" s="341"/>
      <c r="PLU569" s="341"/>
      <c r="PLV569" s="341"/>
      <c r="PLW569" s="341"/>
      <c r="PLX569" s="341"/>
      <c r="PLY569" s="341"/>
      <c r="PLZ569" s="341"/>
      <c r="PMA569" s="341"/>
      <c r="PMB569" s="341"/>
      <c r="PMC569" s="341"/>
      <c r="PMD569" s="341"/>
      <c r="PME569" s="341"/>
      <c r="PMF569" s="341"/>
      <c r="PMG569" s="341"/>
      <c r="PMH569" s="341"/>
      <c r="PMI569" s="341"/>
      <c r="PMJ569" s="341"/>
      <c r="PMK569" s="341"/>
      <c r="PML569" s="341"/>
      <c r="PMM569" s="341"/>
      <c r="PMN569" s="341"/>
      <c r="PMO569" s="341"/>
      <c r="PMP569" s="341"/>
      <c r="PMQ569" s="341"/>
      <c r="PMR569" s="341"/>
      <c r="PMS569" s="341"/>
      <c r="PMT569" s="341"/>
      <c r="PMU569" s="341"/>
      <c r="PMV569" s="341"/>
      <c r="PMW569" s="341"/>
      <c r="PMX569" s="341"/>
      <c r="PMY569" s="341"/>
      <c r="PMZ569" s="341"/>
      <c r="PNA569" s="341"/>
      <c r="PNB569" s="341"/>
      <c r="PNC569" s="341"/>
      <c r="PND569" s="341"/>
      <c r="PNE569" s="341"/>
      <c r="PNF569" s="341"/>
      <c r="PNG569" s="341"/>
      <c r="PNH569" s="341"/>
      <c r="PNI569" s="341"/>
      <c r="PNJ569" s="341"/>
      <c r="PNK569" s="341"/>
      <c r="PNL569" s="341"/>
      <c r="PNM569" s="341"/>
      <c r="PNN569" s="341"/>
      <c r="PNO569" s="341"/>
      <c r="PNP569" s="341"/>
      <c r="PNQ569" s="341"/>
      <c r="PNR569" s="341"/>
      <c r="PNS569" s="341"/>
      <c r="PNT569" s="341"/>
      <c r="PNU569" s="341"/>
      <c r="PNV569" s="341"/>
      <c r="PNW569" s="341"/>
      <c r="PNX569" s="341"/>
      <c r="PNY569" s="341"/>
      <c r="PNZ569" s="341"/>
      <c r="POA569" s="341"/>
      <c r="POB569" s="341"/>
      <c r="POC569" s="341"/>
      <c r="POD569" s="341"/>
      <c r="POE569" s="341"/>
      <c r="POF569" s="341"/>
      <c r="POG569" s="341"/>
      <c r="POH569" s="341"/>
      <c r="POI569" s="341"/>
      <c r="POJ569" s="341"/>
      <c r="POK569" s="341"/>
      <c r="POL569" s="341"/>
      <c r="POM569" s="341"/>
      <c r="PON569" s="341"/>
      <c r="POO569" s="341"/>
      <c r="POP569" s="341"/>
      <c r="POQ569" s="341"/>
      <c r="POR569" s="341"/>
      <c r="POS569" s="341"/>
      <c r="POT569" s="341"/>
      <c r="POU569" s="341"/>
      <c r="POV569" s="341"/>
      <c r="POW569" s="341"/>
      <c r="POX569" s="341"/>
      <c r="POY569" s="341"/>
      <c r="POZ569" s="341"/>
      <c r="PPA569" s="341"/>
      <c r="PPB569" s="341"/>
      <c r="PPC569" s="341"/>
      <c r="PPD569" s="341"/>
      <c r="PPE569" s="341"/>
      <c r="PPF569" s="341"/>
      <c r="PPG569" s="341"/>
      <c r="PPH569" s="341"/>
      <c r="PPI569" s="341"/>
      <c r="PPJ569" s="341"/>
      <c r="PPK569" s="341"/>
      <c r="PPL569" s="341"/>
      <c r="PPM569" s="341"/>
      <c r="PPN569" s="341"/>
      <c r="PPO569" s="341"/>
      <c r="PPP569" s="341"/>
      <c r="PPQ569" s="341"/>
      <c r="PPR569" s="341"/>
      <c r="PPS569" s="341"/>
      <c r="PPT569" s="341"/>
      <c r="PPU569" s="341"/>
      <c r="PPV569" s="341"/>
      <c r="PPW569" s="341"/>
      <c r="PPX569" s="341"/>
      <c r="PPY569" s="341"/>
      <c r="PPZ569" s="341"/>
      <c r="PQA569" s="341"/>
      <c r="PQB569" s="341"/>
      <c r="PQC569" s="341"/>
      <c r="PQD569" s="341"/>
      <c r="PQE569" s="341"/>
      <c r="PQF569" s="341"/>
      <c r="PQG569" s="341"/>
      <c r="PQH569" s="341"/>
      <c r="PQI569" s="341"/>
      <c r="PQJ569" s="341"/>
      <c r="PQK569" s="341"/>
      <c r="PQL569" s="341"/>
      <c r="PQM569" s="341"/>
      <c r="PQN569" s="341"/>
      <c r="PQO569" s="341"/>
      <c r="PQP569" s="341"/>
      <c r="PQQ569" s="341"/>
      <c r="PQR569" s="341"/>
      <c r="PQS569" s="341"/>
      <c r="PQT569" s="341"/>
      <c r="PQU569" s="341"/>
      <c r="PQV569" s="341"/>
      <c r="PQW569" s="341"/>
      <c r="PQX569" s="341"/>
      <c r="PQY569" s="341"/>
      <c r="PQZ569" s="341"/>
      <c r="PRA569" s="341"/>
      <c r="PRB569" s="341"/>
      <c r="PRC569" s="341"/>
      <c r="PRD569" s="341"/>
      <c r="PRE569" s="341"/>
      <c r="PRF569" s="341"/>
      <c r="PRG569" s="341"/>
      <c r="PRH569" s="341"/>
      <c r="PRI569" s="341"/>
      <c r="PRJ569" s="341"/>
      <c r="PRK569" s="341"/>
      <c r="PRL569" s="341"/>
      <c r="PRM569" s="341"/>
      <c r="PRN569" s="341"/>
      <c r="PRO569" s="341"/>
      <c r="PRP569" s="341"/>
      <c r="PRQ569" s="341"/>
      <c r="PRR569" s="341"/>
      <c r="PRS569" s="341"/>
      <c r="PRT569" s="341"/>
      <c r="PRU569" s="341"/>
      <c r="PRV569" s="341"/>
      <c r="PRW569" s="341"/>
      <c r="PRX569" s="341"/>
      <c r="PRY569" s="341"/>
      <c r="PRZ569" s="341"/>
      <c r="PSA569" s="341"/>
      <c r="PSB569" s="341"/>
      <c r="PSC569" s="341"/>
      <c r="PSD569" s="341"/>
      <c r="PSE569" s="341"/>
      <c r="PSF569" s="341"/>
      <c r="PSG569" s="341"/>
      <c r="PSH569" s="341"/>
      <c r="PSI569" s="341"/>
      <c r="PSJ569" s="341"/>
      <c r="PSK569" s="341"/>
      <c r="PSL569" s="341"/>
      <c r="PSM569" s="341"/>
      <c r="PSN569" s="341"/>
      <c r="PSO569" s="341"/>
      <c r="PSP569" s="341"/>
      <c r="PSQ569" s="341"/>
      <c r="PSR569" s="341"/>
      <c r="PSS569" s="341"/>
      <c r="PST569" s="341"/>
      <c r="PSU569" s="341"/>
      <c r="PSV569" s="341"/>
      <c r="PSW569" s="341"/>
      <c r="PSX569" s="341"/>
      <c r="PSY569" s="341"/>
      <c r="PSZ569" s="341"/>
      <c r="PTA569" s="341"/>
      <c r="PTB569" s="341"/>
      <c r="PTC569" s="341"/>
      <c r="PTD569" s="341"/>
      <c r="PTE569" s="341"/>
      <c r="PTF569" s="341"/>
      <c r="PTG569" s="341"/>
      <c r="PTH569" s="341"/>
      <c r="PTI569" s="341"/>
      <c r="PTJ569" s="341"/>
      <c r="PTK569" s="341"/>
      <c r="PTL569" s="341"/>
      <c r="PTM569" s="341"/>
      <c r="PTN569" s="341"/>
      <c r="PTO569" s="341"/>
      <c r="PTP569" s="341"/>
      <c r="PTQ569" s="341"/>
      <c r="PTR569" s="341"/>
      <c r="PTS569" s="341"/>
      <c r="PTT569" s="341"/>
      <c r="PTU569" s="341"/>
      <c r="PTV569" s="341"/>
      <c r="PTW569" s="341"/>
      <c r="PTX569" s="341"/>
      <c r="PTY569" s="341"/>
      <c r="PTZ569" s="341"/>
      <c r="PUA569" s="341"/>
      <c r="PUB569" s="341"/>
      <c r="PUC569" s="341"/>
      <c r="PUD569" s="341"/>
      <c r="PUE569" s="341"/>
      <c r="PUF569" s="341"/>
      <c r="PUG569" s="341"/>
      <c r="PUH569" s="341"/>
      <c r="PUI569" s="341"/>
      <c r="PUJ569" s="341"/>
      <c r="PUK569" s="341"/>
      <c r="PUL569" s="341"/>
      <c r="PUM569" s="341"/>
      <c r="PUN569" s="341"/>
      <c r="PUO569" s="341"/>
      <c r="PUP569" s="341"/>
      <c r="PUQ569" s="341"/>
      <c r="PUR569" s="341"/>
      <c r="PUS569" s="341"/>
      <c r="PUT569" s="341"/>
      <c r="PUU569" s="341"/>
      <c r="PUV569" s="341"/>
      <c r="PUW569" s="341"/>
      <c r="PUX569" s="341"/>
      <c r="PUY569" s="341"/>
      <c r="PUZ569" s="341"/>
      <c r="PVA569" s="341"/>
      <c r="PVB569" s="341"/>
      <c r="PVC569" s="341"/>
      <c r="PVD569" s="341"/>
      <c r="PVE569" s="341"/>
      <c r="PVF569" s="341"/>
      <c r="PVG569" s="341"/>
      <c r="PVH569" s="341"/>
      <c r="PVI569" s="341"/>
      <c r="PVJ569" s="341"/>
      <c r="PVK569" s="341"/>
      <c r="PVL569" s="341"/>
      <c r="PVM569" s="341"/>
      <c r="PVN569" s="341"/>
      <c r="PVO569" s="341"/>
      <c r="PVP569" s="341"/>
      <c r="PVQ569" s="341"/>
      <c r="PVR569" s="341"/>
      <c r="PVS569" s="341"/>
      <c r="PVT569" s="341"/>
      <c r="PVU569" s="341"/>
      <c r="PVV569" s="341"/>
      <c r="PVW569" s="341"/>
      <c r="PVX569" s="341"/>
      <c r="PVY569" s="341"/>
      <c r="PVZ569" s="341"/>
      <c r="PWA569" s="341"/>
      <c r="PWB569" s="341"/>
      <c r="PWC569" s="341"/>
      <c r="PWD569" s="341"/>
      <c r="PWE569" s="341"/>
      <c r="PWF569" s="341"/>
      <c r="PWG569" s="341"/>
      <c r="PWH569" s="341"/>
      <c r="PWI569" s="341"/>
      <c r="PWJ569" s="341"/>
      <c r="PWK569" s="341"/>
      <c r="PWL569" s="341"/>
      <c r="PWM569" s="341"/>
      <c r="PWN569" s="341"/>
      <c r="PWO569" s="341"/>
      <c r="PWP569" s="341"/>
      <c r="PWQ569" s="341"/>
      <c r="PWR569" s="341"/>
      <c r="PWS569" s="341"/>
      <c r="PWT569" s="341"/>
      <c r="PWU569" s="341"/>
      <c r="PWV569" s="341"/>
      <c r="PWW569" s="341"/>
      <c r="PWX569" s="341"/>
      <c r="PWY569" s="341"/>
      <c r="PWZ569" s="341"/>
      <c r="PXA569" s="341"/>
      <c r="PXB569" s="341"/>
      <c r="PXC569" s="341"/>
      <c r="PXD569" s="341"/>
      <c r="PXE569" s="341"/>
      <c r="PXF569" s="341"/>
      <c r="PXG569" s="341"/>
      <c r="PXH569" s="341"/>
      <c r="PXI569" s="341"/>
      <c r="PXJ569" s="341"/>
      <c r="PXK569" s="341"/>
      <c r="PXL569" s="341"/>
      <c r="PXM569" s="341"/>
      <c r="PXN569" s="341"/>
      <c r="PXO569" s="341"/>
      <c r="PXP569" s="341"/>
      <c r="PXQ569" s="341"/>
      <c r="PXR569" s="341"/>
      <c r="PXS569" s="341"/>
      <c r="PXT569" s="341"/>
      <c r="PXU569" s="341"/>
      <c r="PXV569" s="341"/>
      <c r="PXW569" s="341"/>
      <c r="PXX569" s="341"/>
      <c r="PXY569" s="341"/>
      <c r="PXZ569" s="341"/>
      <c r="PYA569" s="341"/>
      <c r="PYB569" s="341"/>
      <c r="PYC569" s="341"/>
      <c r="PYD569" s="341"/>
      <c r="PYE569" s="341"/>
      <c r="PYF569" s="341"/>
      <c r="PYG569" s="341"/>
      <c r="PYH569" s="341"/>
      <c r="PYI569" s="341"/>
      <c r="PYJ569" s="341"/>
      <c r="PYK569" s="341"/>
      <c r="PYL569" s="341"/>
      <c r="PYM569" s="341"/>
      <c r="PYN569" s="341"/>
      <c r="PYO569" s="341"/>
      <c r="PYP569" s="341"/>
      <c r="PYQ569" s="341"/>
      <c r="PYR569" s="341"/>
      <c r="PYS569" s="341"/>
      <c r="PYT569" s="341"/>
      <c r="PYU569" s="341"/>
      <c r="PYV569" s="341"/>
      <c r="PYW569" s="341"/>
      <c r="PYX569" s="341"/>
      <c r="PYY569" s="341"/>
      <c r="PYZ569" s="341"/>
      <c r="PZA569" s="341"/>
      <c r="PZB569" s="341"/>
      <c r="PZC569" s="341"/>
      <c r="PZD569" s="341"/>
      <c r="PZE569" s="341"/>
      <c r="PZF569" s="341"/>
      <c r="PZG569" s="341"/>
      <c r="PZH569" s="341"/>
      <c r="PZI569" s="341"/>
      <c r="PZJ569" s="341"/>
      <c r="PZK569" s="341"/>
      <c r="PZL569" s="341"/>
      <c r="PZM569" s="341"/>
      <c r="PZN569" s="341"/>
      <c r="PZO569" s="341"/>
      <c r="PZP569" s="341"/>
      <c r="PZQ569" s="341"/>
      <c r="PZR569" s="341"/>
      <c r="PZS569" s="341"/>
      <c r="PZT569" s="341"/>
      <c r="PZU569" s="341"/>
      <c r="PZV569" s="341"/>
      <c r="PZW569" s="341"/>
      <c r="PZX569" s="341"/>
      <c r="PZY569" s="341"/>
      <c r="PZZ569" s="341"/>
      <c r="QAA569" s="341"/>
      <c r="QAB569" s="341"/>
      <c r="QAC569" s="341"/>
      <c r="QAD569" s="341"/>
      <c r="QAE569" s="341"/>
      <c r="QAF569" s="341"/>
      <c r="QAG569" s="341"/>
      <c r="QAH569" s="341"/>
      <c r="QAI569" s="341"/>
      <c r="QAJ569" s="341"/>
      <c r="QAK569" s="341"/>
      <c r="QAL569" s="341"/>
      <c r="QAM569" s="341"/>
      <c r="QAN569" s="341"/>
      <c r="QAO569" s="341"/>
      <c r="QAP569" s="341"/>
      <c r="QAQ569" s="341"/>
      <c r="QAR569" s="341"/>
      <c r="QAS569" s="341"/>
      <c r="QAT569" s="341"/>
      <c r="QAU569" s="341"/>
      <c r="QAV569" s="341"/>
      <c r="QAW569" s="341"/>
      <c r="QAX569" s="341"/>
      <c r="QAY569" s="341"/>
      <c r="QAZ569" s="341"/>
      <c r="QBA569" s="341"/>
      <c r="QBB569" s="341"/>
      <c r="QBC569" s="341"/>
      <c r="QBD569" s="341"/>
      <c r="QBE569" s="341"/>
      <c r="QBF569" s="341"/>
      <c r="QBG569" s="341"/>
      <c r="QBH569" s="341"/>
      <c r="QBI569" s="341"/>
      <c r="QBJ569" s="341"/>
      <c r="QBK569" s="341"/>
      <c r="QBL569" s="341"/>
      <c r="QBM569" s="341"/>
      <c r="QBN569" s="341"/>
      <c r="QBO569" s="341"/>
      <c r="QBP569" s="341"/>
      <c r="QBQ569" s="341"/>
      <c r="QBR569" s="341"/>
      <c r="QBS569" s="341"/>
      <c r="QBT569" s="341"/>
      <c r="QBU569" s="341"/>
      <c r="QBV569" s="341"/>
      <c r="QBW569" s="341"/>
      <c r="QBX569" s="341"/>
      <c r="QBY569" s="341"/>
      <c r="QBZ569" s="341"/>
      <c r="QCA569" s="341"/>
      <c r="QCB569" s="341"/>
      <c r="QCC569" s="341"/>
      <c r="QCD569" s="341"/>
      <c r="QCE569" s="341"/>
      <c r="QCF569" s="341"/>
      <c r="QCG569" s="341"/>
      <c r="QCH569" s="341"/>
      <c r="QCI569" s="341"/>
      <c r="QCJ569" s="341"/>
      <c r="QCK569" s="341"/>
      <c r="QCL569" s="341"/>
      <c r="QCM569" s="341"/>
      <c r="QCN569" s="341"/>
      <c r="QCO569" s="341"/>
      <c r="QCP569" s="341"/>
      <c r="QCQ569" s="341"/>
      <c r="QCR569" s="341"/>
      <c r="QCS569" s="341"/>
      <c r="QCT569" s="341"/>
      <c r="QCU569" s="341"/>
      <c r="QCV569" s="341"/>
      <c r="QCW569" s="341"/>
      <c r="QCX569" s="341"/>
      <c r="QCY569" s="341"/>
      <c r="QCZ569" s="341"/>
      <c r="QDA569" s="341"/>
      <c r="QDB569" s="341"/>
      <c r="QDC569" s="341"/>
      <c r="QDD569" s="341"/>
      <c r="QDE569" s="341"/>
      <c r="QDF569" s="341"/>
      <c r="QDG569" s="341"/>
      <c r="QDH569" s="341"/>
      <c r="QDI569" s="341"/>
      <c r="QDJ569" s="341"/>
      <c r="QDK569" s="341"/>
      <c r="QDL569" s="341"/>
      <c r="QDM569" s="341"/>
      <c r="QDN569" s="341"/>
      <c r="QDO569" s="341"/>
      <c r="QDP569" s="341"/>
      <c r="QDQ569" s="341"/>
      <c r="QDR569" s="341"/>
      <c r="QDS569" s="341"/>
      <c r="QDT569" s="341"/>
      <c r="QDU569" s="341"/>
      <c r="QDV569" s="341"/>
      <c r="QDW569" s="341"/>
      <c r="QDX569" s="341"/>
      <c r="QDY569" s="341"/>
      <c r="QDZ569" s="341"/>
      <c r="QEA569" s="341"/>
      <c r="QEB569" s="341"/>
      <c r="QEC569" s="341"/>
      <c r="QED569" s="341"/>
      <c r="QEE569" s="341"/>
      <c r="QEF569" s="341"/>
      <c r="QEG569" s="341"/>
      <c r="QEH569" s="341"/>
      <c r="QEI569" s="341"/>
      <c r="QEJ569" s="341"/>
      <c r="QEK569" s="341"/>
      <c r="QEL569" s="341"/>
      <c r="QEM569" s="341"/>
      <c r="QEN569" s="341"/>
      <c r="QEO569" s="341"/>
      <c r="QEP569" s="341"/>
      <c r="QEQ569" s="341"/>
      <c r="QER569" s="341"/>
      <c r="QES569" s="341"/>
      <c r="QET569" s="341"/>
      <c r="QEU569" s="341"/>
      <c r="QEV569" s="341"/>
      <c r="QEW569" s="341"/>
      <c r="QEX569" s="341"/>
      <c r="QEY569" s="341"/>
      <c r="QEZ569" s="341"/>
      <c r="QFA569" s="341"/>
      <c r="QFB569" s="341"/>
      <c r="QFC569" s="341"/>
      <c r="QFD569" s="341"/>
      <c r="QFE569" s="341"/>
      <c r="QFF569" s="341"/>
      <c r="QFG569" s="341"/>
      <c r="QFH569" s="341"/>
      <c r="QFI569" s="341"/>
      <c r="QFJ569" s="341"/>
      <c r="QFK569" s="341"/>
      <c r="QFL569" s="341"/>
      <c r="QFM569" s="341"/>
      <c r="QFN569" s="341"/>
      <c r="QFO569" s="341"/>
      <c r="QFP569" s="341"/>
      <c r="QFQ569" s="341"/>
      <c r="QFR569" s="341"/>
      <c r="QFS569" s="341"/>
      <c r="QFT569" s="341"/>
      <c r="QFU569" s="341"/>
      <c r="QFV569" s="341"/>
      <c r="QFW569" s="341"/>
      <c r="QFX569" s="341"/>
      <c r="QFY569" s="341"/>
      <c r="QFZ569" s="341"/>
      <c r="QGA569" s="341"/>
      <c r="QGB569" s="341"/>
      <c r="QGC569" s="341"/>
      <c r="QGD569" s="341"/>
      <c r="QGE569" s="341"/>
      <c r="QGF569" s="341"/>
      <c r="QGG569" s="341"/>
      <c r="QGH569" s="341"/>
      <c r="QGI569" s="341"/>
      <c r="QGJ569" s="341"/>
      <c r="QGK569" s="341"/>
      <c r="QGL569" s="341"/>
      <c r="QGM569" s="341"/>
      <c r="QGN569" s="341"/>
      <c r="QGO569" s="341"/>
      <c r="QGP569" s="341"/>
      <c r="QGQ569" s="341"/>
      <c r="QGR569" s="341"/>
      <c r="QGS569" s="341"/>
      <c r="QGT569" s="341"/>
      <c r="QGU569" s="341"/>
      <c r="QGV569" s="341"/>
      <c r="QGW569" s="341"/>
      <c r="QGX569" s="341"/>
      <c r="QGY569" s="341"/>
      <c r="QGZ569" s="341"/>
      <c r="QHA569" s="341"/>
      <c r="QHB569" s="341"/>
      <c r="QHC569" s="341"/>
      <c r="QHD569" s="341"/>
      <c r="QHE569" s="341"/>
      <c r="QHF569" s="341"/>
      <c r="QHG569" s="341"/>
      <c r="QHH569" s="341"/>
      <c r="QHI569" s="341"/>
      <c r="QHJ569" s="341"/>
      <c r="QHK569" s="341"/>
      <c r="QHL569" s="341"/>
      <c r="QHM569" s="341"/>
      <c r="QHN569" s="341"/>
      <c r="QHO569" s="341"/>
      <c r="QHP569" s="341"/>
      <c r="QHQ569" s="341"/>
      <c r="QHR569" s="341"/>
      <c r="QHS569" s="341"/>
      <c r="QHT569" s="341"/>
      <c r="QHU569" s="341"/>
      <c r="QHV569" s="341"/>
      <c r="QHW569" s="341"/>
      <c r="QHX569" s="341"/>
      <c r="QHY569" s="341"/>
      <c r="QHZ569" s="341"/>
      <c r="QIA569" s="341"/>
      <c r="QIB569" s="341"/>
      <c r="QIC569" s="341"/>
      <c r="QID569" s="341"/>
      <c r="QIE569" s="341"/>
      <c r="QIF569" s="341"/>
      <c r="QIG569" s="341"/>
      <c r="QIH569" s="341"/>
      <c r="QII569" s="341"/>
      <c r="QIJ569" s="341"/>
      <c r="QIK569" s="341"/>
      <c r="QIL569" s="341"/>
      <c r="QIM569" s="341"/>
      <c r="QIN569" s="341"/>
      <c r="QIO569" s="341"/>
      <c r="QIP569" s="341"/>
      <c r="QIQ569" s="341"/>
      <c r="QIR569" s="341"/>
      <c r="QIS569" s="341"/>
      <c r="QIT569" s="341"/>
      <c r="QIU569" s="341"/>
      <c r="QIV569" s="341"/>
      <c r="QIW569" s="341"/>
      <c r="QIX569" s="341"/>
      <c r="QIY569" s="341"/>
      <c r="QIZ569" s="341"/>
      <c r="QJA569" s="341"/>
      <c r="QJB569" s="341"/>
      <c r="QJC569" s="341"/>
      <c r="QJD569" s="341"/>
      <c r="QJE569" s="341"/>
      <c r="QJF569" s="341"/>
      <c r="QJG569" s="341"/>
      <c r="QJH569" s="341"/>
      <c r="QJI569" s="341"/>
      <c r="QJJ569" s="341"/>
      <c r="QJK569" s="341"/>
      <c r="QJL569" s="341"/>
      <c r="QJM569" s="341"/>
      <c r="QJN569" s="341"/>
      <c r="QJO569" s="341"/>
      <c r="QJP569" s="341"/>
      <c r="QJQ569" s="341"/>
      <c r="QJR569" s="341"/>
      <c r="QJS569" s="341"/>
      <c r="QJT569" s="341"/>
      <c r="QJU569" s="341"/>
      <c r="QJV569" s="341"/>
      <c r="QJW569" s="341"/>
      <c r="QJX569" s="341"/>
      <c r="QJY569" s="341"/>
      <c r="QJZ569" s="341"/>
      <c r="QKA569" s="341"/>
      <c r="QKB569" s="341"/>
      <c r="QKC569" s="341"/>
      <c r="QKD569" s="341"/>
      <c r="QKE569" s="341"/>
      <c r="QKF569" s="341"/>
      <c r="QKG569" s="341"/>
      <c r="QKH569" s="341"/>
      <c r="QKI569" s="341"/>
      <c r="QKJ569" s="341"/>
      <c r="QKK569" s="341"/>
      <c r="QKL569" s="341"/>
      <c r="QKM569" s="341"/>
      <c r="QKN569" s="341"/>
      <c r="QKO569" s="341"/>
      <c r="QKP569" s="341"/>
      <c r="QKQ569" s="341"/>
      <c r="QKR569" s="341"/>
      <c r="QKS569" s="341"/>
      <c r="QKT569" s="341"/>
      <c r="QKU569" s="341"/>
      <c r="QKV569" s="341"/>
      <c r="QKW569" s="341"/>
      <c r="QKX569" s="341"/>
      <c r="QKY569" s="341"/>
      <c r="QKZ569" s="341"/>
      <c r="QLA569" s="341"/>
      <c r="QLB569" s="341"/>
      <c r="QLC569" s="341"/>
      <c r="QLD569" s="341"/>
      <c r="QLE569" s="341"/>
      <c r="QLF569" s="341"/>
      <c r="QLG569" s="341"/>
      <c r="QLH569" s="341"/>
      <c r="QLI569" s="341"/>
      <c r="QLJ569" s="341"/>
      <c r="QLK569" s="341"/>
      <c r="QLL569" s="341"/>
      <c r="QLM569" s="341"/>
      <c r="QLN569" s="341"/>
      <c r="QLO569" s="341"/>
      <c r="QLP569" s="341"/>
      <c r="QLQ569" s="341"/>
      <c r="QLR569" s="341"/>
      <c r="QLS569" s="341"/>
      <c r="QLT569" s="341"/>
      <c r="QLU569" s="341"/>
      <c r="QLV569" s="341"/>
      <c r="QLW569" s="341"/>
      <c r="QLX569" s="341"/>
      <c r="QLY569" s="341"/>
      <c r="QLZ569" s="341"/>
      <c r="QMA569" s="341"/>
      <c r="QMB569" s="341"/>
      <c r="QMC569" s="341"/>
      <c r="QMD569" s="341"/>
      <c r="QME569" s="341"/>
      <c r="QMF569" s="341"/>
      <c r="QMG569" s="341"/>
      <c r="QMH569" s="341"/>
      <c r="QMI569" s="341"/>
      <c r="QMJ569" s="341"/>
      <c r="QMK569" s="341"/>
      <c r="QML569" s="341"/>
      <c r="QMM569" s="341"/>
      <c r="QMN569" s="341"/>
      <c r="QMO569" s="341"/>
      <c r="QMP569" s="341"/>
      <c r="QMQ569" s="341"/>
      <c r="QMR569" s="341"/>
      <c r="QMS569" s="341"/>
      <c r="QMT569" s="341"/>
      <c r="QMU569" s="341"/>
      <c r="QMV569" s="341"/>
      <c r="QMW569" s="341"/>
      <c r="QMX569" s="341"/>
      <c r="QMY569" s="341"/>
      <c r="QMZ569" s="341"/>
      <c r="QNA569" s="341"/>
      <c r="QNB569" s="341"/>
      <c r="QNC569" s="341"/>
      <c r="QND569" s="341"/>
      <c r="QNE569" s="341"/>
      <c r="QNF569" s="341"/>
      <c r="QNG569" s="341"/>
      <c r="QNH569" s="341"/>
      <c r="QNI569" s="341"/>
      <c r="QNJ569" s="341"/>
      <c r="QNK569" s="341"/>
      <c r="QNL569" s="341"/>
      <c r="QNM569" s="341"/>
      <c r="QNN569" s="341"/>
      <c r="QNO569" s="341"/>
      <c r="QNP569" s="341"/>
      <c r="QNQ569" s="341"/>
      <c r="QNR569" s="341"/>
      <c r="QNS569" s="341"/>
      <c r="QNT569" s="341"/>
      <c r="QNU569" s="341"/>
      <c r="QNV569" s="341"/>
      <c r="QNW569" s="341"/>
      <c r="QNX569" s="341"/>
      <c r="QNY569" s="341"/>
      <c r="QNZ569" s="341"/>
      <c r="QOA569" s="341"/>
      <c r="QOB569" s="341"/>
      <c r="QOC569" s="341"/>
      <c r="QOD569" s="341"/>
      <c r="QOE569" s="341"/>
      <c r="QOF569" s="341"/>
      <c r="QOG569" s="341"/>
      <c r="QOH569" s="341"/>
      <c r="QOI569" s="341"/>
      <c r="QOJ569" s="341"/>
      <c r="QOK569" s="341"/>
      <c r="QOL569" s="341"/>
      <c r="QOM569" s="341"/>
      <c r="QON569" s="341"/>
      <c r="QOO569" s="341"/>
      <c r="QOP569" s="341"/>
      <c r="QOQ569" s="341"/>
      <c r="QOR569" s="341"/>
      <c r="QOS569" s="341"/>
      <c r="QOT569" s="341"/>
      <c r="QOU569" s="341"/>
      <c r="QOV569" s="341"/>
      <c r="QOW569" s="341"/>
      <c r="QOX569" s="341"/>
      <c r="QOY569" s="341"/>
      <c r="QOZ569" s="341"/>
      <c r="QPA569" s="341"/>
      <c r="QPB569" s="341"/>
      <c r="QPC569" s="341"/>
      <c r="QPD569" s="341"/>
      <c r="QPE569" s="341"/>
      <c r="QPF569" s="341"/>
      <c r="QPG569" s="341"/>
      <c r="QPH569" s="341"/>
      <c r="QPI569" s="341"/>
      <c r="QPJ569" s="341"/>
      <c r="QPK569" s="341"/>
      <c r="QPL569" s="341"/>
      <c r="QPM569" s="341"/>
      <c r="QPN569" s="341"/>
      <c r="QPO569" s="341"/>
      <c r="QPP569" s="341"/>
      <c r="QPQ569" s="341"/>
      <c r="QPR569" s="341"/>
      <c r="QPS569" s="341"/>
      <c r="QPT569" s="341"/>
      <c r="QPU569" s="341"/>
      <c r="QPV569" s="341"/>
      <c r="QPW569" s="341"/>
      <c r="QPX569" s="341"/>
      <c r="QPY569" s="341"/>
      <c r="QPZ569" s="341"/>
      <c r="QQA569" s="341"/>
      <c r="QQB569" s="341"/>
      <c r="QQC569" s="341"/>
      <c r="QQD569" s="341"/>
      <c r="QQE569" s="341"/>
      <c r="QQF569" s="341"/>
      <c r="QQG569" s="341"/>
      <c r="QQH569" s="341"/>
      <c r="QQI569" s="341"/>
      <c r="QQJ569" s="341"/>
      <c r="QQK569" s="341"/>
      <c r="QQL569" s="341"/>
      <c r="QQM569" s="341"/>
      <c r="QQN569" s="341"/>
      <c r="QQO569" s="341"/>
      <c r="QQP569" s="341"/>
      <c r="QQQ569" s="341"/>
      <c r="QQR569" s="341"/>
      <c r="QQS569" s="341"/>
      <c r="QQT569" s="341"/>
      <c r="QQU569" s="341"/>
      <c r="QQV569" s="341"/>
      <c r="QQW569" s="341"/>
      <c r="QQX569" s="341"/>
      <c r="QQY569" s="341"/>
      <c r="QQZ569" s="341"/>
      <c r="QRA569" s="341"/>
      <c r="QRB569" s="341"/>
      <c r="QRC569" s="341"/>
      <c r="QRD569" s="341"/>
      <c r="QRE569" s="341"/>
      <c r="QRF569" s="341"/>
      <c r="QRG569" s="341"/>
      <c r="QRH569" s="341"/>
      <c r="QRI569" s="341"/>
      <c r="QRJ569" s="341"/>
      <c r="QRK569" s="341"/>
      <c r="QRL569" s="341"/>
      <c r="QRM569" s="341"/>
      <c r="QRN569" s="341"/>
      <c r="QRO569" s="341"/>
      <c r="QRP569" s="341"/>
      <c r="QRQ569" s="341"/>
      <c r="QRR569" s="341"/>
      <c r="QRS569" s="341"/>
      <c r="QRT569" s="341"/>
      <c r="QRU569" s="341"/>
      <c r="QRV569" s="341"/>
      <c r="QRW569" s="341"/>
      <c r="QRX569" s="341"/>
      <c r="QRY569" s="341"/>
      <c r="QRZ569" s="341"/>
      <c r="QSA569" s="341"/>
      <c r="QSB569" s="341"/>
      <c r="QSC569" s="341"/>
      <c r="QSD569" s="341"/>
      <c r="QSE569" s="341"/>
      <c r="QSF569" s="341"/>
      <c r="QSG569" s="341"/>
      <c r="QSH569" s="341"/>
      <c r="QSI569" s="341"/>
      <c r="QSJ569" s="341"/>
      <c r="QSK569" s="341"/>
      <c r="QSL569" s="341"/>
      <c r="QSM569" s="341"/>
      <c r="QSN569" s="341"/>
      <c r="QSO569" s="341"/>
      <c r="QSP569" s="341"/>
      <c r="QSQ569" s="341"/>
      <c r="QSR569" s="341"/>
      <c r="QSS569" s="341"/>
      <c r="QST569" s="341"/>
      <c r="QSU569" s="341"/>
      <c r="QSV569" s="341"/>
      <c r="QSW569" s="341"/>
      <c r="QSX569" s="341"/>
      <c r="QSY569" s="341"/>
      <c r="QSZ569" s="341"/>
      <c r="QTA569" s="341"/>
      <c r="QTB569" s="341"/>
      <c r="QTC569" s="341"/>
      <c r="QTD569" s="341"/>
      <c r="QTE569" s="341"/>
      <c r="QTF569" s="341"/>
      <c r="QTG569" s="341"/>
      <c r="QTH569" s="341"/>
      <c r="QTI569" s="341"/>
      <c r="QTJ569" s="341"/>
      <c r="QTK569" s="341"/>
      <c r="QTL569" s="341"/>
      <c r="QTM569" s="341"/>
      <c r="QTN569" s="341"/>
      <c r="QTO569" s="341"/>
      <c r="QTP569" s="341"/>
      <c r="QTQ569" s="341"/>
      <c r="QTR569" s="341"/>
      <c r="QTS569" s="341"/>
      <c r="QTT569" s="341"/>
      <c r="QTU569" s="341"/>
      <c r="QTV569" s="341"/>
      <c r="QTW569" s="341"/>
      <c r="QTX569" s="341"/>
      <c r="QTY569" s="341"/>
      <c r="QTZ569" s="341"/>
      <c r="QUA569" s="341"/>
      <c r="QUB569" s="341"/>
      <c r="QUC569" s="341"/>
      <c r="QUD569" s="341"/>
      <c r="QUE569" s="341"/>
      <c r="QUF569" s="341"/>
      <c r="QUG569" s="341"/>
      <c r="QUH569" s="341"/>
      <c r="QUI569" s="341"/>
      <c r="QUJ569" s="341"/>
      <c r="QUK569" s="341"/>
      <c r="QUL569" s="341"/>
      <c r="QUM569" s="341"/>
      <c r="QUN569" s="341"/>
      <c r="QUO569" s="341"/>
      <c r="QUP569" s="341"/>
      <c r="QUQ569" s="341"/>
      <c r="QUR569" s="341"/>
      <c r="QUS569" s="341"/>
      <c r="QUT569" s="341"/>
      <c r="QUU569" s="341"/>
      <c r="QUV569" s="341"/>
      <c r="QUW569" s="341"/>
      <c r="QUX569" s="341"/>
      <c r="QUY569" s="341"/>
      <c r="QUZ569" s="341"/>
      <c r="QVA569" s="341"/>
      <c r="QVB569" s="341"/>
      <c r="QVC569" s="341"/>
      <c r="QVD569" s="341"/>
      <c r="QVE569" s="341"/>
      <c r="QVF569" s="341"/>
      <c r="QVG569" s="341"/>
      <c r="QVH569" s="341"/>
      <c r="QVI569" s="341"/>
      <c r="QVJ569" s="341"/>
      <c r="QVK569" s="341"/>
      <c r="QVL569" s="341"/>
      <c r="QVM569" s="341"/>
      <c r="QVN569" s="341"/>
      <c r="QVO569" s="341"/>
      <c r="QVP569" s="341"/>
      <c r="QVQ569" s="341"/>
      <c r="QVR569" s="341"/>
      <c r="QVS569" s="341"/>
      <c r="QVT569" s="341"/>
      <c r="QVU569" s="341"/>
      <c r="QVV569" s="341"/>
      <c r="QVW569" s="341"/>
      <c r="QVX569" s="341"/>
      <c r="QVY569" s="341"/>
      <c r="QVZ569" s="341"/>
      <c r="QWA569" s="341"/>
      <c r="QWB569" s="341"/>
      <c r="QWC569" s="341"/>
      <c r="QWD569" s="341"/>
      <c r="QWE569" s="341"/>
      <c r="QWF569" s="341"/>
      <c r="QWG569" s="341"/>
      <c r="QWH569" s="341"/>
      <c r="QWI569" s="341"/>
      <c r="QWJ569" s="341"/>
      <c r="QWK569" s="341"/>
      <c r="QWL569" s="341"/>
      <c r="QWM569" s="341"/>
      <c r="QWN569" s="341"/>
      <c r="QWO569" s="341"/>
      <c r="QWP569" s="341"/>
      <c r="QWQ569" s="341"/>
      <c r="QWR569" s="341"/>
      <c r="QWS569" s="341"/>
      <c r="QWT569" s="341"/>
      <c r="QWU569" s="341"/>
      <c r="QWV569" s="341"/>
      <c r="QWW569" s="341"/>
      <c r="QWX569" s="341"/>
      <c r="QWY569" s="341"/>
      <c r="QWZ569" s="341"/>
      <c r="QXA569" s="341"/>
      <c r="QXB569" s="341"/>
      <c r="QXC569" s="341"/>
      <c r="QXD569" s="341"/>
      <c r="QXE569" s="341"/>
      <c r="QXF569" s="341"/>
      <c r="QXG569" s="341"/>
      <c r="QXH569" s="341"/>
      <c r="QXI569" s="341"/>
      <c r="QXJ569" s="341"/>
      <c r="QXK569" s="341"/>
      <c r="QXL569" s="341"/>
      <c r="QXM569" s="341"/>
      <c r="QXN569" s="341"/>
      <c r="QXO569" s="341"/>
      <c r="QXP569" s="341"/>
      <c r="QXQ569" s="341"/>
      <c r="QXR569" s="341"/>
      <c r="QXS569" s="341"/>
      <c r="QXT569" s="341"/>
      <c r="QXU569" s="341"/>
      <c r="QXV569" s="341"/>
      <c r="QXW569" s="341"/>
      <c r="QXX569" s="341"/>
      <c r="QXY569" s="341"/>
      <c r="QXZ569" s="341"/>
      <c r="QYA569" s="341"/>
      <c r="QYB569" s="341"/>
      <c r="QYC569" s="341"/>
      <c r="QYD569" s="341"/>
      <c r="QYE569" s="341"/>
      <c r="QYF569" s="341"/>
      <c r="QYG569" s="341"/>
      <c r="QYH569" s="341"/>
      <c r="QYI569" s="341"/>
      <c r="QYJ569" s="341"/>
      <c r="QYK569" s="341"/>
      <c r="QYL569" s="341"/>
      <c r="QYM569" s="341"/>
      <c r="QYN569" s="341"/>
      <c r="QYO569" s="341"/>
      <c r="QYP569" s="341"/>
      <c r="QYQ569" s="341"/>
      <c r="QYR569" s="341"/>
      <c r="QYS569" s="341"/>
      <c r="QYT569" s="341"/>
      <c r="QYU569" s="341"/>
      <c r="QYV569" s="341"/>
      <c r="QYW569" s="341"/>
      <c r="QYX569" s="341"/>
      <c r="QYY569" s="341"/>
      <c r="QYZ569" s="341"/>
      <c r="QZA569" s="341"/>
      <c r="QZB569" s="341"/>
      <c r="QZC569" s="341"/>
      <c r="QZD569" s="341"/>
      <c r="QZE569" s="341"/>
      <c r="QZF569" s="341"/>
      <c r="QZG569" s="341"/>
      <c r="QZH569" s="341"/>
      <c r="QZI569" s="341"/>
      <c r="QZJ569" s="341"/>
      <c r="QZK569" s="341"/>
      <c r="QZL569" s="341"/>
      <c r="QZM569" s="341"/>
      <c r="QZN569" s="341"/>
      <c r="QZO569" s="341"/>
      <c r="QZP569" s="341"/>
      <c r="QZQ569" s="341"/>
      <c r="QZR569" s="341"/>
      <c r="QZS569" s="341"/>
      <c r="QZT569" s="341"/>
      <c r="QZU569" s="341"/>
      <c r="QZV569" s="341"/>
      <c r="QZW569" s="341"/>
      <c r="QZX569" s="341"/>
      <c r="QZY569" s="341"/>
      <c r="QZZ569" s="341"/>
      <c r="RAA569" s="341"/>
      <c r="RAB569" s="341"/>
      <c r="RAC569" s="341"/>
      <c r="RAD569" s="341"/>
      <c r="RAE569" s="341"/>
      <c r="RAF569" s="341"/>
      <c r="RAG569" s="341"/>
      <c r="RAH569" s="341"/>
      <c r="RAI569" s="341"/>
      <c r="RAJ569" s="341"/>
      <c r="RAK569" s="341"/>
      <c r="RAL569" s="341"/>
      <c r="RAM569" s="341"/>
      <c r="RAN569" s="341"/>
      <c r="RAO569" s="341"/>
      <c r="RAP569" s="341"/>
      <c r="RAQ569" s="341"/>
      <c r="RAR569" s="341"/>
      <c r="RAS569" s="341"/>
      <c r="RAT569" s="341"/>
      <c r="RAU569" s="341"/>
      <c r="RAV569" s="341"/>
      <c r="RAW569" s="341"/>
      <c r="RAX569" s="341"/>
      <c r="RAY569" s="341"/>
      <c r="RAZ569" s="341"/>
      <c r="RBA569" s="341"/>
      <c r="RBB569" s="341"/>
      <c r="RBC569" s="341"/>
      <c r="RBD569" s="341"/>
      <c r="RBE569" s="341"/>
      <c r="RBF569" s="341"/>
      <c r="RBG569" s="341"/>
      <c r="RBH569" s="341"/>
      <c r="RBI569" s="341"/>
      <c r="RBJ569" s="341"/>
      <c r="RBK569" s="341"/>
      <c r="RBL569" s="341"/>
      <c r="RBM569" s="341"/>
      <c r="RBN569" s="341"/>
      <c r="RBO569" s="341"/>
      <c r="RBP569" s="341"/>
      <c r="RBQ569" s="341"/>
      <c r="RBR569" s="341"/>
      <c r="RBS569" s="341"/>
      <c r="RBT569" s="341"/>
      <c r="RBU569" s="341"/>
      <c r="RBV569" s="341"/>
      <c r="RBW569" s="341"/>
      <c r="RBX569" s="341"/>
      <c r="RBY569" s="341"/>
      <c r="RBZ569" s="341"/>
      <c r="RCA569" s="341"/>
      <c r="RCB569" s="341"/>
      <c r="RCC569" s="341"/>
      <c r="RCD569" s="341"/>
      <c r="RCE569" s="341"/>
      <c r="RCF569" s="341"/>
      <c r="RCG569" s="341"/>
      <c r="RCH569" s="341"/>
      <c r="RCI569" s="341"/>
      <c r="RCJ569" s="341"/>
      <c r="RCK569" s="341"/>
      <c r="RCL569" s="341"/>
      <c r="RCM569" s="341"/>
      <c r="RCN569" s="341"/>
      <c r="RCO569" s="341"/>
      <c r="RCP569" s="341"/>
      <c r="RCQ569" s="341"/>
      <c r="RCR569" s="341"/>
      <c r="RCS569" s="341"/>
      <c r="RCT569" s="341"/>
      <c r="RCU569" s="341"/>
      <c r="RCV569" s="341"/>
      <c r="RCW569" s="341"/>
      <c r="RCX569" s="341"/>
      <c r="RCY569" s="341"/>
      <c r="RCZ569" s="341"/>
      <c r="RDA569" s="341"/>
      <c r="RDB569" s="341"/>
      <c r="RDC569" s="341"/>
      <c r="RDD569" s="341"/>
      <c r="RDE569" s="341"/>
      <c r="RDF569" s="341"/>
      <c r="RDG569" s="341"/>
      <c r="RDH569" s="341"/>
      <c r="RDI569" s="341"/>
      <c r="RDJ569" s="341"/>
      <c r="RDK569" s="341"/>
      <c r="RDL569" s="341"/>
      <c r="RDM569" s="341"/>
      <c r="RDN569" s="341"/>
      <c r="RDO569" s="341"/>
      <c r="RDP569" s="341"/>
      <c r="RDQ569" s="341"/>
      <c r="RDR569" s="341"/>
      <c r="RDS569" s="341"/>
      <c r="RDT569" s="341"/>
      <c r="RDU569" s="341"/>
      <c r="RDV569" s="341"/>
      <c r="RDW569" s="341"/>
      <c r="RDX569" s="341"/>
      <c r="RDY569" s="341"/>
      <c r="RDZ569" s="341"/>
      <c r="REA569" s="341"/>
      <c r="REB569" s="341"/>
      <c r="REC569" s="341"/>
      <c r="RED569" s="341"/>
      <c r="REE569" s="341"/>
      <c r="REF569" s="341"/>
      <c r="REG569" s="341"/>
      <c r="REH569" s="341"/>
      <c r="REI569" s="341"/>
      <c r="REJ569" s="341"/>
      <c r="REK569" s="341"/>
      <c r="REL569" s="341"/>
      <c r="REM569" s="341"/>
      <c r="REN569" s="341"/>
      <c r="REO569" s="341"/>
      <c r="REP569" s="341"/>
      <c r="REQ569" s="341"/>
      <c r="RER569" s="341"/>
      <c r="RES569" s="341"/>
      <c r="RET569" s="341"/>
      <c r="REU569" s="341"/>
      <c r="REV569" s="341"/>
      <c r="REW569" s="341"/>
      <c r="REX569" s="341"/>
      <c r="REY569" s="341"/>
      <c r="REZ569" s="341"/>
      <c r="RFA569" s="341"/>
      <c r="RFB569" s="341"/>
      <c r="RFC569" s="341"/>
      <c r="RFD569" s="341"/>
      <c r="RFE569" s="341"/>
      <c r="RFF569" s="341"/>
      <c r="RFG569" s="341"/>
      <c r="RFH569" s="341"/>
      <c r="RFI569" s="341"/>
      <c r="RFJ569" s="341"/>
      <c r="RFK569" s="341"/>
      <c r="RFL569" s="341"/>
      <c r="RFM569" s="341"/>
      <c r="RFN569" s="341"/>
      <c r="RFO569" s="341"/>
      <c r="RFP569" s="341"/>
      <c r="RFQ569" s="341"/>
      <c r="RFR569" s="341"/>
      <c r="RFS569" s="341"/>
      <c r="RFT569" s="341"/>
      <c r="RFU569" s="341"/>
      <c r="RFV569" s="341"/>
      <c r="RFW569" s="341"/>
      <c r="RFX569" s="341"/>
      <c r="RFY569" s="341"/>
      <c r="RFZ569" s="341"/>
      <c r="RGA569" s="341"/>
      <c r="RGB569" s="341"/>
      <c r="RGC569" s="341"/>
      <c r="RGD569" s="341"/>
      <c r="RGE569" s="341"/>
      <c r="RGF569" s="341"/>
      <c r="RGG569" s="341"/>
      <c r="RGH569" s="341"/>
      <c r="RGI569" s="341"/>
      <c r="RGJ569" s="341"/>
      <c r="RGK569" s="341"/>
      <c r="RGL569" s="341"/>
      <c r="RGM569" s="341"/>
      <c r="RGN569" s="341"/>
      <c r="RGO569" s="341"/>
      <c r="RGP569" s="341"/>
      <c r="RGQ569" s="341"/>
      <c r="RGR569" s="341"/>
      <c r="RGS569" s="341"/>
      <c r="RGT569" s="341"/>
      <c r="RGU569" s="341"/>
      <c r="RGV569" s="341"/>
      <c r="RGW569" s="341"/>
      <c r="RGX569" s="341"/>
      <c r="RGY569" s="341"/>
      <c r="RGZ569" s="341"/>
      <c r="RHA569" s="341"/>
      <c r="RHB569" s="341"/>
      <c r="RHC569" s="341"/>
      <c r="RHD569" s="341"/>
      <c r="RHE569" s="341"/>
      <c r="RHF569" s="341"/>
      <c r="RHG569" s="341"/>
      <c r="RHH569" s="341"/>
      <c r="RHI569" s="341"/>
      <c r="RHJ569" s="341"/>
      <c r="RHK569" s="341"/>
      <c r="RHL569" s="341"/>
      <c r="RHM569" s="341"/>
      <c r="RHN569" s="341"/>
      <c r="RHO569" s="341"/>
      <c r="RHP569" s="341"/>
      <c r="RHQ569" s="341"/>
      <c r="RHR569" s="341"/>
      <c r="RHS569" s="341"/>
      <c r="RHT569" s="341"/>
      <c r="RHU569" s="341"/>
      <c r="RHV569" s="341"/>
      <c r="RHW569" s="341"/>
      <c r="RHX569" s="341"/>
      <c r="RHY569" s="341"/>
      <c r="RHZ569" s="341"/>
      <c r="RIA569" s="341"/>
      <c r="RIB569" s="341"/>
      <c r="RIC569" s="341"/>
      <c r="RID569" s="341"/>
      <c r="RIE569" s="341"/>
      <c r="RIF569" s="341"/>
      <c r="RIG569" s="341"/>
      <c r="RIH569" s="341"/>
      <c r="RII569" s="341"/>
      <c r="RIJ569" s="341"/>
      <c r="RIK569" s="341"/>
      <c r="RIL569" s="341"/>
      <c r="RIM569" s="341"/>
      <c r="RIN569" s="341"/>
      <c r="RIO569" s="341"/>
      <c r="RIP569" s="341"/>
      <c r="RIQ569" s="341"/>
      <c r="RIR569" s="341"/>
      <c r="RIS569" s="341"/>
      <c r="RIT569" s="341"/>
      <c r="RIU569" s="341"/>
      <c r="RIV569" s="341"/>
      <c r="RIW569" s="341"/>
      <c r="RIX569" s="341"/>
      <c r="RIY569" s="341"/>
      <c r="RIZ569" s="341"/>
      <c r="RJA569" s="341"/>
      <c r="RJB569" s="341"/>
      <c r="RJC569" s="341"/>
      <c r="RJD569" s="341"/>
      <c r="RJE569" s="341"/>
      <c r="RJF569" s="341"/>
      <c r="RJG569" s="341"/>
      <c r="RJH569" s="341"/>
      <c r="RJI569" s="341"/>
      <c r="RJJ569" s="341"/>
      <c r="RJK569" s="341"/>
      <c r="RJL569" s="341"/>
      <c r="RJM569" s="341"/>
      <c r="RJN569" s="341"/>
      <c r="RJO569" s="341"/>
      <c r="RJP569" s="341"/>
      <c r="RJQ569" s="341"/>
      <c r="RJR569" s="341"/>
      <c r="RJS569" s="341"/>
      <c r="RJT569" s="341"/>
      <c r="RJU569" s="341"/>
      <c r="RJV569" s="341"/>
      <c r="RJW569" s="341"/>
      <c r="RJX569" s="341"/>
      <c r="RJY569" s="341"/>
      <c r="RJZ569" s="341"/>
      <c r="RKA569" s="341"/>
      <c r="RKB569" s="341"/>
      <c r="RKC569" s="341"/>
      <c r="RKD569" s="341"/>
      <c r="RKE569" s="341"/>
      <c r="RKF569" s="341"/>
      <c r="RKG569" s="341"/>
      <c r="RKH569" s="341"/>
      <c r="RKI569" s="341"/>
      <c r="RKJ569" s="341"/>
      <c r="RKK569" s="341"/>
      <c r="RKL569" s="341"/>
      <c r="RKM569" s="341"/>
      <c r="RKN569" s="341"/>
      <c r="RKO569" s="341"/>
      <c r="RKP569" s="341"/>
      <c r="RKQ569" s="341"/>
      <c r="RKR569" s="341"/>
      <c r="RKS569" s="341"/>
      <c r="RKT569" s="341"/>
      <c r="RKU569" s="341"/>
      <c r="RKV569" s="341"/>
      <c r="RKW569" s="341"/>
      <c r="RKX569" s="341"/>
      <c r="RKY569" s="341"/>
      <c r="RKZ569" s="341"/>
      <c r="RLA569" s="341"/>
      <c r="RLB569" s="341"/>
      <c r="RLC569" s="341"/>
      <c r="RLD569" s="341"/>
      <c r="RLE569" s="341"/>
      <c r="RLF569" s="341"/>
      <c r="RLG569" s="341"/>
      <c r="RLH569" s="341"/>
      <c r="RLI569" s="341"/>
      <c r="RLJ569" s="341"/>
      <c r="RLK569" s="341"/>
      <c r="RLL569" s="341"/>
      <c r="RLM569" s="341"/>
      <c r="RLN569" s="341"/>
      <c r="RLO569" s="341"/>
      <c r="RLP569" s="341"/>
      <c r="RLQ569" s="341"/>
      <c r="RLR569" s="341"/>
      <c r="RLS569" s="341"/>
      <c r="RLT569" s="341"/>
      <c r="RLU569" s="341"/>
      <c r="RLV569" s="341"/>
      <c r="RLW569" s="341"/>
      <c r="RLX569" s="341"/>
      <c r="RLY569" s="341"/>
      <c r="RLZ569" s="341"/>
      <c r="RMA569" s="341"/>
      <c r="RMB569" s="341"/>
      <c r="RMC569" s="341"/>
      <c r="RMD569" s="341"/>
      <c r="RME569" s="341"/>
      <c r="RMF569" s="341"/>
      <c r="RMG569" s="341"/>
      <c r="RMH569" s="341"/>
      <c r="RMI569" s="341"/>
      <c r="RMJ569" s="341"/>
      <c r="RMK569" s="341"/>
      <c r="RML569" s="341"/>
      <c r="RMM569" s="341"/>
      <c r="RMN569" s="341"/>
      <c r="RMO569" s="341"/>
      <c r="RMP569" s="341"/>
      <c r="RMQ569" s="341"/>
      <c r="RMR569" s="341"/>
      <c r="RMS569" s="341"/>
      <c r="RMT569" s="341"/>
      <c r="RMU569" s="341"/>
      <c r="RMV569" s="341"/>
      <c r="RMW569" s="341"/>
      <c r="RMX569" s="341"/>
      <c r="RMY569" s="341"/>
      <c r="RMZ569" s="341"/>
      <c r="RNA569" s="341"/>
      <c r="RNB569" s="341"/>
      <c r="RNC569" s="341"/>
      <c r="RND569" s="341"/>
      <c r="RNE569" s="341"/>
      <c r="RNF569" s="341"/>
      <c r="RNG569" s="341"/>
      <c r="RNH569" s="341"/>
      <c r="RNI569" s="341"/>
      <c r="RNJ569" s="341"/>
      <c r="RNK569" s="341"/>
      <c r="RNL569" s="341"/>
      <c r="RNM569" s="341"/>
      <c r="RNN569" s="341"/>
      <c r="RNO569" s="341"/>
      <c r="RNP569" s="341"/>
      <c r="RNQ569" s="341"/>
      <c r="RNR569" s="341"/>
      <c r="RNS569" s="341"/>
      <c r="RNT569" s="341"/>
      <c r="RNU569" s="341"/>
      <c r="RNV569" s="341"/>
      <c r="RNW569" s="341"/>
      <c r="RNX569" s="341"/>
      <c r="RNY569" s="341"/>
      <c r="RNZ569" s="341"/>
      <c r="ROA569" s="341"/>
      <c r="ROB569" s="341"/>
      <c r="ROC569" s="341"/>
      <c r="ROD569" s="341"/>
      <c r="ROE569" s="341"/>
      <c r="ROF569" s="341"/>
      <c r="ROG569" s="341"/>
      <c r="ROH569" s="341"/>
      <c r="ROI569" s="341"/>
      <c r="ROJ569" s="341"/>
      <c r="ROK569" s="341"/>
      <c r="ROL569" s="341"/>
      <c r="ROM569" s="341"/>
      <c r="RON569" s="341"/>
      <c r="ROO569" s="341"/>
      <c r="ROP569" s="341"/>
      <c r="ROQ569" s="341"/>
      <c r="ROR569" s="341"/>
      <c r="ROS569" s="341"/>
      <c r="ROT569" s="341"/>
      <c r="ROU569" s="341"/>
      <c r="ROV569" s="341"/>
      <c r="ROW569" s="341"/>
      <c r="ROX569" s="341"/>
      <c r="ROY569" s="341"/>
      <c r="ROZ569" s="341"/>
      <c r="RPA569" s="341"/>
      <c r="RPB569" s="341"/>
      <c r="RPC569" s="341"/>
      <c r="RPD569" s="341"/>
      <c r="RPE569" s="341"/>
      <c r="RPF569" s="341"/>
      <c r="RPG569" s="341"/>
      <c r="RPH569" s="341"/>
      <c r="RPI569" s="341"/>
      <c r="RPJ569" s="341"/>
      <c r="RPK569" s="341"/>
      <c r="RPL569" s="341"/>
      <c r="RPM569" s="341"/>
      <c r="RPN569" s="341"/>
      <c r="RPO569" s="341"/>
      <c r="RPP569" s="341"/>
      <c r="RPQ569" s="341"/>
      <c r="RPR569" s="341"/>
      <c r="RPS569" s="341"/>
      <c r="RPT569" s="341"/>
      <c r="RPU569" s="341"/>
      <c r="RPV569" s="341"/>
      <c r="RPW569" s="341"/>
      <c r="RPX569" s="341"/>
      <c r="RPY569" s="341"/>
      <c r="RPZ569" s="341"/>
      <c r="RQA569" s="341"/>
      <c r="RQB569" s="341"/>
      <c r="RQC569" s="341"/>
      <c r="RQD569" s="341"/>
      <c r="RQE569" s="341"/>
      <c r="RQF569" s="341"/>
      <c r="RQG569" s="341"/>
      <c r="RQH569" s="341"/>
      <c r="RQI569" s="341"/>
      <c r="RQJ569" s="341"/>
      <c r="RQK569" s="341"/>
      <c r="RQL569" s="341"/>
      <c r="RQM569" s="341"/>
      <c r="RQN569" s="341"/>
      <c r="RQO569" s="341"/>
      <c r="RQP569" s="341"/>
      <c r="RQQ569" s="341"/>
      <c r="RQR569" s="341"/>
      <c r="RQS569" s="341"/>
      <c r="RQT569" s="341"/>
      <c r="RQU569" s="341"/>
      <c r="RQV569" s="341"/>
      <c r="RQW569" s="341"/>
      <c r="RQX569" s="341"/>
      <c r="RQY569" s="341"/>
      <c r="RQZ569" s="341"/>
      <c r="RRA569" s="341"/>
      <c r="RRB569" s="341"/>
      <c r="RRC569" s="341"/>
      <c r="RRD569" s="341"/>
      <c r="RRE569" s="341"/>
      <c r="RRF569" s="341"/>
      <c r="RRG569" s="341"/>
      <c r="RRH569" s="341"/>
      <c r="RRI569" s="341"/>
      <c r="RRJ569" s="341"/>
      <c r="RRK569" s="341"/>
      <c r="RRL569" s="341"/>
      <c r="RRM569" s="341"/>
      <c r="RRN569" s="341"/>
      <c r="RRO569" s="341"/>
      <c r="RRP569" s="341"/>
      <c r="RRQ569" s="341"/>
      <c r="RRR569" s="341"/>
      <c r="RRS569" s="341"/>
      <c r="RRT569" s="341"/>
      <c r="RRU569" s="341"/>
      <c r="RRV569" s="341"/>
      <c r="RRW569" s="341"/>
      <c r="RRX569" s="341"/>
      <c r="RRY569" s="341"/>
      <c r="RRZ569" s="341"/>
      <c r="RSA569" s="341"/>
      <c r="RSB569" s="341"/>
      <c r="RSC569" s="341"/>
      <c r="RSD569" s="341"/>
      <c r="RSE569" s="341"/>
      <c r="RSF569" s="341"/>
      <c r="RSG569" s="341"/>
      <c r="RSH569" s="341"/>
      <c r="RSI569" s="341"/>
      <c r="RSJ569" s="341"/>
      <c r="RSK569" s="341"/>
      <c r="RSL569" s="341"/>
      <c r="RSM569" s="341"/>
      <c r="RSN569" s="341"/>
      <c r="RSO569" s="341"/>
      <c r="RSP569" s="341"/>
      <c r="RSQ569" s="341"/>
      <c r="RSR569" s="341"/>
      <c r="RSS569" s="341"/>
      <c r="RST569" s="341"/>
      <c r="RSU569" s="341"/>
      <c r="RSV569" s="341"/>
      <c r="RSW569" s="341"/>
      <c r="RSX569" s="341"/>
      <c r="RSY569" s="341"/>
      <c r="RSZ569" s="341"/>
      <c r="RTA569" s="341"/>
      <c r="RTB569" s="341"/>
      <c r="RTC569" s="341"/>
      <c r="RTD569" s="341"/>
      <c r="RTE569" s="341"/>
      <c r="RTF569" s="341"/>
      <c r="RTG569" s="341"/>
      <c r="RTH569" s="341"/>
      <c r="RTI569" s="341"/>
      <c r="RTJ569" s="341"/>
      <c r="RTK569" s="341"/>
      <c r="RTL569" s="341"/>
      <c r="RTM569" s="341"/>
      <c r="RTN569" s="341"/>
      <c r="RTO569" s="341"/>
      <c r="RTP569" s="341"/>
      <c r="RTQ569" s="341"/>
      <c r="RTR569" s="341"/>
      <c r="RTS569" s="341"/>
      <c r="RTT569" s="341"/>
      <c r="RTU569" s="341"/>
      <c r="RTV569" s="341"/>
      <c r="RTW569" s="341"/>
      <c r="RTX569" s="341"/>
      <c r="RTY569" s="341"/>
      <c r="RTZ569" s="341"/>
      <c r="RUA569" s="341"/>
      <c r="RUB569" s="341"/>
      <c r="RUC569" s="341"/>
      <c r="RUD569" s="341"/>
      <c r="RUE569" s="341"/>
      <c r="RUF569" s="341"/>
      <c r="RUG569" s="341"/>
      <c r="RUH569" s="341"/>
      <c r="RUI569" s="341"/>
      <c r="RUJ569" s="341"/>
      <c r="RUK569" s="341"/>
      <c r="RUL569" s="341"/>
      <c r="RUM569" s="341"/>
      <c r="RUN569" s="341"/>
      <c r="RUO569" s="341"/>
      <c r="RUP569" s="341"/>
      <c r="RUQ569" s="341"/>
      <c r="RUR569" s="341"/>
      <c r="RUS569" s="341"/>
      <c r="RUT569" s="341"/>
      <c r="RUU569" s="341"/>
      <c r="RUV569" s="341"/>
      <c r="RUW569" s="341"/>
      <c r="RUX569" s="341"/>
      <c r="RUY569" s="341"/>
      <c r="RUZ569" s="341"/>
      <c r="RVA569" s="341"/>
      <c r="RVB569" s="341"/>
      <c r="RVC569" s="341"/>
      <c r="RVD569" s="341"/>
      <c r="RVE569" s="341"/>
      <c r="RVF569" s="341"/>
      <c r="RVG569" s="341"/>
      <c r="RVH569" s="341"/>
      <c r="RVI569" s="341"/>
      <c r="RVJ569" s="341"/>
      <c r="RVK569" s="341"/>
      <c r="RVL569" s="341"/>
      <c r="RVM569" s="341"/>
      <c r="RVN569" s="341"/>
      <c r="RVO569" s="341"/>
      <c r="RVP569" s="341"/>
      <c r="RVQ569" s="341"/>
      <c r="RVR569" s="341"/>
      <c r="RVS569" s="341"/>
      <c r="RVT569" s="341"/>
      <c r="RVU569" s="341"/>
      <c r="RVV569" s="341"/>
      <c r="RVW569" s="341"/>
      <c r="RVX569" s="341"/>
      <c r="RVY569" s="341"/>
      <c r="RVZ569" s="341"/>
      <c r="RWA569" s="341"/>
      <c r="RWB569" s="341"/>
      <c r="RWC569" s="341"/>
      <c r="RWD569" s="341"/>
      <c r="RWE569" s="341"/>
      <c r="RWF569" s="341"/>
      <c r="RWG569" s="341"/>
      <c r="RWH569" s="341"/>
      <c r="RWI569" s="341"/>
      <c r="RWJ569" s="341"/>
      <c r="RWK569" s="341"/>
      <c r="RWL569" s="341"/>
      <c r="RWM569" s="341"/>
      <c r="RWN569" s="341"/>
      <c r="RWO569" s="341"/>
      <c r="RWP569" s="341"/>
      <c r="RWQ569" s="341"/>
      <c r="RWR569" s="341"/>
      <c r="RWS569" s="341"/>
      <c r="RWT569" s="341"/>
      <c r="RWU569" s="341"/>
      <c r="RWV569" s="341"/>
      <c r="RWW569" s="341"/>
      <c r="RWX569" s="341"/>
      <c r="RWY569" s="341"/>
      <c r="RWZ569" s="341"/>
      <c r="RXA569" s="341"/>
      <c r="RXB569" s="341"/>
      <c r="RXC569" s="341"/>
      <c r="RXD569" s="341"/>
      <c r="RXE569" s="341"/>
      <c r="RXF569" s="341"/>
      <c r="RXG569" s="341"/>
      <c r="RXH569" s="341"/>
      <c r="RXI569" s="341"/>
      <c r="RXJ569" s="341"/>
      <c r="RXK569" s="341"/>
      <c r="RXL569" s="341"/>
      <c r="RXM569" s="341"/>
      <c r="RXN569" s="341"/>
      <c r="RXO569" s="341"/>
      <c r="RXP569" s="341"/>
      <c r="RXQ569" s="341"/>
      <c r="RXR569" s="341"/>
      <c r="RXS569" s="341"/>
      <c r="RXT569" s="341"/>
      <c r="RXU569" s="341"/>
      <c r="RXV569" s="341"/>
      <c r="RXW569" s="341"/>
      <c r="RXX569" s="341"/>
      <c r="RXY569" s="341"/>
      <c r="RXZ569" s="341"/>
      <c r="RYA569" s="341"/>
      <c r="RYB569" s="341"/>
      <c r="RYC569" s="341"/>
      <c r="RYD569" s="341"/>
      <c r="RYE569" s="341"/>
      <c r="RYF569" s="341"/>
      <c r="RYG569" s="341"/>
      <c r="RYH569" s="341"/>
      <c r="RYI569" s="341"/>
      <c r="RYJ569" s="341"/>
      <c r="RYK569" s="341"/>
      <c r="RYL569" s="341"/>
      <c r="RYM569" s="341"/>
      <c r="RYN569" s="341"/>
      <c r="RYO569" s="341"/>
      <c r="RYP569" s="341"/>
      <c r="RYQ569" s="341"/>
      <c r="RYR569" s="341"/>
      <c r="RYS569" s="341"/>
      <c r="RYT569" s="341"/>
      <c r="RYU569" s="341"/>
      <c r="RYV569" s="341"/>
      <c r="RYW569" s="341"/>
      <c r="RYX569" s="341"/>
      <c r="RYY569" s="341"/>
      <c r="RYZ569" s="341"/>
      <c r="RZA569" s="341"/>
      <c r="RZB569" s="341"/>
      <c r="RZC569" s="341"/>
      <c r="RZD569" s="341"/>
      <c r="RZE569" s="341"/>
      <c r="RZF569" s="341"/>
      <c r="RZG569" s="341"/>
      <c r="RZH569" s="341"/>
      <c r="RZI569" s="341"/>
      <c r="RZJ569" s="341"/>
      <c r="RZK569" s="341"/>
      <c r="RZL569" s="341"/>
      <c r="RZM569" s="341"/>
      <c r="RZN569" s="341"/>
      <c r="RZO569" s="341"/>
      <c r="RZP569" s="341"/>
      <c r="RZQ569" s="341"/>
      <c r="RZR569" s="341"/>
      <c r="RZS569" s="341"/>
      <c r="RZT569" s="341"/>
      <c r="RZU569" s="341"/>
      <c r="RZV569" s="341"/>
      <c r="RZW569" s="341"/>
      <c r="RZX569" s="341"/>
      <c r="RZY569" s="341"/>
      <c r="RZZ569" s="341"/>
      <c r="SAA569" s="341"/>
      <c r="SAB569" s="341"/>
      <c r="SAC569" s="341"/>
      <c r="SAD569" s="341"/>
      <c r="SAE569" s="341"/>
      <c r="SAF569" s="341"/>
      <c r="SAG569" s="341"/>
      <c r="SAH569" s="341"/>
      <c r="SAI569" s="341"/>
      <c r="SAJ569" s="341"/>
      <c r="SAK569" s="341"/>
      <c r="SAL569" s="341"/>
      <c r="SAM569" s="341"/>
      <c r="SAN569" s="341"/>
      <c r="SAO569" s="341"/>
      <c r="SAP569" s="341"/>
      <c r="SAQ569" s="341"/>
      <c r="SAR569" s="341"/>
      <c r="SAS569" s="341"/>
      <c r="SAT569" s="341"/>
      <c r="SAU569" s="341"/>
      <c r="SAV569" s="341"/>
      <c r="SAW569" s="341"/>
      <c r="SAX569" s="341"/>
      <c r="SAY569" s="341"/>
      <c r="SAZ569" s="341"/>
      <c r="SBA569" s="341"/>
      <c r="SBB569" s="341"/>
      <c r="SBC569" s="341"/>
      <c r="SBD569" s="341"/>
      <c r="SBE569" s="341"/>
      <c r="SBF569" s="341"/>
      <c r="SBG569" s="341"/>
      <c r="SBH569" s="341"/>
      <c r="SBI569" s="341"/>
      <c r="SBJ569" s="341"/>
      <c r="SBK569" s="341"/>
      <c r="SBL569" s="341"/>
      <c r="SBM569" s="341"/>
      <c r="SBN569" s="341"/>
      <c r="SBO569" s="341"/>
      <c r="SBP569" s="341"/>
      <c r="SBQ569" s="341"/>
      <c r="SBR569" s="341"/>
      <c r="SBS569" s="341"/>
      <c r="SBT569" s="341"/>
      <c r="SBU569" s="341"/>
      <c r="SBV569" s="341"/>
      <c r="SBW569" s="341"/>
      <c r="SBX569" s="341"/>
      <c r="SBY569" s="341"/>
      <c r="SBZ569" s="341"/>
      <c r="SCA569" s="341"/>
      <c r="SCB569" s="341"/>
      <c r="SCC569" s="341"/>
      <c r="SCD569" s="341"/>
      <c r="SCE569" s="341"/>
      <c r="SCF569" s="341"/>
      <c r="SCG569" s="341"/>
      <c r="SCH569" s="341"/>
      <c r="SCI569" s="341"/>
      <c r="SCJ569" s="341"/>
      <c r="SCK569" s="341"/>
      <c r="SCL569" s="341"/>
      <c r="SCM569" s="341"/>
      <c r="SCN569" s="341"/>
      <c r="SCO569" s="341"/>
      <c r="SCP569" s="341"/>
      <c r="SCQ569" s="341"/>
      <c r="SCR569" s="341"/>
      <c r="SCS569" s="341"/>
      <c r="SCT569" s="341"/>
      <c r="SCU569" s="341"/>
      <c r="SCV569" s="341"/>
      <c r="SCW569" s="341"/>
      <c r="SCX569" s="341"/>
      <c r="SCY569" s="341"/>
      <c r="SCZ569" s="341"/>
      <c r="SDA569" s="341"/>
      <c r="SDB569" s="341"/>
      <c r="SDC569" s="341"/>
      <c r="SDD569" s="341"/>
      <c r="SDE569" s="341"/>
      <c r="SDF569" s="341"/>
      <c r="SDG569" s="341"/>
      <c r="SDH569" s="341"/>
      <c r="SDI569" s="341"/>
      <c r="SDJ569" s="341"/>
      <c r="SDK569" s="341"/>
      <c r="SDL569" s="341"/>
      <c r="SDM569" s="341"/>
      <c r="SDN569" s="341"/>
      <c r="SDO569" s="341"/>
      <c r="SDP569" s="341"/>
      <c r="SDQ569" s="341"/>
      <c r="SDR569" s="341"/>
      <c r="SDS569" s="341"/>
      <c r="SDT569" s="341"/>
      <c r="SDU569" s="341"/>
      <c r="SDV569" s="341"/>
      <c r="SDW569" s="341"/>
      <c r="SDX569" s="341"/>
      <c r="SDY569" s="341"/>
      <c r="SDZ569" s="341"/>
      <c r="SEA569" s="341"/>
      <c r="SEB569" s="341"/>
      <c r="SEC569" s="341"/>
      <c r="SED569" s="341"/>
      <c r="SEE569" s="341"/>
      <c r="SEF569" s="341"/>
      <c r="SEG569" s="341"/>
      <c r="SEH569" s="341"/>
      <c r="SEI569" s="341"/>
      <c r="SEJ569" s="341"/>
      <c r="SEK569" s="341"/>
      <c r="SEL569" s="341"/>
      <c r="SEM569" s="341"/>
      <c r="SEN569" s="341"/>
      <c r="SEO569" s="341"/>
      <c r="SEP569" s="341"/>
      <c r="SEQ569" s="341"/>
      <c r="SER569" s="341"/>
      <c r="SES569" s="341"/>
      <c r="SET569" s="341"/>
      <c r="SEU569" s="341"/>
      <c r="SEV569" s="341"/>
      <c r="SEW569" s="341"/>
      <c r="SEX569" s="341"/>
      <c r="SEY569" s="341"/>
      <c r="SEZ569" s="341"/>
      <c r="SFA569" s="341"/>
      <c r="SFB569" s="341"/>
      <c r="SFC569" s="341"/>
      <c r="SFD569" s="341"/>
      <c r="SFE569" s="341"/>
      <c r="SFF569" s="341"/>
      <c r="SFG569" s="341"/>
      <c r="SFH569" s="341"/>
      <c r="SFI569" s="341"/>
      <c r="SFJ569" s="341"/>
      <c r="SFK569" s="341"/>
      <c r="SFL569" s="341"/>
      <c r="SFM569" s="341"/>
      <c r="SFN569" s="341"/>
      <c r="SFO569" s="341"/>
      <c r="SFP569" s="341"/>
      <c r="SFQ569" s="341"/>
      <c r="SFR569" s="341"/>
      <c r="SFS569" s="341"/>
      <c r="SFT569" s="341"/>
      <c r="SFU569" s="341"/>
      <c r="SFV569" s="341"/>
      <c r="SFW569" s="341"/>
      <c r="SFX569" s="341"/>
      <c r="SFY569" s="341"/>
      <c r="SFZ569" s="341"/>
      <c r="SGA569" s="341"/>
      <c r="SGB569" s="341"/>
      <c r="SGC569" s="341"/>
      <c r="SGD569" s="341"/>
      <c r="SGE569" s="341"/>
      <c r="SGF569" s="341"/>
      <c r="SGG569" s="341"/>
      <c r="SGH569" s="341"/>
      <c r="SGI569" s="341"/>
      <c r="SGJ569" s="341"/>
      <c r="SGK569" s="341"/>
      <c r="SGL569" s="341"/>
      <c r="SGM569" s="341"/>
      <c r="SGN569" s="341"/>
      <c r="SGO569" s="341"/>
      <c r="SGP569" s="341"/>
      <c r="SGQ569" s="341"/>
      <c r="SGR569" s="341"/>
      <c r="SGS569" s="341"/>
      <c r="SGT569" s="341"/>
      <c r="SGU569" s="341"/>
      <c r="SGV569" s="341"/>
      <c r="SGW569" s="341"/>
      <c r="SGX569" s="341"/>
      <c r="SGY569" s="341"/>
      <c r="SGZ569" s="341"/>
      <c r="SHA569" s="341"/>
      <c r="SHB569" s="341"/>
      <c r="SHC569" s="341"/>
      <c r="SHD569" s="341"/>
      <c r="SHE569" s="341"/>
      <c r="SHF569" s="341"/>
      <c r="SHG569" s="341"/>
      <c r="SHH569" s="341"/>
      <c r="SHI569" s="341"/>
      <c r="SHJ569" s="341"/>
      <c r="SHK569" s="341"/>
      <c r="SHL569" s="341"/>
      <c r="SHM569" s="341"/>
      <c r="SHN569" s="341"/>
      <c r="SHO569" s="341"/>
      <c r="SHP569" s="341"/>
      <c r="SHQ569" s="341"/>
      <c r="SHR569" s="341"/>
      <c r="SHS569" s="341"/>
      <c r="SHT569" s="341"/>
      <c r="SHU569" s="341"/>
      <c r="SHV569" s="341"/>
      <c r="SHW569" s="341"/>
      <c r="SHX569" s="341"/>
      <c r="SHY569" s="341"/>
      <c r="SHZ569" s="341"/>
      <c r="SIA569" s="341"/>
      <c r="SIB569" s="341"/>
      <c r="SIC569" s="341"/>
      <c r="SID569" s="341"/>
      <c r="SIE569" s="341"/>
      <c r="SIF569" s="341"/>
      <c r="SIG569" s="341"/>
      <c r="SIH569" s="341"/>
      <c r="SII569" s="341"/>
      <c r="SIJ569" s="341"/>
      <c r="SIK569" s="341"/>
      <c r="SIL569" s="341"/>
      <c r="SIM569" s="341"/>
      <c r="SIN569" s="341"/>
      <c r="SIO569" s="341"/>
      <c r="SIP569" s="341"/>
      <c r="SIQ569" s="341"/>
      <c r="SIR569" s="341"/>
      <c r="SIS569" s="341"/>
      <c r="SIT569" s="341"/>
      <c r="SIU569" s="341"/>
      <c r="SIV569" s="341"/>
      <c r="SIW569" s="341"/>
      <c r="SIX569" s="341"/>
      <c r="SIY569" s="341"/>
      <c r="SIZ569" s="341"/>
      <c r="SJA569" s="341"/>
      <c r="SJB569" s="341"/>
      <c r="SJC569" s="341"/>
      <c r="SJD569" s="341"/>
      <c r="SJE569" s="341"/>
      <c r="SJF569" s="341"/>
      <c r="SJG569" s="341"/>
      <c r="SJH569" s="341"/>
      <c r="SJI569" s="341"/>
      <c r="SJJ569" s="341"/>
      <c r="SJK569" s="341"/>
      <c r="SJL569" s="341"/>
      <c r="SJM569" s="341"/>
      <c r="SJN569" s="341"/>
      <c r="SJO569" s="341"/>
      <c r="SJP569" s="341"/>
      <c r="SJQ569" s="341"/>
      <c r="SJR569" s="341"/>
      <c r="SJS569" s="341"/>
      <c r="SJT569" s="341"/>
      <c r="SJU569" s="341"/>
      <c r="SJV569" s="341"/>
      <c r="SJW569" s="341"/>
      <c r="SJX569" s="341"/>
      <c r="SJY569" s="341"/>
      <c r="SJZ569" s="341"/>
      <c r="SKA569" s="341"/>
      <c r="SKB569" s="341"/>
      <c r="SKC569" s="341"/>
      <c r="SKD569" s="341"/>
      <c r="SKE569" s="341"/>
      <c r="SKF569" s="341"/>
      <c r="SKG569" s="341"/>
      <c r="SKH569" s="341"/>
      <c r="SKI569" s="341"/>
      <c r="SKJ569" s="341"/>
      <c r="SKK569" s="341"/>
      <c r="SKL569" s="341"/>
      <c r="SKM569" s="341"/>
      <c r="SKN569" s="341"/>
      <c r="SKO569" s="341"/>
      <c r="SKP569" s="341"/>
      <c r="SKQ569" s="341"/>
      <c r="SKR569" s="341"/>
      <c r="SKS569" s="341"/>
      <c r="SKT569" s="341"/>
      <c r="SKU569" s="341"/>
      <c r="SKV569" s="341"/>
      <c r="SKW569" s="341"/>
      <c r="SKX569" s="341"/>
      <c r="SKY569" s="341"/>
      <c r="SKZ569" s="341"/>
      <c r="SLA569" s="341"/>
      <c r="SLB569" s="341"/>
      <c r="SLC569" s="341"/>
      <c r="SLD569" s="341"/>
      <c r="SLE569" s="341"/>
      <c r="SLF569" s="341"/>
      <c r="SLG569" s="341"/>
      <c r="SLH569" s="341"/>
      <c r="SLI569" s="341"/>
      <c r="SLJ569" s="341"/>
      <c r="SLK569" s="341"/>
      <c r="SLL569" s="341"/>
      <c r="SLM569" s="341"/>
      <c r="SLN569" s="341"/>
      <c r="SLO569" s="341"/>
      <c r="SLP569" s="341"/>
      <c r="SLQ569" s="341"/>
      <c r="SLR569" s="341"/>
      <c r="SLS569" s="341"/>
      <c r="SLT569" s="341"/>
      <c r="SLU569" s="341"/>
      <c r="SLV569" s="341"/>
      <c r="SLW569" s="341"/>
      <c r="SLX569" s="341"/>
      <c r="SLY569" s="341"/>
      <c r="SLZ569" s="341"/>
      <c r="SMA569" s="341"/>
      <c r="SMB569" s="341"/>
      <c r="SMC569" s="341"/>
      <c r="SMD569" s="341"/>
      <c r="SME569" s="341"/>
      <c r="SMF569" s="341"/>
      <c r="SMG569" s="341"/>
      <c r="SMH569" s="341"/>
      <c r="SMI569" s="341"/>
      <c r="SMJ569" s="341"/>
      <c r="SMK569" s="341"/>
      <c r="SML569" s="341"/>
      <c r="SMM569" s="341"/>
      <c r="SMN569" s="341"/>
      <c r="SMO569" s="341"/>
      <c r="SMP569" s="341"/>
      <c r="SMQ569" s="341"/>
      <c r="SMR569" s="341"/>
      <c r="SMS569" s="341"/>
      <c r="SMT569" s="341"/>
      <c r="SMU569" s="341"/>
      <c r="SMV569" s="341"/>
      <c r="SMW569" s="341"/>
      <c r="SMX569" s="341"/>
      <c r="SMY569" s="341"/>
      <c r="SMZ569" s="341"/>
      <c r="SNA569" s="341"/>
      <c r="SNB569" s="341"/>
      <c r="SNC569" s="341"/>
      <c r="SND569" s="341"/>
      <c r="SNE569" s="341"/>
      <c r="SNF569" s="341"/>
      <c r="SNG569" s="341"/>
      <c r="SNH569" s="341"/>
      <c r="SNI569" s="341"/>
      <c r="SNJ569" s="341"/>
      <c r="SNK569" s="341"/>
      <c r="SNL569" s="341"/>
      <c r="SNM569" s="341"/>
      <c r="SNN569" s="341"/>
      <c r="SNO569" s="341"/>
      <c r="SNP569" s="341"/>
      <c r="SNQ569" s="341"/>
      <c r="SNR569" s="341"/>
      <c r="SNS569" s="341"/>
      <c r="SNT569" s="341"/>
      <c r="SNU569" s="341"/>
      <c r="SNV569" s="341"/>
      <c r="SNW569" s="341"/>
      <c r="SNX569" s="341"/>
      <c r="SNY569" s="341"/>
      <c r="SNZ569" s="341"/>
      <c r="SOA569" s="341"/>
      <c r="SOB569" s="341"/>
      <c r="SOC569" s="341"/>
      <c r="SOD569" s="341"/>
      <c r="SOE569" s="341"/>
      <c r="SOF569" s="341"/>
      <c r="SOG569" s="341"/>
      <c r="SOH569" s="341"/>
      <c r="SOI569" s="341"/>
      <c r="SOJ569" s="341"/>
      <c r="SOK569" s="341"/>
      <c r="SOL569" s="341"/>
      <c r="SOM569" s="341"/>
      <c r="SON569" s="341"/>
      <c r="SOO569" s="341"/>
      <c r="SOP569" s="341"/>
      <c r="SOQ569" s="341"/>
      <c r="SOR569" s="341"/>
      <c r="SOS569" s="341"/>
      <c r="SOT569" s="341"/>
      <c r="SOU569" s="341"/>
      <c r="SOV569" s="341"/>
      <c r="SOW569" s="341"/>
      <c r="SOX569" s="341"/>
      <c r="SOY569" s="341"/>
      <c r="SOZ569" s="341"/>
      <c r="SPA569" s="341"/>
      <c r="SPB569" s="341"/>
      <c r="SPC569" s="341"/>
      <c r="SPD569" s="341"/>
      <c r="SPE569" s="341"/>
      <c r="SPF569" s="341"/>
      <c r="SPG569" s="341"/>
      <c r="SPH569" s="341"/>
      <c r="SPI569" s="341"/>
      <c r="SPJ569" s="341"/>
      <c r="SPK569" s="341"/>
      <c r="SPL569" s="341"/>
      <c r="SPM569" s="341"/>
      <c r="SPN569" s="341"/>
      <c r="SPO569" s="341"/>
      <c r="SPP569" s="341"/>
      <c r="SPQ569" s="341"/>
      <c r="SPR569" s="341"/>
      <c r="SPS569" s="341"/>
      <c r="SPT569" s="341"/>
      <c r="SPU569" s="341"/>
      <c r="SPV569" s="341"/>
      <c r="SPW569" s="341"/>
      <c r="SPX569" s="341"/>
      <c r="SPY569" s="341"/>
      <c r="SPZ569" s="341"/>
      <c r="SQA569" s="341"/>
      <c r="SQB569" s="341"/>
      <c r="SQC569" s="341"/>
      <c r="SQD569" s="341"/>
      <c r="SQE569" s="341"/>
      <c r="SQF569" s="341"/>
      <c r="SQG569" s="341"/>
      <c r="SQH569" s="341"/>
      <c r="SQI569" s="341"/>
      <c r="SQJ569" s="341"/>
      <c r="SQK569" s="341"/>
      <c r="SQL569" s="341"/>
      <c r="SQM569" s="341"/>
      <c r="SQN569" s="341"/>
      <c r="SQO569" s="341"/>
      <c r="SQP569" s="341"/>
      <c r="SQQ569" s="341"/>
      <c r="SQR569" s="341"/>
      <c r="SQS569" s="341"/>
      <c r="SQT569" s="341"/>
      <c r="SQU569" s="341"/>
      <c r="SQV569" s="341"/>
      <c r="SQW569" s="341"/>
      <c r="SQX569" s="341"/>
      <c r="SQY569" s="341"/>
      <c r="SQZ569" s="341"/>
      <c r="SRA569" s="341"/>
      <c r="SRB569" s="341"/>
      <c r="SRC569" s="341"/>
      <c r="SRD569" s="341"/>
      <c r="SRE569" s="341"/>
      <c r="SRF569" s="341"/>
      <c r="SRG569" s="341"/>
      <c r="SRH569" s="341"/>
      <c r="SRI569" s="341"/>
      <c r="SRJ569" s="341"/>
      <c r="SRK569" s="341"/>
      <c r="SRL569" s="341"/>
      <c r="SRM569" s="341"/>
      <c r="SRN569" s="341"/>
      <c r="SRO569" s="341"/>
      <c r="SRP569" s="341"/>
      <c r="SRQ569" s="341"/>
      <c r="SRR569" s="341"/>
      <c r="SRS569" s="341"/>
      <c r="SRT569" s="341"/>
      <c r="SRU569" s="341"/>
      <c r="SRV569" s="341"/>
      <c r="SRW569" s="341"/>
      <c r="SRX569" s="341"/>
      <c r="SRY569" s="341"/>
      <c r="SRZ569" s="341"/>
      <c r="SSA569" s="341"/>
      <c r="SSB569" s="341"/>
      <c r="SSC569" s="341"/>
      <c r="SSD569" s="341"/>
      <c r="SSE569" s="341"/>
      <c r="SSF569" s="341"/>
      <c r="SSG569" s="341"/>
      <c r="SSH569" s="341"/>
      <c r="SSI569" s="341"/>
      <c r="SSJ569" s="341"/>
      <c r="SSK569" s="341"/>
      <c r="SSL569" s="341"/>
      <c r="SSM569" s="341"/>
      <c r="SSN569" s="341"/>
      <c r="SSO569" s="341"/>
      <c r="SSP569" s="341"/>
      <c r="SSQ569" s="341"/>
      <c r="SSR569" s="341"/>
      <c r="SSS569" s="341"/>
      <c r="SST569" s="341"/>
      <c r="SSU569" s="341"/>
      <c r="SSV569" s="341"/>
      <c r="SSW569" s="341"/>
      <c r="SSX569" s="341"/>
      <c r="SSY569" s="341"/>
      <c r="SSZ569" s="341"/>
      <c r="STA569" s="341"/>
      <c r="STB569" s="341"/>
      <c r="STC569" s="341"/>
      <c r="STD569" s="341"/>
      <c r="STE569" s="341"/>
      <c r="STF569" s="341"/>
      <c r="STG569" s="341"/>
      <c r="STH569" s="341"/>
      <c r="STI569" s="341"/>
      <c r="STJ569" s="341"/>
      <c r="STK569" s="341"/>
      <c r="STL569" s="341"/>
      <c r="STM569" s="341"/>
      <c r="STN569" s="341"/>
      <c r="STO569" s="341"/>
      <c r="STP569" s="341"/>
      <c r="STQ569" s="341"/>
      <c r="STR569" s="341"/>
      <c r="STS569" s="341"/>
      <c r="STT569" s="341"/>
      <c r="STU569" s="341"/>
      <c r="STV569" s="341"/>
      <c r="STW569" s="341"/>
      <c r="STX569" s="341"/>
      <c r="STY569" s="341"/>
      <c r="STZ569" s="341"/>
      <c r="SUA569" s="341"/>
      <c r="SUB569" s="341"/>
      <c r="SUC569" s="341"/>
      <c r="SUD569" s="341"/>
      <c r="SUE569" s="341"/>
      <c r="SUF569" s="341"/>
      <c r="SUG569" s="341"/>
      <c r="SUH569" s="341"/>
      <c r="SUI569" s="341"/>
      <c r="SUJ569" s="341"/>
      <c r="SUK569" s="341"/>
      <c r="SUL569" s="341"/>
      <c r="SUM569" s="341"/>
      <c r="SUN569" s="341"/>
      <c r="SUO569" s="341"/>
      <c r="SUP569" s="341"/>
      <c r="SUQ569" s="341"/>
      <c r="SUR569" s="341"/>
      <c r="SUS569" s="341"/>
      <c r="SUT569" s="341"/>
      <c r="SUU569" s="341"/>
      <c r="SUV569" s="341"/>
      <c r="SUW569" s="341"/>
      <c r="SUX569" s="341"/>
      <c r="SUY569" s="341"/>
      <c r="SUZ569" s="341"/>
      <c r="SVA569" s="341"/>
      <c r="SVB569" s="341"/>
      <c r="SVC569" s="341"/>
      <c r="SVD569" s="341"/>
      <c r="SVE569" s="341"/>
      <c r="SVF569" s="341"/>
      <c r="SVG569" s="341"/>
      <c r="SVH569" s="341"/>
      <c r="SVI569" s="341"/>
      <c r="SVJ569" s="341"/>
      <c r="SVK569" s="341"/>
      <c r="SVL569" s="341"/>
      <c r="SVM569" s="341"/>
      <c r="SVN569" s="341"/>
      <c r="SVO569" s="341"/>
      <c r="SVP569" s="341"/>
      <c r="SVQ569" s="341"/>
      <c r="SVR569" s="341"/>
      <c r="SVS569" s="341"/>
      <c r="SVT569" s="341"/>
      <c r="SVU569" s="341"/>
      <c r="SVV569" s="341"/>
      <c r="SVW569" s="341"/>
      <c r="SVX569" s="341"/>
      <c r="SVY569" s="341"/>
      <c r="SVZ569" s="341"/>
      <c r="SWA569" s="341"/>
      <c r="SWB569" s="341"/>
      <c r="SWC569" s="341"/>
      <c r="SWD569" s="341"/>
      <c r="SWE569" s="341"/>
      <c r="SWF569" s="341"/>
      <c r="SWG569" s="341"/>
      <c r="SWH569" s="341"/>
      <c r="SWI569" s="341"/>
      <c r="SWJ569" s="341"/>
      <c r="SWK569" s="341"/>
      <c r="SWL569" s="341"/>
      <c r="SWM569" s="341"/>
      <c r="SWN569" s="341"/>
      <c r="SWO569" s="341"/>
      <c r="SWP569" s="341"/>
      <c r="SWQ569" s="341"/>
      <c r="SWR569" s="341"/>
      <c r="SWS569" s="341"/>
      <c r="SWT569" s="341"/>
      <c r="SWU569" s="341"/>
      <c r="SWV569" s="341"/>
      <c r="SWW569" s="341"/>
      <c r="SWX569" s="341"/>
      <c r="SWY569" s="341"/>
      <c r="SWZ569" s="341"/>
      <c r="SXA569" s="341"/>
      <c r="SXB569" s="341"/>
      <c r="SXC569" s="341"/>
      <c r="SXD569" s="341"/>
      <c r="SXE569" s="341"/>
      <c r="SXF569" s="341"/>
      <c r="SXG569" s="341"/>
      <c r="SXH569" s="341"/>
      <c r="SXI569" s="341"/>
      <c r="SXJ569" s="341"/>
      <c r="SXK569" s="341"/>
      <c r="SXL569" s="341"/>
      <c r="SXM569" s="341"/>
      <c r="SXN569" s="341"/>
      <c r="SXO569" s="341"/>
      <c r="SXP569" s="341"/>
      <c r="SXQ569" s="341"/>
      <c r="SXR569" s="341"/>
      <c r="SXS569" s="341"/>
      <c r="SXT569" s="341"/>
      <c r="SXU569" s="341"/>
      <c r="SXV569" s="341"/>
      <c r="SXW569" s="341"/>
      <c r="SXX569" s="341"/>
      <c r="SXY569" s="341"/>
      <c r="SXZ569" s="341"/>
      <c r="SYA569" s="341"/>
      <c r="SYB569" s="341"/>
      <c r="SYC569" s="341"/>
      <c r="SYD569" s="341"/>
      <c r="SYE569" s="341"/>
      <c r="SYF569" s="341"/>
      <c r="SYG569" s="341"/>
      <c r="SYH569" s="341"/>
      <c r="SYI569" s="341"/>
      <c r="SYJ569" s="341"/>
      <c r="SYK569" s="341"/>
      <c r="SYL569" s="341"/>
      <c r="SYM569" s="341"/>
      <c r="SYN569" s="341"/>
      <c r="SYO569" s="341"/>
      <c r="SYP569" s="341"/>
      <c r="SYQ569" s="341"/>
      <c r="SYR569" s="341"/>
      <c r="SYS569" s="341"/>
      <c r="SYT569" s="341"/>
      <c r="SYU569" s="341"/>
      <c r="SYV569" s="341"/>
      <c r="SYW569" s="341"/>
      <c r="SYX569" s="341"/>
      <c r="SYY569" s="341"/>
      <c r="SYZ569" s="341"/>
      <c r="SZA569" s="341"/>
      <c r="SZB569" s="341"/>
      <c r="SZC569" s="341"/>
      <c r="SZD569" s="341"/>
      <c r="SZE569" s="341"/>
      <c r="SZF569" s="341"/>
      <c r="SZG569" s="341"/>
      <c r="SZH569" s="341"/>
      <c r="SZI569" s="341"/>
      <c r="SZJ569" s="341"/>
      <c r="SZK569" s="341"/>
      <c r="SZL569" s="341"/>
      <c r="SZM569" s="341"/>
      <c r="SZN569" s="341"/>
      <c r="SZO569" s="341"/>
      <c r="SZP569" s="341"/>
      <c r="SZQ569" s="341"/>
      <c r="SZR569" s="341"/>
      <c r="SZS569" s="341"/>
      <c r="SZT569" s="341"/>
      <c r="SZU569" s="341"/>
      <c r="SZV569" s="341"/>
      <c r="SZW569" s="341"/>
      <c r="SZX569" s="341"/>
      <c r="SZY569" s="341"/>
      <c r="SZZ569" s="341"/>
      <c r="TAA569" s="341"/>
      <c r="TAB569" s="341"/>
      <c r="TAC569" s="341"/>
      <c r="TAD569" s="341"/>
      <c r="TAE569" s="341"/>
      <c r="TAF569" s="341"/>
      <c r="TAG569" s="341"/>
      <c r="TAH569" s="341"/>
      <c r="TAI569" s="341"/>
      <c r="TAJ569" s="341"/>
      <c r="TAK569" s="341"/>
      <c r="TAL569" s="341"/>
      <c r="TAM569" s="341"/>
      <c r="TAN569" s="341"/>
      <c r="TAO569" s="341"/>
      <c r="TAP569" s="341"/>
      <c r="TAQ569" s="341"/>
      <c r="TAR569" s="341"/>
      <c r="TAS569" s="341"/>
      <c r="TAT569" s="341"/>
      <c r="TAU569" s="341"/>
      <c r="TAV569" s="341"/>
      <c r="TAW569" s="341"/>
      <c r="TAX569" s="341"/>
      <c r="TAY569" s="341"/>
      <c r="TAZ569" s="341"/>
      <c r="TBA569" s="341"/>
      <c r="TBB569" s="341"/>
      <c r="TBC569" s="341"/>
      <c r="TBD569" s="341"/>
      <c r="TBE569" s="341"/>
      <c r="TBF569" s="341"/>
      <c r="TBG569" s="341"/>
      <c r="TBH569" s="341"/>
      <c r="TBI569" s="341"/>
      <c r="TBJ569" s="341"/>
      <c r="TBK569" s="341"/>
      <c r="TBL569" s="341"/>
      <c r="TBM569" s="341"/>
      <c r="TBN569" s="341"/>
      <c r="TBO569" s="341"/>
      <c r="TBP569" s="341"/>
      <c r="TBQ569" s="341"/>
      <c r="TBR569" s="341"/>
      <c r="TBS569" s="341"/>
      <c r="TBT569" s="341"/>
      <c r="TBU569" s="341"/>
      <c r="TBV569" s="341"/>
      <c r="TBW569" s="341"/>
      <c r="TBX569" s="341"/>
      <c r="TBY569" s="341"/>
      <c r="TBZ569" s="341"/>
      <c r="TCA569" s="341"/>
      <c r="TCB569" s="341"/>
      <c r="TCC569" s="341"/>
      <c r="TCD569" s="341"/>
      <c r="TCE569" s="341"/>
      <c r="TCF569" s="341"/>
      <c r="TCG569" s="341"/>
      <c r="TCH569" s="341"/>
      <c r="TCI569" s="341"/>
      <c r="TCJ569" s="341"/>
      <c r="TCK569" s="341"/>
      <c r="TCL569" s="341"/>
      <c r="TCM569" s="341"/>
      <c r="TCN569" s="341"/>
      <c r="TCO569" s="341"/>
      <c r="TCP569" s="341"/>
      <c r="TCQ569" s="341"/>
      <c r="TCR569" s="341"/>
      <c r="TCS569" s="341"/>
      <c r="TCT569" s="341"/>
      <c r="TCU569" s="341"/>
      <c r="TCV569" s="341"/>
      <c r="TCW569" s="341"/>
      <c r="TCX569" s="341"/>
      <c r="TCY569" s="341"/>
      <c r="TCZ569" s="341"/>
      <c r="TDA569" s="341"/>
      <c r="TDB569" s="341"/>
      <c r="TDC569" s="341"/>
      <c r="TDD569" s="341"/>
      <c r="TDE569" s="341"/>
      <c r="TDF569" s="341"/>
      <c r="TDG569" s="341"/>
      <c r="TDH569" s="341"/>
      <c r="TDI569" s="341"/>
      <c r="TDJ569" s="341"/>
      <c r="TDK569" s="341"/>
      <c r="TDL569" s="341"/>
      <c r="TDM569" s="341"/>
      <c r="TDN569" s="341"/>
      <c r="TDO569" s="341"/>
      <c r="TDP569" s="341"/>
      <c r="TDQ569" s="341"/>
      <c r="TDR569" s="341"/>
      <c r="TDS569" s="341"/>
      <c r="TDT569" s="341"/>
      <c r="TDU569" s="341"/>
      <c r="TDV569" s="341"/>
      <c r="TDW569" s="341"/>
      <c r="TDX569" s="341"/>
      <c r="TDY569" s="341"/>
      <c r="TDZ569" s="341"/>
      <c r="TEA569" s="341"/>
      <c r="TEB569" s="341"/>
      <c r="TEC569" s="341"/>
      <c r="TED569" s="341"/>
      <c r="TEE569" s="341"/>
      <c r="TEF569" s="341"/>
      <c r="TEG569" s="341"/>
      <c r="TEH569" s="341"/>
      <c r="TEI569" s="341"/>
      <c r="TEJ569" s="341"/>
      <c r="TEK569" s="341"/>
      <c r="TEL569" s="341"/>
      <c r="TEM569" s="341"/>
      <c r="TEN569" s="341"/>
      <c r="TEO569" s="341"/>
      <c r="TEP569" s="341"/>
      <c r="TEQ569" s="341"/>
      <c r="TER569" s="341"/>
      <c r="TES569" s="341"/>
      <c r="TET569" s="341"/>
      <c r="TEU569" s="341"/>
      <c r="TEV569" s="341"/>
      <c r="TEW569" s="341"/>
      <c r="TEX569" s="341"/>
      <c r="TEY569" s="341"/>
      <c r="TEZ569" s="341"/>
      <c r="TFA569" s="341"/>
      <c r="TFB569" s="341"/>
      <c r="TFC569" s="341"/>
      <c r="TFD569" s="341"/>
      <c r="TFE569" s="341"/>
      <c r="TFF569" s="341"/>
      <c r="TFG569" s="341"/>
      <c r="TFH569" s="341"/>
      <c r="TFI569" s="341"/>
      <c r="TFJ569" s="341"/>
      <c r="TFK569" s="341"/>
      <c r="TFL569" s="341"/>
      <c r="TFM569" s="341"/>
      <c r="TFN569" s="341"/>
      <c r="TFO569" s="341"/>
      <c r="TFP569" s="341"/>
      <c r="TFQ569" s="341"/>
      <c r="TFR569" s="341"/>
      <c r="TFS569" s="341"/>
      <c r="TFT569" s="341"/>
      <c r="TFU569" s="341"/>
      <c r="TFV569" s="341"/>
      <c r="TFW569" s="341"/>
      <c r="TFX569" s="341"/>
      <c r="TFY569" s="341"/>
      <c r="TFZ569" s="341"/>
      <c r="TGA569" s="341"/>
      <c r="TGB569" s="341"/>
      <c r="TGC569" s="341"/>
      <c r="TGD569" s="341"/>
      <c r="TGE569" s="341"/>
      <c r="TGF569" s="341"/>
      <c r="TGG569" s="341"/>
      <c r="TGH569" s="341"/>
      <c r="TGI569" s="341"/>
      <c r="TGJ569" s="341"/>
      <c r="TGK569" s="341"/>
      <c r="TGL569" s="341"/>
      <c r="TGM569" s="341"/>
      <c r="TGN569" s="341"/>
      <c r="TGO569" s="341"/>
      <c r="TGP569" s="341"/>
      <c r="TGQ569" s="341"/>
      <c r="TGR569" s="341"/>
      <c r="TGS569" s="341"/>
      <c r="TGT569" s="341"/>
      <c r="TGU569" s="341"/>
      <c r="TGV569" s="341"/>
      <c r="TGW569" s="341"/>
      <c r="TGX569" s="341"/>
      <c r="TGY569" s="341"/>
      <c r="TGZ569" s="341"/>
      <c r="THA569" s="341"/>
      <c r="THB569" s="341"/>
      <c r="THC569" s="341"/>
      <c r="THD569" s="341"/>
      <c r="THE569" s="341"/>
      <c r="THF569" s="341"/>
      <c r="THG569" s="341"/>
      <c r="THH569" s="341"/>
      <c r="THI569" s="341"/>
      <c r="THJ569" s="341"/>
      <c r="THK569" s="341"/>
      <c r="THL569" s="341"/>
      <c r="THM569" s="341"/>
      <c r="THN569" s="341"/>
      <c r="THO569" s="341"/>
      <c r="THP569" s="341"/>
      <c r="THQ569" s="341"/>
      <c r="THR569" s="341"/>
      <c r="THS569" s="341"/>
      <c r="THT569" s="341"/>
      <c r="THU569" s="341"/>
      <c r="THV569" s="341"/>
      <c r="THW569" s="341"/>
      <c r="THX569" s="341"/>
      <c r="THY569" s="341"/>
      <c r="THZ569" s="341"/>
      <c r="TIA569" s="341"/>
      <c r="TIB569" s="341"/>
      <c r="TIC569" s="341"/>
      <c r="TID569" s="341"/>
      <c r="TIE569" s="341"/>
      <c r="TIF569" s="341"/>
      <c r="TIG569" s="341"/>
      <c r="TIH569" s="341"/>
      <c r="TII569" s="341"/>
      <c r="TIJ569" s="341"/>
      <c r="TIK569" s="341"/>
      <c r="TIL569" s="341"/>
      <c r="TIM569" s="341"/>
      <c r="TIN569" s="341"/>
      <c r="TIO569" s="341"/>
      <c r="TIP569" s="341"/>
      <c r="TIQ569" s="341"/>
      <c r="TIR569" s="341"/>
      <c r="TIS569" s="341"/>
      <c r="TIT569" s="341"/>
      <c r="TIU569" s="341"/>
      <c r="TIV569" s="341"/>
      <c r="TIW569" s="341"/>
      <c r="TIX569" s="341"/>
      <c r="TIY569" s="341"/>
      <c r="TIZ569" s="341"/>
      <c r="TJA569" s="341"/>
      <c r="TJB569" s="341"/>
      <c r="TJC569" s="341"/>
      <c r="TJD569" s="341"/>
      <c r="TJE569" s="341"/>
      <c r="TJF569" s="341"/>
      <c r="TJG569" s="341"/>
      <c r="TJH569" s="341"/>
      <c r="TJI569" s="341"/>
      <c r="TJJ569" s="341"/>
      <c r="TJK569" s="341"/>
      <c r="TJL569" s="341"/>
      <c r="TJM569" s="341"/>
      <c r="TJN569" s="341"/>
      <c r="TJO569" s="341"/>
      <c r="TJP569" s="341"/>
      <c r="TJQ569" s="341"/>
      <c r="TJR569" s="341"/>
      <c r="TJS569" s="341"/>
      <c r="TJT569" s="341"/>
      <c r="TJU569" s="341"/>
      <c r="TJV569" s="341"/>
      <c r="TJW569" s="341"/>
      <c r="TJX569" s="341"/>
      <c r="TJY569" s="341"/>
      <c r="TJZ569" s="341"/>
      <c r="TKA569" s="341"/>
      <c r="TKB569" s="341"/>
      <c r="TKC569" s="341"/>
      <c r="TKD569" s="341"/>
      <c r="TKE569" s="341"/>
      <c r="TKF569" s="341"/>
      <c r="TKG569" s="341"/>
      <c r="TKH569" s="341"/>
      <c r="TKI569" s="341"/>
      <c r="TKJ569" s="341"/>
      <c r="TKK569" s="341"/>
      <c r="TKL569" s="341"/>
      <c r="TKM569" s="341"/>
      <c r="TKN569" s="341"/>
      <c r="TKO569" s="341"/>
      <c r="TKP569" s="341"/>
      <c r="TKQ569" s="341"/>
      <c r="TKR569" s="341"/>
      <c r="TKS569" s="341"/>
      <c r="TKT569" s="341"/>
      <c r="TKU569" s="341"/>
      <c r="TKV569" s="341"/>
      <c r="TKW569" s="341"/>
      <c r="TKX569" s="341"/>
      <c r="TKY569" s="341"/>
      <c r="TKZ569" s="341"/>
      <c r="TLA569" s="341"/>
      <c r="TLB569" s="341"/>
      <c r="TLC569" s="341"/>
      <c r="TLD569" s="341"/>
      <c r="TLE569" s="341"/>
      <c r="TLF569" s="341"/>
      <c r="TLG569" s="341"/>
      <c r="TLH569" s="341"/>
      <c r="TLI569" s="341"/>
      <c r="TLJ569" s="341"/>
      <c r="TLK569" s="341"/>
      <c r="TLL569" s="341"/>
      <c r="TLM569" s="341"/>
      <c r="TLN569" s="341"/>
      <c r="TLO569" s="341"/>
      <c r="TLP569" s="341"/>
      <c r="TLQ569" s="341"/>
      <c r="TLR569" s="341"/>
      <c r="TLS569" s="341"/>
      <c r="TLT569" s="341"/>
      <c r="TLU569" s="341"/>
      <c r="TLV569" s="341"/>
      <c r="TLW569" s="341"/>
      <c r="TLX569" s="341"/>
      <c r="TLY569" s="341"/>
      <c r="TLZ569" s="341"/>
      <c r="TMA569" s="341"/>
      <c r="TMB569" s="341"/>
      <c r="TMC569" s="341"/>
      <c r="TMD569" s="341"/>
      <c r="TME569" s="341"/>
      <c r="TMF569" s="341"/>
      <c r="TMG569" s="341"/>
      <c r="TMH569" s="341"/>
      <c r="TMI569" s="341"/>
      <c r="TMJ569" s="341"/>
      <c r="TMK569" s="341"/>
      <c r="TML569" s="341"/>
      <c r="TMM569" s="341"/>
      <c r="TMN569" s="341"/>
      <c r="TMO569" s="341"/>
      <c r="TMP569" s="341"/>
      <c r="TMQ569" s="341"/>
      <c r="TMR569" s="341"/>
      <c r="TMS569" s="341"/>
      <c r="TMT569" s="341"/>
      <c r="TMU569" s="341"/>
      <c r="TMV569" s="341"/>
      <c r="TMW569" s="341"/>
      <c r="TMX569" s="341"/>
      <c r="TMY569" s="341"/>
      <c r="TMZ569" s="341"/>
      <c r="TNA569" s="341"/>
      <c r="TNB569" s="341"/>
      <c r="TNC569" s="341"/>
      <c r="TND569" s="341"/>
      <c r="TNE569" s="341"/>
      <c r="TNF569" s="341"/>
      <c r="TNG569" s="341"/>
      <c r="TNH569" s="341"/>
      <c r="TNI569" s="341"/>
      <c r="TNJ569" s="341"/>
      <c r="TNK569" s="341"/>
      <c r="TNL569" s="341"/>
      <c r="TNM569" s="341"/>
      <c r="TNN569" s="341"/>
      <c r="TNO569" s="341"/>
      <c r="TNP569" s="341"/>
      <c r="TNQ569" s="341"/>
      <c r="TNR569" s="341"/>
      <c r="TNS569" s="341"/>
      <c r="TNT569" s="341"/>
      <c r="TNU569" s="341"/>
      <c r="TNV569" s="341"/>
      <c r="TNW569" s="341"/>
      <c r="TNX569" s="341"/>
      <c r="TNY569" s="341"/>
      <c r="TNZ569" s="341"/>
      <c r="TOA569" s="341"/>
      <c r="TOB569" s="341"/>
      <c r="TOC569" s="341"/>
      <c r="TOD569" s="341"/>
      <c r="TOE569" s="341"/>
      <c r="TOF569" s="341"/>
      <c r="TOG569" s="341"/>
      <c r="TOH569" s="341"/>
      <c r="TOI569" s="341"/>
      <c r="TOJ569" s="341"/>
      <c r="TOK569" s="341"/>
      <c r="TOL569" s="341"/>
      <c r="TOM569" s="341"/>
      <c r="TON569" s="341"/>
      <c r="TOO569" s="341"/>
      <c r="TOP569" s="341"/>
      <c r="TOQ569" s="341"/>
      <c r="TOR569" s="341"/>
      <c r="TOS569" s="341"/>
      <c r="TOT569" s="341"/>
      <c r="TOU569" s="341"/>
      <c r="TOV569" s="341"/>
      <c r="TOW569" s="341"/>
      <c r="TOX569" s="341"/>
      <c r="TOY569" s="341"/>
      <c r="TOZ569" s="341"/>
      <c r="TPA569" s="341"/>
      <c r="TPB569" s="341"/>
      <c r="TPC569" s="341"/>
      <c r="TPD569" s="341"/>
      <c r="TPE569" s="341"/>
      <c r="TPF569" s="341"/>
      <c r="TPG569" s="341"/>
      <c r="TPH569" s="341"/>
      <c r="TPI569" s="341"/>
      <c r="TPJ569" s="341"/>
      <c r="TPK569" s="341"/>
      <c r="TPL569" s="341"/>
      <c r="TPM569" s="341"/>
      <c r="TPN569" s="341"/>
      <c r="TPO569" s="341"/>
      <c r="TPP569" s="341"/>
      <c r="TPQ569" s="341"/>
      <c r="TPR569" s="341"/>
      <c r="TPS569" s="341"/>
      <c r="TPT569" s="341"/>
      <c r="TPU569" s="341"/>
      <c r="TPV569" s="341"/>
      <c r="TPW569" s="341"/>
      <c r="TPX569" s="341"/>
      <c r="TPY569" s="341"/>
      <c r="TPZ569" s="341"/>
      <c r="TQA569" s="341"/>
      <c r="TQB569" s="341"/>
      <c r="TQC569" s="341"/>
      <c r="TQD569" s="341"/>
      <c r="TQE569" s="341"/>
      <c r="TQF569" s="341"/>
      <c r="TQG569" s="341"/>
      <c r="TQH569" s="341"/>
      <c r="TQI569" s="341"/>
      <c r="TQJ569" s="341"/>
      <c r="TQK569" s="341"/>
      <c r="TQL569" s="341"/>
      <c r="TQM569" s="341"/>
      <c r="TQN569" s="341"/>
      <c r="TQO569" s="341"/>
      <c r="TQP569" s="341"/>
      <c r="TQQ569" s="341"/>
      <c r="TQR569" s="341"/>
      <c r="TQS569" s="341"/>
      <c r="TQT569" s="341"/>
      <c r="TQU569" s="341"/>
      <c r="TQV569" s="341"/>
      <c r="TQW569" s="341"/>
      <c r="TQX569" s="341"/>
      <c r="TQY569" s="341"/>
      <c r="TQZ569" s="341"/>
      <c r="TRA569" s="341"/>
      <c r="TRB569" s="341"/>
      <c r="TRC569" s="341"/>
      <c r="TRD569" s="341"/>
      <c r="TRE569" s="341"/>
      <c r="TRF569" s="341"/>
      <c r="TRG569" s="341"/>
      <c r="TRH569" s="341"/>
      <c r="TRI569" s="341"/>
      <c r="TRJ569" s="341"/>
      <c r="TRK569" s="341"/>
      <c r="TRL569" s="341"/>
      <c r="TRM569" s="341"/>
      <c r="TRN569" s="341"/>
      <c r="TRO569" s="341"/>
      <c r="TRP569" s="341"/>
      <c r="TRQ569" s="341"/>
      <c r="TRR569" s="341"/>
      <c r="TRS569" s="341"/>
      <c r="TRT569" s="341"/>
      <c r="TRU569" s="341"/>
      <c r="TRV569" s="341"/>
      <c r="TRW569" s="341"/>
      <c r="TRX569" s="341"/>
      <c r="TRY569" s="341"/>
      <c r="TRZ569" s="341"/>
      <c r="TSA569" s="341"/>
      <c r="TSB569" s="341"/>
      <c r="TSC569" s="341"/>
      <c r="TSD569" s="341"/>
      <c r="TSE569" s="341"/>
      <c r="TSF569" s="341"/>
      <c r="TSG569" s="341"/>
      <c r="TSH569" s="341"/>
      <c r="TSI569" s="341"/>
      <c r="TSJ569" s="341"/>
      <c r="TSK569" s="341"/>
      <c r="TSL569" s="341"/>
      <c r="TSM569" s="341"/>
      <c r="TSN569" s="341"/>
      <c r="TSO569" s="341"/>
      <c r="TSP569" s="341"/>
      <c r="TSQ569" s="341"/>
      <c r="TSR569" s="341"/>
      <c r="TSS569" s="341"/>
      <c r="TST569" s="341"/>
      <c r="TSU569" s="341"/>
      <c r="TSV569" s="341"/>
      <c r="TSW569" s="341"/>
      <c r="TSX569" s="341"/>
      <c r="TSY569" s="341"/>
      <c r="TSZ569" s="341"/>
      <c r="TTA569" s="341"/>
      <c r="TTB569" s="341"/>
      <c r="TTC569" s="341"/>
      <c r="TTD569" s="341"/>
      <c r="TTE569" s="341"/>
      <c r="TTF569" s="341"/>
      <c r="TTG569" s="341"/>
      <c r="TTH569" s="341"/>
      <c r="TTI569" s="341"/>
      <c r="TTJ569" s="341"/>
      <c r="TTK569" s="341"/>
      <c r="TTL569" s="341"/>
      <c r="TTM569" s="341"/>
      <c r="TTN569" s="341"/>
      <c r="TTO569" s="341"/>
      <c r="TTP569" s="341"/>
      <c r="TTQ569" s="341"/>
      <c r="TTR569" s="341"/>
      <c r="TTS569" s="341"/>
      <c r="TTT569" s="341"/>
      <c r="TTU569" s="341"/>
      <c r="TTV569" s="341"/>
      <c r="TTW569" s="341"/>
      <c r="TTX569" s="341"/>
      <c r="TTY569" s="341"/>
      <c r="TTZ569" s="341"/>
      <c r="TUA569" s="341"/>
      <c r="TUB569" s="341"/>
      <c r="TUC569" s="341"/>
      <c r="TUD569" s="341"/>
      <c r="TUE569" s="341"/>
      <c r="TUF569" s="341"/>
      <c r="TUG569" s="341"/>
      <c r="TUH569" s="341"/>
      <c r="TUI569" s="341"/>
      <c r="TUJ569" s="341"/>
      <c r="TUK569" s="341"/>
      <c r="TUL569" s="341"/>
      <c r="TUM569" s="341"/>
      <c r="TUN569" s="341"/>
      <c r="TUO569" s="341"/>
      <c r="TUP569" s="341"/>
      <c r="TUQ569" s="341"/>
      <c r="TUR569" s="341"/>
      <c r="TUS569" s="341"/>
      <c r="TUT569" s="341"/>
      <c r="TUU569" s="341"/>
      <c r="TUV569" s="341"/>
      <c r="TUW569" s="341"/>
      <c r="TUX569" s="341"/>
      <c r="TUY569" s="341"/>
      <c r="TUZ569" s="341"/>
      <c r="TVA569" s="341"/>
      <c r="TVB569" s="341"/>
      <c r="TVC569" s="341"/>
      <c r="TVD569" s="341"/>
      <c r="TVE569" s="341"/>
      <c r="TVF569" s="341"/>
      <c r="TVG569" s="341"/>
      <c r="TVH569" s="341"/>
      <c r="TVI569" s="341"/>
      <c r="TVJ569" s="341"/>
      <c r="TVK569" s="341"/>
      <c r="TVL569" s="341"/>
      <c r="TVM569" s="341"/>
      <c r="TVN569" s="341"/>
      <c r="TVO569" s="341"/>
      <c r="TVP569" s="341"/>
      <c r="TVQ569" s="341"/>
      <c r="TVR569" s="341"/>
      <c r="TVS569" s="341"/>
      <c r="TVT569" s="341"/>
      <c r="TVU569" s="341"/>
      <c r="TVV569" s="341"/>
      <c r="TVW569" s="341"/>
      <c r="TVX569" s="341"/>
      <c r="TVY569" s="341"/>
      <c r="TVZ569" s="341"/>
      <c r="TWA569" s="341"/>
      <c r="TWB569" s="341"/>
      <c r="TWC569" s="341"/>
      <c r="TWD569" s="341"/>
      <c r="TWE569" s="341"/>
      <c r="TWF569" s="341"/>
      <c r="TWG569" s="341"/>
      <c r="TWH569" s="341"/>
      <c r="TWI569" s="341"/>
      <c r="TWJ569" s="341"/>
      <c r="TWK569" s="341"/>
      <c r="TWL569" s="341"/>
      <c r="TWM569" s="341"/>
      <c r="TWN569" s="341"/>
      <c r="TWO569" s="341"/>
      <c r="TWP569" s="341"/>
      <c r="TWQ569" s="341"/>
      <c r="TWR569" s="341"/>
      <c r="TWS569" s="341"/>
      <c r="TWT569" s="341"/>
      <c r="TWU569" s="341"/>
      <c r="TWV569" s="341"/>
      <c r="TWW569" s="341"/>
      <c r="TWX569" s="341"/>
      <c r="TWY569" s="341"/>
      <c r="TWZ569" s="341"/>
      <c r="TXA569" s="341"/>
      <c r="TXB569" s="341"/>
      <c r="TXC569" s="341"/>
      <c r="TXD569" s="341"/>
      <c r="TXE569" s="341"/>
      <c r="TXF569" s="341"/>
      <c r="TXG569" s="341"/>
      <c r="TXH569" s="341"/>
      <c r="TXI569" s="341"/>
      <c r="TXJ569" s="341"/>
      <c r="TXK569" s="341"/>
      <c r="TXL569" s="341"/>
      <c r="TXM569" s="341"/>
      <c r="TXN569" s="341"/>
      <c r="TXO569" s="341"/>
      <c r="TXP569" s="341"/>
      <c r="TXQ569" s="341"/>
      <c r="TXR569" s="341"/>
      <c r="TXS569" s="341"/>
      <c r="TXT569" s="341"/>
      <c r="TXU569" s="341"/>
      <c r="TXV569" s="341"/>
      <c r="TXW569" s="341"/>
      <c r="TXX569" s="341"/>
      <c r="TXY569" s="341"/>
      <c r="TXZ569" s="341"/>
      <c r="TYA569" s="341"/>
      <c r="TYB569" s="341"/>
      <c r="TYC569" s="341"/>
      <c r="TYD569" s="341"/>
      <c r="TYE569" s="341"/>
      <c r="TYF569" s="341"/>
      <c r="TYG569" s="341"/>
      <c r="TYH569" s="341"/>
      <c r="TYI569" s="341"/>
      <c r="TYJ569" s="341"/>
      <c r="TYK569" s="341"/>
      <c r="TYL569" s="341"/>
      <c r="TYM569" s="341"/>
      <c r="TYN569" s="341"/>
      <c r="TYO569" s="341"/>
      <c r="TYP569" s="341"/>
      <c r="TYQ569" s="341"/>
      <c r="TYR569" s="341"/>
      <c r="TYS569" s="341"/>
      <c r="TYT569" s="341"/>
      <c r="TYU569" s="341"/>
      <c r="TYV569" s="341"/>
      <c r="TYW569" s="341"/>
      <c r="TYX569" s="341"/>
      <c r="TYY569" s="341"/>
      <c r="TYZ569" s="341"/>
      <c r="TZA569" s="341"/>
      <c r="TZB569" s="341"/>
      <c r="TZC569" s="341"/>
      <c r="TZD569" s="341"/>
      <c r="TZE569" s="341"/>
      <c r="TZF569" s="341"/>
      <c r="TZG569" s="341"/>
      <c r="TZH569" s="341"/>
      <c r="TZI569" s="341"/>
      <c r="TZJ569" s="341"/>
      <c r="TZK569" s="341"/>
      <c r="TZL569" s="341"/>
      <c r="TZM569" s="341"/>
      <c r="TZN569" s="341"/>
      <c r="TZO569" s="341"/>
      <c r="TZP569" s="341"/>
      <c r="TZQ569" s="341"/>
      <c r="TZR569" s="341"/>
      <c r="TZS569" s="341"/>
      <c r="TZT569" s="341"/>
      <c r="TZU569" s="341"/>
      <c r="TZV569" s="341"/>
      <c r="TZW569" s="341"/>
      <c r="TZX569" s="341"/>
      <c r="TZY569" s="341"/>
      <c r="TZZ569" s="341"/>
      <c r="UAA569" s="341"/>
      <c r="UAB569" s="341"/>
      <c r="UAC569" s="341"/>
      <c r="UAD569" s="341"/>
      <c r="UAE569" s="341"/>
      <c r="UAF569" s="341"/>
      <c r="UAG569" s="341"/>
      <c r="UAH569" s="341"/>
      <c r="UAI569" s="341"/>
      <c r="UAJ569" s="341"/>
      <c r="UAK569" s="341"/>
      <c r="UAL569" s="341"/>
      <c r="UAM569" s="341"/>
      <c r="UAN569" s="341"/>
      <c r="UAO569" s="341"/>
      <c r="UAP569" s="341"/>
      <c r="UAQ569" s="341"/>
      <c r="UAR569" s="341"/>
      <c r="UAS569" s="341"/>
      <c r="UAT569" s="341"/>
      <c r="UAU569" s="341"/>
      <c r="UAV569" s="341"/>
      <c r="UAW569" s="341"/>
      <c r="UAX569" s="341"/>
      <c r="UAY569" s="341"/>
      <c r="UAZ569" s="341"/>
      <c r="UBA569" s="341"/>
      <c r="UBB569" s="341"/>
      <c r="UBC569" s="341"/>
      <c r="UBD569" s="341"/>
      <c r="UBE569" s="341"/>
      <c r="UBF569" s="341"/>
      <c r="UBG569" s="341"/>
      <c r="UBH569" s="341"/>
      <c r="UBI569" s="341"/>
      <c r="UBJ569" s="341"/>
      <c r="UBK569" s="341"/>
      <c r="UBL569" s="341"/>
      <c r="UBM569" s="341"/>
      <c r="UBN569" s="341"/>
      <c r="UBO569" s="341"/>
      <c r="UBP569" s="341"/>
      <c r="UBQ569" s="341"/>
      <c r="UBR569" s="341"/>
      <c r="UBS569" s="341"/>
      <c r="UBT569" s="341"/>
      <c r="UBU569" s="341"/>
      <c r="UBV569" s="341"/>
      <c r="UBW569" s="341"/>
      <c r="UBX569" s="341"/>
      <c r="UBY569" s="341"/>
      <c r="UBZ569" s="341"/>
      <c r="UCA569" s="341"/>
      <c r="UCB569" s="341"/>
      <c r="UCC569" s="341"/>
      <c r="UCD569" s="341"/>
      <c r="UCE569" s="341"/>
      <c r="UCF569" s="341"/>
      <c r="UCG569" s="341"/>
      <c r="UCH569" s="341"/>
      <c r="UCI569" s="341"/>
      <c r="UCJ569" s="341"/>
      <c r="UCK569" s="341"/>
      <c r="UCL569" s="341"/>
      <c r="UCM569" s="341"/>
      <c r="UCN569" s="341"/>
      <c r="UCO569" s="341"/>
      <c r="UCP569" s="341"/>
      <c r="UCQ569" s="341"/>
      <c r="UCR569" s="341"/>
      <c r="UCS569" s="341"/>
      <c r="UCT569" s="341"/>
      <c r="UCU569" s="341"/>
      <c r="UCV569" s="341"/>
      <c r="UCW569" s="341"/>
      <c r="UCX569" s="341"/>
      <c r="UCY569" s="341"/>
      <c r="UCZ569" s="341"/>
      <c r="UDA569" s="341"/>
      <c r="UDB569" s="341"/>
      <c r="UDC569" s="341"/>
      <c r="UDD569" s="341"/>
      <c r="UDE569" s="341"/>
      <c r="UDF569" s="341"/>
      <c r="UDG569" s="341"/>
      <c r="UDH569" s="341"/>
      <c r="UDI569" s="341"/>
      <c r="UDJ569" s="341"/>
      <c r="UDK569" s="341"/>
      <c r="UDL569" s="341"/>
      <c r="UDM569" s="341"/>
      <c r="UDN569" s="341"/>
      <c r="UDO569" s="341"/>
      <c r="UDP569" s="341"/>
      <c r="UDQ569" s="341"/>
      <c r="UDR569" s="341"/>
      <c r="UDS569" s="341"/>
      <c r="UDT569" s="341"/>
      <c r="UDU569" s="341"/>
      <c r="UDV569" s="341"/>
      <c r="UDW569" s="341"/>
      <c r="UDX569" s="341"/>
      <c r="UDY569" s="341"/>
      <c r="UDZ569" s="341"/>
      <c r="UEA569" s="341"/>
      <c r="UEB569" s="341"/>
      <c r="UEC569" s="341"/>
      <c r="UED569" s="341"/>
      <c r="UEE569" s="341"/>
      <c r="UEF569" s="341"/>
      <c r="UEG569" s="341"/>
      <c r="UEH569" s="341"/>
      <c r="UEI569" s="341"/>
      <c r="UEJ569" s="341"/>
      <c r="UEK569" s="341"/>
      <c r="UEL569" s="341"/>
      <c r="UEM569" s="341"/>
      <c r="UEN569" s="341"/>
      <c r="UEO569" s="341"/>
      <c r="UEP569" s="341"/>
      <c r="UEQ569" s="341"/>
      <c r="UER569" s="341"/>
      <c r="UES569" s="341"/>
      <c r="UET569" s="341"/>
      <c r="UEU569" s="341"/>
      <c r="UEV569" s="341"/>
      <c r="UEW569" s="341"/>
      <c r="UEX569" s="341"/>
      <c r="UEY569" s="341"/>
      <c r="UEZ569" s="341"/>
      <c r="UFA569" s="341"/>
      <c r="UFB569" s="341"/>
      <c r="UFC569" s="341"/>
      <c r="UFD569" s="341"/>
      <c r="UFE569" s="341"/>
      <c r="UFF569" s="341"/>
      <c r="UFG569" s="341"/>
      <c r="UFH569" s="341"/>
      <c r="UFI569" s="341"/>
      <c r="UFJ569" s="341"/>
      <c r="UFK569" s="341"/>
      <c r="UFL569" s="341"/>
      <c r="UFM569" s="341"/>
      <c r="UFN569" s="341"/>
      <c r="UFO569" s="341"/>
      <c r="UFP569" s="341"/>
      <c r="UFQ569" s="341"/>
      <c r="UFR569" s="341"/>
      <c r="UFS569" s="341"/>
      <c r="UFT569" s="341"/>
      <c r="UFU569" s="341"/>
      <c r="UFV569" s="341"/>
      <c r="UFW569" s="341"/>
      <c r="UFX569" s="341"/>
      <c r="UFY569" s="341"/>
      <c r="UFZ569" s="341"/>
      <c r="UGA569" s="341"/>
      <c r="UGB569" s="341"/>
      <c r="UGC569" s="341"/>
      <c r="UGD569" s="341"/>
      <c r="UGE569" s="341"/>
      <c r="UGF569" s="341"/>
      <c r="UGG569" s="341"/>
      <c r="UGH569" s="341"/>
      <c r="UGI569" s="341"/>
      <c r="UGJ569" s="341"/>
      <c r="UGK569" s="341"/>
      <c r="UGL569" s="341"/>
      <c r="UGM569" s="341"/>
      <c r="UGN569" s="341"/>
      <c r="UGO569" s="341"/>
      <c r="UGP569" s="341"/>
      <c r="UGQ569" s="341"/>
      <c r="UGR569" s="341"/>
      <c r="UGS569" s="341"/>
      <c r="UGT569" s="341"/>
      <c r="UGU569" s="341"/>
      <c r="UGV569" s="341"/>
      <c r="UGW569" s="341"/>
      <c r="UGX569" s="341"/>
      <c r="UGY569" s="341"/>
      <c r="UGZ569" s="341"/>
      <c r="UHA569" s="341"/>
      <c r="UHB569" s="341"/>
      <c r="UHC569" s="341"/>
      <c r="UHD569" s="341"/>
      <c r="UHE569" s="341"/>
      <c r="UHF569" s="341"/>
      <c r="UHG569" s="341"/>
      <c r="UHH569" s="341"/>
      <c r="UHI569" s="341"/>
      <c r="UHJ569" s="341"/>
      <c r="UHK569" s="341"/>
      <c r="UHL569" s="341"/>
      <c r="UHM569" s="341"/>
      <c r="UHN569" s="341"/>
      <c r="UHO569" s="341"/>
      <c r="UHP569" s="341"/>
      <c r="UHQ569" s="341"/>
      <c r="UHR569" s="341"/>
      <c r="UHS569" s="341"/>
      <c r="UHT569" s="341"/>
      <c r="UHU569" s="341"/>
      <c r="UHV569" s="341"/>
      <c r="UHW569" s="341"/>
      <c r="UHX569" s="341"/>
      <c r="UHY569" s="341"/>
      <c r="UHZ569" s="341"/>
      <c r="UIA569" s="341"/>
      <c r="UIB569" s="341"/>
      <c r="UIC569" s="341"/>
      <c r="UID569" s="341"/>
      <c r="UIE569" s="341"/>
      <c r="UIF569" s="341"/>
      <c r="UIG569" s="341"/>
      <c r="UIH569" s="341"/>
      <c r="UII569" s="341"/>
      <c r="UIJ569" s="341"/>
      <c r="UIK569" s="341"/>
      <c r="UIL569" s="341"/>
      <c r="UIM569" s="341"/>
      <c r="UIN569" s="341"/>
      <c r="UIO569" s="341"/>
      <c r="UIP569" s="341"/>
      <c r="UIQ569" s="341"/>
      <c r="UIR569" s="341"/>
      <c r="UIS569" s="341"/>
      <c r="UIT569" s="341"/>
      <c r="UIU569" s="341"/>
      <c r="UIV569" s="341"/>
      <c r="UIW569" s="341"/>
      <c r="UIX569" s="341"/>
      <c r="UIY569" s="341"/>
      <c r="UIZ569" s="341"/>
      <c r="UJA569" s="341"/>
      <c r="UJB569" s="341"/>
      <c r="UJC569" s="341"/>
      <c r="UJD569" s="341"/>
      <c r="UJE569" s="341"/>
      <c r="UJF569" s="341"/>
      <c r="UJG569" s="341"/>
      <c r="UJH569" s="341"/>
      <c r="UJI569" s="341"/>
      <c r="UJJ569" s="341"/>
      <c r="UJK569" s="341"/>
      <c r="UJL569" s="341"/>
      <c r="UJM569" s="341"/>
      <c r="UJN569" s="341"/>
      <c r="UJO569" s="341"/>
      <c r="UJP569" s="341"/>
      <c r="UJQ569" s="341"/>
      <c r="UJR569" s="341"/>
      <c r="UJS569" s="341"/>
      <c r="UJT569" s="341"/>
      <c r="UJU569" s="341"/>
      <c r="UJV569" s="341"/>
      <c r="UJW569" s="341"/>
      <c r="UJX569" s="341"/>
      <c r="UJY569" s="341"/>
      <c r="UJZ569" s="341"/>
      <c r="UKA569" s="341"/>
      <c r="UKB569" s="341"/>
      <c r="UKC569" s="341"/>
      <c r="UKD569" s="341"/>
      <c r="UKE569" s="341"/>
      <c r="UKF569" s="341"/>
      <c r="UKG569" s="341"/>
      <c r="UKH569" s="341"/>
      <c r="UKI569" s="341"/>
      <c r="UKJ569" s="341"/>
      <c r="UKK569" s="341"/>
      <c r="UKL569" s="341"/>
      <c r="UKM569" s="341"/>
      <c r="UKN569" s="341"/>
      <c r="UKO569" s="341"/>
      <c r="UKP569" s="341"/>
      <c r="UKQ569" s="341"/>
      <c r="UKR569" s="341"/>
      <c r="UKS569" s="341"/>
      <c r="UKT569" s="341"/>
      <c r="UKU569" s="341"/>
      <c r="UKV569" s="341"/>
      <c r="UKW569" s="341"/>
      <c r="UKX569" s="341"/>
      <c r="UKY569" s="341"/>
      <c r="UKZ569" s="341"/>
      <c r="ULA569" s="341"/>
      <c r="ULB569" s="341"/>
      <c r="ULC569" s="341"/>
      <c r="ULD569" s="341"/>
      <c r="ULE569" s="341"/>
      <c r="ULF569" s="341"/>
      <c r="ULG569" s="341"/>
      <c r="ULH569" s="341"/>
      <c r="ULI569" s="341"/>
      <c r="ULJ569" s="341"/>
      <c r="ULK569" s="341"/>
      <c r="ULL569" s="341"/>
      <c r="ULM569" s="341"/>
      <c r="ULN569" s="341"/>
      <c r="ULO569" s="341"/>
      <c r="ULP569" s="341"/>
      <c r="ULQ569" s="341"/>
      <c r="ULR569" s="341"/>
      <c r="ULS569" s="341"/>
      <c r="ULT569" s="341"/>
      <c r="ULU569" s="341"/>
      <c r="ULV569" s="341"/>
      <c r="ULW569" s="341"/>
      <c r="ULX569" s="341"/>
      <c r="ULY569" s="341"/>
      <c r="ULZ569" s="341"/>
      <c r="UMA569" s="341"/>
      <c r="UMB569" s="341"/>
      <c r="UMC569" s="341"/>
      <c r="UMD569" s="341"/>
      <c r="UME569" s="341"/>
      <c r="UMF569" s="341"/>
      <c r="UMG569" s="341"/>
      <c r="UMH569" s="341"/>
      <c r="UMI569" s="341"/>
      <c r="UMJ569" s="341"/>
      <c r="UMK569" s="341"/>
      <c r="UML569" s="341"/>
      <c r="UMM569" s="341"/>
      <c r="UMN569" s="341"/>
      <c r="UMO569" s="341"/>
      <c r="UMP569" s="341"/>
      <c r="UMQ569" s="341"/>
      <c r="UMR569" s="341"/>
      <c r="UMS569" s="341"/>
      <c r="UMT569" s="341"/>
      <c r="UMU569" s="341"/>
      <c r="UMV569" s="341"/>
      <c r="UMW569" s="341"/>
      <c r="UMX569" s="341"/>
      <c r="UMY569" s="341"/>
      <c r="UMZ569" s="341"/>
      <c r="UNA569" s="341"/>
      <c r="UNB569" s="341"/>
      <c r="UNC569" s="341"/>
      <c r="UND569" s="341"/>
      <c r="UNE569" s="341"/>
      <c r="UNF569" s="341"/>
      <c r="UNG569" s="341"/>
      <c r="UNH569" s="341"/>
      <c r="UNI569" s="341"/>
      <c r="UNJ569" s="341"/>
      <c r="UNK569" s="341"/>
      <c r="UNL569" s="341"/>
      <c r="UNM569" s="341"/>
      <c r="UNN569" s="341"/>
      <c r="UNO569" s="341"/>
      <c r="UNP569" s="341"/>
      <c r="UNQ569" s="341"/>
      <c r="UNR569" s="341"/>
      <c r="UNS569" s="341"/>
      <c r="UNT569" s="341"/>
      <c r="UNU569" s="341"/>
      <c r="UNV569" s="341"/>
      <c r="UNW569" s="341"/>
      <c r="UNX569" s="341"/>
      <c r="UNY569" s="341"/>
      <c r="UNZ569" s="341"/>
      <c r="UOA569" s="341"/>
      <c r="UOB569" s="341"/>
      <c r="UOC569" s="341"/>
      <c r="UOD569" s="341"/>
      <c r="UOE569" s="341"/>
      <c r="UOF569" s="341"/>
      <c r="UOG569" s="341"/>
      <c r="UOH569" s="341"/>
      <c r="UOI569" s="341"/>
      <c r="UOJ569" s="341"/>
      <c r="UOK569" s="341"/>
      <c r="UOL569" s="341"/>
      <c r="UOM569" s="341"/>
      <c r="UON569" s="341"/>
      <c r="UOO569" s="341"/>
      <c r="UOP569" s="341"/>
      <c r="UOQ569" s="341"/>
      <c r="UOR569" s="341"/>
      <c r="UOS569" s="341"/>
      <c r="UOT569" s="341"/>
      <c r="UOU569" s="341"/>
      <c r="UOV569" s="341"/>
      <c r="UOW569" s="341"/>
      <c r="UOX569" s="341"/>
      <c r="UOY569" s="341"/>
      <c r="UOZ569" s="341"/>
      <c r="UPA569" s="341"/>
      <c r="UPB569" s="341"/>
      <c r="UPC569" s="341"/>
      <c r="UPD569" s="341"/>
      <c r="UPE569" s="341"/>
      <c r="UPF569" s="341"/>
      <c r="UPG569" s="341"/>
      <c r="UPH569" s="341"/>
      <c r="UPI569" s="341"/>
      <c r="UPJ569" s="341"/>
      <c r="UPK569" s="341"/>
      <c r="UPL569" s="341"/>
      <c r="UPM569" s="341"/>
      <c r="UPN569" s="341"/>
      <c r="UPO569" s="341"/>
      <c r="UPP569" s="341"/>
      <c r="UPQ569" s="341"/>
      <c r="UPR569" s="341"/>
      <c r="UPS569" s="341"/>
      <c r="UPT569" s="341"/>
      <c r="UPU569" s="341"/>
      <c r="UPV569" s="341"/>
      <c r="UPW569" s="341"/>
      <c r="UPX569" s="341"/>
      <c r="UPY569" s="341"/>
      <c r="UPZ569" s="341"/>
      <c r="UQA569" s="341"/>
      <c r="UQB569" s="341"/>
      <c r="UQC569" s="341"/>
      <c r="UQD569" s="341"/>
      <c r="UQE569" s="341"/>
      <c r="UQF569" s="341"/>
      <c r="UQG569" s="341"/>
      <c r="UQH569" s="341"/>
      <c r="UQI569" s="341"/>
      <c r="UQJ569" s="341"/>
      <c r="UQK569" s="341"/>
      <c r="UQL569" s="341"/>
      <c r="UQM569" s="341"/>
      <c r="UQN569" s="341"/>
      <c r="UQO569" s="341"/>
      <c r="UQP569" s="341"/>
      <c r="UQQ569" s="341"/>
      <c r="UQR569" s="341"/>
      <c r="UQS569" s="341"/>
      <c r="UQT569" s="341"/>
      <c r="UQU569" s="341"/>
      <c r="UQV569" s="341"/>
      <c r="UQW569" s="341"/>
      <c r="UQX569" s="341"/>
      <c r="UQY569" s="341"/>
      <c r="UQZ569" s="341"/>
      <c r="URA569" s="341"/>
      <c r="URB569" s="341"/>
      <c r="URC569" s="341"/>
      <c r="URD569" s="341"/>
      <c r="URE569" s="341"/>
      <c r="URF569" s="341"/>
      <c r="URG569" s="341"/>
      <c r="URH569" s="341"/>
      <c r="URI569" s="341"/>
      <c r="URJ569" s="341"/>
      <c r="URK569" s="341"/>
      <c r="URL569" s="341"/>
      <c r="URM569" s="341"/>
      <c r="URN569" s="341"/>
      <c r="URO569" s="341"/>
      <c r="URP569" s="341"/>
      <c r="URQ569" s="341"/>
      <c r="URR569" s="341"/>
      <c r="URS569" s="341"/>
      <c r="URT569" s="341"/>
      <c r="URU569" s="341"/>
      <c r="URV569" s="341"/>
      <c r="URW569" s="341"/>
      <c r="URX569" s="341"/>
      <c r="URY569" s="341"/>
      <c r="URZ569" s="341"/>
      <c r="USA569" s="341"/>
      <c r="USB569" s="341"/>
      <c r="USC569" s="341"/>
      <c r="USD569" s="341"/>
      <c r="USE569" s="341"/>
      <c r="USF569" s="341"/>
      <c r="USG569" s="341"/>
      <c r="USH569" s="341"/>
      <c r="USI569" s="341"/>
      <c r="USJ569" s="341"/>
      <c r="USK569" s="341"/>
      <c r="USL569" s="341"/>
      <c r="USM569" s="341"/>
      <c r="USN569" s="341"/>
      <c r="USO569" s="341"/>
      <c r="USP569" s="341"/>
      <c r="USQ569" s="341"/>
      <c r="USR569" s="341"/>
      <c r="USS569" s="341"/>
      <c r="UST569" s="341"/>
      <c r="USU569" s="341"/>
      <c r="USV569" s="341"/>
      <c r="USW569" s="341"/>
      <c r="USX569" s="341"/>
      <c r="USY569" s="341"/>
      <c r="USZ569" s="341"/>
      <c r="UTA569" s="341"/>
      <c r="UTB569" s="341"/>
      <c r="UTC569" s="341"/>
      <c r="UTD569" s="341"/>
      <c r="UTE569" s="341"/>
      <c r="UTF569" s="341"/>
      <c r="UTG569" s="341"/>
      <c r="UTH569" s="341"/>
      <c r="UTI569" s="341"/>
      <c r="UTJ569" s="341"/>
      <c r="UTK569" s="341"/>
      <c r="UTL569" s="341"/>
      <c r="UTM569" s="341"/>
      <c r="UTN569" s="341"/>
      <c r="UTO569" s="341"/>
      <c r="UTP569" s="341"/>
      <c r="UTQ569" s="341"/>
      <c r="UTR569" s="341"/>
      <c r="UTS569" s="341"/>
      <c r="UTT569" s="341"/>
      <c r="UTU569" s="341"/>
      <c r="UTV569" s="341"/>
      <c r="UTW569" s="341"/>
      <c r="UTX569" s="341"/>
      <c r="UTY569" s="341"/>
      <c r="UTZ569" s="341"/>
      <c r="UUA569" s="341"/>
      <c r="UUB569" s="341"/>
      <c r="UUC569" s="341"/>
      <c r="UUD569" s="341"/>
      <c r="UUE569" s="341"/>
      <c r="UUF569" s="341"/>
      <c r="UUG569" s="341"/>
      <c r="UUH569" s="341"/>
      <c r="UUI569" s="341"/>
      <c r="UUJ569" s="341"/>
      <c r="UUK569" s="341"/>
      <c r="UUL569" s="341"/>
      <c r="UUM569" s="341"/>
      <c r="UUN569" s="341"/>
      <c r="UUO569" s="341"/>
      <c r="UUP569" s="341"/>
      <c r="UUQ569" s="341"/>
      <c r="UUR569" s="341"/>
      <c r="UUS569" s="341"/>
      <c r="UUT569" s="341"/>
      <c r="UUU569" s="341"/>
      <c r="UUV569" s="341"/>
      <c r="UUW569" s="341"/>
      <c r="UUX569" s="341"/>
      <c r="UUY569" s="341"/>
      <c r="UUZ569" s="341"/>
      <c r="UVA569" s="341"/>
      <c r="UVB569" s="341"/>
      <c r="UVC569" s="341"/>
      <c r="UVD569" s="341"/>
      <c r="UVE569" s="341"/>
      <c r="UVF569" s="341"/>
      <c r="UVG569" s="341"/>
      <c r="UVH569" s="341"/>
      <c r="UVI569" s="341"/>
      <c r="UVJ569" s="341"/>
      <c r="UVK569" s="341"/>
      <c r="UVL569" s="341"/>
      <c r="UVM569" s="341"/>
      <c r="UVN569" s="341"/>
      <c r="UVO569" s="341"/>
      <c r="UVP569" s="341"/>
      <c r="UVQ569" s="341"/>
      <c r="UVR569" s="341"/>
      <c r="UVS569" s="341"/>
      <c r="UVT569" s="341"/>
      <c r="UVU569" s="341"/>
      <c r="UVV569" s="341"/>
      <c r="UVW569" s="341"/>
      <c r="UVX569" s="341"/>
      <c r="UVY569" s="341"/>
      <c r="UVZ569" s="341"/>
      <c r="UWA569" s="341"/>
      <c r="UWB569" s="341"/>
      <c r="UWC569" s="341"/>
      <c r="UWD569" s="341"/>
      <c r="UWE569" s="341"/>
      <c r="UWF569" s="341"/>
      <c r="UWG569" s="341"/>
      <c r="UWH569" s="341"/>
      <c r="UWI569" s="341"/>
      <c r="UWJ569" s="341"/>
      <c r="UWK569" s="341"/>
      <c r="UWL569" s="341"/>
      <c r="UWM569" s="341"/>
      <c r="UWN569" s="341"/>
      <c r="UWO569" s="341"/>
      <c r="UWP569" s="341"/>
      <c r="UWQ569" s="341"/>
      <c r="UWR569" s="341"/>
      <c r="UWS569" s="341"/>
      <c r="UWT569" s="341"/>
      <c r="UWU569" s="341"/>
      <c r="UWV569" s="341"/>
      <c r="UWW569" s="341"/>
      <c r="UWX569" s="341"/>
      <c r="UWY569" s="341"/>
      <c r="UWZ569" s="341"/>
      <c r="UXA569" s="341"/>
      <c r="UXB569" s="341"/>
      <c r="UXC569" s="341"/>
      <c r="UXD569" s="341"/>
      <c r="UXE569" s="341"/>
      <c r="UXF569" s="341"/>
      <c r="UXG569" s="341"/>
      <c r="UXH569" s="341"/>
      <c r="UXI569" s="341"/>
      <c r="UXJ569" s="341"/>
      <c r="UXK569" s="341"/>
      <c r="UXL569" s="341"/>
      <c r="UXM569" s="341"/>
      <c r="UXN569" s="341"/>
      <c r="UXO569" s="341"/>
      <c r="UXP569" s="341"/>
      <c r="UXQ569" s="341"/>
      <c r="UXR569" s="341"/>
      <c r="UXS569" s="341"/>
      <c r="UXT569" s="341"/>
      <c r="UXU569" s="341"/>
      <c r="UXV569" s="341"/>
      <c r="UXW569" s="341"/>
      <c r="UXX569" s="341"/>
      <c r="UXY569" s="341"/>
      <c r="UXZ569" s="341"/>
      <c r="UYA569" s="341"/>
      <c r="UYB569" s="341"/>
      <c r="UYC569" s="341"/>
      <c r="UYD569" s="341"/>
      <c r="UYE569" s="341"/>
      <c r="UYF569" s="341"/>
      <c r="UYG569" s="341"/>
      <c r="UYH569" s="341"/>
      <c r="UYI569" s="341"/>
      <c r="UYJ569" s="341"/>
      <c r="UYK569" s="341"/>
      <c r="UYL569" s="341"/>
      <c r="UYM569" s="341"/>
      <c r="UYN569" s="341"/>
      <c r="UYO569" s="341"/>
      <c r="UYP569" s="341"/>
      <c r="UYQ569" s="341"/>
      <c r="UYR569" s="341"/>
      <c r="UYS569" s="341"/>
      <c r="UYT569" s="341"/>
      <c r="UYU569" s="341"/>
      <c r="UYV569" s="341"/>
      <c r="UYW569" s="341"/>
      <c r="UYX569" s="341"/>
      <c r="UYY569" s="341"/>
      <c r="UYZ569" s="341"/>
      <c r="UZA569" s="341"/>
      <c r="UZB569" s="341"/>
      <c r="UZC569" s="341"/>
      <c r="UZD569" s="341"/>
      <c r="UZE569" s="341"/>
      <c r="UZF569" s="341"/>
      <c r="UZG569" s="341"/>
      <c r="UZH569" s="341"/>
      <c r="UZI569" s="341"/>
      <c r="UZJ569" s="341"/>
      <c r="UZK569" s="341"/>
      <c r="UZL569" s="341"/>
      <c r="UZM569" s="341"/>
      <c r="UZN569" s="341"/>
      <c r="UZO569" s="341"/>
      <c r="UZP569" s="341"/>
      <c r="UZQ569" s="341"/>
      <c r="UZR569" s="341"/>
      <c r="UZS569" s="341"/>
      <c r="UZT569" s="341"/>
      <c r="UZU569" s="341"/>
      <c r="UZV569" s="341"/>
      <c r="UZW569" s="341"/>
      <c r="UZX569" s="341"/>
      <c r="UZY569" s="341"/>
      <c r="UZZ569" s="341"/>
      <c r="VAA569" s="341"/>
      <c r="VAB569" s="341"/>
      <c r="VAC569" s="341"/>
      <c r="VAD569" s="341"/>
      <c r="VAE569" s="341"/>
      <c r="VAF569" s="341"/>
      <c r="VAG569" s="341"/>
      <c r="VAH569" s="341"/>
      <c r="VAI569" s="341"/>
      <c r="VAJ569" s="341"/>
      <c r="VAK569" s="341"/>
      <c r="VAL569" s="341"/>
      <c r="VAM569" s="341"/>
      <c r="VAN569" s="341"/>
      <c r="VAO569" s="341"/>
      <c r="VAP569" s="341"/>
      <c r="VAQ569" s="341"/>
      <c r="VAR569" s="341"/>
      <c r="VAS569" s="341"/>
      <c r="VAT569" s="341"/>
      <c r="VAU569" s="341"/>
      <c r="VAV569" s="341"/>
      <c r="VAW569" s="341"/>
      <c r="VAX569" s="341"/>
      <c r="VAY569" s="341"/>
      <c r="VAZ569" s="341"/>
      <c r="VBA569" s="341"/>
      <c r="VBB569" s="341"/>
      <c r="VBC569" s="341"/>
      <c r="VBD569" s="341"/>
      <c r="VBE569" s="341"/>
      <c r="VBF569" s="341"/>
      <c r="VBG569" s="341"/>
      <c r="VBH569" s="341"/>
      <c r="VBI569" s="341"/>
      <c r="VBJ569" s="341"/>
      <c r="VBK569" s="341"/>
      <c r="VBL569" s="341"/>
      <c r="VBM569" s="341"/>
      <c r="VBN569" s="341"/>
      <c r="VBO569" s="341"/>
      <c r="VBP569" s="341"/>
      <c r="VBQ569" s="341"/>
      <c r="VBR569" s="341"/>
      <c r="VBS569" s="341"/>
      <c r="VBT569" s="341"/>
      <c r="VBU569" s="341"/>
      <c r="VBV569" s="341"/>
      <c r="VBW569" s="341"/>
      <c r="VBX569" s="341"/>
      <c r="VBY569" s="341"/>
      <c r="VBZ569" s="341"/>
      <c r="VCA569" s="341"/>
      <c r="VCB569" s="341"/>
      <c r="VCC569" s="341"/>
      <c r="VCD569" s="341"/>
      <c r="VCE569" s="341"/>
      <c r="VCF569" s="341"/>
      <c r="VCG569" s="341"/>
      <c r="VCH569" s="341"/>
      <c r="VCI569" s="341"/>
      <c r="VCJ569" s="341"/>
      <c r="VCK569" s="341"/>
      <c r="VCL569" s="341"/>
      <c r="VCM569" s="341"/>
      <c r="VCN569" s="341"/>
      <c r="VCO569" s="341"/>
      <c r="VCP569" s="341"/>
      <c r="VCQ569" s="341"/>
      <c r="VCR569" s="341"/>
      <c r="VCS569" s="341"/>
      <c r="VCT569" s="341"/>
      <c r="VCU569" s="341"/>
      <c r="VCV569" s="341"/>
      <c r="VCW569" s="341"/>
      <c r="VCX569" s="341"/>
      <c r="VCY569" s="341"/>
      <c r="VCZ569" s="341"/>
      <c r="VDA569" s="341"/>
      <c r="VDB569" s="341"/>
      <c r="VDC569" s="341"/>
      <c r="VDD569" s="341"/>
      <c r="VDE569" s="341"/>
      <c r="VDF569" s="341"/>
      <c r="VDG569" s="341"/>
      <c r="VDH569" s="341"/>
      <c r="VDI569" s="341"/>
      <c r="VDJ569" s="341"/>
      <c r="VDK569" s="341"/>
      <c r="VDL569" s="341"/>
      <c r="VDM569" s="341"/>
      <c r="VDN569" s="341"/>
      <c r="VDO569" s="341"/>
      <c r="VDP569" s="341"/>
      <c r="VDQ569" s="341"/>
      <c r="VDR569" s="341"/>
      <c r="VDS569" s="341"/>
      <c r="VDT569" s="341"/>
      <c r="VDU569" s="341"/>
      <c r="VDV569" s="341"/>
      <c r="VDW569" s="341"/>
      <c r="VDX569" s="341"/>
      <c r="VDY569" s="341"/>
      <c r="VDZ569" s="341"/>
      <c r="VEA569" s="341"/>
      <c r="VEB569" s="341"/>
      <c r="VEC569" s="341"/>
      <c r="VED569" s="341"/>
      <c r="VEE569" s="341"/>
      <c r="VEF569" s="341"/>
      <c r="VEG569" s="341"/>
      <c r="VEH569" s="341"/>
      <c r="VEI569" s="341"/>
      <c r="VEJ569" s="341"/>
      <c r="VEK569" s="341"/>
      <c r="VEL569" s="341"/>
      <c r="VEM569" s="341"/>
      <c r="VEN569" s="341"/>
      <c r="VEO569" s="341"/>
      <c r="VEP569" s="341"/>
      <c r="VEQ569" s="341"/>
      <c r="VER569" s="341"/>
      <c r="VES569" s="341"/>
      <c r="VET569" s="341"/>
      <c r="VEU569" s="341"/>
      <c r="VEV569" s="341"/>
      <c r="VEW569" s="341"/>
      <c r="VEX569" s="341"/>
      <c r="VEY569" s="341"/>
      <c r="VEZ569" s="341"/>
      <c r="VFA569" s="341"/>
      <c r="VFB569" s="341"/>
      <c r="VFC569" s="341"/>
      <c r="VFD569" s="341"/>
      <c r="VFE569" s="341"/>
      <c r="VFF569" s="341"/>
      <c r="VFG569" s="341"/>
      <c r="VFH569" s="341"/>
      <c r="VFI569" s="341"/>
      <c r="VFJ569" s="341"/>
      <c r="VFK569" s="341"/>
      <c r="VFL569" s="341"/>
      <c r="VFM569" s="341"/>
      <c r="VFN569" s="341"/>
      <c r="VFO569" s="341"/>
      <c r="VFP569" s="341"/>
      <c r="VFQ569" s="341"/>
      <c r="VFR569" s="341"/>
      <c r="VFS569" s="341"/>
      <c r="VFT569" s="341"/>
      <c r="VFU569" s="341"/>
      <c r="VFV569" s="341"/>
      <c r="VFW569" s="341"/>
      <c r="VFX569" s="341"/>
      <c r="VFY569" s="341"/>
      <c r="VFZ569" s="341"/>
      <c r="VGA569" s="341"/>
      <c r="VGB569" s="341"/>
      <c r="VGC569" s="341"/>
      <c r="VGD569" s="341"/>
      <c r="VGE569" s="341"/>
      <c r="VGF569" s="341"/>
      <c r="VGG569" s="341"/>
      <c r="VGH569" s="341"/>
      <c r="VGI569" s="341"/>
      <c r="VGJ569" s="341"/>
      <c r="VGK569" s="341"/>
      <c r="VGL569" s="341"/>
      <c r="VGM569" s="341"/>
      <c r="VGN569" s="341"/>
      <c r="VGO569" s="341"/>
      <c r="VGP569" s="341"/>
      <c r="VGQ569" s="341"/>
      <c r="VGR569" s="341"/>
      <c r="VGS569" s="341"/>
      <c r="VGT569" s="341"/>
      <c r="VGU569" s="341"/>
      <c r="VGV569" s="341"/>
      <c r="VGW569" s="341"/>
      <c r="VGX569" s="341"/>
      <c r="VGY569" s="341"/>
      <c r="VGZ569" s="341"/>
      <c r="VHA569" s="341"/>
      <c r="VHB569" s="341"/>
      <c r="VHC569" s="341"/>
      <c r="VHD569" s="341"/>
      <c r="VHE569" s="341"/>
      <c r="VHF569" s="341"/>
      <c r="VHG569" s="341"/>
      <c r="VHH569" s="341"/>
      <c r="VHI569" s="341"/>
      <c r="VHJ569" s="341"/>
      <c r="VHK569" s="341"/>
      <c r="VHL569" s="341"/>
      <c r="VHM569" s="341"/>
      <c r="VHN569" s="341"/>
      <c r="VHO569" s="341"/>
      <c r="VHP569" s="341"/>
      <c r="VHQ569" s="341"/>
      <c r="VHR569" s="341"/>
      <c r="VHS569" s="341"/>
      <c r="VHT569" s="341"/>
      <c r="VHU569" s="341"/>
      <c r="VHV569" s="341"/>
      <c r="VHW569" s="341"/>
      <c r="VHX569" s="341"/>
      <c r="VHY569" s="341"/>
      <c r="VHZ569" s="341"/>
      <c r="VIA569" s="341"/>
      <c r="VIB569" s="341"/>
      <c r="VIC569" s="341"/>
      <c r="VID569" s="341"/>
      <c r="VIE569" s="341"/>
      <c r="VIF569" s="341"/>
      <c r="VIG569" s="341"/>
      <c r="VIH569" s="341"/>
      <c r="VII569" s="341"/>
      <c r="VIJ569" s="341"/>
      <c r="VIK569" s="341"/>
      <c r="VIL569" s="341"/>
      <c r="VIM569" s="341"/>
      <c r="VIN569" s="341"/>
      <c r="VIO569" s="341"/>
      <c r="VIP569" s="341"/>
      <c r="VIQ569" s="341"/>
      <c r="VIR569" s="341"/>
      <c r="VIS569" s="341"/>
      <c r="VIT569" s="341"/>
      <c r="VIU569" s="341"/>
      <c r="VIV569" s="341"/>
      <c r="VIW569" s="341"/>
      <c r="VIX569" s="341"/>
      <c r="VIY569" s="341"/>
      <c r="VIZ569" s="341"/>
      <c r="VJA569" s="341"/>
      <c r="VJB569" s="341"/>
      <c r="VJC569" s="341"/>
      <c r="VJD569" s="341"/>
      <c r="VJE569" s="341"/>
      <c r="VJF569" s="341"/>
      <c r="VJG569" s="341"/>
      <c r="VJH569" s="341"/>
      <c r="VJI569" s="341"/>
      <c r="VJJ569" s="341"/>
      <c r="VJK569" s="341"/>
      <c r="VJL569" s="341"/>
      <c r="VJM569" s="341"/>
      <c r="VJN569" s="341"/>
      <c r="VJO569" s="341"/>
      <c r="VJP569" s="341"/>
      <c r="VJQ569" s="341"/>
      <c r="VJR569" s="341"/>
      <c r="VJS569" s="341"/>
      <c r="VJT569" s="341"/>
      <c r="VJU569" s="341"/>
      <c r="VJV569" s="341"/>
      <c r="VJW569" s="341"/>
      <c r="VJX569" s="341"/>
      <c r="VJY569" s="341"/>
      <c r="VJZ569" s="341"/>
      <c r="VKA569" s="341"/>
      <c r="VKB569" s="341"/>
      <c r="VKC569" s="341"/>
      <c r="VKD569" s="341"/>
      <c r="VKE569" s="341"/>
      <c r="VKF569" s="341"/>
      <c r="VKG569" s="341"/>
      <c r="VKH569" s="341"/>
      <c r="VKI569" s="341"/>
      <c r="VKJ569" s="341"/>
      <c r="VKK569" s="341"/>
      <c r="VKL569" s="341"/>
      <c r="VKM569" s="341"/>
      <c r="VKN569" s="341"/>
      <c r="VKO569" s="341"/>
      <c r="VKP569" s="341"/>
      <c r="VKQ569" s="341"/>
      <c r="VKR569" s="341"/>
      <c r="VKS569" s="341"/>
      <c r="VKT569" s="341"/>
      <c r="VKU569" s="341"/>
      <c r="VKV569" s="341"/>
      <c r="VKW569" s="341"/>
      <c r="VKX569" s="341"/>
      <c r="VKY569" s="341"/>
      <c r="VKZ569" s="341"/>
      <c r="VLA569" s="341"/>
      <c r="VLB569" s="341"/>
      <c r="VLC569" s="341"/>
      <c r="VLD569" s="341"/>
      <c r="VLE569" s="341"/>
      <c r="VLF569" s="341"/>
      <c r="VLG569" s="341"/>
      <c r="VLH569" s="341"/>
      <c r="VLI569" s="341"/>
      <c r="VLJ569" s="341"/>
      <c r="VLK569" s="341"/>
      <c r="VLL569" s="341"/>
      <c r="VLM569" s="341"/>
      <c r="VLN569" s="341"/>
      <c r="VLO569" s="341"/>
      <c r="VLP569" s="341"/>
      <c r="VLQ569" s="341"/>
      <c r="VLR569" s="341"/>
      <c r="VLS569" s="341"/>
      <c r="VLT569" s="341"/>
      <c r="VLU569" s="341"/>
      <c r="VLV569" s="341"/>
      <c r="VLW569" s="341"/>
      <c r="VLX569" s="341"/>
      <c r="VLY569" s="341"/>
      <c r="VLZ569" s="341"/>
      <c r="VMA569" s="341"/>
      <c r="VMB569" s="341"/>
      <c r="VMC569" s="341"/>
      <c r="VMD569" s="341"/>
      <c r="VME569" s="341"/>
      <c r="VMF569" s="341"/>
      <c r="VMG569" s="341"/>
      <c r="VMH569" s="341"/>
      <c r="VMI569" s="341"/>
      <c r="VMJ569" s="341"/>
      <c r="VMK569" s="341"/>
      <c r="VML569" s="341"/>
      <c r="VMM569" s="341"/>
      <c r="VMN569" s="341"/>
      <c r="VMO569" s="341"/>
      <c r="VMP569" s="341"/>
      <c r="VMQ569" s="341"/>
      <c r="VMR569" s="341"/>
      <c r="VMS569" s="341"/>
      <c r="VMT569" s="341"/>
      <c r="VMU569" s="341"/>
      <c r="VMV569" s="341"/>
      <c r="VMW569" s="341"/>
      <c r="VMX569" s="341"/>
      <c r="VMY569" s="341"/>
      <c r="VMZ569" s="341"/>
      <c r="VNA569" s="341"/>
      <c r="VNB569" s="341"/>
      <c r="VNC569" s="341"/>
      <c r="VND569" s="341"/>
      <c r="VNE569" s="341"/>
      <c r="VNF569" s="341"/>
      <c r="VNG569" s="341"/>
      <c r="VNH569" s="341"/>
      <c r="VNI569" s="341"/>
      <c r="VNJ569" s="341"/>
      <c r="VNK569" s="341"/>
      <c r="VNL569" s="341"/>
      <c r="VNM569" s="341"/>
      <c r="VNN569" s="341"/>
      <c r="VNO569" s="341"/>
      <c r="VNP569" s="341"/>
      <c r="VNQ569" s="341"/>
      <c r="VNR569" s="341"/>
      <c r="VNS569" s="341"/>
      <c r="VNT569" s="341"/>
      <c r="VNU569" s="341"/>
      <c r="VNV569" s="341"/>
      <c r="VNW569" s="341"/>
      <c r="VNX569" s="341"/>
      <c r="VNY569" s="341"/>
      <c r="VNZ569" s="341"/>
      <c r="VOA569" s="341"/>
      <c r="VOB569" s="341"/>
      <c r="VOC569" s="341"/>
      <c r="VOD569" s="341"/>
      <c r="VOE569" s="341"/>
      <c r="VOF569" s="341"/>
      <c r="VOG569" s="341"/>
      <c r="VOH569" s="341"/>
      <c r="VOI569" s="341"/>
      <c r="VOJ569" s="341"/>
      <c r="VOK569" s="341"/>
      <c r="VOL569" s="341"/>
      <c r="VOM569" s="341"/>
      <c r="VON569" s="341"/>
      <c r="VOO569" s="341"/>
      <c r="VOP569" s="341"/>
      <c r="VOQ569" s="341"/>
      <c r="VOR569" s="341"/>
      <c r="VOS569" s="341"/>
      <c r="VOT569" s="341"/>
      <c r="VOU569" s="341"/>
      <c r="VOV569" s="341"/>
      <c r="VOW569" s="341"/>
      <c r="VOX569" s="341"/>
      <c r="VOY569" s="341"/>
      <c r="VOZ569" s="341"/>
      <c r="VPA569" s="341"/>
      <c r="VPB569" s="341"/>
      <c r="VPC569" s="341"/>
      <c r="VPD569" s="341"/>
      <c r="VPE569" s="341"/>
      <c r="VPF569" s="341"/>
      <c r="VPG569" s="341"/>
      <c r="VPH569" s="341"/>
      <c r="VPI569" s="341"/>
      <c r="VPJ569" s="341"/>
      <c r="VPK569" s="341"/>
      <c r="VPL569" s="341"/>
      <c r="VPM569" s="341"/>
      <c r="VPN569" s="341"/>
      <c r="VPO569" s="341"/>
      <c r="VPP569" s="341"/>
      <c r="VPQ569" s="341"/>
      <c r="VPR569" s="341"/>
      <c r="VPS569" s="341"/>
      <c r="VPT569" s="341"/>
      <c r="VPU569" s="341"/>
      <c r="VPV569" s="341"/>
      <c r="VPW569" s="341"/>
      <c r="VPX569" s="341"/>
      <c r="VPY569" s="341"/>
      <c r="VPZ569" s="341"/>
      <c r="VQA569" s="341"/>
      <c r="VQB569" s="341"/>
      <c r="VQC569" s="341"/>
      <c r="VQD569" s="341"/>
      <c r="VQE569" s="341"/>
      <c r="VQF569" s="341"/>
      <c r="VQG569" s="341"/>
      <c r="VQH569" s="341"/>
      <c r="VQI569" s="341"/>
      <c r="VQJ569" s="341"/>
      <c r="VQK569" s="341"/>
      <c r="VQL569" s="341"/>
      <c r="VQM569" s="341"/>
      <c r="VQN569" s="341"/>
      <c r="VQO569" s="341"/>
      <c r="VQP569" s="341"/>
      <c r="VQQ569" s="341"/>
      <c r="VQR569" s="341"/>
      <c r="VQS569" s="341"/>
      <c r="VQT569" s="341"/>
      <c r="VQU569" s="341"/>
      <c r="VQV569" s="341"/>
      <c r="VQW569" s="341"/>
      <c r="VQX569" s="341"/>
      <c r="VQY569" s="341"/>
      <c r="VQZ569" s="341"/>
      <c r="VRA569" s="341"/>
      <c r="VRB569" s="341"/>
      <c r="VRC569" s="341"/>
      <c r="VRD569" s="341"/>
      <c r="VRE569" s="341"/>
      <c r="VRF569" s="341"/>
      <c r="VRG569" s="341"/>
      <c r="VRH569" s="341"/>
      <c r="VRI569" s="341"/>
      <c r="VRJ569" s="341"/>
      <c r="VRK569" s="341"/>
      <c r="VRL569" s="341"/>
      <c r="VRM569" s="341"/>
      <c r="VRN569" s="341"/>
      <c r="VRO569" s="341"/>
      <c r="VRP569" s="341"/>
      <c r="VRQ569" s="341"/>
      <c r="VRR569" s="341"/>
      <c r="VRS569" s="341"/>
      <c r="VRT569" s="341"/>
      <c r="VRU569" s="341"/>
      <c r="VRV569" s="341"/>
      <c r="VRW569" s="341"/>
      <c r="VRX569" s="341"/>
      <c r="VRY569" s="341"/>
      <c r="VRZ569" s="341"/>
      <c r="VSA569" s="341"/>
      <c r="VSB569" s="341"/>
      <c r="VSC569" s="341"/>
      <c r="VSD569" s="341"/>
      <c r="VSE569" s="341"/>
      <c r="VSF569" s="341"/>
      <c r="VSG569" s="341"/>
      <c r="VSH569" s="341"/>
      <c r="VSI569" s="341"/>
      <c r="VSJ569" s="341"/>
      <c r="VSK569" s="341"/>
      <c r="VSL569" s="341"/>
      <c r="VSM569" s="341"/>
      <c r="VSN569" s="341"/>
      <c r="VSO569" s="341"/>
      <c r="VSP569" s="341"/>
      <c r="VSQ569" s="341"/>
      <c r="VSR569" s="341"/>
      <c r="VSS569" s="341"/>
      <c r="VST569" s="341"/>
      <c r="VSU569" s="341"/>
      <c r="VSV569" s="341"/>
      <c r="VSW569" s="341"/>
      <c r="VSX569" s="341"/>
      <c r="VSY569" s="341"/>
      <c r="VSZ569" s="341"/>
      <c r="VTA569" s="341"/>
      <c r="VTB569" s="341"/>
      <c r="VTC569" s="341"/>
      <c r="VTD569" s="341"/>
      <c r="VTE569" s="341"/>
      <c r="VTF569" s="341"/>
      <c r="VTG569" s="341"/>
      <c r="VTH569" s="341"/>
      <c r="VTI569" s="341"/>
      <c r="VTJ569" s="341"/>
      <c r="VTK569" s="341"/>
      <c r="VTL569" s="341"/>
      <c r="VTM569" s="341"/>
      <c r="VTN569" s="341"/>
      <c r="VTO569" s="341"/>
      <c r="VTP569" s="341"/>
      <c r="VTQ569" s="341"/>
      <c r="VTR569" s="341"/>
      <c r="VTS569" s="341"/>
      <c r="VTT569" s="341"/>
      <c r="VTU569" s="341"/>
      <c r="VTV569" s="341"/>
      <c r="VTW569" s="341"/>
      <c r="VTX569" s="341"/>
      <c r="VTY569" s="341"/>
      <c r="VTZ569" s="341"/>
      <c r="VUA569" s="341"/>
      <c r="VUB569" s="341"/>
      <c r="VUC569" s="341"/>
      <c r="VUD569" s="341"/>
      <c r="VUE569" s="341"/>
      <c r="VUF569" s="341"/>
      <c r="VUG569" s="341"/>
      <c r="VUH569" s="341"/>
      <c r="VUI569" s="341"/>
      <c r="VUJ569" s="341"/>
      <c r="VUK569" s="341"/>
      <c r="VUL569" s="341"/>
      <c r="VUM569" s="341"/>
      <c r="VUN569" s="341"/>
      <c r="VUO569" s="341"/>
      <c r="VUP569" s="341"/>
      <c r="VUQ569" s="341"/>
      <c r="VUR569" s="341"/>
      <c r="VUS569" s="341"/>
      <c r="VUT569" s="341"/>
      <c r="VUU569" s="341"/>
      <c r="VUV569" s="341"/>
      <c r="VUW569" s="341"/>
      <c r="VUX569" s="341"/>
      <c r="VUY569" s="341"/>
      <c r="VUZ569" s="341"/>
      <c r="VVA569" s="341"/>
      <c r="VVB569" s="341"/>
      <c r="VVC569" s="341"/>
      <c r="VVD569" s="341"/>
      <c r="VVE569" s="341"/>
      <c r="VVF569" s="341"/>
      <c r="VVG569" s="341"/>
      <c r="VVH569" s="341"/>
      <c r="VVI569" s="341"/>
      <c r="VVJ569" s="341"/>
      <c r="VVK569" s="341"/>
      <c r="VVL569" s="341"/>
      <c r="VVM569" s="341"/>
      <c r="VVN569" s="341"/>
      <c r="VVO569" s="341"/>
      <c r="VVP569" s="341"/>
      <c r="VVQ569" s="341"/>
      <c r="VVR569" s="341"/>
      <c r="VVS569" s="341"/>
      <c r="VVT569" s="341"/>
      <c r="VVU569" s="341"/>
      <c r="VVV569" s="341"/>
      <c r="VVW569" s="341"/>
      <c r="VVX569" s="341"/>
      <c r="VVY569" s="341"/>
      <c r="VVZ569" s="341"/>
      <c r="VWA569" s="341"/>
      <c r="VWB569" s="341"/>
      <c r="VWC569" s="341"/>
      <c r="VWD569" s="341"/>
      <c r="VWE569" s="341"/>
      <c r="VWF569" s="341"/>
      <c r="VWG569" s="341"/>
      <c r="VWH569" s="341"/>
      <c r="VWI569" s="341"/>
      <c r="VWJ569" s="341"/>
      <c r="VWK569" s="341"/>
      <c r="VWL569" s="341"/>
      <c r="VWM569" s="341"/>
      <c r="VWN569" s="341"/>
      <c r="VWO569" s="341"/>
      <c r="VWP569" s="341"/>
      <c r="VWQ569" s="341"/>
      <c r="VWR569" s="341"/>
      <c r="VWS569" s="341"/>
      <c r="VWT569" s="341"/>
      <c r="VWU569" s="341"/>
      <c r="VWV569" s="341"/>
      <c r="VWW569" s="341"/>
      <c r="VWX569" s="341"/>
      <c r="VWY569" s="341"/>
      <c r="VWZ569" s="341"/>
      <c r="VXA569" s="341"/>
      <c r="VXB569" s="341"/>
      <c r="VXC569" s="341"/>
      <c r="VXD569" s="341"/>
      <c r="VXE569" s="341"/>
      <c r="VXF569" s="341"/>
      <c r="VXG569" s="341"/>
      <c r="VXH569" s="341"/>
      <c r="VXI569" s="341"/>
      <c r="VXJ569" s="341"/>
      <c r="VXK569" s="341"/>
      <c r="VXL569" s="341"/>
      <c r="VXM569" s="341"/>
      <c r="VXN569" s="341"/>
      <c r="VXO569" s="341"/>
      <c r="VXP569" s="341"/>
      <c r="VXQ569" s="341"/>
      <c r="VXR569" s="341"/>
      <c r="VXS569" s="341"/>
      <c r="VXT569" s="341"/>
      <c r="VXU569" s="341"/>
      <c r="VXV569" s="341"/>
      <c r="VXW569" s="341"/>
      <c r="VXX569" s="341"/>
      <c r="VXY569" s="341"/>
      <c r="VXZ569" s="341"/>
      <c r="VYA569" s="341"/>
      <c r="VYB569" s="341"/>
      <c r="VYC569" s="341"/>
      <c r="VYD569" s="341"/>
      <c r="VYE569" s="341"/>
      <c r="VYF569" s="341"/>
      <c r="VYG569" s="341"/>
      <c r="VYH569" s="341"/>
      <c r="VYI569" s="341"/>
      <c r="VYJ569" s="341"/>
      <c r="VYK569" s="341"/>
      <c r="VYL569" s="341"/>
      <c r="VYM569" s="341"/>
      <c r="VYN569" s="341"/>
      <c r="VYO569" s="341"/>
      <c r="VYP569" s="341"/>
      <c r="VYQ569" s="341"/>
      <c r="VYR569" s="341"/>
      <c r="VYS569" s="341"/>
      <c r="VYT569" s="341"/>
      <c r="VYU569" s="341"/>
      <c r="VYV569" s="341"/>
      <c r="VYW569" s="341"/>
      <c r="VYX569" s="341"/>
      <c r="VYY569" s="341"/>
      <c r="VYZ569" s="341"/>
      <c r="VZA569" s="341"/>
      <c r="VZB569" s="341"/>
      <c r="VZC569" s="341"/>
      <c r="VZD569" s="341"/>
      <c r="VZE569" s="341"/>
      <c r="VZF569" s="341"/>
      <c r="VZG569" s="341"/>
      <c r="VZH569" s="341"/>
      <c r="VZI569" s="341"/>
      <c r="VZJ569" s="341"/>
      <c r="VZK569" s="341"/>
      <c r="VZL569" s="341"/>
      <c r="VZM569" s="341"/>
      <c r="VZN569" s="341"/>
      <c r="VZO569" s="341"/>
      <c r="VZP569" s="341"/>
      <c r="VZQ569" s="341"/>
      <c r="VZR569" s="341"/>
      <c r="VZS569" s="341"/>
      <c r="VZT569" s="341"/>
      <c r="VZU569" s="341"/>
      <c r="VZV569" s="341"/>
      <c r="VZW569" s="341"/>
      <c r="VZX569" s="341"/>
      <c r="VZY569" s="341"/>
      <c r="VZZ569" s="341"/>
      <c r="WAA569" s="341"/>
      <c r="WAB569" s="341"/>
      <c r="WAC569" s="341"/>
      <c r="WAD569" s="341"/>
      <c r="WAE569" s="341"/>
      <c r="WAF569" s="341"/>
      <c r="WAG569" s="341"/>
      <c r="WAH569" s="341"/>
      <c r="WAI569" s="341"/>
      <c r="WAJ569" s="341"/>
      <c r="WAK569" s="341"/>
      <c r="WAL569" s="341"/>
      <c r="WAM569" s="341"/>
      <c r="WAN569" s="341"/>
      <c r="WAO569" s="341"/>
      <c r="WAP569" s="341"/>
      <c r="WAQ569" s="341"/>
      <c r="WAR569" s="341"/>
      <c r="WAS569" s="341"/>
      <c r="WAT569" s="341"/>
      <c r="WAU569" s="341"/>
      <c r="WAV569" s="341"/>
      <c r="WAW569" s="341"/>
      <c r="WAX569" s="341"/>
      <c r="WAY569" s="341"/>
      <c r="WAZ569" s="341"/>
      <c r="WBA569" s="341"/>
      <c r="WBB569" s="341"/>
      <c r="WBC569" s="341"/>
      <c r="WBD569" s="341"/>
      <c r="WBE569" s="341"/>
      <c r="WBF569" s="341"/>
      <c r="WBG569" s="341"/>
      <c r="WBH569" s="341"/>
      <c r="WBI569" s="341"/>
      <c r="WBJ569" s="341"/>
      <c r="WBK569" s="341"/>
      <c r="WBL569" s="341"/>
      <c r="WBM569" s="341"/>
      <c r="WBN569" s="341"/>
      <c r="WBO569" s="341"/>
      <c r="WBP569" s="341"/>
      <c r="WBQ569" s="341"/>
      <c r="WBR569" s="341"/>
      <c r="WBS569" s="341"/>
      <c r="WBT569" s="341"/>
      <c r="WBU569" s="341"/>
      <c r="WBV569" s="341"/>
      <c r="WBW569" s="341"/>
      <c r="WBX569" s="341"/>
      <c r="WBY569" s="341"/>
      <c r="WBZ569" s="341"/>
      <c r="WCA569" s="341"/>
      <c r="WCB569" s="341"/>
      <c r="WCC569" s="341"/>
      <c r="WCD569" s="341"/>
      <c r="WCE569" s="341"/>
      <c r="WCF569" s="341"/>
      <c r="WCG569" s="341"/>
      <c r="WCH569" s="341"/>
      <c r="WCI569" s="341"/>
      <c r="WCJ569" s="341"/>
      <c r="WCK569" s="341"/>
      <c r="WCL569" s="341"/>
      <c r="WCM569" s="341"/>
      <c r="WCN569" s="341"/>
      <c r="WCO569" s="341"/>
      <c r="WCP569" s="341"/>
      <c r="WCQ569" s="341"/>
      <c r="WCR569" s="341"/>
      <c r="WCS569" s="341"/>
      <c r="WCT569" s="341"/>
      <c r="WCU569" s="341"/>
      <c r="WCV569" s="341"/>
      <c r="WCW569" s="341"/>
      <c r="WCX569" s="341"/>
      <c r="WCY569" s="341"/>
      <c r="WCZ569" s="341"/>
      <c r="WDA569" s="341"/>
      <c r="WDB569" s="341"/>
      <c r="WDC569" s="341"/>
      <c r="WDD569" s="341"/>
      <c r="WDE569" s="341"/>
      <c r="WDF569" s="341"/>
      <c r="WDG569" s="341"/>
      <c r="WDH569" s="341"/>
      <c r="WDI569" s="341"/>
      <c r="WDJ569" s="341"/>
      <c r="WDK569" s="341"/>
      <c r="WDL569" s="341"/>
      <c r="WDM569" s="341"/>
      <c r="WDN569" s="341"/>
      <c r="WDO569" s="341"/>
      <c r="WDP569" s="341"/>
      <c r="WDQ569" s="341"/>
      <c r="WDR569" s="341"/>
      <c r="WDS569" s="341"/>
      <c r="WDT569" s="341"/>
      <c r="WDU569" s="341"/>
      <c r="WDV569" s="341"/>
      <c r="WDW569" s="341"/>
      <c r="WDX569" s="341"/>
      <c r="WDY569" s="341"/>
      <c r="WDZ569" s="341"/>
      <c r="WEA569" s="341"/>
      <c r="WEB569" s="341"/>
      <c r="WEC569" s="341"/>
      <c r="WED569" s="341"/>
      <c r="WEE569" s="341"/>
      <c r="WEF569" s="341"/>
      <c r="WEG569" s="341"/>
      <c r="WEH569" s="341"/>
      <c r="WEI569" s="341"/>
      <c r="WEJ569" s="341"/>
      <c r="WEK569" s="341"/>
      <c r="WEL569" s="341"/>
      <c r="WEM569" s="341"/>
      <c r="WEN569" s="341"/>
      <c r="WEO569" s="341"/>
      <c r="WEP569" s="341"/>
      <c r="WEQ569" s="341"/>
      <c r="WER569" s="341"/>
      <c r="WES569" s="341"/>
      <c r="WET569" s="341"/>
      <c r="WEU569" s="341"/>
      <c r="WEV569" s="341"/>
      <c r="WEW569" s="341"/>
      <c r="WEX569" s="341"/>
      <c r="WEY569" s="341"/>
      <c r="WEZ569" s="341"/>
      <c r="WFA569" s="341"/>
      <c r="WFB569" s="341"/>
      <c r="WFC569" s="341"/>
      <c r="WFD569" s="341"/>
      <c r="WFE569" s="341"/>
      <c r="WFF569" s="341"/>
      <c r="WFG569" s="341"/>
      <c r="WFH569" s="341"/>
      <c r="WFI569" s="341"/>
      <c r="WFJ569" s="341"/>
      <c r="WFK569" s="341"/>
      <c r="WFL569" s="341"/>
      <c r="WFM569" s="341"/>
      <c r="WFN569" s="341"/>
      <c r="WFO569" s="341"/>
      <c r="WFP569" s="341"/>
      <c r="WFQ569" s="341"/>
      <c r="WFR569" s="341"/>
      <c r="WFS569" s="341"/>
      <c r="WFT569" s="341"/>
      <c r="WFU569" s="341"/>
      <c r="WFV569" s="341"/>
      <c r="WFW569" s="341"/>
      <c r="WFX569" s="341"/>
      <c r="WFY569" s="341"/>
      <c r="WFZ569" s="341"/>
      <c r="WGA569" s="341"/>
      <c r="WGB569" s="341"/>
      <c r="WGC569" s="341"/>
      <c r="WGD569" s="341"/>
      <c r="WGE569" s="341"/>
      <c r="WGF569" s="341"/>
      <c r="WGG569" s="341"/>
      <c r="WGH569" s="341"/>
      <c r="WGI569" s="341"/>
      <c r="WGJ569" s="341"/>
      <c r="WGK569" s="341"/>
      <c r="WGL569" s="341"/>
      <c r="WGM569" s="341"/>
      <c r="WGN569" s="341"/>
      <c r="WGO569" s="341"/>
      <c r="WGP569" s="341"/>
      <c r="WGQ569" s="341"/>
      <c r="WGR569" s="341"/>
      <c r="WGS569" s="341"/>
      <c r="WGT569" s="341"/>
      <c r="WGU569" s="341"/>
      <c r="WGV569" s="341"/>
      <c r="WGW569" s="341"/>
      <c r="WGX569" s="341"/>
      <c r="WGY569" s="341"/>
      <c r="WGZ569" s="341"/>
      <c r="WHA569" s="341"/>
      <c r="WHB569" s="341"/>
      <c r="WHC569" s="341"/>
      <c r="WHD569" s="341"/>
      <c r="WHE569" s="341"/>
      <c r="WHF569" s="341"/>
      <c r="WHG569" s="341"/>
      <c r="WHH569" s="341"/>
      <c r="WHI569" s="341"/>
      <c r="WHJ569" s="341"/>
      <c r="WHK569" s="341"/>
      <c r="WHL569" s="341"/>
      <c r="WHM569" s="341"/>
      <c r="WHN569" s="341"/>
      <c r="WHO569" s="341"/>
      <c r="WHP569" s="341"/>
      <c r="WHQ569" s="341"/>
      <c r="WHR569" s="341"/>
      <c r="WHS569" s="341"/>
      <c r="WHT569" s="341"/>
      <c r="WHU569" s="341"/>
      <c r="WHV569" s="341"/>
      <c r="WHW569" s="341"/>
      <c r="WHX569" s="341"/>
      <c r="WHY569" s="341"/>
      <c r="WHZ569" s="341"/>
      <c r="WIA569" s="341"/>
      <c r="WIB569" s="341"/>
      <c r="WIC569" s="341"/>
      <c r="WID569" s="341"/>
      <c r="WIE569" s="341"/>
      <c r="WIF569" s="341"/>
      <c r="WIG569" s="341"/>
      <c r="WIH569" s="341"/>
      <c r="WII569" s="341"/>
      <c r="WIJ569" s="341"/>
      <c r="WIK569" s="341"/>
      <c r="WIL569" s="341"/>
      <c r="WIM569" s="341"/>
      <c r="WIN569" s="341"/>
      <c r="WIO569" s="341"/>
      <c r="WIP569" s="341"/>
      <c r="WIQ569" s="341"/>
      <c r="WIR569" s="341"/>
      <c r="WIS569" s="341"/>
      <c r="WIT569" s="341"/>
      <c r="WIU569" s="341"/>
      <c r="WIV569" s="341"/>
      <c r="WIW569" s="341"/>
      <c r="WIX569" s="341"/>
      <c r="WIY569" s="341"/>
      <c r="WIZ569" s="341"/>
      <c r="WJA569" s="341"/>
      <c r="WJB569" s="341"/>
      <c r="WJC569" s="341"/>
      <c r="WJD569" s="341"/>
      <c r="WJE569" s="341"/>
      <c r="WJF569" s="341"/>
      <c r="WJG569" s="341"/>
      <c r="WJH569" s="341"/>
      <c r="WJI569" s="341"/>
      <c r="WJJ569" s="341"/>
      <c r="WJK569" s="341"/>
      <c r="WJL569" s="341"/>
      <c r="WJM569" s="341"/>
      <c r="WJN569" s="341"/>
      <c r="WJO569" s="341"/>
      <c r="WJP569" s="341"/>
      <c r="WJQ569" s="341"/>
      <c r="WJR569" s="341"/>
      <c r="WJS569" s="341"/>
      <c r="WJT569" s="341"/>
      <c r="WJU569" s="341"/>
      <c r="WJV569" s="341"/>
      <c r="WJW569" s="341"/>
      <c r="WJX569" s="341"/>
      <c r="WJY569" s="341"/>
      <c r="WJZ569" s="341"/>
      <c r="WKA569" s="341"/>
      <c r="WKB569" s="341"/>
      <c r="WKC569" s="341"/>
      <c r="WKD569" s="341"/>
      <c r="WKE569" s="341"/>
      <c r="WKF569" s="341"/>
      <c r="WKG569" s="341"/>
      <c r="WKH569" s="341"/>
      <c r="WKI569" s="341"/>
      <c r="WKJ569" s="341"/>
      <c r="WKK569" s="341"/>
      <c r="WKL569" s="341"/>
      <c r="WKM569" s="341"/>
      <c r="WKN569" s="341"/>
      <c r="WKO569" s="341"/>
      <c r="WKP569" s="341"/>
      <c r="WKQ569" s="341"/>
      <c r="WKR569" s="341"/>
      <c r="WKS569" s="341"/>
      <c r="WKT569" s="341"/>
      <c r="WKU569" s="341"/>
      <c r="WKV569" s="341"/>
      <c r="WKW569" s="341"/>
      <c r="WKX569" s="341"/>
      <c r="WKY569" s="341"/>
      <c r="WKZ569" s="341"/>
      <c r="WLA569" s="341"/>
      <c r="WLB569" s="341"/>
      <c r="WLC569" s="341"/>
      <c r="WLD569" s="341"/>
      <c r="WLE569" s="341"/>
      <c r="WLF569" s="341"/>
      <c r="WLG569" s="341"/>
      <c r="WLH569" s="341"/>
      <c r="WLI569" s="341"/>
      <c r="WLJ569" s="341"/>
      <c r="WLK569" s="341"/>
      <c r="WLL569" s="341"/>
      <c r="WLM569" s="341"/>
      <c r="WLN569" s="341"/>
      <c r="WLO569" s="341"/>
      <c r="WLP569" s="341"/>
      <c r="WLQ569" s="341"/>
      <c r="WLR569" s="341"/>
      <c r="WLS569" s="341"/>
      <c r="WLT569" s="341"/>
      <c r="WLU569" s="341"/>
      <c r="WLV569" s="341"/>
      <c r="WLW569" s="341"/>
      <c r="WLX569" s="341"/>
      <c r="WLY569" s="341"/>
      <c r="WLZ569" s="341"/>
      <c r="WMA569" s="341"/>
      <c r="WMB569" s="341"/>
      <c r="WMC569" s="341"/>
      <c r="WMD569" s="341"/>
      <c r="WME569" s="341"/>
      <c r="WMF569" s="341"/>
      <c r="WMG569" s="341"/>
      <c r="WMH569" s="341"/>
      <c r="WMI569" s="341"/>
      <c r="WMJ569" s="341"/>
      <c r="WMK569" s="341"/>
      <c r="WML569" s="341"/>
      <c r="WMM569" s="341"/>
      <c r="WMN569" s="341"/>
      <c r="WMO569" s="341"/>
      <c r="WMP569" s="341"/>
      <c r="WMQ569" s="341"/>
      <c r="WMR569" s="341"/>
      <c r="WMS569" s="341"/>
      <c r="WMT569" s="341"/>
      <c r="WMU569" s="341"/>
      <c r="WMV569" s="341"/>
      <c r="WMW569" s="341"/>
      <c r="WMX569" s="341"/>
      <c r="WMY569" s="341"/>
      <c r="WMZ569" s="341"/>
      <c r="WNA569" s="341"/>
      <c r="WNB569" s="341"/>
      <c r="WNC569" s="341"/>
      <c r="WND569" s="341"/>
      <c r="WNE569" s="341"/>
      <c r="WNF569" s="341"/>
      <c r="WNG569" s="341"/>
      <c r="WNH569" s="341"/>
      <c r="WNI569" s="341"/>
      <c r="WNJ569" s="341"/>
      <c r="WNK569" s="341"/>
      <c r="WNL569" s="341"/>
      <c r="WNM569" s="341"/>
      <c r="WNN569" s="341"/>
      <c r="WNO569" s="341"/>
      <c r="WNP569" s="341"/>
      <c r="WNQ569" s="341"/>
      <c r="WNR569" s="341"/>
      <c r="WNS569" s="341"/>
      <c r="WNT569" s="341"/>
      <c r="WNU569" s="341"/>
      <c r="WNV569" s="341"/>
      <c r="WNW569" s="341"/>
      <c r="WNX569" s="341"/>
      <c r="WNY569" s="341"/>
      <c r="WNZ569" s="341"/>
      <c r="WOA569" s="341"/>
      <c r="WOB569" s="341"/>
      <c r="WOC569" s="341"/>
      <c r="WOD569" s="341"/>
      <c r="WOE569" s="341"/>
      <c r="WOF569" s="341"/>
      <c r="WOG569" s="341"/>
      <c r="WOH569" s="341"/>
      <c r="WOI569" s="341"/>
      <c r="WOJ569" s="341"/>
      <c r="WOK569" s="341"/>
      <c r="WOL569" s="341"/>
      <c r="WOM569" s="341"/>
      <c r="WON569" s="341"/>
      <c r="WOO569" s="341"/>
      <c r="WOP569" s="341"/>
      <c r="WOQ569" s="341"/>
      <c r="WOR569" s="341"/>
      <c r="WOS569" s="341"/>
      <c r="WOT569" s="341"/>
      <c r="WOU569" s="341"/>
      <c r="WOV569" s="341"/>
      <c r="WOW569" s="341"/>
      <c r="WOX569" s="341"/>
      <c r="WOY569" s="341"/>
      <c r="WOZ569" s="341"/>
      <c r="WPA569" s="341"/>
      <c r="WPB569" s="341"/>
      <c r="WPC569" s="341"/>
      <c r="WPD569" s="341"/>
      <c r="WPE569" s="341"/>
      <c r="WPF569" s="341"/>
      <c r="WPG569" s="341"/>
      <c r="WPH569" s="341"/>
      <c r="WPI569" s="341"/>
      <c r="WPJ569" s="341"/>
      <c r="WPK569" s="341"/>
      <c r="WPL569" s="341"/>
      <c r="WPM569" s="341"/>
      <c r="WPN569" s="341"/>
      <c r="WPO569" s="341"/>
      <c r="WPP569" s="341"/>
      <c r="WPQ569" s="341"/>
      <c r="WPR569" s="341"/>
      <c r="WPS569" s="341"/>
      <c r="WPT569" s="341"/>
      <c r="WPU569" s="341"/>
      <c r="WPV569" s="341"/>
      <c r="WPW569" s="341"/>
      <c r="WPX569" s="341"/>
      <c r="WPY569" s="341"/>
      <c r="WPZ569" s="341"/>
      <c r="WQA569" s="341"/>
      <c r="WQB569" s="341"/>
      <c r="WQC569" s="341"/>
      <c r="WQD569" s="341"/>
      <c r="WQE569" s="341"/>
      <c r="WQF569" s="341"/>
      <c r="WQG569" s="341"/>
      <c r="WQH569" s="341"/>
      <c r="WQI569" s="341"/>
      <c r="WQJ569" s="341"/>
      <c r="WQK569" s="341"/>
      <c r="WQL569" s="341"/>
      <c r="WQM569" s="341"/>
      <c r="WQN569" s="341"/>
      <c r="WQO569" s="341"/>
      <c r="WQP569" s="341"/>
      <c r="WQQ569" s="341"/>
      <c r="WQR569" s="341"/>
      <c r="WQS569" s="341"/>
      <c r="WQT569" s="341"/>
      <c r="WQU569" s="341"/>
      <c r="WQV569" s="341"/>
      <c r="WQW569" s="341"/>
      <c r="WQX569" s="341"/>
      <c r="WQY569" s="341"/>
      <c r="WQZ569" s="341"/>
      <c r="WRA569" s="341"/>
      <c r="WRB569" s="341"/>
      <c r="WRC569" s="341"/>
      <c r="WRD569" s="341"/>
      <c r="WRE569" s="341"/>
      <c r="WRF569" s="341"/>
      <c r="WRG569" s="341"/>
      <c r="WRH569" s="341"/>
      <c r="WRI569" s="341"/>
      <c r="WRJ569" s="341"/>
      <c r="WRK569" s="341"/>
      <c r="WRL569" s="341"/>
      <c r="WRM569" s="341"/>
      <c r="WRN569" s="341"/>
      <c r="WRO569" s="341"/>
      <c r="WRP569" s="341"/>
      <c r="WRQ569" s="341"/>
      <c r="WRR569" s="341"/>
      <c r="WRS569" s="341"/>
      <c r="WRT569" s="341"/>
      <c r="WRU569" s="341"/>
      <c r="WRV569" s="341"/>
      <c r="WRW569" s="341"/>
      <c r="WRX569" s="341"/>
      <c r="WRY569" s="341"/>
      <c r="WRZ569" s="341"/>
      <c r="WSA569" s="341"/>
      <c r="WSB569" s="341"/>
      <c r="WSC569" s="341"/>
      <c r="WSD569" s="341"/>
      <c r="WSE569" s="341"/>
      <c r="WSF569" s="341"/>
      <c r="WSG569" s="341"/>
      <c r="WSH569" s="341"/>
      <c r="WSI569" s="341"/>
      <c r="WSJ569" s="341"/>
      <c r="WSK569" s="341"/>
      <c r="WSL569" s="341"/>
      <c r="WSM569" s="341"/>
      <c r="WSN569" s="341"/>
      <c r="WSO569" s="341"/>
      <c r="WSP569" s="341"/>
      <c r="WSQ569" s="341"/>
      <c r="WSR569" s="341"/>
      <c r="WSS569" s="341"/>
      <c r="WST569" s="341"/>
      <c r="WSU569" s="341"/>
      <c r="WSV569" s="341"/>
      <c r="WSW569" s="341"/>
      <c r="WSX569" s="341"/>
      <c r="WSY569" s="341"/>
      <c r="WSZ569" s="341"/>
      <c r="WTA569" s="341"/>
      <c r="WTB569" s="341"/>
      <c r="WTC569" s="341"/>
      <c r="WTD569" s="341"/>
      <c r="WTE569" s="341"/>
      <c r="WTF569" s="341"/>
      <c r="WTG569" s="341"/>
      <c r="WTH569" s="341"/>
      <c r="WTI569" s="341"/>
      <c r="WTJ569" s="341"/>
      <c r="WTK569" s="341"/>
      <c r="WTL569" s="341"/>
      <c r="WTM569" s="341"/>
      <c r="WTN569" s="341"/>
      <c r="WTO569" s="341"/>
      <c r="WTP569" s="341"/>
      <c r="WTQ569" s="341"/>
      <c r="WTR569" s="341"/>
      <c r="WTS569" s="341"/>
      <c r="WTT569" s="341"/>
      <c r="WTU569" s="341"/>
      <c r="WTV569" s="341"/>
      <c r="WTW569" s="341"/>
      <c r="WTX569" s="341"/>
      <c r="WTY569" s="341"/>
      <c r="WTZ569" s="341"/>
      <c r="WUA569" s="341"/>
      <c r="WUB569" s="341"/>
      <c r="WUC569" s="341"/>
      <c r="WUD569" s="341"/>
      <c r="WUE569" s="341"/>
      <c r="WUF569" s="341"/>
      <c r="WUG569" s="341"/>
      <c r="WUH569" s="341"/>
      <c r="WUI569" s="341"/>
      <c r="WUJ569" s="341"/>
      <c r="WUK569" s="341"/>
      <c r="WUL569" s="341"/>
      <c r="WUM569" s="341"/>
      <c r="WUN569" s="341"/>
      <c r="WUO569" s="341"/>
      <c r="WUP569" s="341"/>
      <c r="WUQ569" s="341"/>
      <c r="WUR569" s="341"/>
      <c r="WUS569" s="341"/>
      <c r="WUT569" s="341"/>
      <c r="WUU569" s="341"/>
      <c r="WUV569" s="341"/>
      <c r="WUW569" s="341"/>
      <c r="WUX569" s="341"/>
      <c r="WUY569" s="341"/>
      <c r="WUZ569" s="341"/>
      <c r="WVA569" s="341"/>
      <c r="WVB569" s="341"/>
      <c r="WVC569" s="341"/>
      <c r="WVD569" s="341"/>
      <c r="WVE569" s="341"/>
      <c r="WVF569" s="341"/>
      <c r="WVG569" s="341"/>
      <c r="WVH569" s="341"/>
      <c r="WVI569" s="341"/>
      <c r="WVJ569" s="341"/>
      <c r="WVK569" s="341"/>
      <c r="WVL569" s="341"/>
      <c r="WVM569" s="341"/>
      <c r="WVN569" s="341"/>
      <c r="WVO569" s="341"/>
      <c r="WVP569" s="341"/>
      <c r="WVQ569" s="341"/>
      <c r="WVR569" s="341"/>
      <c r="WVS569" s="341"/>
      <c r="WVT569" s="341"/>
      <c r="WVU569" s="341"/>
      <c r="WVV569" s="341"/>
      <c r="WVW569" s="341"/>
      <c r="WVX569" s="341"/>
      <c r="WVY569" s="341"/>
      <c r="WVZ569" s="341"/>
      <c r="WWA569" s="341"/>
      <c r="WWB569" s="341"/>
      <c r="WWC569" s="341"/>
      <c r="WWD569" s="341"/>
      <c r="WWE569" s="341"/>
      <c r="WWF569" s="341"/>
      <c r="WWG569" s="341"/>
      <c r="WWH569" s="341"/>
      <c r="WWI569" s="341"/>
      <c r="WWJ569" s="341"/>
      <c r="WWK569" s="341"/>
      <c r="WWL569" s="341"/>
      <c r="WWM569" s="341"/>
      <c r="WWN569" s="341"/>
      <c r="WWO569" s="341"/>
      <c r="WWP569" s="341"/>
      <c r="WWQ569" s="341"/>
      <c r="WWR569" s="341"/>
      <c r="WWS569" s="341"/>
      <c r="WWT569" s="341"/>
      <c r="WWU569" s="341"/>
      <c r="WWV569" s="341"/>
      <c r="WWW569" s="341"/>
      <c r="WWX569" s="341"/>
      <c r="WWY569" s="341"/>
      <c r="WWZ569" s="341"/>
      <c r="WXA569" s="341"/>
      <c r="WXB569" s="341"/>
      <c r="WXC569" s="341"/>
      <c r="WXD569" s="341"/>
      <c r="WXE569" s="341"/>
      <c r="WXF569" s="341"/>
      <c r="WXG569" s="341"/>
      <c r="WXH569" s="341"/>
      <c r="WXI569" s="341"/>
      <c r="WXJ569" s="341"/>
      <c r="WXK569" s="341"/>
      <c r="WXL569" s="341"/>
      <c r="WXM569" s="341"/>
      <c r="WXN569" s="341"/>
      <c r="WXO569" s="341"/>
      <c r="WXP569" s="341"/>
      <c r="WXQ569" s="341"/>
      <c r="WXR569" s="341"/>
      <c r="WXS569" s="341"/>
      <c r="WXT569" s="341"/>
      <c r="WXU569" s="341"/>
      <c r="WXV569" s="341"/>
      <c r="WXW569" s="341"/>
      <c r="WXX569" s="341"/>
      <c r="WXY569" s="341"/>
      <c r="WXZ569" s="341"/>
      <c r="WYA569" s="341"/>
      <c r="WYB569" s="341"/>
      <c r="WYC569" s="341"/>
      <c r="WYD569" s="341"/>
      <c r="WYE569" s="341"/>
      <c r="WYF569" s="341"/>
      <c r="WYG569" s="341"/>
      <c r="WYH569" s="341"/>
      <c r="WYI569" s="341"/>
      <c r="WYJ569" s="341"/>
      <c r="WYK569" s="341"/>
      <c r="WYL569" s="341"/>
      <c r="WYM569" s="341"/>
      <c r="WYN569" s="341"/>
      <c r="WYO569" s="341"/>
      <c r="WYP569" s="341"/>
      <c r="WYQ569" s="341"/>
      <c r="WYR569" s="341"/>
      <c r="WYS569" s="341"/>
      <c r="WYT569" s="341"/>
      <c r="WYU569" s="341"/>
      <c r="WYV569" s="341"/>
      <c r="WYW569" s="341"/>
      <c r="WYX569" s="341"/>
      <c r="WYY569" s="341"/>
      <c r="WYZ569" s="341"/>
      <c r="WZA569" s="341"/>
      <c r="WZB569" s="341"/>
      <c r="WZC569" s="341"/>
      <c r="WZD569" s="341"/>
      <c r="WZE569" s="341"/>
      <c r="WZF569" s="341"/>
      <c r="WZG569" s="341"/>
      <c r="WZH569" s="341"/>
      <c r="WZI569" s="341"/>
      <c r="WZJ569" s="341"/>
      <c r="WZK569" s="341"/>
      <c r="WZL569" s="341"/>
      <c r="WZM569" s="341"/>
      <c r="WZN569" s="341"/>
      <c r="WZO569" s="341"/>
      <c r="WZP569" s="341"/>
      <c r="WZQ569" s="341"/>
      <c r="WZR569" s="341"/>
      <c r="WZS569" s="341"/>
      <c r="WZT569" s="341"/>
      <c r="WZU569" s="341"/>
      <c r="WZV569" s="341"/>
      <c r="WZW569" s="341"/>
      <c r="WZX569" s="341"/>
      <c r="WZY569" s="341"/>
      <c r="WZZ569" s="341"/>
      <c r="XAA569" s="341"/>
      <c r="XAB569" s="341"/>
      <c r="XAC569" s="341"/>
      <c r="XAD569" s="341"/>
      <c r="XAE569" s="341"/>
      <c r="XAF569" s="341"/>
      <c r="XAG569" s="341"/>
      <c r="XAH569" s="341"/>
      <c r="XAI569" s="341"/>
      <c r="XAJ569" s="341"/>
      <c r="XAK569" s="341"/>
      <c r="XAL569" s="341"/>
      <c r="XAM569" s="341"/>
      <c r="XAN569" s="341"/>
      <c r="XAO569" s="341"/>
      <c r="XAP569" s="341"/>
      <c r="XAQ569" s="341"/>
      <c r="XAR569" s="341"/>
      <c r="XAS569" s="341"/>
      <c r="XAT569" s="341"/>
      <c r="XAU569" s="341"/>
      <c r="XAV569" s="341"/>
      <c r="XAW569" s="341"/>
      <c r="XAX569" s="341"/>
      <c r="XAY569" s="341"/>
      <c r="XAZ569" s="341"/>
      <c r="XBA569" s="341"/>
      <c r="XBB569" s="341"/>
      <c r="XBC569" s="341"/>
      <c r="XBD569" s="341"/>
      <c r="XBE569" s="341"/>
      <c r="XBF569" s="341"/>
      <c r="XBG569" s="341"/>
      <c r="XBH569" s="341"/>
      <c r="XBI569" s="341"/>
      <c r="XBJ569" s="341"/>
      <c r="XBK569" s="341"/>
      <c r="XBL569" s="341"/>
      <c r="XBM569" s="341"/>
      <c r="XBN569" s="341"/>
      <c r="XBO569" s="341"/>
      <c r="XBP569" s="341"/>
      <c r="XBQ569" s="341"/>
      <c r="XBR569" s="341"/>
      <c r="XBS569" s="341"/>
      <c r="XBT569" s="341"/>
      <c r="XBU569" s="341"/>
      <c r="XBV569" s="341"/>
      <c r="XBW569" s="341"/>
      <c r="XBX569" s="341"/>
      <c r="XBY569" s="341"/>
      <c r="XBZ569" s="341"/>
      <c r="XCA569" s="341"/>
      <c r="XCB569" s="341"/>
      <c r="XCC569" s="341"/>
      <c r="XCD569" s="341"/>
      <c r="XCE569" s="341"/>
      <c r="XCF569" s="341"/>
      <c r="XCG569" s="341"/>
      <c r="XCH569" s="341"/>
      <c r="XCI569" s="341"/>
      <c r="XCJ569" s="341"/>
      <c r="XCK569" s="341"/>
      <c r="XCL569" s="341"/>
      <c r="XCM569" s="341"/>
      <c r="XCN569" s="341"/>
      <c r="XCO569" s="341"/>
      <c r="XCP569" s="341"/>
      <c r="XCQ569" s="341"/>
      <c r="XCR569" s="341"/>
      <c r="XCS569" s="341"/>
      <c r="XCT569" s="341"/>
      <c r="XCU569" s="341"/>
      <c r="XCV569" s="341"/>
      <c r="XCW569" s="341"/>
      <c r="XCX569" s="341"/>
      <c r="XCY569" s="341"/>
      <c r="XCZ569" s="341"/>
      <c r="XDA569" s="341"/>
      <c r="XDB569" s="341"/>
      <c r="XDC569" s="341"/>
      <c r="XDD569" s="341"/>
      <c r="XDE569" s="341"/>
      <c r="XDF569" s="341"/>
      <c r="XDG569" s="341"/>
      <c r="XDH569" s="341"/>
      <c r="XDI569" s="341"/>
      <c r="XDJ569" s="341"/>
      <c r="XDK569" s="341"/>
      <c r="XDL569" s="341"/>
      <c r="XDM569" s="341"/>
      <c r="XDN569" s="341"/>
      <c r="XDO569" s="341"/>
      <c r="XDP569" s="341"/>
      <c r="XDQ569" s="341"/>
      <c r="XDR569" s="341"/>
      <c r="XDS569" s="341"/>
      <c r="XDT569" s="341"/>
      <c r="XDU569" s="341"/>
      <c r="XDV569" s="341"/>
      <c r="XDW569" s="341"/>
      <c r="XDX569" s="341"/>
      <c r="XDY569" s="341"/>
      <c r="XDZ569" s="341"/>
      <c r="XEA569" s="341"/>
      <c r="XEB569" s="341"/>
      <c r="XEC569" s="341"/>
      <c r="XED569" s="341"/>
      <c r="XEE569" s="341"/>
      <c r="XEF569" s="341"/>
      <c r="XEG569" s="341"/>
      <c r="XEH569" s="341"/>
      <c r="XEI569" s="341"/>
      <c r="XEJ569" s="341"/>
      <c r="XEK569" s="341"/>
      <c r="XEL569" s="341"/>
      <c r="XEM569" s="341"/>
      <c r="XEN569" s="341"/>
      <c r="XEO569" s="341"/>
      <c r="XEP569" s="341"/>
      <c r="XEQ569" s="341"/>
      <c r="XER569" s="341"/>
      <c r="XES569" s="341"/>
      <c r="XET569" s="341"/>
      <c r="XEU569" s="341"/>
      <c r="XEV569" s="341"/>
      <c r="XEW569" s="341"/>
      <c r="XEX569" s="341"/>
      <c r="XEY569" s="341"/>
      <c r="XEZ569" s="341"/>
      <c r="XFA569" s="341"/>
      <c r="XFB569" s="341"/>
      <c r="XFC569" s="341"/>
      <c r="XFD569" s="341"/>
    </row>
    <row r="570" spans="1:16384" ht="29.1" customHeight="1" x14ac:dyDescent="0.25">
      <c r="A570" s="313"/>
      <c r="B570" s="340"/>
      <c r="C570" s="1577" t="s">
        <v>843</v>
      </c>
      <c r="D570" s="1577"/>
      <c r="E570" s="1577"/>
      <c r="F570" s="1577"/>
      <c r="G570" s="1577"/>
      <c r="H570" s="1577"/>
      <c r="I570" s="1577"/>
      <c r="J570" s="1577"/>
      <c r="K570" s="1567">
        <v>0</v>
      </c>
      <c r="L570" s="1567"/>
      <c r="M570" s="1567"/>
      <c r="N570" s="1567"/>
      <c r="O570" s="1567"/>
      <c r="P570" s="1567"/>
      <c r="Q570" s="432"/>
      <c r="R570" s="1567">
        <v>0</v>
      </c>
      <c r="S570" s="1567"/>
      <c r="T570" s="1567"/>
      <c r="U570" s="1567"/>
      <c r="V570" s="1567"/>
      <c r="W570" s="432"/>
      <c r="X570" s="1567">
        <v>1181681790</v>
      </c>
      <c r="Y570" s="1567"/>
      <c r="Z570" s="1567"/>
      <c r="AA570" s="1567"/>
      <c r="AB570" s="1567"/>
      <c r="AC570" s="1567"/>
      <c r="AD570" s="433"/>
      <c r="AE570" s="1567">
        <v>0</v>
      </c>
      <c r="AF570" s="1567"/>
      <c r="AG570" s="1567"/>
      <c r="AH570" s="1567"/>
      <c r="AI570" s="1567"/>
      <c r="AJ570" s="344"/>
      <c r="AK570" s="345"/>
      <c r="AL570" s="340"/>
      <c r="AM570" s="434" t="s">
        <v>844</v>
      </c>
      <c r="AN570" s="434"/>
      <c r="AO570" s="434"/>
      <c r="AP570" s="434"/>
      <c r="AQ570" s="434"/>
      <c r="AR570" s="434"/>
      <c r="AS570" s="434"/>
      <c r="AT570" s="434"/>
      <c r="AU570" s="1567">
        <f t="shared" ref="AU570:AU575" si="4">K570</f>
        <v>0</v>
      </c>
      <c r="AV570" s="1567"/>
      <c r="AW570" s="1567"/>
      <c r="AX570" s="1567"/>
      <c r="AY570" s="1567"/>
      <c r="AZ570" s="1567"/>
      <c r="BA570" s="432"/>
      <c r="BB570" s="1567">
        <f t="shared" ref="BB570:BB575" si="5">R570</f>
        <v>0</v>
      </c>
      <c r="BC570" s="1567"/>
      <c r="BD570" s="1567"/>
      <c r="BE570" s="1567"/>
      <c r="BF570" s="1567"/>
      <c r="BG570" s="432"/>
      <c r="BH570" s="1567">
        <f t="shared" ref="BH570:BH575" si="6">X570</f>
        <v>1181681790</v>
      </c>
      <c r="BI570" s="1567"/>
      <c r="BJ570" s="1567"/>
      <c r="BK570" s="1567"/>
      <c r="BL570" s="1567"/>
      <c r="BM570" s="1567"/>
      <c r="BN570" s="433"/>
      <c r="BO570" s="1567">
        <f t="shared" ref="BO570:BO575" si="7">AE570</f>
        <v>0</v>
      </c>
      <c r="BP570" s="1567"/>
      <c r="BQ570" s="1567"/>
      <c r="BR570" s="1567"/>
      <c r="BS570" s="1567"/>
      <c r="BT570" s="352"/>
      <c r="BU570" s="353"/>
      <c r="BV570" s="310"/>
      <c r="BW570" s="310"/>
      <c r="BX570" s="291">
        <f t="shared" si="3"/>
        <v>0</v>
      </c>
      <c r="BY570" s="344"/>
      <c r="BZ570" s="347"/>
      <c r="CA570" s="347"/>
    </row>
    <row r="571" spans="1:16384" ht="42.95" customHeight="1" x14ac:dyDescent="0.25">
      <c r="A571" s="313"/>
      <c r="B571" s="340"/>
      <c r="C571" s="1577" t="s">
        <v>845</v>
      </c>
      <c r="D571" s="1577"/>
      <c r="E571" s="1577"/>
      <c r="F571" s="1577"/>
      <c r="G571" s="1577"/>
      <c r="H571" s="1577"/>
      <c r="I571" s="1577"/>
      <c r="J571" s="1577"/>
      <c r="K571" s="1567">
        <v>61600000</v>
      </c>
      <c r="L571" s="1567"/>
      <c r="M571" s="1567"/>
      <c r="N571" s="1567"/>
      <c r="O571" s="1567"/>
      <c r="P571" s="1567"/>
      <c r="Q571" s="432"/>
      <c r="R571" s="1567">
        <v>0</v>
      </c>
      <c r="S571" s="1567"/>
      <c r="T571" s="1567"/>
      <c r="U571" s="1567"/>
      <c r="V571" s="1567"/>
      <c r="W571" s="432"/>
      <c r="X571" s="1567">
        <v>0</v>
      </c>
      <c r="Y571" s="1567"/>
      <c r="Z571" s="1567"/>
      <c r="AA571" s="1567"/>
      <c r="AB571" s="1567"/>
      <c r="AC571" s="1567"/>
      <c r="AD571" s="433"/>
      <c r="AE571" s="1567">
        <v>0</v>
      </c>
      <c r="AF571" s="1567"/>
      <c r="AG571" s="1567"/>
      <c r="AH571" s="1567"/>
      <c r="AI571" s="1567"/>
      <c r="AJ571" s="344"/>
      <c r="AK571" s="345"/>
      <c r="AL571" s="340"/>
      <c r="AM571" s="434" t="s">
        <v>844</v>
      </c>
      <c r="AN571" s="434"/>
      <c r="AO571" s="434"/>
      <c r="AP571" s="434"/>
      <c r="AQ571" s="434"/>
      <c r="AR571" s="434"/>
      <c r="AS571" s="434"/>
      <c r="AT571" s="434"/>
      <c r="AU571" s="1567">
        <f t="shared" si="4"/>
        <v>61600000</v>
      </c>
      <c r="AV571" s="1567"/>
      <c r="AW571" s="1567"/>
      <c r="AX571" s="1567"/>
      <c r="AY571" s="1567"/>
      <c r="AZ571" s="1567"/>
      <c r="BA571" s="432"/>
      <c r="BB571" s="1567">
        <f t="shared" si="5"/>
        <v>0</v>
      </c>
      <c r="BC571" s="1567"/>
      <c r="BD571" s="1567"/>
      <c r="BE571" s="1567"/>
      <c r="BF571" s="1567"/>
      <c r="BG571" s="432"/>
      <c r="BH571" s="1567">
        <f t="shared" si="6"/>
        <v>0</v>
      </c>
      <c r="BI571" s="1567"/>
      <c r="BJ571" s="1567"/>
      <c r="BK571" s="1567"/>
      <c r="BL571" s="1567"/>
      <c r="BM571" s="1567"/>
      <c r="BN571" s="433"/>
      <c r="BO571" s="1567">
        <f t="shared" si="7"/>
        <v>0</v>
      </c>
      <c r="BP571" s="1567"/>
      <c r="BQ571" s="1567"/>
      <c r="BR571" s="1567"/>
      <c r="BS571" s="1567"/>
      <c r="BT571" s="352"/>
      <c r="BU571" s="353"/>
      <c r="BV571" s="310"/>
      <c r="BW571" s="310"/>
      <c r="BX571" s="291">
        <f>IF(ISNONTEXT($C571),0,SUM(D571:AI571)-SUM(AN571:BS571))</f>
        <v>0</v>
      </c>
      <c r="BY571" s="344"/>
      <c r="BZ571" s="347"/>
      <c r="CA571" s="347"/>
    </row>
    <row r="572" spans="1:16384" ht="29.1" customHeight="1" x14ac:dyDescent="0.25">
      <c r="A572" s="313"/>
      <c r="B572" s="340"/>
      <c r="C572" s="1577" t="s">
        <v>846</v>
      </c>
      <c r="D572" s="1577"/>
      <c r="E572" s="1577"/>
      <c r="F572" s="1577"/>
      <c r="G572" s="1577"/>
      <c r="H572" s="1577"/>
      <c r="I572" s="1577"/>
      <c r="J572" s="1577"/>
      <c r="K572" s="1567">
        <v>42726200</v>
      </c>
      <c r="L572" s="1567"/>
      <c r="M572" s="1567"/>
      <c r="N572" s="1567"/>
      <c r="O572" s="1567"/>
      <c r="P572" s="1567"/>
      <c r="Q572" s="432"/>
      <c r="R572" s="1567">
        <v>0</v>
      </c>
      <c r="S572" s="1567"/>
      <c r="T572" s="1567"/>
      <c r="U572" s="1567"/>
      <c r="V572" s="1567"/>
      <c r="W572" s="432"/>
      <c r="X572" s="1567">
        <v>42726200</v>
      </c>
      <c r="Y572" s="1567"/>
      <c r="Z572" s="1567"/>
      <c r="AA572" s="1567"/>
      <c r="AB572" s="1567"/>
      <c r="AC572" s="1567"/>
      <c r="AD572" s="433"/>
      <c r="AE572" s="1567">
        <v>0</v>
      </c>
      <c r="AF572" s="1567"/>
      <c r="AG572" s="1567"/>
      <c r="AH572" s="1567"/>
      <c r="AI572" s="1567"/>
      <c r="AJ572" s="344"/>
      <c r="AK572" s="345"/>
      <c r="AL572" s="340"/>
      <c r="AM572" s="434" t="s">
        <v>844</v>
      </c>
      <c r="AN572" s="434"/>
      <c r="AO572" s="434"/>
      <c r="AP572" s="434"/>
      <c r="AQ572" s="434"/>
      <c r="AR572" s="434"/>
      <c r="AS572" s="434"/>
      <c r="AT572" s="434"/>
      <c r="AU572" s="1567">
        <f t="shared" si="4"/>
        <v>42726200</v>
      </c>
      <c r="AV572" s="1567"/>
      <c r="AW572" s="1567"/>
      <c r="AX572" s="1567"/>
      <c r="AY572" s="1567"/>
      <c r="AZ572" s="1567"/>
      <c r="BA572" s="432"/>
      <c r="BB572" s="1567">
        <f t="shared" si="5"/>
        <v>0</v>
      </c>
      <c r="BC572" s="1567"/>
      <c r="BD572" s="1567"/>
      <c r="BE572" s="1567"/>
      <c r="BF572" s="1567"/>
      <c r="BG572" s="432"/>
      <c r="BH572" s="1567">
        <f t="shared" si="6"/>
        <v>42726200</v>
      </c>
      <c r="BI572" s="1567"/>
      <c r="BJ572" s="1567"/>
      <c r="BK572" s="1567"/>
      <c r="BL572" s="1567"/>
      <c r="BM572" s="1567"/>
      <c r="BN572" s="433"/>
      <c r="BO572" s="1567">
        <f t="shared" si="7"/>
        <v>0</v>
      </c>
      <c r="BP572" s="1567"/>
      <c r="BQ572" s="1567"/>
      <c r="BR572" s="1567"/>
      <c r="BS572" s="1567"/>
      <c r="BT572" s="352"/>
      <c r="BU572" s="353"/>
      <c r="BV572" s="310"/>
      <c r="BW572" s="310"/>
      <c r="BX572" s="291">
        <f>IF(ISNONTEXT($C572),0,SUM(D572:AI572)-SUM(AN572:BS572))</f>
        <v>0</v>
      </c>
      <c r="BY572" s="344"/>
      <c r="BZ572" s="347"/>
      <c r="CA572" s="347"/>
    </row>
    <row r="573" spans="1:16384" ht="15" customHeight="1" x14ac:dyDescent="0.25">
      <c r="A573" s="313"/>
      <c r="B573" s="340"/>
      <c r="C573" s="1577" t="s">
        <v>847</v>
      </c>
      <c r="D573" s="1577"/>
      <c r="E573" s="1577"/>
      <c r="F573" s="1577"/>
      <c r="G573" s="1577"/>
      <c r="H573" s="1577"/>
      <c r="I573" s="1577"/>
      <c r="J573" s="1577"/>
      <c r="K573" s="1567">
        <v>33816521</v>
      </c>
      <c r="L573" s="1567"/>
      <c r="M573" s="1567"/>
      <c r="N573" s="1567"/>
      <c r="O573" s="1567"/>
      <c r="P573" s="1567"/>
      <c r="Q573" s="432"/>
      <c r="R573" s="1567">
        <v>0</v>
      </c>
      <c r="S573" s="1567"/>
      <c r="T573" s="1567"/>
      <c r="U573" s="1567"/>
      <c r="V573" s="1567"/>
      <c r="W573" s="432"/>
      <c r="X573" s="1567">
        <v>277763661</v>
      </c>
      <c r="Y573" s="1567"/>
      <c r="Z573" s="1567"/>
      <c r="AA573" s="1567"/>
      <c r="AB573" s="1567"/>
      <c r="AC573" s="1567"/>
      <c r="AD573" s="433"/>
      <c r="AE573" s="1567">
        <v>0</v>
      </c>
      <c r="AF573" s="1567"/>
      <c r="AG573" s="1567"/>
      <c r="AH573" s="1567"/>
      <c r="AI573" s="1567"/>
      <c r="AJ573" s="344"/>
      <c r="AK573" s="345"/>
      <c r="AL573" s="340"/>
      <c r="AM573" s="434" t="s">
        <v>844</v>
      </c>
      <c r="AN573" s="434"/>
      <c r="AO573" s="434"/>
      <c r="AP573" s="434"/>
      <c r="AQ573" s="434"/>
      <c r="AR573" s="434"/>
      <c r="AS573" s="434"/>
      <c r="AT573" s="434"/>
      <c r="AU573" s="1567">
        <f t="shared" si="4"/>
        <v>33816521</v>
      </c>
      <c r="AV573" s="1567"/>
      <c r="AW573" s="1567"/>
      <c r="AX573" s="1567"/>
      <c r="AY573" s="1567"/>
      <c r="AZ573" s="1567"/>
      <c r="BA573" s="432"/>
      <c r="BB573" s="1567">
        <f t="shared" si="5"/>
        <v>0</v>
      </c>
      <c r="BC573" s="1567"/>
      <c r="BD573" s="1567"/>
      <c r="BE573" s="1567"/>
      <c r="BF573" s="1567"/>
      <c r="BG573" s="432"/>
      <c r="BH573" s="1567">
        <f t="shared" si="6"/>
        <v>277763661</v>
      </c>
      <c r="BI573" s="1567"/>
      <c r="BJ573" s="1567"/>
      <c r="BK573" s="1567"/>
      <c r="BL573" s="1567"/>
      <c r="BM573" s="1567"/>
      <c r="BN573" s="433"/>
      <c r="BO573" s="1567">
        <f t="shared" si="7"/>
        <v>0</v>
      </c>
      <c r="BP573" s="1567"/>
      <c r="BQ573" s="1567"/>
      <c r="BR573" s="1567"/>
      <c r="BS573" s="1567"/>
      <c r="BT573" s="352"/>
      <c r="BU573" s="353"/>
      <c r="BV573" s="310"/>
      <c r="BW573" s="310"/>
      <c r="BX573" s="291">
        <f>IF(ISNONTEXT($C573),0,SUM(D573:AI573)-SUM(AN573:BS573))</f>
        <v>0</v>
      </c>
      <c r="BY573" s="344"/>
      <c r="BZ573" s="347"/>
      <c r="CA573" s="347"/>
    </row>
    <row r="574" spans="1:16384" ht="29.1" hidden="1" customHeight="1" x14ac:dyDescent="0.25">
      <c r="A574" s="313"/>
      <c r="B574" s="340"/>
      <c r="C574" s="1577"/>
      <c r="D574" s="1577"/>
      <c r="E574" s="1577"/>
      <c r="F574" s="1577"/>
      <c r="G574" s="1577"/>
      <c r="H574" s="1577"/>
      <c r="I574" s="1577"/>
      <c r="J574" s="1577"/>
      <c r="K574" s="1567">
        <v>0</v>
      </c>
      <c r="L574" s="1567"/>
      <c r="M574" s="1567"/>
      <c r="N574" s="1567"/>
      <c r="O574" s="1567"/>
      <c r="P574" s="1567"/>
      <c r="Q574" s="432"/>
      <c r="R574" s="1567">
        <v>0</v>
      </c>
      <c r="S574" s="1567"/>
      <c r="T574" s="1567"/>
      <c r="U574" s="1567"/>
      <c r="V574" s="1567"/>
      <c r="W574" s="432"/>
      <c r="X574" s="1567"/>
      <c r="Y574" s="1567"/>
      <c r="Z574" s="1567"/>
      <c r="AA574" s="1567"/>
      <c r="AB574" s="1567"/>
      <c r="AC574" s="1567"/>
      <c r="AD574" s="433"/>
      <c r="AE574" s="1567">
        <v>0</v>
      </c>
      <c r="AF574" s="1567"/>
      <c r="AG574" s="1567"/>
      <c r="AH574" s="1567"/>
      <c r="AI574" s="1567"/>
      <c r="AJ574" s="344"/>
      <c r="AK574" s="345"/>
      <c r="AL574" s="340"/>
      <c r="AM574" s="434" t="s">
        <v>844</v>
      </c>
      <c r="AN574" s="434"/>
      <c r="AO574" s="434"/>
      <c r="AP574" s="434"/>
      <c r="AQ574" s="434"/>
      <c r="AR574" s="434"/>
      <c r="AS574" s="434"/>
      <c r="AT574" s="434"/>
      <c r="AU574" s="1567">
        <f t="shared" si="4"/>
        <v>0</v>
      </c>
      <c r="AV574" s="1567"/>
      <c r="AW574" s="1567"/>
      <c r="AX574" s="1567"/>
      <c r="AY574" s="1567"/>
      <c r="AZ574" s="1567"/>
      <c r="BA574" s="432"/>
      <c r="BB574" s="1567">
        <f t="shared" si="5"/>
        <v>0</v>
      </c>
      <c r="BC574" s="1567"/>
      <c r="BD574" s="1567"/>
      <c r="BE574" s="1567"/>
      <c r="BF574" s="1567"/>
      <c r="BG574" s="432"/>
      <c r="BH574" s="1567">
        <f t="shared" si="6"/>
        <v>0</v>
      </c>
      <c r="BI574" s="1567"/>
      <c r="BJ574" s="1567"/>
      <c r="BK574" s="1567"/>
      <c r="BL574" s="1567"/>
      <c r="BM574" s="1567"/>
      <c r="BN574" s="433"/>
      <c r="BO574" s="1567">
        <f t="shared" si="7"/>
        <v>0</v>
      </c>
      <c r="BP574" s="1567"/>
      <c r="BQ574" s="1567"/>
      <c r="BR574" s="1567"/>
      <c r="BS574" s="1567"/>
      <c r="BT574" s="352"/>
      <c r="BU574" s="353"/>
      <c r="BV574" s="310"/>
      <c r="BW574" s="310"/>
      <c r="BX574" s="291">
        <f>IF(ISNONTEXT($C574),0,SUM(D574:AI574)-SUM(AN574:BS574))</f>
        <v>0</v>
      </c>
      <c r="BY574" s="344"/>
      <c r="BZ574" s="347"/>
      <c r="CA574" s="347"/>
    </row>
    <row r="575" spans="1:16384" ht="29.1" customHeight="1" x14ac:dyDescent="0.25">
      <c r="A575" s="313"/>
      <c r="B575" s="340"/>
      <c r="C575" s="1577" t="s">
        <v>848</v>
      </c>
      <c r="D575" s="1577"/>
      <c r="E575" s="1577"/>
      <c r="F575" s="1577"/>
      <c r="G575" s="1577"/>
      <c r="H575" s="1577"/>
      <c r="I575" s="1577"/>
      <c r="J575" s="1577"/>
      <c r="K575" s="1567">
        <v>66258844</v>
      </c>
      <c r="L575" s="1567"/>
      <c r="M575" s="1567"/>
      <c r="N575" s="1567"/>
      <c r="O575" s="1567"/>
      <c r="P575" s="1567"/>
      <c r="Q575" s="432"/>
      <c r="R575" s="1567">
        <v>0</v>
      </c>
      <c r="S575" s="1567"/>
      <c r="T575" s="1567"/>
      <c r="U575" s="1567"/>
      <c r="V575" s="1567"/>
      <c r="W575" s="432"/>
      <c r="X575" s="1567">
        <f>392934861-X573-X572</f>
        <v>72445000</v>
      </c>
      <c r="Y575" s="1567"/>
      <c r="Z575" s="1567"/>
      <c r="AA575" s="1567"/>
      <c r="AB575" s="1567"/>
      <c r="AC575" s="1567"/>
      <c r="AD575" s="433"/>
      <c r="AE575" s="1567">
        <v>0</v>
      </c>
      <c r="AF575" s="1567"/>
      <c r="AG575" s="1567"/>
      <c r="AH575" s="1567"/>
      <c r="AI575" s="1567"/>
      <c r="AJ575" s="344"/>
      <c r="AK575" s="345"/>
      <c r="AL575" s="340"/>
      <c r="AM575" s="1578" t="s">
        <v>849</v>
      </c>
      <c r="AN575" s="1578"/>
      <c r="AO575" s="1578"/>
      <c r="AP575" s="1578"/>
      <c r="AQ575" s="1578"/>
      <c r="AR575" s="1578"/>
      <c r="AS575" s="1578"/>
      <c r="AT575" s="1578"/>
      <c r="AU575" s="1567">
        <f t="shared" si="4"/>
        <v>66258844</v>
      </c>
      <c r="AV575" s="1567"/>
      <c r="AW575" s="1567"/>
      <c r="AX575" s="1567"/>
      <c r="AY575" s="1567"/>
      <c r="AZ575" s="1567"/>
      <c r="BA575" s="432"/>
      <c r="BB575" s="1567">
        <f t="shared" si="5"/>
        <v>0</v>
      </c>
      <c r="BC575" s="1567"/>
      <c r="BD575" s="1567"/>
      <c r="BE575" s="1567"/>
      <c r="BF575" s="1567"/>
      <c r="BG575" s="432"/>
      <c r="BH575" s="1567">
        <f t="shared" si="6"/>
        <v>72445000</v>
      </c>
      <c r="BI575" s="1567"/>
      <c r="BJ575" s="1567"/>
      <c r="BK575" s="1567"/>
      <c r="BL575" s="1567"/>
      <c r="BM575" s="1567"/>
      <c r="BN575" s="433"/>
      <c r="BO575" s="1567">
        <f t="shared" si="7"/>
        <v>0</v>
      </c>
      <c r="BP575" s="1567"/>
      <c r="BQ575" s="1567"/>
      <c r="BR575" s="1567"/>
      <c r="BS575" s="1567"/>
      <c r="BT575" s="352"/>
      <c r="BU575" s="353"/>
      <c r="BV575" s="310"/>
      <c r="BW575" s="310"/>
      <c r="BX575" s="291">
        <f t="shared" si="3"/>
        <v>0</v>
      </c>
      <c r="BY575" s="344"/>
      <c r="BZ575" s="347"/>
      <c r="CA575" s="347"/>
    </row>
    <row r="576" spans="1:16384" ht="12.95" customHeight="1" x14ac:dyDescent="0.25">
      <c r="A576" s="313"/>
      <c r="B576" s="340"/>
      <c r="C576" s="427"/>
      <c r="D576" s="342"/>
      <c r="E576" s="342"/>
      <c r="F576" s="342"/>
      <c r="G576" s="342"/>
      <c r="H576" s="342"/>
      <c r="I576" s="342"/>
      <c r="J576" s="342"/>
      <c r="K576" s="1318"/>
      <c r="L576" s="1318"/>
      <c r="M576" s="1318"/>
      <c r="N576" s="1318"/>
      <c r="O576" s="1318"/>
      <c r="P576" s="1318"/>
      <c r="Q576" s="355"/>
      <c r="R576" s="1318"/>
      <c r="S576" s="1318"/>
      <c r="T576" s="1318"/>
      <c r="U576" s="1318"/>
      <c r="V576" s="1318"/>
      <c r="W576" s="355"/>
      <c r="X576" s="1318"/>
      <c r="Y576" s="1318"/>
      <c r="Z576" s="1318"/>
      <c r="AA576" s="1318"/>
      <c r="AB576" s="1318"/>
      <c r="AC576" s="1318"/>
      <c r="AD576" s="355"/>
      <c r="AE576" s="1318"/>
      <c r="AF576" s="1318"/>
      <c r="AG576" s="1318"/>
      <c r="AH576" s="1318"/>
      <c r="AI576" s="1318"/>
      <c r="AJ576" s="344"/>
      <c r="AK576" s="345"/>
      <c r="AL576" s="340"/>
      <c r="AM576" s="427"/>
      <c r="AN576" s="342"/>
      <c r="AO576" s="342"/>
      <c r="AP576" s="342"/>
      <c r="AQ576" s="342"/>
      <c r="AR576" s="342"/>
      <c r="AS576" s="342"/>
      <c r="AT576" s="342"/>
      <c r="AU576" s="1318"/>
      <c r="AV576" s="1318"/>
      <c r="AW576" s="1318"/>
      <c r="AX576" s="1318"/>
      <c r="AY576" s="1318"/>
      <c r="AZ576" s="1318"/>
      <c r="BA576" s="355"/>
      <c r="BB576" s="1318"/>
      <c r="BC576" s="1318"/>
      <c r="BD576" s="1318"/>
      <c r="BE576" s="1318"/>
      <c r="BF576" s="1318"/>
      <c r="BG576" s="355"/>
      <c r="BH576" s="1318"/>
      <c r="BI576" s="1318"/>
      <c r="BJ576" s="1318"/>
      <c r="BK576" s="1318"/>
      <c r="BL576" s="1318"/>
      <c r="BM576" s="1318"/>
      <c r="BN576" s="355"/>
      <c r="BO576" s="1318"/>
      <c r="BP576" s="1318"/>
      <c r="BQ576" s="1318"/>
      <c r="BR576" s="1318"/>
      <c r="BS576" s="1318"/>
      <c r="BT576" s="356"/>
      <c r="BU576" s="357"/>
      <c r="BV576" s="310"/>
      <c r="BW576" s="310"/>
      <c r="BX576" s="291">
        <f t="shared" si="3"/>
        <v>0</v>
      </c>
      <c r="BY576" s="344"/>
      <c r="BZ576" s="347"/>
      <c r="CA576" s="347"/>
    </row>
    <row r="577" spans="1:84" ht="15" customHeight="1" thickBot="1" x14ac:dyDescent="0.3">
      <c r="A577" s="313"/>
      <c r="B577" s="340"/>
      <c r="C577" s="360" t="s">
        <v>752</v>
      </c>
      <c r="D577" s="340"/>
      <c r="E577" s="340"/>
      <c r="F577" s="340"/>
      <c r="G577" s="340"/>
      <c r="H577" s="340"/>
      <c r="I577" s="340"/>
      <c r="J577" s="340"/>
      <c r="K577" s="1565">
        <f>SUBTOTAL(109,K570:P576)</f>
        <v>204401565</v>
      </c>
      <c r="L577" s="1565"/>
      <c r="M577" s="1565"/>
      <c r="N577" s="1565"/>
      <c r="O577" s="1565"/>
      <c r="P577" s="1565"/>
      <c r="Q577" s="435"/>
      <c r="R577" s="1565">
        <f>SUBTOTAL(109,R570:V576)</f>
        <v>0</v>
      </c>
      <c r="S577" s="1565"/>
      <c r="T577" s="1565"/>
      <c r="U577" s="1565"/>
      <c r="V577" s="1565"/>
      <c r="W577" s="435"/>
      <c r="X577" s="1565">
        <f>SUBTOTAL(109,X570:AC576)</f>
        <v>1574616651</v>
      </c>
      <c r="Y577" s="1565"/>
      <c r="Z577" s="1565"/>
      <c r="AA577" s="1565"/>
      <c r="AB577" s="1565"/>
      <c r="AC577" s="1565"/>
      <c r="AD577" s="363"/>
      <c r="AE577" s="1565">
        <f>SUBTOTAL(109,AE570:AI576)</f>
        <v>0</v>
      </c>
      <c r="AF577" s="1565"/>
      <c r="AG577" s="1565"/>
      <c r="AH577" s="1565"/>
      <c r="AI577" s="1565"/>
      <c r="AJ577" s="344"/>
      <c r="AK577" s="345"/>
      <c r="AL577" s="340"/>
      <c r="AM577" s="360" t="s">
        <v>752</v>
      </c>
      <c r="AN577" s="340"/>
      <c r="AO577" s="340"/>
      <c r="AP577" s="340"/>
      <c r="AQ577" s="340"/>
      <c r="AR577" s="340"/>
      <c r="AS577" s="340"/>
      <c r="AT577" s="340"/>
      <c r="AU577" s="1565">
        <f>SUBTOTAL(109,AU562:AZ575)</f>
        <v>204401565</v>
      </c>
      <c r="AV577" s="1565"/>
      <c r="AW577" s="1565"/>
      <c r="AX577" s="1565"/>
      <c r="AY577" s="1565"/>
      <c r="AZ577" s="1565"/>
      <c r="BA577" s="435"/>
      <c r="BB577" s="1565">
        <f>SUBTOTAL(109,BB562:BF575)</f>
        <v>0</v>
      </c>
      <c r="BC577" s="1565"/>
      <c r="BD577" s="1565"/>
      <c r="BE577" s="1565"/>
      <c r="BF577" s="1565"/>
      <c r="BG577" s="435"/>
      <c r="BH577" s="1565">
        <f>SUBTOTAL(109,BH562:BM575)</f>
        <v>1574616651</v>
      </c>
      <c r="BI577" s="1565"/>
      <c r="BJ577" s="1565"/>
      <c r="BK577" s="1565"/>
      <c r="BL577" s="1565"/>
      <c r="BM577" s="1565"/>
      <c r="BN577" s="363"/>
      <c r="BO577" s="1565">
        <f>SUBTOTAL(109,BO562:BS575)</f>
        <v>0</v>
      </c>
      <c r="BP577" s="1565"/>
      <c r="BQ577" s="1565"/>
      <c r="BR577" s="1565"/>
      <c r="BS577" s="1565"/>
      <c r="BT577" s="356"/>
      <c r="BU577" s="357"/>
      <c r="BV577" s="310">
        <f>K577-KN_CT132</f>
        <v>0</v>
      </c>
      <c r="BW577" s="310">
        <f>X577-KT_CT132</f>
        <v>0</v>
      </c>
      <c r="BX577" s="291">
        <f t="shared" si="3"/>
        <v>0</v>
      </c>
      <c r="BY577" s="344"/>
      <c r="BZ577" s="347"/>
      <c r="CA577" s="347"/>
    </row>
    <row r="578" spans="1:84" ht="12.95" customHeight="1" thickTop="1" x14ac:dyDescent="0.25">
      <c r="A578" s="313"/>
      <c r="B578" s="340"/>
      <c r="C578" s="434"/>
      <c r="D578" s="434"/>
      <c r="E578" s="434"/>
      <c r="F578" s="434"/>
      <c r="G578" s="434"/>
      <c r="H578" s="434"/>
      <c r="I578" s="434"/>
      <c r="J578" s="434"/>
      <c r="K578" s="1567"/>
      <c r="L578" s="1567"/>
      <c r="M578" s="1567"/>
      <c r="N578" s="1567"/>
      <c r="O578" s="1567"/>
      <c r="P578" s="1567"/>
      <c r="Q578" s="432"/>
      <c r="R578" s="1567"/>
      <c r="S578" s="1567"/>
      <c r="T578" s="1567"/>
      <c r="U578" s="1567"/>
      <c r="V578" s="1567"/>
      <c r="W578" s="432"/>
      <c r="X578" s="1567"/>
      <c r="Y578" s="1567"/>
      <c r="Z578" s="1567"/>
      <c r="AA578" s="1567"/>
      <c r="AB578" s="1567"/>
      <c r="AC578" s="1567"/>
      <c r="AD578" s="433"/>
      <c r="AE578" s="1567"/>
      <c r="AF578" s="1567"/>
      <c r="AG578" s="1567"/>
      <c r="AH578" s="1567"/>
      <c r="AI578" s="1567"/>
      <c r="AJ578" s="344"/>
      <c r="AK578" s="345"/>
      <c r="AL578" s="340"/>
      <c r="AM578" s="434"/>
      <c r="AN578" s="434"/>
      <c r="AO578" s="434"/>
      <c r="AP578" s="434"/>
      <c r="AQ578" s="434"/>
      <c r="AR578" s="434"/>
      <c r="AS578" s="434"/>
      <c r="AT578" s="434"/>
      <c r="AU578" s="1567"/>
      <c r="AV578" s="1567"/>
      <c r="AW578" s="1567"/>
      <c r="AX578" s="1567"/>
      <c r="AY578" s="1567"/>
      <c r="AZ578" s="1567"/>
      <c r="BA578" s="432"/>
      <c r="BB578" s="1567"/>
      <c r="BC578" s="1567"/>
      <c r="BD578" s="1567"/>
      <c r="BE578" s="1567"/>
      <c r="BF578" s="1567"/>
      <c r="BG578" s="432"/>
      <c r="BH578" s="1567"/>
      <c r="BI578" s="1567"/>
      <c r="BJ578" s="1567"/>
      <c r="BK578" s="1567"/>
      <c r="BL578" s="1567"/>
      <c r="BM578" s="1567"/>
      <c r="BN578" s="433"/>
      <c r="BO578" s="1567"/>
      <c r="BP578" s="1567"/>
      <c r="BQ578" s="1567"/>
      <c r="BR578" s="1567"/>
      <c r="BS578" s="1567"/>
      <c r="BT578" s="352"/>
      <c r="BU578" s="353"/>
      <c r="BV578" s="310"/>
      <c r="BW578" s="310"/>
      <c r="BX578" s="291">
        <f t="shared" si="3"/>
        <v>0</v>
      </c>
      <c r="BY578" s="344"/>
      <c r="BZ578" s="347"/>
      <c r="CA578" s="347"/>
    </row>
    <row r="579" spans="1:84" ht="15" hidden="1" customHeight="1" x14ac:dyDescent="0.25">
      <c r="A579" s="313"/>
      <c r="B579" s="340"/>
      <c r="C579" s="341" t="s">
        <v>850</v>
      </c>
      <c r="D579" s="342"/>
      <c r="E579" s="342"/>
      <c r="F579" s="342"/>
      <c r="G579" s="342"/>
      <c r="H579" s="342"/>
      <c r="I579" s="342"/>
      <c r="J579" s="342"/>
      <c r="K579" s="1567"/>
      <c r="L579" s="1567"/>
      <c r="M579" s="1567"/>
      <c r="N579" s="1567"/>
      <c r="O579" s="1567"/>
      <c r="P579" s="1567"/>
      <c r="Q579" s="432"/>
      <c r="R579" s="1567"/>
      <c r="S579" s="1567"/>
      <c r="T579" s="1567"/>
      <c r="U579" s="1567"/>
      <c r="V579" s="1567"/>
      <c r="W579" s="432"/>
      <c r="X579" s="1567"/>
      <c r="Y579" s="1567"/>
      <c r="Z579" s="1567"/>
      <c r="AA579" s="1567"/>
      <c r="AB579" s="1567"/>
      <c r="AC579" s="1567"/>
      <c r="AD579" s="355"/>
      <c r="AE579" s="1567"/>
      <c r="AF579" s="1567"/>
      <c r="AG579" s="1567"/>
      <c r="AH579" s="1567"/>
      <c r="AI579" s="1567"/>
      <c r="AJ579" s="344"/>
      <c r="AK579" s="345"/>
      <c r="AL579" s="340"/>
      <c r="AM579" s="340"/>
      <c r="AN579" s="342"/>
      <c r="AO579" s="342"/>
      <c r="AP579" s="342"/>
      <c r="AQ579" s="342"/>
      <c r="AR579" s="342"/>
      <c r="AS579" s="342"/>
      <c r="AT579" s="342"/>
      <c r="AU579" s="1567"/>
      <c r="AV579" s="1567"/>
      <c r="AW579" s="1567"/>
      <c r="AX579" s="1567"/>
      <c r="AY579" s="1567"/>
      <c r="AZ579" s="1567"/>
      <c r="BA579" s="432"/>
      <c r="BB579" s="1567"/>
      <c r="BC579" s="1567"/>
      <c r="BD579" s="1567"/>
      <c r="BE579" s="1567"/>
      <c r="BF579" s="1567"/>
      <c r="BG579" s="432"/>
      <c r="BH579" s="1567"/>
      <c r="BI579" s="1567"/>
      <c r="BJ579" s="1567"/>
      <c r="BK579" s="1567"/>
      <c r="BL579" s="1567"/>
      <c r="BM579" s="1567"/>
      <c r="BN579" s="355"/>
      <c r="BO579" s="1567"/>
      <c r="BP579" s="1567"/>
      <c r="BQ579" s="1567"/>
      <c r="BR579" s="1567"/>
      <c r="BS579" s="1567"/>
      <c r="BT579" s="352"/>
      <c r="BU579" s="353"/>
      <c r="BV579" s="310"/>
      <c r="BW579" s="310"/>
      <c r="BX579" s="291">
        <f t="shared" si="3"/>
        <v>0</v>
      </c>
      <c r="BY579" s="344"/>
      <c r="BZ579" s="347"/>
      <c r="CA579" s="347"/>
    </row>
    <row r="580" spans="1:84" ht="15" hidden="1" customHeight="1" x14ac:dyDescent="0.25">
      <c r="A580" s="313"/>
      <c r="B580" s="340"/>
      <c r="C580" s="1577"/>
      <c r="D580" s="1577"/>
      <c r="E580" s="1577"/>
      <c r="F580" s="1577"/>
      <c r="G580" s="1577"/>
      <c r="H580" s="1577"/>
      <c r="I580" s="1577"/>
      <c r="J580" s="1577"/>
      <c r="K580" s="1567">
        <v>0</v>
      </c>
      <c r="L580" s="1567"/>
      <c r="M580" s="1567"/>
      <c r="N580" s="1567"/>
      <c r="O580" s="1567"/>
      <c r="P580" s="1567"/>
      <c r="Q580" s="432"/>
      <c r="R580" s="1567">
        <v>0</v>
      </c>
      <c r="S580" s="1567"/>
      <c r="T580" s="1567"/>
      <c r="U580" s="1567"/>
      <c r="V580" s="1567"/>
      <c r="W580" s="432"/>
      <c r="X580" s="1567">
        <v>0</v>
      </c>
      <c r="Y580" s="1567"/>
      <c r="Z580" s="1567"/>
      <c r="AA580" s="1567"/>
      <c r="AB580" s="1567"/>
      <c r="AC580" s="1567"/>
      <c r="AD580" s="355"/>
      <c r="AE580" s="1567">
        <v>0</v>
      </c>
      <c r="AF580" s="1567"/>
      <c r="AG580" s="1567"/>
      <c r="AH580" s="1567"/>
      <c r="AI580" s="1567"/>
      <c r="AJ580" s="344"/>
      <c r="AK580" s="345"/>
      <c r="AL580" s="340"/>
      <c r="AM580" s="1578" t="s">
        <v>851</v>
      </c>
      <c r="AN580" s="1578"/>
      <c r="AO580" s="1578"/>
      <c r="AP580" s="1578"/>
      <c r="AQ580" s="1578"/>
      <c r="AR580" s="1578"/>
      <c r="AS580" s="1578"/>
      <c r="AT580" s="1578"/>
      <c r="AU580" s="1567">
        <f>K580</f>
        <v>0</v>
      </c>
      <c r="AV580" s="1567"/>
      <c r="AW580" s="1567"/>
      <c r="AX580" s="1567"/>
      <c r="AY580" s="1567"/>
      <c r="AZ580" s="1567"/>
      <c r="BA580" s="432"/>
      <c r="BB580" s="1567">
        <f>R580</f>
        <v>0</v>
      </c>
      <c r="BC580" s="1567"/>
      <c r="BD580" s="1567"/>
      <c r="BE580" s="1567"/>
      <c r="BF580" s="1567"/>
      <c r="BG580" s="432"/>
      <c r="BH580" s="1567">
        <f>X580</f>
        <v>0</v>
      </c>
      <c r="BI580" s="1567"/>
      <c r="BJ580" s="1567"/>
      <c r="BK580" s="1567"/>
      <c r="BL580" s="1567"/>
      <c r="BM580" s="1567"/>
      <c r="BN580" s="355"/>
      <c r="BO580" s="1567">
        <f>AE580</f>
        <v>0</v>
      </c>
      <c r="BP580" s="1567"/>
      <c r="BQ580" s="1567"/>
      <c r="BR580" s="1567"/>
      <c r="BS580" s="1567"/>
      <c r="BT580" s="352"/>
      <c r="BU580" s="353"/>
      <c r="BV580" s="310"/>
      <c r="BW580" s="310"/>
      <c r="BX580" s="291">
        <f t="shared" si="3"/>
        <v>0</v>
      </c>
      <c r="BY580" s="344"/>
      <c r="BZ580" s="347"/>
      <c r="CA580" s="347"/>
    </row>
    <row r="581" spans="1:84" ht="15" hidden="1" customHeight="1" x14ac:dyDescent="0.25">
      <c r="A581" s="313"/>
      <c r="B581" s="340"/>
      <c r="C581" s="1577"/>
      <c r="D581" s="1577"/>
      <c r="E581" s="1577"/>
      <c r="F581" s="1577"/>
      <c r="G581" s="1577"/>
      <c r="H581" s="1577"/>
      <c r="I581" s="1577"/>
      <c r="J581" s="1577"/>
      <c r="K581" s="1567">
        <v>0</v>
      </c>
      <c r="L581" s="1567"/>
      <c r="M581" s="1567"/>
      <c r="N581" s="1567"/>
      <c r="O581" s="1567"/>
      <c r="P581" s="1567"/>
      <c r="Q581" s="432"/>
      <c r="R581" s="1567">
        <v>0</v>
      </c>
      <c r="S581" s="1567"/>
      <c r="T581" s="1567"/>
      <c r="U581" s="1567"/>
      <c r="V581" s="1567"/>
      <c r="W581" s="432"/>
      <c r="X581" s="1567">
        <v>0</v>
      </c>
      <c r="Y581" s="1567"/>
      <c r="Z581" s="1567"/>
      <c r="AA581" s="1567"/>
      <c r="AB581" s="1567"/>
      <c r="AC581" s="1567"/>
      <c r="AD581" s="355"/>
      <c r="AE581" s="1567">
        <v>0</v>
      </c>
      <c r="AF581" s="1567"/>
      <c r="AG581" s="1567"/>
      <c r="AH581" s="1567"/>
      <c r="AI581" s="1567"/>
      <c r="AJ581" s="344"/>
      <c r="AK581" s="345"/>
      <c r="AL581" s="340"/>
      <c r="AM581" s="1578" t="s">
        <v>849</v>
      </c>
      <c r="AN581" s="1578"/>
      <c r="AO581" s="1578"/>
      <c r="AP581" s="1578"/>
      <c r="AQ581" s="1578"/>
      <c r="AR581" s="1578"/>
      <c r="AS581" s="1578"/>
      <c r="AT581" s="1578"/>
      <c r="AU581" s="1567">
        <f>K581</f>
        <v>0</v>
      </c>
      <c r="AV581" s="1567"/>
      <c r="AW581" s="1567"/>
      <c r="AX581" s="1567"/>
      <c r="AY581" s="1567"/>
      <c r="AZ581" s="1567"/>
      <c r="BA581" s="432"/>
      <c r="BB581" s="1567">
        <f>R581</f>
        <v>0</v>
      </c>
      <c r="BC581" s="1567"/>
      <c r="BD581" s="1567"/>
      <c r="BE581" s="1567"/>
      <c r="BF581" s="1567"/>
      <c r="BG581" s="432"/>
      <c r="BH581" s="1567">
        <f>X581</f>
        <v>0</v>
      </c>
      <c r="BI581" s="1567"/>
      <c r="BJ581" s="1567"/>
      <c r="BK581" s="1567"/>
      <c r="BL581" s="1567"/>
      <c r="BM581" s="1567"/>
      <c r="BN581" s="355"/>
      <c r="BO581" s="1567">
        <f>AE581</f>
        <v>0</v>
      </c>
      <c r="BP581" s="1567"/>
      <c r="BQ581" s="1567"/>
      <c r="BR581" s="1567"/>
      <c r="BS581" s="1567"/>
      <c r="BT581" s="352"/>
      <c r="BU581" s="353"/>
      <c r="BV581" s="310"/>
      <c r="BW581" s="310"/>
      <c r="BX581" s="291">
        <f t="shared" si="3"/>
        <v>0</v>
      </c>
      <c r="BY581" s="344"/>
      <c r="BZ581" s="347"/>
      <c r="CA581" s="347"/>
    </row>
    <row r="582" spans="1:84" ht="12.95" hidden="1" customHeight="1" x14ac:dyDescent="0.25">
      <c r="A582" s="313"/>
      <c r="B582" s="340"/>
      <c r="C582" s="427"/>
      <c r="D582" s="342"/>
      <c r="E582" s="342"/>
      <c r="F582" s="342"/>
      <c r="G582" s="342"/>
      <c r="H582" s="342"/>
      <c r="I582" s="342"/>
      <c r="J582" s="342"/>
      <c r="K582" s="1318"/>
      <c r="L582" s="1318"/>
      <c r="M582" s="1318"/>
      <c r="N582" s="1318"/>
      <c r="O582" s="1318"/>
      <c r="P582" s="1318"/>
      <c r="Q582" s="355"/>
      <c r="R582" s="1318"/>
      <c r="S582" s="1318"/>
      <c r="T582" s="1318"/>
      <c r="U582" s="1318"/>
      <c r="V582" s="1318"/>
      <c r="W582" s="355"/>
      <c r="X582" s="1318"/>
      <c r="Y582" s="1318"/>
      <c r="Z582" s="1318"/>
      <c r="AA582" s="1318"/>
      <c r="AB582" s="1318"/>
      <c r="AC582" s="1318"/>
      <c r="AD582" s="355"/>
      <c r="AE582" s="1318"/>
      <c r="AF582" s="1318"/>
      <c r="AG582" s="1318"/>
      <c r="AH582" s="1318"/>
      <c r="AI582" s="1318"/>
      <c r="AJ582" s="344"/>
      <c r="AK582" s="345"/>
      <c r="AL582" s="340"/>
      <c r="AM582" s="427"/>
      <c r="AN582" s="342"/>
      <c r="AO582" s="342"/>
      <c r="AP582" s="342"/>
      <c r="AQ582" s="342"/>
      <c r="AR582" s="342"/>
      <c r="AS582" s="342"/>
      <c r="AT582" s="342"/>
      <c r="AU582" s="1318"/>
      <c r="AV582" s="1318"/>
      <c r="AW582" s="1318"/>
      <c r="AX582" s="1318"/>
      <c r="AY582" s="1318"/>
      <c r="AZ582" s="1318"/>
      <c r="BA582" s="355"/>
      <c r="BB582" s="1318"/>
      <c r="BC582" s="1318"/>
      <c r="BD582" s="1318"/>
      <c r="BE582" s="1318"/>
      <c r="BF582" s="1318"/>
      <c r="BG582" s="355"/>
      <c r="BH582" s="1318"/>
      <c r="BI582" s="1318"/>
      <c r="BJ582" s="1318"/>
      <c r="BK582" s="1318"/>
      <c r="BL582" s="1318"/>
      <c r="BM582" s="1318"/>
      <c r="BN582" s="355"/>
      <c r="BO582" s="1318"/>
      <c r="BP582" s="1318"/>
      <c r="BQ582" s="1318"/>
      <c r="BR582" s="1318"/>
      <c r="BS582" s="1318"/>
      <c r="BT582" s="356"/>
      <c r="BU582" s="357"/>
      <c r="BV582" s="310"/>
      <c r="BW582" s="310"/>
      <c r="BX582" s="291">
        <f t="shared" si="3"/>
        <v>0</v>
      </c>
      <c r="BY582" s="344"/>
      <c r="BZ582" s="347"/>
      <c r="CA582" s="347"/>
    </row>
    <row r="583" spans="1:84" ht="29.1" customHeight="1" thickBot="1" x14ac:dyDescent="0.3">
      <c r="A583" s="313"/>
      <c r="B583" s="340"/>
      <c r="C583" s="1572" t="s">
        <v>852</v>
      </c>
      <c r="D583" s="1572"/>
      <c r="E583" s="1572"/>
      <c r="F583" s="1572"/>
      <c r="G583" s="1572"/>
      <c r="H583" s="1572"/>
      <c r="I583" s="1572"/>
      <c r="J583" s="1572"/>
      <c r="K583" s="1565">
        <v>33816521</v>
      </c>
      <c r="L583" s="1565"/>
      <c r="M583" s="1565"/>
      <c r="N583" s="1565"/>
      <c r="O583" s="1565"/>
      <c r="P583" s="1565"/>
      <c r="Q583" s="435"/>
      <c r="R583" s="1565">
        <v>0</v>
      </c>
      <c r="S583" s="1565"/>
      <c r="T583" s="1565"/>
      <c r="U583" s="1565"/>
      <c r="V583" s="1565"/>
      <c r="W583" s="435"/>
      <c r="X583" s="1565">
        <v>277763661</v>
      </c>
      <c r="Y583" s="1565"/>
      <c r="Z583" s="1565"/>
      <c r="AA583" s="1565"/>
      <c r="AB583" s="1565"/>
      <c r="AC583" s="1565"/>
      <c r="AD583" s="363"/>
      <c r="AE583" s="1565">
        <v>0</v>
      </c>
      <c r="AF583" s="1565"/>
      <c r="AG583" s="1565"/>
      <c r="AH583" s="1565"/>
      <c r="AI583" s="1565"/>
      <c r="AJ583" s="344"/>
      <c r="AK583" s="345"/>
      <c r="AL583" s="340"/>
      <c r="AM583" s="360" t="s">
        <v>752</v>
      </c>
      <c r="AN583" s="340"/>
      <c r="AO583" s="340"/>
      <c r="AP583" s="340"/>
      <c r="AQ583" s="340"/>
      <c r="AR583" s="340"/>
      <c r="AS583" s="340"/>
      <c r="AT583" s="340"/>
      <c r="AU583" s="1565">
        <f>SUBTOTAL(109,AU569:AZ581)</f>
        <v>204401565</v>
      </c>
      <c r="AV583" s="1565"/>
      <c r="AW583" s="1565"/>
      <c r="AX583" s="1565"/>
      <c r="AY583" s="1565"/>
      <c r="AZ583" s="1565"/>
      <c r="BA583" s="435"/>
      <c r="BB583" s="1565">
        <f>SUBTOTAL(109,BB569:BF581)</f>
        <v>0</v>
      </c>
      <c r="BC583" s="1565"/>
      <c r="BD583" s="1565"/>
      <c r="BE583" s="1565"/>
      <c r="BF583" s="1565"/>
      <c r="BG583" s="435"/>
      <c r="BH583" s="1565">
        <f>SUBTOTAL(109,BH569:BM581)</f>
        <v>1574616651</v>
      </c>
      <c r="BI583" s="1565"/>
      <c r="BJ583" s="1565"/>
      <c r="BK583" s="1565"/>
      <c r="BL583" s="1565"/>
      <c r="BM583" s="1565"/>
      <c r="BN583" s="363"/>
      <c r="BO583" s="1565">
        <f>SUBTOTAL(109,BO569:BS581)</f>
        <v>0</v>
      </c>
      <c r="BP583" s="1565"/>
      <c r="BQ583" s="1565"/>
      <c r="BR583" s="1565"/>
      <c r="BS583" s="1565"/>
      <c r="BT583" s="356"/>
      <c r="BU583" s="357"/>
      <c r="BV583" s="310"/>
      <c r="BW583" s="310"/>
      <c r="BX583" s="291">
        <f t="shared" si="3"/>
        <v>-1467438034</v>
      </c>
      <c r="BY583" s="344"/>
      <c r="BZ583" s="347"/>
      <c r="CA583" s="347"/>
    </row>
    <row r="584" spans="1:84" ht="2.1" customHeight="1" thickTop="1" x14ac:dyDescent="0.25">
      <c r="A584" s="369"/>
      <c r="B584" s="354"/>
      <c r="C584" s="342"/>
      <c r="D584" s="342"/>
      <c r="E584" s="342"/>
      <c r="F584" s="342"/>
      <c r="G584" s="342"/>
      <c r="H584" s="342"/>
      <c r="I584" s="342"/>
      <c r="J584" s="342"/>
      <c r="K584" s="342"/>
      <c r="L584" s="342"/>
      <c r="M584" s="342"/>
      <c r="N584" s="342"/>
      <c r="O584" s="342"/>
      <c r="P584" s="342"/>
      <c r="Q584" s="342"/>
      <c r="R584" s="342"/>
      <c r="S584" s="342"/>
      <c r="T584" s="342"/>
      <c r="U584" s="342"/>
      <c r="V584" s="342"/>
      <c r="W584" s="1338"/>
      <c r="X584" s="1338"/>
      <c r="Y584" s="1338"/>
      <c r="Z584" s="1338"/>
      <c r="AA584" s="1338"/>
      <c r="AB584" s="1338"/>
      <c r="AC584" s="343"/>
      <c r="AD584" s="1338"/>
      <c r="AE584" s="1338"/>
      <c r="AF584" s="1338"/>
      <c r="AG584" s="1338"/>
      <c r="AH584" s="1338"/>
      <c r="AI584" s="1338"/>
      <c r="AJ584" s="344"/>
      <c r="AK584" s="419"/>
      <c r="AL584" s="354"/>
      <c r="AM584" s="342"/>
      <c r="AN584" s="342"/>
      <c r="AO584" s="342"/>
      <c r="AP584" s="342"/>
      <c r="AQ584" s="342"/>
      <c r="AR584" s="342"/>
      <c r="AS584" s="342"/>
      <c r="AT584" s="342"/>
      <c r="AU584" s="342"/>
      <c r="AV584" s="342"/>
      <c r="AW584" s="342"/>
      <c r="AX584" s="342"/>
      <c r="AY584" s="342"/>
      <c r="AZ584" s="342"/>
      <c r="BA584" s="342"/>
      <c r="BB584" s="342"/>
      <c r="BC584" s="342"/>
      <c r="BD584" s="342"/>
      <c r="BE584" s="342"/>
      <c r="BF584" s="342"/>
      <c r="BG584" s="342"/>
      <c r="BH584" s="342"/>
      <c r="BI584" s="342"/>
      <c r="BJ584" s="342"/>
      <c r="BK584" s="342"/>
      <c r="BL584" s="342"/>
      <c r="BM584" s="342"/>
      <c r="BN584" s="342"/>
      <c r="BO584" s="342"/>
      <c r="BP584" s="342"/>
      <c r="BQ584" s="342"/>
      <c r="BR584" s="342"/>
      <c r="BS584" s="342"/>
      <c r="BT584" s="342"/>
      <c r="BU584" s="346"/>
      <c r="BV584" s="310"/>
      <c r="BW584" s="310"/>
      <c r="BX584" s="291">
        <f t="shared" si="3"/>
        <v>0</v>
      </c>
      <c r="BY584" s="344"/>
      <c r="BZ584" s="347"/>
      <c r="CA584" s="347"/>
    </row>
    <row r="585" spans="1:84" ht="15" customHeight="1" x14ac:dyDescent="0.25">
      <c r="A585" s="369"/>
      <c r="B585" s="354"/>
      <c r="C585" s="436" t="str">
        <f>CONCATENATE("(Xem thông tin chi tiết tại Thuyết minh ",STT_BenLQ,")")</f>
        <v>(Xem thông tin chi tiết tại Thuyết minh 37)</v>
      </c>
      <c r="D585" s="436"/>
      <c r="E585" s="436"/>
      <c r="F585" s="436"/>
      <c r="G585" s="436"/>
      <c r="H585" s="436"/>
      <c r="I585" s="436"/>
      <c r="J585" s="436"/>
      <c r="K585" s="342"/>
      <c r="L585" s="342"/>
      <c r="M585" s="342"/>
      <c r="N585" s="342"/>
      <c r="O585" s="342"/>
      <c r="P585" s="342"/>
      <c r="Q585" s="342"/>
      <c r="R585" s="342"/>
      <c r="S585" s="342"/>
      <c r="T585" s="342"/>
      <c r="U585" s="342"/>
      <c r="V585" s="342"/>
      <c r="W585" s="437"/>
      <c r="X585" s="437"/>
      <c r="Y585" s="437"/>
      <c r="Z585" s="437"/>
      <c r="AA585" s="437"/>
      <c r="AB585" s="437"/>
      <c r="AC585" s="343"/>
      <c r="AD585" s="437"/>
      <c r="AE585" s="437"/>
      <c r="AF585" s="437"/>
      <c r="AG585" s="437"/>
      <c r="AH585" s="437"/>
      <c r="AI585" s="437"/>
      <c r="AJ585" s="344"/>
      <c r="AK585" s="419"/>
      <c r="AL585" s="354"/>
      <c r="AM585" s="342"/>
      <c r="AN585" s="342"/>
      <c r="AO585" s="342"/>
      <c r="AP585" s="342"/>
      <c r="AQ585" s="342"/>
      <c r="AR585" s="342"/>
      <c r="AS585" s="342"/>
      <c r="AT585" s="342"/>
      <c r="AU585" s="342"/>
      <c r="AV585" s="342"/>
      <c r="AW585" s="342"/>
      <c r="AX585" s="342"/>
      <c r="AY585" s="342"/>
      <c r="AZ585" s="342"/>
      <c r="BA585" s="342"/>
      <c r="BB585" s="342"/>
      <c r="BC585" s="342"/>
      <c r="BD585" s="342"/>
      <c r="BE585" s="342"/>
      <c r="BF585" s="342"/>
      <c r="BG585" s="342"/>
      <c r="BH585" s="342"/>
      <c r="BI585" s="342"/>
      <c r="BJ585" s="342"/>
      <c r="BK585" s="342"/>
      <c r="BL585" s="342"/>
      <c r="BM585" s="342"/>
      <c r="BN585" s="342"/>
      <c r="BO585" s="342"/>
      <c r="BP585" s="342"/>
      <c r="BQ585" s="342"/>
      <c r="BR585" s="342"/>
      <c r="BS585" s="342"/>
      <c r="BT585" s="342"/>
      <c r="BU585" s="346"/>
      <c r="BV585" s="310"/>
      <c r="BW585" s="310"/>
      <c r="BX585" s="291"/>
      <c r="BY585" s="344"/>
      <c r="BZ585" s="347"/>
      <c r="CA585" s="347"/>
    </row>
    <row r="586" spans="1:84" ht="12.95" customHeight="1" x14ac:dyDescent="0.25">
      <c r="A586" s="369"/>
      <c r="B586" s="354"/>
      <c r="C586" s="342"/>
      <c r="D586" s="342"/>
      <c r="E586" s="342"/>
      <c r="F586" s="342"/>
      <c r="G586" s="342"/>
      <c r="H586" s="342"/>
      <c r="I586" s="342"/>
      <c r="J586" s="342"/>
      <c r="K586" s="342"/>
      <c r="L586" s="342"/>
      <c r="M586" s="342"/>
      <c r="N586" s="342"/>
      <c r="O586" s="342"/>
      <c r="P586" s="342"/>
      <c r="Q586" s="342"/>
      <c r="R586" s="342"/>
      <c r="S586" s="342"/>
      <c r="T586" s="342"/>
      <c r="U586" s="342"/>
      <c r="V586" s="342"/>
      <c r="W586" s="1338"/>
      <c r="X586" s="1338"/>
      <c r="Y586" s="1338"/>
      <c r="Z586" s="1338"/>
      <c r="AA586" s="1338"/>
      <c r="AB586" s="1338"/>
      <c r="AC586" s="343"/>
      <c r="AD586" s="1338"/>
      <c r="AE586" s="1338"/>
      <c r="AF586" s="1338"/>
      <c r="AG586" s="1338"/>
      <c r="AH586" s="1338"/>
      <c r="AI586" s="1338"/>
      <c r="AJ586" s="344"/>
      <c r="AK586" s="419"/>
      <c r="AL586" s="354"/>
      <c r="AM586" s="342"/>
      <c r="AN586" s="342"/>
      <c r="AO586" s="342"/>
      <c r="AP586" s="342"/>
      <c r="AQ586" s="342"/>
      <c r="AR586" s="342"/>
      <c r="AS586" s="342"/>
      <c r="AT586" s="342"/>
      <c r="AU586" s="342"/>
      <c r="AV586" s="342"/>
      <c r="AW586" s="342"/>
      <c r="AX586" s="342"/>
      <c r="AY586" s="342"/>
      <c r="AZ586" s="342"/>
      <c r="BA586" s="342"/>
      <c r="BB586" s="342"/>
      <c r="BC586" s="342"/>
      <c r="BD586" s="342"/>
      <c r="BE586" s="342"/>
      <c r="BF586" s="342"/>
      <c r="BG586" s="342"/>
      <c r="BH586" s="342"/>
      <c r="BI586" s="342"/>
      <c r="BJ586" s="342"/>
      <c r="BK586" s="342"/>
      <c r="BL586" s="342"/>
      <c r="BM586" s="342"/>
      <c r="BN586" s="342"/>
      <c r="BO586" s="342"/>
      <c r="BP586" s="342"/>
      <c r="BQ586" s="342"/>
      <c r="BR586" s="342"/>
      <c r="BS586" s="342"/>
      <c r="BT586" s="342"/>
      <c r="BU586" s="346"/>
      <c r="BV586" s="310"/>
      <c r="BW586" s="310"/>
      <c r="BX586" s="291">
        <f t="shared" si="3"/>
        <v>0</v>
      </c>
      <c r="BY586" s="344"/>
      <c r="BZ586" s="347"/>
      <c r="CA586" s="347"/>
    </row>
    <row r="587" spans="1:84" s="423" customFormat="1" ht="15" customHeight="1" x14ac:dyDescent="0.25">
      <c r="A587" s="313">
        <v>7</v>
      </c>
      <c r="B587" s="340" t="s">
        <v>345</v>
      </c>
      <c r="C587" s="341" t="s">
        <v>853</v>
      </c>
      <c r="D587" s="341"/>
      <c r="E587" s="341"/>
      <c r="F587" s="341"/>
      <c r="G587" s="341"/>
      <c r="H587" s="341"/>
      <c r="I587" s="341"/>
      <c r="J587" s="341"/>
      <c r="K587" s="341"/>
      <c r="L587" s="341"/>
      <c r="M587" s="341"/>
      <c r="N587" s="341"/>
      <c r="O587" s="341"/>
      <c r="P587" s="341"/>
      <c r="Q587" s="341"/>
      <c r="R587" s="341"/>
      <c r="S587" s="341"/>
      <c r="T587" s="341"/>
      <c r="U587" s="342"/>
      <c r="V587" s="342"/>
      <c r="W587" s="343"/>
      <c r="X587" s="343"/>
      <c r="Y587" s="343"/>
      <c r="Z587" s="343"/>
      <c r="AA587" s="343"/>
      <c r="AB587" s="343"/>
      <c r="AC587" s="343"/>
      <c r="AD587" s="343"/>
      <c r="AE587" s="343"/>
      <c r="AF587" s="343"/>
      <c r="AG587" s="343"/>
      <c r="AH587" s="343"/>
      <c r="AI587" s="343"/>
      <c r="AJ587" s="342"/>
      <c r="AK587" s="345">
        <f>A587</f>
        <v>7</v>
      </c>
      <c r="AL587" s="340" t="s">
        <v>345</v>
      </c>
      <c r="AM587" s="340" t="s">
        <v>854</v>
      </c>
      <c r="AN587" s="341"/>
      <c r="AO587" s="341"/>
      <c r="AP587" s="341"/>
      <c r="AQ587" s="341"/>
      <c r="AR587" s="341"/>
      <c r="AS587" s="341"/>
      <c r="AT587" s="341"/>
      <c r="AU587" s="341"/>
      <c r="AV587" s="341"/>
      <c r="AW587" s="341"/>
      <c r="AX587" s="341"/>
      <c r="AY587" s="341"/>
      <c r="AZ587" s="341"/>
      <c r="BA587" s="341"/>
      <c r="BB587" s="341"/>
      <c r="BC587" s="341"/>
      <c r="BD587" s="341"/>
      <c r="BE587" s="342"/>
      <c r="BF587" s="342"/>
      <c r="BG587" s="342"/>
      <c r="BH587" s="342"/>
      <c r="BI587" s="342"/>
      <c r="BJ587" s="342"/>
      <c r="BK587" s="342"/>
      <c r="BL587" s="342"/>
      <c r="BM587" s="342"/>
      <c r="BN587" s="342"/>
      <c r="BO587" s="342"/>
      <c r="BP587" s="342"/>
      <c r="BQ587" s="342"/>
      <c r="BR587" s="342"/>
      <c r="BS587" s="342"/>
      <c r="BT587" s="342"/>
      <c r="BU587" s="346">
        <f>SUBTOTAL(103,A587)</f>
        <v>1</v>
      </c>
      <c r="BV587" s="310"/>
      <c r="BW587" s="310"/>
      <c r="BX587" s="291">
        <f t="shared" si="3"/>
        <v>0</v>
      </c>
      <c r="BY587" s="342"/>
      <c r="BZ587" s="438"/>
      <c r="CA587" s="438"/>
      <c r="CB587" s="439"/>
      <c r="CC587" s="439"/>
      <c r="CD587" s="439"/>
      <c r="CE587" s="439"/>
      <c r="CF587" s="439"/>
    </row>
    <row r="588" spans="1:84" ht="15" customHeight="1" x14ac:dyDescent="0.25">
      <c r="A588" s="313"/>
      <c r="B588" s="340"/>
      <c r="C588" s="350"/>
      <c r="D588" s="350"/>
      <c r="E588" s="350"/>
      <c r="F588" s="350"/>
      <c r="G588" s="350"/>
      <c r="H588" s="350"/>
      <c r="I588" s="350"/>
      <c r="J588" s="350"/>
      <c r="K588" s="350"/>
      <c r="L588" s="350"/>
      <c r="M588" s="350"/>
      <c r="N588" s="350"/>
      <c r="O588" s="350"/>
      <c r="P588" s="350"/>
      <c r="Q588" s="350"/>
      <c r="R588" s="350"/>
      <c r="S588" s="350"/>
      <c r="T588" s="350"/>
      <c r="U588" s="342"/>
      <c r="V588" s="342"/>
      <c r="W588" s="1325" t="str">
        <f>Ky_Nay1_V</f>
        <v>31/12/2017</v>
      </c>
      <c r="X588" s="1325"/>
      <c r="Y588" s="1325"/>
      <c r="Z588" s="1325"/>
      <c r="AA588" s="1325"/>
      <c r="AB588" s="1325"/>
      <c r="AC588" s="351"/>
      <c r="AD588" s="1325" t="str">
        <f>Ky_Truoc1_V</f>
        <v>01/01/2017</v>
      </c>
      <c r="AE588" s="1325"/>
      <c r="AF588" s="1325"/>
      <c r="AG588" s="1325"/>
      <c r="AH588" s="1325"/>
      <c r="AI588" s="1325"/>
      <c r="AJ588" s="344"/>
      <c r="AK588" s="345"/>
      <c r="AL588" s="340"/>
      <c r="AM588" s="350"/>
      <c r="AN588" s="350"/>
      <c r="AO588" s="350"/>
      <c r="AP588" s="350"/>
      <c r="AQ588" s="350"/>
      <c r="AR588" s="350"/>
      <c r="AS588" s="350"/>
      <c r="AT588" s="350"/>
      <c r="AU588" s="350"/>
      <c r="AV588" s="350"/>
      <c r="AW588" s="350"/>
      <c r="AX588" s="350"/>
      <c r="AY588" s="350"/>
      <c r="AZ588" s="350"/>
      <c r="BA588" s="350"/>
      <c r="BB588" s="350"/>
      <c r="BC588" s="350"/>
      <c r="BD588" s="350"/>
      <c r="BE588" s="342"/>
      <c r="BF588" s="342"/>
      <c r="BG588" s="1325" t="str">
        <f>Ky_Nay1_E</f>
        <v>31/12/2017</v>
      </c>
      <c r="BH588" s="1325"/>
      <c r="BI588" s="1325"/>
      <c r="BJ588" s="1325"/>
      <c r="BK588" s="1325"/>
      <c r="BL588" s="1325"/>
      <c r="BM588" s="332"/>
      <c r="BN588" s="1325" t="str">
        <f>Ky_Truoc1_E</f>
        <v>01/01/2017</v>
      </c>
      <c r="BO588" s="1325"/>
      <c r="BP588" s="1325"/>
      <c r="BQ588" s="1325"/>
      <c r="BR588" s="1325"/>
      <c r="BS588" s="1325"/>
      <c r="BT588" s="352"/>
      <c r="BU588" s="353"/>
      <c r="BV588" s="310"/>
      <c r="BW588" s="310"/>
      <c r="BX588" s="291">
        <f t="shared" si="3"/>
        <v>0</v>
      </c>
      <c r="BY588" s="344"/>
      <c r="BZ588" s="347"/>
      <c r="CA588" s="347"/>
    </row>
    <row r="589" spans="1:84" ht="15" customHeight="1" x14ac:dyDescent="0.25">
      <c r="A589" s="313"/>
      <c r="B589" s="340"/>
      <c r="C589" s="350"/>
      <c r="D589" s="350"/>
      <c r="E589" s="350"/>
      <c r="F589" s="350"/>
      <c r="G589" s="350"/>
      <c r="H589" s="350"/>
      <c r="I589" s="350"/>
      <c r="J589" s="350"/>
      <c r="K589" s="350"/>
      <c r="L589" s="350"/>
      <c r="M589" s="350"/>
      <c r="N589" s="350"/>
      <c r="O589" s="350"/>
      <c r="P589" s="350"/>
      <c r="Q589" s="350"/>
      <c r="R589" s="350"/>
      <c r="S589" s="350"/>
      <c r="T589" s="350"/>
      <c r="U589" s="342"/>
      <c r="V589" s="342"/>
      <c r="W589" s="1327" t="str">
        <f>Don_Vi_Tinh_V</f>
        <v>VND</v>
      </c>
      <c r="X589" s="1327"/>
      <c r="Y589" s="1327"/>
      <c r="Z589" s="1327"/>
      <c r="AA589" s="1327"/>
      <c r="AB589" s="1327"/>
      <c r="AC589" s="351"/>
      <c r="AD589" s="1327" t="str">
        <f>Don_Vi_Tinh_V</f>
        <v>VND</v>
      </c>
      <c r="AE589" s="1327"/>
      <c r="AF589" s="1327"/>
      <c r="AG589" s="1327"/>
      <c r="AH589" s="1327"/>
      <c r="AI589" s="1327"/>
      <c r="AJ589" s="344"/>
      <c r="AK589" s="345"/>
      <c r="AL589" s="340"/>
      <c r="AM589" s="350"/>
      <c r="AN589" s="350"/>
      <c r="AO589" s="350"/>
      <c r="AP589" s="350"/>
      <c r="AQ589" s="350"/>
      <c r="AR589" s="350"/>
      <c r="AS589" s="350"/>
      <c r="AT589" s="350"/>
      <c r="AU589" s="350"/>
      <c r="AV589" s="350"/>
      <c r="AW589" s="350"/>
      <c r="AX589" s="350"/>
      <c r="AY589" s="350"/>
      <c r="AZ589" s="350"/>
      <c r="BA589" s="350"/>
      <c r="BB589" s="350"/>
      <c r="BC589" s="350"/>
      <c r="BD589" s="350"/>
      <c r="BE589" s="342"/>
      <c r="BF589" s="342"/>
      <c r="BG589" s="1327" t="str">
        <f>Don_Vi_Tinh_E</f>
        <v>VND</v>
      </c>
      <c r="BH589" s="1327"/>
      <c r="BI589" s="1327"/>
      <c r="BJ589" s="1327"/>
      <c r="BK589" s="1327"/>
      <c r="BL589" s="1327"/>
      <c r="BM589" s="351"/>
      <c r="BN589" s="1327" t="str">
        <f>Don_Vi_Tinh_E</f>
        <v>VND</v>
      </c>
      <c r="BO589" s="1327"/>
      <c r="BP589" s="1327"/>
      <c r="BQ589" s="1327"/>
      <c r="BR589" s="1327"/>
      <c r="BS589" s="1327"/>
      <c r="BT589" s="352"/>
      <c r="BU589" s="353"/>
      <c r="BV589" s="310"/>
      <c r="BW589" s="310"/>
      <c r="BX589" s="291">
        <f t="shared" si="3"/>
        <v>0</v>
      </c>
      <c r="BY589" s="344"/>
      <c r="BZ589" s="347"/>
      <c r="CA589" s="347"/>
    </row>
    <row r="590" spans="1:84" ht="12.95" customHeight="1" x14ac:dyDescent="0.25">
      <c r="A590" s="313"/>
      <c r="B590" s="340"/>
      <c r="C590" s="354"/>
      <c r="D590" s="340"/>
      <c r="E590" s="340"/>
      <c r="F590" s="340"/>
      <c r="G590" s="340"/>
      <c r="H590" s="340"/>
      <c r="I590" s="340"/>
      <c r="J590" s="340"/>
      <c r="K590" s="340"/>
      <c r="L590" s="340"/>
      <c r="M590" s="340"/>
      <c r="N590" s="340"/>
      <c r="O590" s="340"/>
      <c r="P590" s="340"/>
      <c r="Q590" s="340"/>
      <c r="R590" s="340"/>
      <c r="S590" s="340"/>
      <c r="T590" s="340"/>
      <c r="U590" s="342"/>
      <c r="V590" s="342"/>
      <c r="W590" s="1318"/>
      <c r="X590" s="1318"/>
      <c r="Y590" s="1318"/>
      <c r="Z590" s="1318"/>
      <c r="AA590" s="1318"/>
      <c r="AB590" s="1318"/>
      <c r="AC590" s="355"/>
      <c r="AD590" s="1318"/>
      <c r="AE590" s="1318"/>
      <c r="AF590" s="1318"/>
      <c r="AG590" s="1318"/>
      <c r="AH590" s="1318"/>
      <c r="AI590" s="1318"/>
      <c r="AJ590" s="344"/>
      <c r="AK590" s="345"/>
      <c r="AL590" s="340"/>
      <c r="AM590" s="354"/>
      <c r="AN590" s="340"/>
      <c r="AO590" s="340"/>
      <c r="AP590" s="340"/>
      <c r="AQ590" s="340"/>
      <c r="AR590" s="340"/>
      <c r="AS590" s="340"/>
      <c r="AT590" s="340"/>
      <c r="AU590" s="340"/>
      <c r="AV590" s="340"/>
      <c r="AW590" s="340"/>
      <c r="AX590" s="340"/>
      <c r="AY590" s="340"/>
      <c r="AZ590" s="340"/>
      <c r="BA590" s="340"/>
      <c r="BB590" s="340"/>
      <c r="BC590" s="340"/>
      <c r="BD590" s="340"/>
      <c r="BE590" s="342"/>
      <c r="BF590" s="342"/>
      <c r="BG590" s="1318"/>
      <c r="BH590" s="1318"/>
      <c r="BI590" s="1318"/>
      <c r="BJ590" s="1318"/>
      <c r="BK590" s="1318"/>
      <c r="BL590" s="1318"/>
      <c r="BM590" s="358"/>
      <c r="BN590" s="1318"/>
      <c r="BO590" s="1318"/>
      <c r="BP590" s="1318"/>
      <c r="BQ590" s="1318"/>
      <c r="BR590" s="1318"/>
      <c r="BS590" s="1318"/>
      <c r="BT590" s="356"/>
      <c r="BU590" s="357"/>
      <c r="BV590" s="310"/>
      <c r="BW590" s="310"/>
      <c r="BX590" s="291">
        <f t="shared" si="3"/>
        <v>0</v>
      </c>
      <c r="BY590" s="344"/>
      <c r="BZ590" s="347"/>
      <c r="CA590" s="347"/>
    </row>
    <row r="591" spans="1:84" ht="15" customHeight="1" x14ac:dyDescent="0.25">
      <c r="A591" s="313"/>
      <c r="B591" s="340"/>
      <c r="C591" s="340" t="s">
        <v>855</v>
      </c>
      <c r="D591" s="340"/>
      <c r="E591" s="340"/>
      <c r="F591" s="340"/>
      <c r="G591" s="340"/>
      <c r="H591" s="340"/>
      <c r="I591" s="340"/>
      <c r="J591" s="340"/>
      <c r="K591" s="340"/>
      <c r="L591" s="340"/>
      <c r="M591" s="340"/>
      <c r="N591" s="340"/>
      <c r="O591" s="340"/>
      <c r="P591" s="340"/>
      <c r="Q591" s="340"/>
      <c r="R591" s="340"/>
      <c r="S591" s="340"/>
      <c r="T591" s="340"/>
      <c r="U591" s="342"/>
      <c r="V591" s="342"/>
      <c r="W591" s="1330"/>
      <c r="X591" s="1330"/>
      <c r="Y591" s="1330"/>
      <c r="Z591" s="1330"/>
      <c r="AA591" s="1330"/>
      <c r="AB591" s="1330"/>
      <c r="AC591" s="363"/>
      <c r="AD591" s="1330"/>
      <c r="AE591" s="1330"/>
      <c r="AF591" s="1330"/>
      <c r="AG591" s="1330"/>
      <c r="AH591" s="1330"/>
      <c r="AI591" s="1330"/>
      <c r="AJ591" s="344"/>
      <c r="AK591" s="345"/>
      <c r="AL591" s="340"/>
      <c r="AM591" s="340"/>
      <c r="AN591" s="340"/>
      <c r="AO591" s="340"/>
      <c r="AP591" s="340"/>
      <c r="AQ591" s="340"/>
      <c r="AR591" s="340"/>
      <c r="AS591" s="340"/>
      <c r="AT591" s="340"/>
      <c r="AU591" s="340"/>
      <c r="AV591" s="340"/>
      <c r="AW591" s="340"/>
      <c r="AX591" s="340"/>
      <c r="AY591" s="340"/>
      <c r="AZ591" s="340"/>
      <c r="BA591" s="340"/>
      <c r="BB591" s="340"/>
      <c r="BC591" s="340"/>
      <c r="BD591" s="340"/>
      <c r="BE591" s="342"/>
      <c r="BF591" s="342"/>
      <c r="BG591" s="1330"/>
      <c r="BH591" s="1330"/>
      <c r="BI591" s="1330"/>
      <c r="BJ591" s="1330"/>
      <c r="BK591" s="1330"/>
      <c r="BL591" s="1330"/>
      <c r="BM591" s="358"/>
      <c r="BN591" s="1330"/>
      <c r="BO591" s="1330"/>
      <c r="BP591" s="1330"/>
      <c r="BQ591" s="1330"/>
      <c r="BR591" s="1330"/>
      <c r="BS591" s="1330"/>
      <c r="BT591" s="356"/>
      <c r="BU591" s="357"/>
      <c r="BV591" s="310"/>
      <c r="BW591" s="310"/>
      <c r="BX591" s="291">
        <f t="shared" si="3"/>
        <v>0</v>
      </c>
      <c r="BY591" s="344"/>
      <c r="BZ591" s="347"/>
      <c r="CA591" s="347"/>
    </row>
    <row r="592" spans="1:84" ht="15" customHeight="1" x14ac:dyDescent="0.25">
      <c r="A592" s="313"/>
      <c r="B592" s="340"/>
      <c r="C592" s="354" t="s">
        <v>856</v>
      </c>
      <c r="D592" s="340"/>
      <c r="E592" s="340"/>
      <c r="F592" s="340"/>
      <c r="G592" s="340"/>
      <c r="H592" s="340"/>
      <c r="I592" s="340"/>
      <c r="J592" s="340"/>
      <c r="K592" s="340"/>
      <c r="L592" s="340"/>
      <c r="M592" s="340"/>
      <c r="N592" s="340"/>
      <c r="O592" s="340"/>
      <c r="P592" s="340"/>
      <c r="Q592" s="340"/>
      <c r="R592" s="340"/>
      <c r="S592" s="340"/>
      <c r="T592" s="340"/>
      <c r="U592" s="342"/>
      <c r="V592" s="342"/>
      <c r="W592" s="1318">
        <v>700000000</v>
      </c>
      <c r="X592" s="1318"/>
      <c r="Y592" s="1318"/>
      <c r="Z592" s="1318"/>
      <c r="AA592" s="1318"/>
      <c r="AB592" s="1318"/>
      <c r="AC592" s="355"/>
      <c r="AD592" s="1318">
        <v>0</v>
      </c>
      <c r="AE592" s="1318"/>
      <c r="AF592" s="1318"/>
      <c r="AG592" s="1318"/>
      <c r="AH592" s="1318"/>
      <c r="AI592" s="1318"/>
      <c r="AJ592" s="344"/>
      <c r="AK592" s="345"/>
      <c r="AL592" s="340"/>
      <c r="AM592" s="354" t="s">
        <v>857</v>
      </c>
      <c r="AN592" s="340"/>
      <c r="AO592" s="340"/>
      <c r="AP592" s="340"/>
      <c r="AQ592" s="340"/>
      <c r="AR592" s="340"/>
      <c r="AS592" s="340"/>
      <c r="AT592" s="340"/>
      <c r="AU592" s="340"/>
      <c r="AV592" s="340"/>
      <c r="AW592" s="340"/>
      <c r="AX592" s="340"/>
      <c r="AY592" s="340"/>
      <c r="AZ592" s="340"/>
      <c r="BA592" s="340"/>
      <c r="BB592" s="340"/>
      <c r="BC592" s="340"/>
      <c r="BD592" s="340"/>
      <c r="BE592" s="342"/>
      <c r="BF592" s="342"/>
      <c r="BG592" s="1363">
        <f>W592</f>
        <v>700000000</v>
      </c>
      <c r="BH592" s="1363"/>
      <c r="BI592" s="1363"/>
      <c r="BJ592" s="1363"/>
      <c r="BK592" s="1363"/>
      <c r="BL592" s="1363"/>
      <c r="BM592" s="358"/>
      <c r="BN592" s="1363">
        <f>AD592</f>
        <v>0</v>
      </c>
      <c r="BO592" s="1363"/>
      <c r="BP592" s="1363"/>
      <c r="BQ592" s="1363"/>
      <c r="BR592" s="1363"/>
      <c r="BS592" s="1363"/>
      <c r="BT592" s="359"/>
      <c r="BU592" s="346"/>
      <c r="BV592" s="310"/>
      <c r="BW592" s="310"/>
      <c r="BX592" s="291">
        <f t="shared" ref="BX592:BX689" si="8">IF(ISNONTEXT($C592),0,SUM(D592:AI592)-SUM(AN592:BS592))</f>
        <v>0</v>
      </c>
      <c r="BY592" s="344"/>
      <c r="BZ592" s="347"/>
      <c r="CA592" s="347"/>
    </row>
    <row r="593" spans="1:79" ht="15" customHeight="1" x14ac:dyDescent="0.25">
      <c r="A593" s="313"/>
      <c r="B593" s="340"/>
      <c r="C593" s="354" t="s">
        <v>847</v>
      </c>
      <c r="D593" s="340"/>
      <c r="E593" s="340"/>
      <c r="F593" s="340"/>
      <c r="G593" s="340"/>
      <c r="H593" s="340"/>
      <c r="I593" s="340"/>
      <c r="J593" s="340"/>
      <c r="K593" s="340"/>
      <c r="L593" s="340"/>
      <c r="M593" s="340"/>
      <c r="N593" s="340"/>
      <c r="O593" s="340"/>
      <c r="P593" s="340"/>
      <c r="Q593" s="340"/>
      <c r="R593" s="340"/>
      <c r="S593" s="340"/>
      <c r="T593" s="340"/>
      <c r="U593" s="342"/>
      <c r="V593" s="342"/>
      <c r="W593" s="1318">
        <v>0</v>
      </c>
      <c r="X593" s="1318"/>
      <c r="Y593" s="1318"/>
      <c r="Z593" s="1318"/>
      <c r="AA593" s="1318"/>
      <c r="AB593" s="1318"/>
      <c r="AC593" s="355"/>
      <c r="AD593" s="1318">
        <v>100000000</v>
      </c>
      <c r="AE593" s="1318"/>
      <c r="AF593" s="1318"/>
      <c r="AG593" s="1318"/>
      <c r="AH593" s="1318"/>
      <c r="AI593" s="1318"/>
      <c r="AJ593" s="344"/>
      <c r="AK593" s="345"/>
      <c r="AL593" s="340"/>
      <c r="AM593" s="354" t="s">
        <v>857</v>
      </c>
      <c r="AN593" s="340"/>
      <c r="AO593" s="340"/>
      <c r="AP593" s="340"/>
      <c r="AQ593" s="340"/>
      <c r="AR593" s="340"/>
      <c r="AS593" s="340"/>
      <c r="AT593" s="340"/>
      <c r="AU593" s="340"/>
      <c r="AV593" s="340"/>
      <c r="AW593" s="340"/>
      <c r="AX593" s="340"/>
      <c r="AY593" s="340"/>
      <c r="AZ593" s="340"/>
      <c r="BA593" s="340"/>
      <c r="BB593" s="340"/>
      <c r="BC593" s="340"/>
      <c r="BD593" s="340"/>
      <c r="BE593" s="342"/>
      <c r="BF593" s="342"/>
      <c r="BG593" s="1363">
        <f>W593</f>
        <v>0</v>
      </c>
      <c r="BH593" s="1363"/>
      <c r="BI593" s="1363"/>
      <c r="BJ593" s="1363"/>
      <c r="BK593" s="1363"/>
      <c r="BL593" s="1363"/>
      <c r="BM593" s="358"/>
      <c r="BN593" s="1363">
        <f>AD593</f>
        <v>100000000</v>
      </c>
      <c r="BO593" s="1363"/>
      <c r="BP593" s="1363"/>
      <c r="BQ593" s="1363"/>
      <c r="BR593" s="1363"/>
      <c r="BS593" s="1363"/>
      <c r="BT593" s="359"/>
      <c r="BU593" s="346"/>
      <c r="BV593" s="310"/>
      <c r="BW593" s="310"/>
      <c r="BX593" s="291">
        <f>IF(ISNONTEXT($C593),0,SUM(D593:AI593)-SUM(AN593:BS593))</f>
        <v>0</v>
      </c>
      <c r="BY593" s="344"/>
      <c r="BZ593" s="347"/>
      <c r="CA593" s="347"/>
    </row>
    <row r="594" spans="1:79" ht="15" customHeight="1" x14ac:dyDescent="0.25">
      <c r="A594" s="313"/>
      <c r="B594" s="340"/>
      <c r="C594" s="354" t="s">
        <v>858</v>
      </c>
      <c r="D594" s="340"/>
      <c r="E594" s="340"/>
      <c r="F594" s="340"/>
      <c r="G594" s="340"/>
      <c r="H594" s="340"/>
      <c r="I594" s="340"/>
      <c r="J594" s="340"/>
      <c r="K594" s="340"/>
      <c r="L594" s="340"/>
      <c r="M594" s="340"/>
      <c r="N594" s="340"/>
      <c r="O594" s="340"/>
      <c r="P594" s="340"/>
      <c r="Q594" s="340"/>
      <c r="R594" s="340"/>
      <c r="S594" s="340"/>
      <c r="T594" s="340"/>
      <c r="U594" s="342"/>
      <c r="V594" s="342"/>
      <c r="W594" s="1318">
        <v>150000000</v>
      </c>
      <c r="X594" s="1318"/>
      <c r="Y594" s="1318"/>
      <c r="Z594" s="1318"/>
      <c r="AA594" s="1318"/>
      <c r="AB594" s="1318"/>
      <c r="AC594" s="355"/>
      <c r="AD594" s="1318">
        <v>0</v>
      </c>
      <c r="AE594" s="1318"/>
      <c r="AF594" s="1318"/>
      <c r="AG594" s="1318"/>
      <c r="AH594" s="1318"/>
      <c r="AI594" s="1318"/>
      <c r="AJ594" s="344"/>
      <c r="AK594" s="345"/>
      <c r="AL594" s="340"/>
      <c r="AM594" s="354"/>
      <c r="AN594" s="340"/>
      <c r="AO594" s="340"/>
      <c r="AP594" s="340"/>
      <c r="AQ594" s="340"/>
      <c r="AR594" s="340"/>
      <c r="AS594" s="340"/>
      <c r="AT594" s="340"/>
      <c r="AU594" s="340"/>
      <c r="AV594" s="340"/>
      <c r="AW594" s="340"/>
      <c r="AX594" s="340"/>
      <c r="AY594" s="340"/>
      <c r="AZ594" s="340"/>
      <c r="BA594" s="340"/>
      <c r="BB594" s="340"/>
      <c r="BC594" s="340"/>
      <c r="BD594" s="340"/>
      <c r="BE594" s="342"/>
      <c r="BF594" s="342"/>
      <c r="BG594" s="1318"/>
      <c r="BH594" s="1318"/>
      <c r="BI594" s="1318"/>
      <c r="BJ594" s="1318"/>
      <c r="BK594" s="1318"/>
      <c r="BL594" s="1318"/>
      <c r="BM594" s="358"/>
      <c r="BN594" s="1318"/>
      <c r="BO594" s="1318"/>
      <c r="BP594" s="1318"/>
      <c r="BQ594" s="1318"/>
      <c r="BR594" s="1318"/>
      <c r="BS594" s="1318"/>
      <c r="BT594" s="356"/>
      <c r="BU594" s="357"/>
      <c r="BV594" s="310"/>
      <c r="BW594" s="310"/>
      <c r="BX594" s="291">
        <f>IF(ISNONTEXT($C594),0,SUM(D594:AI594)-SUM(AN594:BS594))</f>
        <v>150000000</v>
      </c>
      <c r="BY594" s="344"/>
      <c r="BZ594" s="347"/>
      <c r="CA594" s="347"/>
    </row>
    <row r="595" spans="1:79" ht="15" customHeight="1" x14ac:dyDescent="0.25">
      <c r="A595" s="313"/>
      <c r="B595" s="340"/>
      <c r="C595" s="354" t="s">
        <v>859</v>
      </c>
      <c r="D595" s="340"/>
      <c r="E595" s="340"/>
      <c r="F595" s="340"/>
      <c r="G595" s="340"/>
      <c r="H595" s="340"/>
      <c r="I595" s="340"/>
      <c r="J595" s="340"/>
      <c r="K595" s="340"/>
      <c r="L595" s="340"/>
      <c r="M595" s="340"/>
      <c r="N595" s="340"/>
      <c r="O595" s="340"/>
      <c r="P595" s="340"/>
      <c r="Q595" s="340"/>
      <c r="R595" s="340"/>
      <c r="S595" s="340"/>
      <c r="T595" s="340"/>
      <c r="U595" s="342"/>
      <c r="V595" s="342"/>
      <c r="W595" s="1318">
        <f>46700000+65000000</f>
        <v>111700000</v>
      </c>
      <c r="X595" s="1318"/>
      <c r="Y595" s="1318"/>
      <c r="Z595" s="1318"/>
      <c r="AA595" s="1318"/>
      <c r="AB595" s="1318"/>
      <c r="AC595" s="355"/>
      <c r="AD595" s="1318">
        <v>236800000</v>
      </c>
      <c r="AE595" s="1318"/>
      <c r="AF595" s="1318"/>
      <c r="AG595" s="1318"/>
      <c r="AH595" s="1318"/>
      <c r="AI595" s="1318"/>
      <c r="AJ595" s="344"/>
      <c r="AK595" s="345"/>
      <c r="AL595" s="340"/>
      <c r="AM595" s="354" t="s">
        <v>860</v>
      </c>
      <c r="AN595" s="340"/>
      <c r="AO595" s="340"/>
      <c r="AP595" s="340"/>
      <c r="AQ595" s="340"/>
      <c r="AR595" s="340"/>
      <c r="AS595" s="340"/>
      <c r="AT595" s="340"/>
      <c r="AU595" s="340"/>
      <c r="AV595" s="340"/>
      <c r="AW595" s="340"/>
      <c r="AX595" s="340"/>
      <c r="AY595" s="340"/>
      <c r="AZ595" s="340"/>
      <c r="BA595" s="340"/>
      <c r="BB595" s="340"/>
      <c r="BC595" s="340"/>
      <c r="BD595" s="340"/>
      <c r="BE595" s="342"/>
      <c r="BF595" s="342"/>
      <c r="BG595" s="1363">
        <f>W595</f>
        <v>111700000</v>
      </c>
      <c r="BH595" s="1363"/>
      <c r="BI595" s="1363"/>
      <c r="BJ595" s="1363"/>
      <c r="BK595" s="1363"/>
      <c r="BL595" s="1363"/>
      <c r="BM595" s="358"/>
      <c r="BN595" s="1363">
        <f>AD595</f>
        <v>236800000</v>
      </c>
      <c r="BO595" s="1363"/>
      <c r="BP595" s="1363"/>
      <c r="BQ595" s="1363"/>
      <c r="BR595" s="1363"/>
      <c r="BS595" s="1363"/>
      <c r="BT595" s="359"/>
      <c r="BU595" s="346"/>
      <c r="BV595" s="310"/>
      <c r="BW595" s="310"/>
      <c r="BX595" s="291">
        <f t="shared" si="8"/>
        <v>0</v>
      </c>
      <c r="BY595" s="344"/>
      <c r="BZ595" s="347"/>
      <c r="CA595" s="347"/>
    </row>
    <row r="596" spans="1:79" ht="12.95" customHeight="1" x14ac:dyDescent="0.25">
      <c r="A596" s="313"/>
      <c r="B596" s="340"/>
      <c r="C596" s="342"/>
      <c r="D596" s="342"/>
      <c r="E596" s="342"/>
      <c r="F596" s="342"/>
      <c r="G596" s="342"/>
      <c r="H596" s="342"/>
      <c r="I596" s="342"/>
      <c r="J596" s="342"/>
      <c r="K596" s="342"/>
      <c r="L596" s="342"/>
      <c r="M596" s="342"/>
      <c r="N596" s="342"/>
      <c r="O596" s="342"/>
      <c r="P596" s="342"/>
      <c r="Q596" s="342"/>
      <c r="R596" s="342"/>
      <c r="S596" s="342"/>
      <c r="T596" s="342"/>
      <c r="U596" s="342"/>
      <c r="V596" s="342"/>
      <c r="W596" s="1318"/>
      <c r="X596" s="1318"/>
      <c r="Y596" s="1318"/>
      <c r="Z596" s="1318"/>
      <c r="AA596" s="1318"/>
      <c r="AB596" s="1318"/>
      <c r="AC596" s="355"/>
      <c r="AD596" s="1318"/>
      <c r="AE596" s="1318"/>
      <c r="AF596" s="1318"/>
      <c r="AG596" s="1318"/>
      <c r="AH596" s="1318"/>
      <c r="AI596" s="1318"/>
      <c r="AJ596" s="344"/>
      <c r="AK596" s="345"/>
      <c r="AL596" s="340"/>
      <c r="AM596" s="342"/>
      <c r="AN596" s="342"/>
      <c r="AO596" s="342"/>
      <c r="AP596" s="342"/>
      <c r="AQ596" s="342"/>
      <c r="AR596" s="342"/>
      <c r="AS596" s="342"/>
      <c r="AT596" s="342"/>
      <c r="AU596" s="342"/>
      <c r="AV596" s="342"/>
      <c r="AW596" s="342"/>
      <c r="AX596" s="342"/>
      <c r="AY596" s="342"/>
      <c r="AZ596" s="342"/>
      <c r="BA596" s="342"/>
      <c r="BB596" s="342"/>
      <c r="BC596" s="342"/>
      <c r="BD596" s="342"/>
      <c r="BE596" s="342"/>
      <c r="BF596" s="342"/>
      <c r="BG596" s="1363"/>
      <c r="BH596" s="1363"/>
      <c r="BI596" s="1363"/>
      <c r="BJ596" s="1363"/>
      <c r="BK596" s="1363"/>
      <c r="BL596" s="1363"/>
      <c r="BM596" s="358"/>
      <c r="BN596" s="1363"/>
      <c r="BO596" s="1363"/>
      <c r="BP596" s="1363"/>
      <c r="BQ596" s="1363"/>
      <c r="BR596" s="1363"/>
      <c r="BS596" s="1363"/>
      <c r="BT596" s="359"/>
      <c r="BU596" s="346"/>
      <c r="BV596" s="310"/>
      <c r="BW596" s="310"/>
      <c r="BX596" s="291">
        <f>IF(ISNONTEXT($C596),0,SUM(D596:AI596)-SUM(AN596:BS596))</f>
        <v>0</v>
      </c>
      <c r="BY596" s="344"/>
      <c r="BZ596" s="347"/>
      <c r="CA596" s="347"/>
    </row>
    <row r="597" spans="1:79" ht="15" customHeight="1" thickBot="1" x14ac:dyDescent="0.3">
      <c r="A597" s="313"/>
      <c r="B597" s="340"/>
      <c r="C597" s="360" t="s">
        <v>752</v>
      </c>
      <c r="D597" s="340"/>
      <c r="E597" s="340"/>
      <c r="F597" s="340"/>
      <c r="G597" s="340"/>
      <c r="H597" s="340"/>
      <c r="I597" s="340"/>
      <c r="J597" s="340"/>
      <c r="K597" s="340"/>
      <c r="L597" s="340"/>
      <c r="M597" s="340"/>
      <c r="N597" s="340"/>
      <c r="O597" s="340"/>
      <c r="P597" s="340"/>
      <c r="Q597" s="340"/>
      <c r="R597" s="340"/>
      <c r="S597" s="340"/>
      <c r="T597" s="340"/>
      <c r="U597" s="342"/>
      <c r="V597" s="342"/>
      <c r="W597" s="1359">
        <f>SUBTOTAL(109,W591:AB596)</f>
        <v>961700000</v>
      </c>
      <c r="X597" s="1359"/>
      <c r="Y597" s="1359"/>
      <c r="Z597" s="1359"/>
      <c r="AA597" s="1359"/>
      <c r="AB597" s="1359"/>
      <c r="AC597" s="355"/>
      <c r="AD597" s="1359">
        <f>SUBTOTAL(109,AD591:AI596)</f>
        <v>336800000</v>
      </c>
      <c r="AE597" s="1359"/>
      <c r="AF597" s="1359"/>
      <c r="AG597" s="1359"/>
      <c r="AH597" s="1359"/>
      <c r="AI597" s="1359"/>
      <c r="AJ597" s="344"/>
      <c r="AK597" s="345"/>
      <c r="AL597" s="340"/>
      <c r="AM597" s="360" t="s">
        <v>753</v>
      </c>
      <c r="AN597" s="340"/>
      <c r="AO597" s="340"/>
      <c r="AP597" s="340"/>
      <c r="AQ597" s="340"/>
      <c r="AR597" s="340"/>
      <c r="AS597" s="340"/>
      <c r="AT597" s="340"/>
      <c r="AU597" s="340"/>
      <c r="AV597" s="340"/>
      <c r="AW597" s="340"/>
      <c r="AX597" s="340"/>
      <c r="AY597" s="340"/>
      <c r="AZ597" s="340"/>
      <c r="BA597" s="340"/>
      <c r="BB597" s="340"/>
      <c r="BC597" s="340"/>
      <c r="BD597" s="340"/>
      <c r="BE597" s="342"/>
      <c r="BF597" s="342"/>
      <c r="BG597" s="1359">
        <f>SUBTOTAL(109,BG583:BL596)</f>
        <v>811700000</v>
      </c>
      <c r="BH597" s="1359"/>
      <c r="BI597" s="1359"/>
      <c r="BJ597" s="1359"/>
      <c r="BK597" s="1359"/>
      <c r="BL597" s="1359"/>
      <c r="BM597" s="358"/>
      <c r="BN597" s="1359">
        <f>SUBTOTAL(109,BN583:BS596)</f>
        <v>336800000</v>
      </c>
      <c r="BO597" s="1359"/>
      <c r="BP597" s="1359"/>
      <c r="BQ597" s="1359"/>
      <c r="BR597" s="1359"/>
      <c r="BS597" s="1359"/>
      <c r="BT597" s="361"/>
      <c r="BU597" s="362"/>
      <c r="BV597" s="310">
        <f>W597-KN_CT135</f>
        <v>0</v>
      </c>
      <c r="BW597" s="310">
        <f>AD597-KT_CT135</f>
        <v>0</v>
      </c>
      <c r="BX597" s="291">
        <f>IF(ISNONTEXT($C597),0,SUM(D597:AI597)-SUM(AN597:BS597))</f>
        <v>150000000</v>
      </c>
      <c r="BY597" s="344"/>
      <c r="BZ597" s="347"/>
      <c r="CA597" s="347"/>
    </row>
    <row r="598" spans="1:79" ht="12.95" customHeight="1" thickTop="1" x14ac:dyDescent="0.25">
      <c r="A598" s="313"/>
      <c r="B598" s="340"/>
      <c r="C598" s="354"/>
      <c r="D598" s="340"/>
      <c r="E598" s="340"/>
      <c r="F598" s="340"/>
      <c r="G598" s="340"/>
      <c r="H598" s="340"/>
      <c r="I598" s="340"/>
      <c r="J598" s="340"/>
      <c r="K598" s="340"/>
      <c r="L598" s="340"/>
      <c r="M598" s="340"/>
      <c r="N598" s="340"/>
      <c r="O598" s="340"/>
      <c r="P598" s="340"/>
      <c r="Q598" s="340"/>
      <c r="R598" s="340"/>
      <c r="S598" s="340"/>
      <c r="T598" s="340"/>
      <c r="U598" s="342"/>
      <c r="V598" s="342"/>
      <c r="W598" s="1318"/>
      <c r="X598" s="1318"/>
      <c r="Y598" s="1318"/>
      <c r="Z598" s="1318"/>
      <c r="AA598" s="1318"/>
      <c r="AB598" s="1318"/>
      <c r="AC598" s="355"/>
      <c r="AD598" s="1318"/>
      <c r="AE598" s="1318"/>
      <c r="AF598" s="1318"/>
      <c r="AG598" s="1318"/>
      <c r="AH598" s="1318"/>
      <c r="AI598" s="1318"/>
      <c r="AJ598" s="344"/>
      <c r="AK598" s="345"/>
      <c r="AL598" s="340"/>
      <c r="AM598" s="354"/>
      <c r="AN598" s="340"/>
      <c r="AO598" s="340"/>
      <c r="AP598" s="340"/>
      <c r="AQ598" s="340"/>
      <c r="AR598" s="340"/>
      <c r="AS598" s="340"/>
      <c r="AT598" s="340"/>
      <c r="AU598" s="340"/>
      <c r="AV598" s="340"/>
      <c r="AW598" s="340"/>
      <c r="AX598" s="340"/>
      <c r="AY598" s="340"/>
      <c r="AZ598" s="340"/>
      <c r="BA598" s="340"/>
      <c r="BB598" s="340"/>
      <c r="BC598" s="340"/>
      <c r="BD598" s="340"/>
      <c r="BE598" s="342"/>
      <c r="BF598" s="342"/>
      <c r="BG598" s="1363"/>
      <c r="BH598" s="1363"/>
      <c r="BI598" s="1363"/>
      <c r="BJ598" s="1363"/>
      <c r="BK598" s="1363"/>
      <c r="BL598" s="1363"/>
      <c r="BM598" s="358"/>
      <c r="BN598" s="1363"/>
      <c r="BO598" s="1363"/>
      <c r="BP598" s="1363"/>
      <c r="BQ598" s="1363"/>
      <c r="BR598" s="1363"/>
      <c r="BS598" s="1363"/>
      <c r="BT598" s="359"/>
      <c r="BU598" s="346"/>
      <c r="BV598" s="310"/>
      <c r="BW598" s="310"/>
      <c r="BX598" s="291">
        <f>IF(ISNONTEXT($C598),0,SUM(D598:AI598)-SUM(AN598:BS598))</f>
        <v>0</v>
      </c>
      <c r="BY598" s="344"/>
      <c r="BZ598" s="347"/>
      <c r="CA598" s="347"/>
    </row>
    <row r="599" spans="1:79" ht="15" customHeight="1" x14ac:dyDescent="0.25">
      <c r="A599" s="313"/>
      <c r="B599" s="340"/>
      <c r="C599" s="340" t="s">
        <v>861</v>
      </c>
      <c r="D599" s="340"/>
      <c r="E599" s="340"/>
      <c r="F599" s="340"/>
      <c r="G599" s="340"/>
      <c r="H599" s="340"/>
      <c r="I599" s="340"/>
      <c r="J599" s="340"/>
      <c r="K599" s="340"/>
      <c r="L599" s="340"/>
      <c r="M599" s="340"/>
      <c r="N599" s="340"/>
      <c r="O599" s="340"/>
      <c r="P599" s="340"/>
      <c r="Q599" s="340"/>
      <c r="R599" s="340"/>
      <c r="S599" s="340"/>
      <c r="T599" s="340"/>
      <c r="U599" s="342"/>
      <c r="V599" s="342"/>
      <c r="W599" s="1330"/>
      <c r="X599" s="1330"/>
      <c r="Y599" s="1330"/>
      <c r="Z599" s="1330"/>
      <c r="AA599" s="1330"/>
      <c r="AB599" s="1330"/>
      <c r="AC599" s="363"/>
      <c r="AD599" s="1330"/>
      <c r="AE599" s="1330"/>
      <c r="AF599" s="1330"/>
      <c r="AG599" s="1330"/>
      <c r="AH599" s="1330"/>
      <c r="AI599" s="1330"/>
      <c r="AJ599" s="344"/>
      <c r="AK599" s="345"/>
      <c r="AL599" s="340"/>
      <c r="AM599" s="340"/>
      <c r="AN599" s="340"/>
      <c r="AO599" s="340"/>
      <c r="AP599" s="340"/>
      <c r="AQ599" s="340"/>
      <c r="AR599" s="340"/>
      <c r="AS599" s="340"/>
      <c r="AT599" s="340"/>
      <c r="AU599" s="340"/>
      <c r="AV599" s="340"/>
      <c r="AW599" s="340"/>
      <c r="AX599" s="340"/>
      <c r="AY599" s="340"/>
      <c r="AZ599" s="340"/>
      <c r="BA599" s="340"/>
      <c r="BB599" s="340"/>
      <c r="BC599" s="340"/>
      <c r="BD599" s="340"/>
      <c r="BE599" s="342"/>
      <c r="BF599" s="342"/>
      <c r="BG599" s="1330"/>
      <c r="BH599" s="1330"/>
      <c r="BI599" s="1330"/>
      <c r="BJ599" s="1330"/>
      <c r="BK599" s="1330"/>
      <c r="BL599" s="1330"/>
      <c r="BM599" s="358"/>
      <c r="BN599" s="1330"/>
      <c r="BO599" s="1330"/>
      <c r="BP599" s="1330"/>
      <c r="BQ599" s="1330"/>
      <c r="BR599" s="1330"/>
      <c r="BS599" s="1330"/>
      <c r="BT599" s="359"/>
      <c r="BU599" s="346"/>
      <c r="BV599" s="310"/>
      <c r="BW599" s="310"/>
      <c r="BX599" s="291">
        <f t="shared" si="8"/>
        <v>0</v>
      </c>
      <c r="BY599" s="344"/>
      <c r="BZ599" s="347"/>
      <c r="CA599" s="347"/>
    </row>
    <row r="600" spans="1:79" ht="15" customHeight="1" x14ac:dyDescent="0.25">
      <c r="A600" s="313"/>
      <c r="B600" s="340"/>
      <c r="C600" s="354" t="s">
        <v>862</v>
      </c>
      <c r="D600" s="340"/>
      <c r="E600" s="340"/>
      <c r="F600" s="340"/>
      <c r="G600" s="340"/>
      <c r="H600" s="340"/>
      <c r="I600" s="340"/>
      <c r="J600" s="340"/>
      <c r="K600" s="340"/>
      <c r="L600" s="340"/>
      <c r="M600" s="340"/>
      <c r="N600" s="340"/>
      <c r="O600" s="340"/>
      <c r="P600" s="340"/>
      <c r="Q600" s="340"/>
      <c r="R600" s="340"/>
      <c r="S600" s="340"/>
      <c r="T600" s="340"/>
      <c r="U600" s="342"/>
      <c r="V600" s="342"/>
      <c r="W600" s="1318">
        <v>0</v>
      </c>
      <c r="X600" s="1318"/>
      <c r="Y600" s="1318"/>
      <c r="Z600" s="1318"/>
      <c r="AA600" s="1318"/>
      <c r="AB600" s="1318"/>
      <c r="AC600" s="355"/>
      <c r="AD600" s="1318">
        <v>150000000</v>
      </c>
      <c r="AE600" s="1318"/>
      <c r="AF600" s="1318"/>
      <c r="AG600" s="1318"/>
      <c r="AH600" s="1318"/>
      <c r="AI600" s="1318"/>
      <c r="AJ600" s="344"/>
      <c r="AK600" s="345"/>
      <c r="AL600" s="340"/>
      <c r="AM600" s="354" t="s">
        <v>857</v>
      </c>
      <c r="AN600" s="340"/>
      <c r="AO600" s="340"/>
      <c r="AP600" s="340"/>
      <c r="AQ600" s="340"/>
      <c r="AR600" s="340"/>
      <c r="AS600" s="340"/>
      <c r="AT600" s="340"/>
      <c r="AU600" s="340"/>
      <c r="AV600" s="340"/>
      <c r="AW600" s="340"/>
      <c r="AX600" s="340"/>
      <c r="AY600" s="340"/>
      <c r="AZ600" s="340"/>
      <c r="BA600" s="340"/>
      <c r="BB600" s="340"/>
      <c r="BC600" s="340"/>
      <c r="BD600" s="340"/>
      <c r="BE600" s="342"/>
      <c r="BF600" s="342"/>
      <c r="BG600" s="1363">
        <f>W600</f>
        <v>0</v>
      </c>
      <c r="BH600" s="1363"/>
      <c r="BI600" s="1363"/>
      <c r="BJ600" s="1363"/>
      <c r="BK600" s="1363"/>
      <c r="BL600" s="1363"/>
      <c r="BM600" s="358"/>
      <c r="BN600" s="1363">
        <f>AD600</f>
        <v>150000000</v>
      </c>
      <c r="BO600" s="1363"/>
      <c r="BP600" s="1363"/>
      <c r="BQ600" s="1363"/>
      <c r="BR600" s="1363"/>
      <c r="BS600" s="1363"/>
      <c r="BT600" s="359"/>
      <c r="BU600" s="346"/>
      <c r="BV600" s="310"/>
      <c r="BW600" s="310"/>
      <c r="BX600" s="291">
        <f t="shared" si="8"/>
        <v>0</v>
      </c>
      <c r="BY600" s="344"/>
      <c r="BZ600" s="347"/>
      <c r="CA600" s="347"/>
    </row>
    <row r="601" spans="1:79" ht="15" customHeight="1" x14ac:dyDescent="0.25">
      <c r="A601" s="313"/>
      <c r="B601" s="340"/>
      <c r="C601" s="354" t="s">
        <v>863</v>
      </c>
      <c r="D601" s="340"/>
      <c r="E601" s="340"/>
      <c r="F601" s="340"/>
      <c r="G601" s="340"/>
      <c r="H601" s="340"/>
      <c r="I601" s="340"/>
      <c r="J601" s="340"/>
      <c r="K601" s="340"/>
      <c r="L601" s="340"/>
      <c r="M601" s="340"/>
      <c r="N601" s="340"/>
      <c r="O601" s="340"/>
      <c r="P601" s="340"/>
      <c r="Q601" s="340"/>
      <c r="R601" s="340"/>
      <c r="S601" s="340"/>
      <c r="T601" s="340"/>
      <c r="U601" s="342"/>
      <c r="V601" s="342"/>
      <c r="W601" s="1318">
        <v>0</v>
      </c>
      <c r="X601" s="1318"/>
      <c r="Y601" s="1318"/>
      <c r="Z601" s="1318"/>
      <c r="AA601" s="1318"/>
      <c r="AB601" s="1318"/>
      <c r="AC601" s="355"/>
      <c r="AD601" s="1318">
        <v>55000000</v>
      </c>
      <c r="AE601" s="1318"/>
      <c r="AF601" s="1318"/>
      <c r="AG601" s="1318"/>
      <c r="AH601" s="1318"/>
      <c r="AI601" s="1318"/>
      <c r="AJ601" s="344"/>
      <c r="AK601" s="345"/>
      <c r="AL601" s="340"/>
      <c r="AM601" s="354" t="s">
        <v>864</v>
      </c>
      <c r="AN601" s="340"/>
      <c r="AO601" s="340"/>
      <c r="AP601" s="340"/>
      <c r="AQ601" s="340"/>
      <c r="AR601" s="340"/>
      <c r="AS601" s="340"/>
      <c r="AT601" s="340"/>
      <c r="AU601" s="340"/>
      <c r="AV601" s="340"/>
      <c r="AW601" s="340"/>
      <c r="AX601" s="340"/>
      <c r="AY601" s="340"/>
      <c r="AZ601" s="340"/>
      <c r="BA601" s="340"/>
      <c r="BB601" s="340"/>
      <c r="BC601" s="340"/>
      <c r="BD601" s="340"/>
      <c r="BE601" s="342"/>
      <c r="BF601" s="342"/>
      <c r="BG601" s="1363">
        <f>W601</f>
        <v>0</v>
      </c>
      <c r="BH601" s="1363"/>
      <c r="BI601" s="1363"/>
      <c r="BJ601" s="1363"/>
      <c r="BK601" s="1363"/>
      <c r="BL601" s="1363"/>
      <c r="BM601" s="358"/>
      <c r="BN601" s="1363">
        <f>AD601</f>
        <v>55000000</v>
      </c>
      <c r="BO601" s="1363"/>
      <c r="BP601" s="1363"/>
      <c r="BQ601" s="1363"/>
      <c r="BR601" s="1363"/>
      <c r="BS601" s="1363"/>
      <c r="BT601" s="359"/>
      <c r="BU601" s="346"/>
      <c r="BV601" s="310"/>
      <c r="BW601" s="310"/>
      <c r="BX601" s="291">
        <f t="shared" si="8"/>
        <v>0</v>
      </c>
      <c r="BY601" s="344"/>
      <c r="BZ601" s="347"/>
      <c r="CA601" s="347"/>
    </row>
    <row r="602" spans="1:79" ht="15" hidden="1" customHeight="1" x14ac:dyDescent="0.25">
      <c r="A602" s="313"/>
      <c r="B602" s="340"/>
      <c r="C602" s="354" t="s">
        <v>865</v>
      </c>
      <c r="D602" s="342"/>
      <c r="E602" s="342"/>
      <c r="F602" s="342"/>
      <c r="G602" s="342"/>
      <c r="H602" s="342"/>
      <c r="I602" s="342"/>
      <c r="J602" s="342"/>
      <c r="K602" s="342"/>
      <c r="L602" s="342"/>
      <c r="M602" s="342"/>
      <c r="N602" s="342"/>
      <c r="O602" s="342"/>
      <c r="P602" s="342"/>
      <c r="Q602" s="342"/>
      <c r="R602" s="342"/>
      <c r="S602" s="342"/>
      <c r="T602" s="342"/>
      <c r="U602" s="342"/>
      <c r="V602" s="342"/>
      <c r="W602" s="1318"/>
      <c r="X602" s="1318"/>
      <c r="Y602" s="1318"/>
      <c r="Z602" s="1318"/>
      <c r="AA602" s="1318"/>
      <c r="AB602" s="1318"/>
      <c r="AC602" s="355"/>
      <c r="AD602" s="1318"/>
      <c r="AE602" s="1318"/>
      <c r="AF602" s="1318"/>
      <c r="AG602" s="1318"/>
      <c r="AH602" s="1318"/>
      <c r="AI602" s="1318"/>
      <c r="AJ602" s="344"/>
      <c r="AK602" s="345"/>
      <c r="AL602" s="340"/>
      <c r="AM602" s="354" t="s">
        <v>860</v>
      </c>
      <c r="AN602" s="342"/>
      <c r="AO602" s="342"/>
      <c r="AP602" s="342"/>
      <c r="AQ602" s="342"/>
      <c r="AR602" s="342"/>
      <c r="AS602" s="342"/>
      <c r="AT602" s="342"/>
      <c r="AU602" s="342"/>
      <c r="AV602" s="342"/>
      <c r="AW602" s="342"/>
      <c r="AX602" s="342"/>
      <c r="AY602" s="342"/>
      <c r="AZ602" s="342"/>
      <c r="BA602" s="342"/>
      <c r="BB602" s="342"/>
      <c r="BC602" s="342"/>
      <c r="BD602" s="342"/>
      <c r="BE602" s="342"/>
      <c r="BF602" s="342"/>
      <c r="BG602" s="1363">
        <f>W602</f>
        <v>0</v>
      </c>
      <c r="BH602" s="1363"/>
      <c r="BI602" s="1363"/>
      <c r="BJ602" s="1363"/>
      <c r="BK602" s="1363"/>
      <c r="BL602" s="1363"/>
      <c r="BM602" s="358"/>
      <c r="BN602" s="1363">
        <f>AD602</f>
        <v>0</v>
      </c>
      <c r="BO602" s="1363"/>
      <c r="BP602" s="1363"/>
      <c r="BQ602" s="1363"/>
      <c r="BR602" s="1363"/>
      <c r="BS602" s="1363"/>
      <c r="BT602" s="359"/>
      <c r="BU602" s="346"/>
      <c r="BV602" s="310"/>
      <c r="BW602" s="310"/>
      <c r="BX602" s="291">
        <f t="shared" si="8"/>
        <v>0</v>
      </c>
      <c r="BY602" s="344"/>
      <c r="BZ602" s="347"/>
      <c r="CA602" s="347"/>
    </row>
    <row r="603" spans="1:79" ht="12.95" customHeight="1" x14ac:dyDescent="0.25">
      <c r="A603" s="313"/>
      <c r="B603" s="340"/>
      <c r="C603" s="342"/>
      <c r="D603" s="342"/>
      <c r="E603" s="342"/>
      <c r="F603" s="342"/>
      <c r="G603" s="342"/>
      <c r="H603" s="342"/>
      <c r="I603" s="342"/>
      <c r="J603" s="342"/>
      <c r="K603" s="342"/>
      <c r="L603" s="342"/>
      <c r="M603" s="342"/>
      <c r="N603" s="342"/>
      <c r="O603" s="342"/>
      <c r="P603" s="342"/>
      <c r="Q603" s="342"/>
      <c r="R603" s="342"/>
      <c r="S603" s="342"/>
      <c r="T603" s="342"/>
      <c r="U603" s="342"/>
      <c r="V603" s="342"/>
      <c r="W603" s="1318"/>
      <c r="X603" s="1318"/>
      <c r="Y603" s="1318"/>
      <c r="Z603" s="1318"/>
      <c r="AA603" s="1318"/>
      <c r="AB603" s="1318"/>
      <c r="AC603" s="355"/>
      <c r="AD603" s="1318"/>
      <c r="AE603" s="1318"/>
      <c r="AF603" s="1318"/>
      <c r="AG603" s="1318"/>
      <c r="AH603" s="1318"/>
      <c r="AI603" s="1318"/>
      <c r="AJ603" s="344"/>
      <c r="AK603" s="345"/>
      <c r="AL603" s="340"/>
      <c r="AM603" s="342"/>
      <c r="AN603" s="342"/>
      <c r="AO603" s="342"/>
      <c r="AP603" s="342"/>
      <c r="AQ603" s="342"/>
      <c r="AR603" s="342"/>
      <c r="AS603" s="342"/>
      <c r="AT603" s="342"/>
      <c r="AU603" s="342"/>
      <c r="AV603" s="342"/>
      <c r="AW603" s="342"/>
      <c r="AX603" s="342"/>
      <c r="AY603" s="342"/>
      <c r="AZ603" s="342"/>
      <c r="BA603" s="342"/>
      <c r="BB603" s="342"/>
      <c r="BC603" s="342"/>
      <c r="BD603" s="342"/>
      <c r="BE603" s="342"/>
      <c r="BF603" s="342"/>
      <c r="BG603" s="1363"/>
      <c r="BH603" s="1363"/>
      <c r="BI603" s="1363"/>
      <c r="BJ603" s="1363"/>
      <c r="BK603" s="1363"/>
      <c r="BL603" s="1363"/>
      <c r="BM603" s="358"/>
      <c r="BN603" s="1363"/>
      <c r="BO603" s="1363"/>
      <c r="BP603" s="1363"/>
      <c r="BQ603" s="1363"/>
      <c r="BR603" s="1363"/>
      <c r="BS603" s="1363"/>
      <c r="BT603" s="359"/>
      <c r="BU603" s="346"/>
      <c r="BV603" s="310"/>
      <c r="BW603" s="310"/>
      <c r="BX603" s="291">
        <f t="shared" si="8"/>
        <v>0</v>
      </c>
      <c r="BY603" s="344"/>
      <c r="BZ603" s="347"/>
      <c r="CA603" s="347"/>
    </row>
    <row r="604" spans="1:79" ht="15" customHeight="1" thickBot="1" x14ac:dyDescent="0.3">
      <c r="A604" s="313"/>
      <c r="B604" s="340"/>
      <c r="C604" s="360" t="s">
        <v>752</v>
      </c>
      <c r="D604" s="340"/>
      <c r="E604" s="340"/>
      <c r="F604" s="340"/>
      <c r="G604" s="340"/>
      <c r="H604" s="340"/>
      <c r="I604" s="340"/>
      <c r="J604" s="340"/>
      <c r="K604" s="340"/>
      <c r="L604" s="340"/>
      <c r="M604" s="340"/>
      <c r="N604" s="340"/>
      <c r="O604" s="340"/>
      <c r="P604" s="340"/>
      <c r="Q604" s="340"/>
      <c r="R604" s="340"/>
      <c r="S604" s="340"/>
      <c r="T604" s="340"/>
      <c r="U604" s="342"/>
      <c r="V604" s="342"/>
      <c r="W604" s="1359">
        <f>SUBTOTAL(109,W599:AB603)</f>
        <v>0</v>
      </c>
      <c r="X604" s="1359"/>
      <c r="Y604" s="1359"/>
      <c r="Z604" s="1359"/>
      <c r="AA604" s="1359"/>
      <c r="AB604" s="1359"/>
      <c r="AC604" s="355"/>
      <c r="AD604" s="1359">
        <f>SUBTOTAL(109,AD599:AI603)</f>
        <v>205000000</v>
      </c>
      <c r="AE604" s="1359"/>
      <c r="AF604" s="1359"/>
      <c r="AG604" s="1359"/>
      <c r="AH604" s="1359"/>
      <c r="AI604" s="1359"/>
      <c r="AJ604" s="344"/>
      <c r="AK604" s="345"/>
      <c r="AL604" s="340"/>
      <c r="AM604" s="360" t="s">
        <v>753</v>
      </c>
      <c r="AN604" s="340"/>
      <c r="AO604" s="340"/>
      <c r="AP604" s="340"/>
      <c r="AQ604" s="340"/>
      <c r="AR604" s="340"/>
      <c r="AS604" s="340"/>
      <c r="AT604" s="340"/>
      <c r="AU604" s="340"/>
      <c r="AV604" s="340"/>
      <c r="AW604" s="340"/>
      <c r="AX604" s="340"/>
      <c r="AY604" s="340"/>
      <c r="AZ604" s="340"/>
      <c r="BA604" s="340"/>
      <c r="BB604" s="340"/>
      <c r="BC604" s="340"/>
      <c r="BD604" s="340"/>
      <c r="BE604" s="342"/>
      <c r="BF604" s="342"/>
      <c r="BG604" s="1359">
        <f>SUBTOTAL(109,BG591:BL603)</f>
        <v>811700000</v>
      </c>
      <c r="BH604" s="1359"/>
      <c r="BI604" s="1359"/>
      <c r="BJ604" s="1359"/>
      <c r="BK604" s="1359"/>
      <c r="BL604" s="1359"/>
      <c r="BM604" s="358"/>
      <c r="BN604" s="1359">
        <f>SUBTOTAL(109,BN591:BS603)</f>
        <v>541800000</v>
      </c>
      <c r="BO604" s="1359"/>
      <c r="BP604" s="1359"/>
      <c r="BQ604" s="1359"/>
      <c r="BR604" s="1359"/>
      <c r="BS604" s="1359"/>
      <c r="BT604" s="361"/>
      <c r="BU604" s="362"/>
      <c r="BV604" s="310">
        <f>W604-KN_CT215</f>
        <v>0</v>
      </c>
      <c r="BW604" s="310">
        <f>AD604-KT_CT215</f>
        <v>0</v>
      </c>
      <c r="BX604" s="291">
        <f t="shared" si="8"/>
        <v>-1148500000</v>
      </c>
      <c r="BY604" s="344"/>
      <c r="BZ604" s="347"/>
      <c r="CA604" s="347"/>
    </row>
    <row r="605" spans="1:79" ht="2.1" hidden="1" customHeight="1" thickTop="1" x14ac:dyDescent="0.25">
      <c r="A605" s="313"/>
      <c r="B605" s="340"/>
      <c r="C605" s="340"/>
      <c r="D605" s="340"/>
      <c r="E605" s="340"/>
      <c r="F605" s="340"/>
      <c r="G605" s="340"/>
      <c r="H605" s="340"/>
      <c r="I605" s="340"/>
      <c r="J605" s="340"/>
      <c r="K605" s="340"/>
      <c r="L605" s="340"/>
      <c r="M605" s="340"/>
      <c r="N605" s="340"/>
      <c r="O605" s="340"/>
      <c r="P605" s="340"/>
      <c r="Q605" s="340"/>
      <c r="R605" s="340"/>
      <c r="S605" s="340"/>
      <c r="T605" s="340"/>
      <c r="U605" s="342"/>
      <c r="V605" s="342"/>
      <c r="W605" s="368"/>
      <c r="X605" s="368"/>
      <c r="Y605" s="368"/>
      <c r="Z605" s="368"/>
      <c r="AA605" s="368"/>
      <c r="AB605" s="368"/>
      <c r="AC605" s="343"/>
      <c r="AD605" s="368"/>
      <c r="AE605" s="368"/>
      <c r="AF605" s="368"/>
      <c r="AG605" s="368"/>
      <c r="AH605" s="368"/>
      <c r="AI605" s="368"/>
      <c r="AJ605" s="344"/>
      <c r="AK605" s="345"/>
      <c r="AL605" s="340"/>
      <c r="AM605" s="340"/>
      <c r="AN605" s="340"/>
      <c r="AO605" s="340"/>
      <c r="AP605" s="340"/>
      <c r="AQ605" s="340"/>
      <c r="AR605" s="340"/>
      <c r="AS605" s="340"/>
      <c r="AT605" s="340"/>
      <c r="AU605" s="340"/>
      <c r="AV605" s="340"/>
      <c r="AW605" s="340"/>
      <c r="AX605" s="340"/>
      <c r="AY605" s="340"/>
      <c r="AZ605" s="340"/>
      <c r="BA605" s="340"/>
      <c r="BB605" s="340"/>
      <c r="BC605" s="340"/>
      <c r="BD605" s="340"/>
      <c r="BE605" s="342"/>
      <c r="BF605" s="342"/>
      <c r="BG605" s="361"/>
      <c r="BH605" s="361"/>
      <c r="BI605" s="361"/>
      <c r="BJ605" s="361"/>
      <c r="BK605" s="361"/>
      <c r="BL605" s="361"/>
      <c r="BM605" s="342"/>
      <c r="BN605" s="361"/>
      <c r="BO605" s="361"/>
      <c r="BP605" s="361"/>
      <c r="BQ605" s="361"/>
      <c r="BR605" s="361"/>
      <c r="BS605" s="361"/>
      <c r="BT605" s="361"/>
      <c r="BU605" s="362"/>
      <c r="BV605" s="310"/>
      <c r="BW605" s="310"/>
      <c r="BX605" s="291">
        <f t="shared" si="8"/>
        <v>0</v>
      </c>
      <c r="BY605" s="344"/>
      <c r="BZ605" s="347"/>
      <c r="CA605" s="347"/>
    </row>
    <row r="606" spans="1:79" ht="14.1" customHeight="1" thickTop="1" x14ac:dyDescent="0.25">
      <c r="A606" s="313"/>
      <c r="B606" s="340"/>
      <c r="C606" s="340"/>
      <c r="D606" s="340"/>
      <c r="E606" s="340"/>
      <c r="F606" s="340"/>
      <c r="G606" s="340"/>
      <c r="H606" s="340"/>
      <c r="I606" s="340"/>
      <c r="J606" s="340"/>
      <c r="K606" s="340"/>
      <c r="L606" s="340"/>
      <c r="M606" s="340"/>
      <c r="N606" s="340"/>
      <c r="O606" s="340"/>
      <c r="P606" s="340"/>
      <c r="Q606" s="340"/>
      <c r="R606" s="340"/>
      <c r="S606" s="340"/>
      <c r="T606" s="340"/>
      <c r="U606" s="342"/>
      <c r="V606" s="342"/>
      <c r="W606" s="368"/>
      <c r="X606" s="368"/>
      <c r="Y606" s="368"/>
      <c r="Z606" s="368"/>
      <c r="AA606" s="368"/>
      <c r="AB606" s="368"/>
      <c r="AC606" s="343"/>
      <c r="AD606" s="368"/>
      <c r="AE606" s="368"/>
      <c r="AF606" s="368"/>
      <c r="AG606" s="368"/>
      <c r="AH606" s="368"/>
      <c r="AI606" s="368"/>
      <c r="AJ606" s="344"/>
      <c r="AK606" s="345"/>
      <c r="AL606" s="340"/>
      <c r="AM606" s="340"/>
      <c r="AN606" s="340"/>
      <c r="AO606" s="340"/>
      <c r="AP606" s="340"/>
      <c r="AQ606" s="340"/>
      <c r="AR606" s="340"/>
      <c r="AS606" s="340"/>
      <c r="AT606" s="340"/>
      <c r="AU606" s="340"/>
      <c r="AV606" s="340"/>
      <c r="AW606" s="340"/>
      <c r="AX606" s="340"/>
      <c r="AY606" s="340"/>
      <c r="AZ606" s="340"/>
      <c r="BA606" s="340"/>
      <c r="BB606" s="340"/>
      <c r="BC606" s="340"/>
      <c r="BD606" s="340"/>
      <c r="BE606" s="342"/>
      <c r="BF606" s="342"/>
      <c r="BG606" s="361"/>
      <c r="BH606" s="361"/>
      <c r="BI606" s="361"/>
      <c r="BJ606" s="361"/>
      <c r="BK606" s="361"/>
      <c r="BL606" s="361"/>
      <c r="BM606" s="342"/>
      <c r="BN606" s="361"/>
      <c r="BO606" s="361"/>
      <c r="BP606" s="361"/>
      <c r="BQ606" s="361"/>
      <c r="BR606" s="361"/>
      <c r="BS606" s="361"/>
      <c r="BT606" s="361"/>
      <c r="BU606" s="362"/>
      <c r="BV606" s="310"/>
      <c r="BW606" s="310"/>
      <c r="BX606" s="291"/>
      <c r="BY606" s="344"/>
      <c r="BZ606" s="347"/>
      <c r="CA606" s="347"/>
    </row>
    <row r="607" spans="1:79" ht="29.1" customHeight="1" x14ac:dyDescent="0.25">
      <c r="A607" s="313"/>
      <c r="B607" s="340"/>
      <c r="C607" s="1319" t="s">
        <v>866</v>
      </c>
      <c r="D607" s="1319"/>
      <c r="E607" s="1319"/>
      <c r="F607" s="1319"/>
      <c r="G607" s="1319"/>
      <c r="H607" s="1319"/>
      <c r="I607" s="1319"/>
      <c r="J607" s="1319"/>
      <c r="K607" s="1319"/>
      <c r="L607" s="1319"/>
      <c r="M607" s="1319"/>
      <c r="N607" s="1319"/>
      <c r="O607" s="1319"/>
      <c r="P607" s="1319"/>
      <c r="Q607" s="1319"/>
      <c r="R607" s="1319"/>
      <c r="S607" s="1319"/>
      <c r="T607" s="1319"/>
      <c r="U607" s="1319"/>
      <c r="V607" s="1319"/>
      <c r="W607" s="1319"/>
      <c r="X607" s="1319"/>
      <c r="Y607" s="1319"/>
      <c r="Z607" s="1319"/>
      <c r="AA607" s="1319"/>
      <c r="AB607" s="1319"/>
      <c r="AC607" s="1319"/>
      <c r="AD607" s="1319"/>
      <c r="AE607" s="1319"/>
      <c r="AF607" s="1319"/>
      <c r="AG607" s="1319"/>
      <c r="AH607" s="1319"/>
      <c r="AI607" s="1319"/>
      <c r="AJ607" s="344"/>
      <c r="AK607" s="345"/>
      <c r="AL607" s="340"/>
      <c r="AM607" s="340"/>
      <c r="AN607" s="340"/>
      <c r="AO607" s="340"/>
      <c r="AP607" s="340"/>
      <c r="AQ607" s="340"/>
      <c r="AR607" s="340"/>
      <c r="AS607" s="340"/>
      <c r="AT607" s="340"/>
      <c r="AU607" s="340"/>
      <c r="AV607" s="340"/>
      <c r="AW607" s="340"/>
      <c r="AX607" s="340"/>
      <c r="AY607" s="340"/>
      <c r="AZ607" s="340"/>
      <c r="BA607" s="340"/>
      <c r="BB607" s="340"/>
      <c r="BC607" s="340"/>
      <c r="BD607" s="340"/>
      <c r="BE607" s="342"/>
      <c r="BF607" s="342"/>
      <c r="BG607" s="361"/>
      <c r="BH607" s="361"/>
      <c r="BI607" s="361"/>
      <c r="BJ607" s="361"/>
      <c r="BK607" s="361"/>
      <c r="BL607" s="361"/>
      <c r="BM607" s="342"/>
      <c r="BN607" s="361"/>
      <c r="BO607" s="361"/>
      <c r="BP607" s="361"/>
      <c r="BQ607" s="361"/>
      <c r="BR607" s="361"/>
      <c r="BS607" s="361"/>
      <c r="BT607" s="361"/>
      <c r="BU607" s="362"/>
      <c r="BV607" s="310"/>
      <c r="BW607" s="310"/>
      <c r="BX607" s="291"/>
      <c r="BY607" s="344"/>
      <c r="BZ607" s="347"/>
      <c r="CA607" s="347"/>
    </row>
    <row r="608" spans="1:79" ht="12.95" customHeight="1" x14ac:dyDescent="0.25">
      <c r="A608" s="313"/>
      <c r="B608" s="340"/>
      <c r="C608" s="440"/>
      <c r="D608" s="440"/>
      <c r="E608" s="440"/>
      <c r="F608" s="440"/>
      <c r="G608" s="440"/>
      <c r="H608" s="440"/>
      <c r="I608" s="440"/>
      <c r="J608" s="440"/>
      <c r="K608" s="440"/>
      <c r="L608" s="440"/>
      <c r="M608" s="440"/>
      <c r="N608" s="440"/>
      <c r="O608" s="440"/>
      <c r="P608" s="440"/>
      <c r="Q608" s="440"/>
      <c r="R608" s="440"/>
      <c r="S608" s="440"/>
      <c r="T608" s="440"/>
      <c r="U608" s="440"/>
      <c r="V608" s="440"/>
      <c r="W608" s="440"/>
      <c r="X608" s="440"/>
      <c r="Y608" s="440"/>
      <c r="Z608" s="440"/>
      <c r="AA608" s="440"/>
      <c r="AB608" s="440"/>
      <c r="AC608" s="440"/>
      <c r="AD608" s="440"/>
      <c r="AE608" s="440"/>
      <c r="AF608" s="440"/>
      <c r="AG608" s="440"/>
      <c r="AH608" s="440"/>
      <c r="AI608" s="440"/>
      <c r="AJ608" s="344"/>
      <c r="AK608" s="345"/>
      <c r="AL608" s="340"/>
      <c r="AM608" s="340"/>
      <c r="AN608" s="340"/>
      <c r="AO608" s="340"/>
      <c r="AP608" s="340"/>
      <c r="AQ608" s="340"/>
      <c r="AR608" s="340"/>
      <c r="AS608" s="340"/>
      <c r="AT608" s="340"/>
      <c r="AU608" s="340"/>
      <c r="AV608" s="340"/>
      <c r="AW608" s="340"/>
      <c r="AX608" s="340"/>
      <c r="AY608" s="340"/>
      <c r="AZ608" s="340"/>
      <c r="BA608" s="340"/>
      <c r="BB608" s="340"/>
      <c r="BC608" s="340"/>
      <c r="BD608" s="340"/>
      <c r="BE608" s="342"/>
      <c r="BF608" s="342"/>
      <c r="BG608" s="361"/>
      <c r="BH608" s="361"/>
      <c r="BI608" s="361"/>
      <c r="BJ608" s="361"/>
      <c r="BK608" s="361"/>
      <c r="BL608" s="361"/>
      <c r="BM608" s="342"/>
      <c r="BN608" s="361"/>
      <c r="BO608" s="361"/>
      <c r="BP608" s="361"/>
      <c r="BQ608" s="361"/>
      <c r="BR608" s="361"/>
      <c r="BS608" s="361"/>
      <c r="BT608" s="361"/>
      <c r="BU608" s="362"/>
      <c r="BV608" s="310"/>
      <c r="BW608" s="310"/>
      <c r="BX608" s="291"/>
      <c r="BY608" s="344"/>
      <c r="BZ608" s="347"/>
      <c r="CA608" s="347"/>
    </row>
    <row r="609" spans="1:84" ht="29.1" customHeight="1" x14ac:dyDescent="0.25">
      <c r="A609" s="313"/>
      <c r="B609" s="340"/>
      <c r="C609" s="1319" t="s">
        <v>867</v>
      </c>
      <c r="D609" s="1319"/>
      <c r="E609" s="1319"/>
      <c r="F609" s="1319"/>
      <c r="G609" s="1319"/>
      <c r="H609" s="1319"/>
      <c r="I609" s="1319"/>
      <c r="J609" s="1319"/>
      <c r="K609" s="1319"/>
      <c r="L609" s="1319"/>
      <c r="M609" s="1319"/>
      <c r="N609" s="1319"/>
      <c r="O609" s="1319"/>
      <c r="P609" s="1319"/>
      <c r="Q609" s="1319"/>
      <c r="R609" s="1319"/>
      <c r="S609" s="1319"/>
      <c r="T609" s="1319"/>
      <c r="U609" s="1319"/>
      <c r="V609" s="1319"/>
      <c r="W609" s="1319"/>
      <c r="X609" s="1319"/>
      <c r="Y609" s="1319"/>
      <c r="Z609" s="1319"/>
      <c r="AA609" s="1319"/>
      <c r="AB609" s="1319"/>
      <c r="AC609" s="1319"/>
      <c r="AD609" s="1319"/>
      <c r="AE609" s="1319"/>
      <c r="AF609" s="1319"/>
      <c r="AG609" s="1319"/>
      <c r="AH609" s="1319"/>
      <c r="AI609" s="1319"/>
      <c r="AJ609" s="344"/>
      <c r="AK609" s="345"/>
      <c r="AL609" s="340"/>
      <c r="AM609" s="340"/>
      <c r="AN609" s="340"/>
      <c r="AO609" s="340"/>
      <c r="AP609" s="340"/>
      <c r="AQ609" s="340"/>
      <c r="AR609" s="340"/>
      <c r="AS609" s="340"/>
      <c r="AT609" s="340"/>
      <c r="AU609" s="340"/>
      <c r="AV609" s="340"/>
      <c r="AW609" s="340"/>
      <c r="AX609" s="340"/>
      <c r="AY609" s="340"/>
      <c r="AZ609" s="340"/>
      <c r="BA609" s="340"/>
      <c r="BB609" s="340"/>
      <c r="BC609" s="340"/>
      <c r="BD609" s="340"/>
      <c r="BE609" s="342"/>
      <c r="BF609" s="342"/>
      <c r="BG609" s="361"/>
      <c r="BH609" s="361"/>
      <c r="BI609" s="361"/>
      <c r="BJ609" s="361"/>
      <c r="BK609" s="361"/>
      <c r="BL609" s="361"/>
      <c r="BM609" s="342"/>
      <c r="BN609" s="361"/>
      <c r="BO609" s="361"/>
      <c r="BP609" s="361"/>
      <c r="BQ609" s="361"/>
      <c r="BR609" s="361"/>
      <c r="BS609" s="361"/>
      <c r="BT609" s="361"/>
      <c r="BU609" s="362"/>
      <c r="BV609" s="310"/>
      <c r="BW609" s="310"/>
      <c r="BX609" s="291"/>
      <c r="BY609" s="344"/>
      <c r="BZ609" s="347"/>
      <c r="CA609" s="347"/>
    </row>
    <row r="610" spans="1:84" ht="12.95" customHeight="1" x14ac:dyDescent="0.25">
      <c r="A610" s="313"/>
      <c r="B610" s="340"/>
      <c r="C610" s="340"/>
      <c r="D610" s="340"/>
      <c r="E610" s="340"/>
      <c r="F610" s="340"/>
      <c r="G610" s="340"/>
      <c r="H610" s="340"/>
      <c r="I610" s="340"/>
      <c r="J610" s="340"/>
      <c r="K610" s="340"/>
      <c r="L610" s="340"/>
      <c r="M610" s="340"/>
      <c r="N610" s="340"/>
      <c r="O610" s="340"/>
      <c r="P610" s="340"/>
      <c r="Q610" s="340"/>
      <c r="R610" s="340"/>
      <c r="S610" s="340"/>
      <c r="T610" s="340"/>
      <c r="U610" s="342"/>
      <c r="V610" s="342"/>
      <c r="W610" s="368"/>
      <c r="X610" s="368"/>
      <c r="Y610" s="368"/>
      <c r="Z610" s="368"/>
      <c r="AA610" s="368"/>
      <c r="AB610" s="368"/>
      <c r="AC610" s="343"/>
      <c r="AD610" s="368"/>
      <c r="AE610" s="368"/>
      <c r="AF610" s="368"/>
      <c r="AG610" s="368"/>
      <c r="AH610" s="368"/>
      <c r="AI610" s="368"/>
      <c r="AJ610" s="344"/>
      <c r="AK610" s="345"/>
      <c r="AL610" s="340"/>
      <c r="AM610" s="340"/>
      <c r="AN610" s="340"/>
      <c r="AO610" s="340"/>
      <c r="AP610" s="340"/>
      <c r="AQ610" s="340"/>
      <c r="AR610" s="340"/>
      <c r="AS610" s="340"/>
      <c r="AT610" s="340"/>
      <c r="AU610" s="340"/>
      <c r="AV610" s="340"/>
      <c r="AW610" s="340"/>
      <c r="AX610" s="340"/>
      <c r="AY610" s="340"/>
      <c r="AZ610" s="340"/>
      <c r="BA610" s="340"/>
      <c r="BB610" s="340"/>
      <c r="BC610" s="340"/>
      <c r="BD610" s="340"/>
      <c r="BE610" s="342"/>
      <c r="BF610" s="342"/>
      <c r="BG610" s="361"/>
      <c r="BH610" s="361"/>
      <c r="BI610" s="361"/>
      <c r="BJ610" s="361"/>
      <c r="BK610" s="361"/>
      <c r="BL610" s="361"/>
      <c r="BM610" s="342"/>
      <c r="BN610" s="361"/>
      <c r="BO610" s="361"/>
      <c r="BP610" s="361"/>
      <c r="BQ610" s="361"/>
      <c r="BR610" s="361"/>
      <c r="BS610" s="361"/>
      <c r="BT610" s="361"/>
      <c r="BU610" s="362"/>
      <c r="BV610" s="310"/>
      <c r="BW610" s="310"/>
      <c r="BX610" s="291"/>
      <c r="BY610" s="344"/>
      <c r="BZ610" s="347"/>
      <c r="CA610" s="347"/>
    </row>
    <row r="611" spans="1:84" s="423" customFormat="1" ht="15" customHeight="1" thickBot="1" x14ac:dyDescent="0.3">
      <c r="A611" s="313"/>
      <c r="B611" s="340"/>
      <c r="C611" s="340" t="s">
        <v>868</v>
      </c>
      <c r="D611" s="440"/>
      <c r="E611" s="440"/>
      <c r="F611" s="440"/>
      <c r="G611" s="440"/>
      <c r="H611" s="440"/>
      <c r="I611" s="440"/>
      <c r="J611" s="440"/>
      <c r="K611" s="440"/>
      <c r="L611" s="440"/>
      <c r="M611" s="440"/>
      <c r="N611" s="440"/>
      <c r="O611" s="440"/>
      <c r="P611" s="440"/>
      <c r="Q611" s="440"/>
      <c r="R611" s="440"/>
      <c r="S611" s="440"/>
      <c r="T611" s="440"/>
      <c r="U611" s="440"/>
      <c r="V611" s="440"/>
      <c r="W611" s="1359">
        <v>0</v>
      </c>
      <c r="X611" s="1359"/>
      <c r="Y611" s="1359"/>
      <c r="Z611" s="1359"/>
      <c r="AA611" s="1359"/>
      <c r="AB611" s="1359"/>
      <c r="AC611" s="440"/>
      <c r="AD611" s="1359">
        <v>100000000</v>
      </c>
      <c r="AE611" s="1359"/>
      <c r="AF611" s="1359"/>
      <c r="AG611" s="1359"/>
      <c r="AH611" s="1359"/>
      <c r="AI611" s="1359"/>
      <c r="AJ611" s="342"/>
      <c r="AK611" s="345"/>
      <c r="AL611" s="340"/>
      <c r="AM611" s="340"/>
      <c r="AN611" s="340"/>
      <c r="AO611" s="340"/>
      <c r="AP611" s="340"/>
      <c r="AQ611" s="340"/>
      <c r="AR611" s="340"/>
      <c r="AS611" s="340"/>
      <c r="AT611" s="340"/>
      <c r="AU611" s="340"/>
      <c r="AV611" s="340"/>
      <c r="AW611" s="340"/>
      <c r="AX611" s="340"/>
      <c r="AY611" s="340"/>
      <c r="AZ611" s="340"/>
      <c r="BA611" s="340"/>
      <c r="BB611" s="340"/>
      <c r="BC611" s="340"/>
      <c r="BD611" s="340"/>
      <c r="BE611" s="342"/>
      <c r="BF611" s="342"/>
      <c r="BG611" s="361"/>
      <c r="BH611" s="361"/>
      <c r="BI611" s="361"/>
      <c r="BJ611" s="361"/>
      <c r="BK611" s="361"/>
      <c r="BL611" s="361"/>
      <c r="BM611" s="342"/>
      <c r="BN611" s="361"/>
      <c r="BO611" s="361"/>
      <c r="BP611" s="361"/>
      <c r="BQ611" s="361"/>
      <c r="BR611" s="361"/>
      <c r="BS611" s="361"/>
      <c r="BT611" s="361"/>
      <c r="BU611" s="362"/>
      <c r="BV611" s="299"/>
      <c r="BW611" s="299"/>
      <c r="BX611" s="300"/>
      <c r="BY611" s="342"/>
      <c r="BZ611" s="438"/>
      <c r="CA611" s="438"/>
      <c r="CB611" s="439"/>
      <c r="CC611" s="439"/>
      <c r="CD611" s="439"/>
      <c r="CE611" s="439"/>
      <c r="CF611" s="439"/>
    </row>
    <row r="612" spans="1:84" s="423" customFormat="1" ht="15" customHeight="1" thickTop="1" x14ac:dyDescent="0.25">
      <c r="A612" s="369"/>
      <c r="B612" s="354"/>
      <c r="C612" s="428" t="str">
        <f>CONCATENATE("(Xem thông tin chi tiết tại Thuyết minh ",STT_BenLQ,")")</f>
        <v>(Xem thông tin chi tiết tại Thuyết minh 37)</v>
      </c>
      <c r="D612" s="342"/>
      <c r="E612" s="342"/>
      <c r="F612" s="342"/>
      <c r="G612" s="342"/>
      <c r="H612" s="342"/>
      <c r="I612" s="342"/>
      <c r="J612" s="342"/>
      <c r="K612" s="342"/>
      <c r="L612" s="342"/>
      <c r="M612" s="342"/>
      <c r="N612" s="342"/>
      <c r="O612" s="342"/>
      <c r="P612" s="342"/>
      <c r="Q612" s="342"/>
      <c r="R612" s="342"/>
      <c r="S612" s="342"/>
      <c r="T612" s="342"/>
      <c r="U612" s="342"/>
      <c r="V612" s="342"/>
      <c r="W612" s="1338"/>
      <c r="X612" s="1338"/>
      <c r="Y612" s="1338"/>
      <c r="Z612" s="1338"/>
      <c r="AA612" s="1338"/>
      <c r="AB612" s="1338"/>
      <c r="AC612" s="343"/>
      <c r="AD612" s="1338"/>
      <c r="AE612" s="1338"/>
      <c r="AF612" s="1338"/>
      <c r="AG612" s="1338"/>
      <c r="AH612" s="1338"/>
      <c r="AI612" s="1338"/>
      <c r="AJ612" s="342"/>
      <c r="AK612" s="419"/>
      <c r="AL612" s="354"/>
      <c r="AM612" s="342"/>
      <c r="AN612" s="342"/>
      <c r="AO612" s="342"/>
      <c r="AP612" s="342"/>
      <c r="AQ612" s="342"/>
      <c r="AR612" s="342"/>
      <c r="AS612" s="342"/>
      <c r="AT612" s="342"/>
      <c r="AU612" s="342"/>
      <c r="AV612" s="342"/>
      <c r="AW612" s="342"/>
      <c r="AX612" s="342"/>
      <c r="AY612" s="342"/>
      <c r="AZ612" s="342"/>
      <c r="BA612" s="342"/>
      <c r="BB612" s="342"/>
      <c r="BC612" s="342"/>
      <c r="BD612" s="342"/>
      <c r="BE612" s="342"/>
      <c r="BF612" s="342"/>
      <c r="BG612" s="342"/>
      <c r="BH612" s="342"/>
      <c r="BI612" s="342"/>
      <c r="BJ612" s="342"/>
      <c r="BK612" s="342"/>
      <c r="BL612" s="342"/>
      <c r="BM612" s="342"/>
      <c r="BN612" s="342"/>
      <c r="BO612" s="342"/>
      <c r="BP612" s="342"/>
      <c r="BQ612" s="342"/>
      <c r="BR612" s="342"/>
      <c r="BS612" s="342"/>
      <c r="BT612" s="342"/>
      <c r="BU612" s="346"/>
      <c r="BV612" s="299"/>
      <c r="BW612" s="299"/>
      <c r="BX612" s="300">
        <f>IF(ISNONTEXT($C612),0,SUM(D612:AI612)-SUM(AN612:BS612))</f>
        <v>0</v>
      </c>
      <c r="BY612" s="342"/>
      <c r="BZ612" s="438"/>
      <c r="CA612" s="438"/>
      <c r="CB612" s="439"/>
      <c r="CC612" s="439"/>
      <c r="CD612" s="439"/>
      <c r="CE612" s="439"/>
      <c r="CF612" s="439"/>
    </row>
    <row r="613" spans="1:84" ht="12.95" customHeight="1" x14ac:dyDescent="0.25">
      <c r="A613" s="369"/>
      <c r="B613" s="354"/>
      <c r="C613" s="342"/>
      <c r="D613" s="342"/>
      <c r="E613" s="342"/>
      <c r="F613" s="342"/>
      <c r="G613" s="342"/>
      <c r="H613" s="342"/>
      <c r="I613" s="342"/>
      <c r="J613" s="342"/>
      <c r="K613" s="342"/>
      <c r="L613" s="342"/>
      <c r="M613" s="342"/>
      <c r="N613" s="342"/>
      <c r="O613" s="342"/>
      <c r="P613" s="342"/>
      <c r="Q613" s="342"/>
      <c r="R613" s="342"/>
      <c r="S613" s="342"/>
      <c r="T613" s="342"/>
      <c r="U613" s="342"/>
      <c r="V613" s="342"/>
      <c r="W613" s="1338"/>
      <c r="X613" s="1338"/>
      <c r="Y613" s="1338"/>
      <c r="Z613" s="1338"/>
      <c r="AA613" s="1338"/>
      <c r="AB613" s="1338"/>
      <c r="AC613" s="343"/>
      <c r="AD613" s="1338"/>
      <c r="AE613" s="1338"/>
      <c r="AF613" s="1338"/>
      <c r="AG613" s="1338"/>
      <c r="AH613" s="1338"/>
      <c r="AI613" s="1338"/>
      <c r="AJ613" s="344"/>
      <c r="AK613" s="419"/>
      <c r="AL613" s="354"/>
      <c r="AM613" s="342"/>
      <c r="AN613" s="342"/>
      <c r="AO613" s="342"/>
      <c r="AP613" s="342"/>
      <c r="AQ613" s="342"/>
      <c r="AR613" s="342"/>
      <c r="AS613" s="342"/>
      <c r="AT613" s="342"/>
      <c r="AU613" s="342"/>
      <c r="AV613" s="342"/>
      <c r="AW613" s="342"/>
      <c r="AX613" s="342"/>
      <c r="AY613" s="342"/>
      <c r="AZ613" s="342"/>
      <c r="BA613" s="342"/>
      <c r="BB613" s="342"/>
      <c r="BC613" s="342"/>
      <c r="BD613" s="342"/>
      <c r="BE613" s="342"/>
      <c r="BF613" s="342"/>
      <c r="BG613" s="342"/>
      <c r="BH613" s="342"/>
      <c r="BI613" s="342"/>
      <c r="BJ613" s="342"/>
      <c r="BK613" s="342"/>
      <c r="BL613" s="342"/>
      <c r="BM613" s="342"/>
      <c r="BN613" s="342"/>
      <c r="BO613" s="342"/>
      <c r="BP613" s="342"/>
      <c r="BQ613" s="342"/>
      <c r="BR613" s="342"/>
      <c r="BS613" s="342"/>
      <c r="BT613" s="342"/>
      <c r="BU613" s="346"/>
      <c r="BV613" s="310"/>
      <c r="BW613" s="310"/>
      <c r="BX613" s="291">
        <f t="shared" si="8"/>
        <v>0</v>
      </c>
      <c r="BY613" s="344"/>
      <c r="BZ613" s="347"/>
      <c r="CA613" s="347"/>
    </row>
    <row r="614" spans="1:84" ht="15" customHeight="1" x14ac:dyDescent="0.25">
      <c r="A614" s="313">
        <v>8</v>
      </c>
      <c r="B614" s="340" t="s">
        <v>345</v>
      </c>
      <c r="C614" s="341" t="s">
        <v>869</v>
      </c>
      <c r="D614" s="341"/>
      <c r="E614" s="341"/>
      <c r="F614" s="341"/>
      <c r="G614" s="341"/>
      <c r="H614" s="341"/>
      <c r="I614" s="341"/>
      <c r="J614" s="341"/>
      <c r="K614" s="341"/>
      <c r="L614" s="341"/>
      <c r="M614" s="341"/>
      <c r="N614" s="341"/>
      <c r="O614" s="341"/>
      <c r="P614" s="341"/>
      <c r="Q614" s="341"/>
      <c r="R614" s="341"/>
      <c r="S614" s="341"/>
      <c r="T614" s="341"/>
      <c r="U614" s="342"/>
      <c r="V614" s="342"/>
      <c r="W614" s="343"/>
      <c r="X614" s="343"/>
      <c r="Y614" s="343"/>
      <c r="Z614" s="343"/>
      <c r="AA614" s="343"/>
      <c r="AB614" s="343"/>
      <c r="AC614" s="343"/>
      <c r="AD614" s="343"/>
      <c r="AE614" s="343"/>
      <c r="AF614" s="343"/>
      <c r="AG614" s="343"/>
      <c r="AH614" s="343"/>
      <c r="AI614" s="343"/>
      <c r="AJ614" s="344"/>
      <c r="AK614" s="345">
        <f>A614</f>
        <v>8</v>
      </c>
      <c r="AL614" s="340" t="s">
        <v>345</v>
      </c>
      <c r="AM614" s="341" t="s">
        <v>839</v>
      </c>
      <c r="AN614" s="341"/>
      <c r="AO614" s="341"/>
      <c r="AP614" s="341"/>
      <c r="AQ614" s="341"/>
      <c r="AR614" s="341"/>
      <c r="AS614" s="341"/>
      <c r="AT614" s="341"/>
      <c r="AU614" s="341"/>
      <c r="AV614" s="341"/>
      <c r="AW614" s="341"/>
      <c r="AX614" s="341"/>
      <c r="AY614" s="341"/>
      <c r="AZ614" s="341"/>
      <c r="BA614" s="341"/>
      <c r="BB614" s="341"/>
      <c r="BC614" s="341"/>
      <c r="BD614" s="341"/>
      <c r="BE614" s="342"/>
      <c r="BF614" s="342"/>
      <c r="BG614" s="342"/>
      <c r="BH614" s="342"/>
      <c r="BI614" s="342"/>
      <c r="BJ614" s="342"/>
      <c r="BK614" s="342"/>
      <c r="BL614" s="342"/>
      <c r="BM614" s="342"/>
      <c r="BN614" s="342"/>
      <c r="BO614" s="342"/>
      <c r="BP614" s="342"/>
      <c r="BQ614" s="342"/>
      <c r="BR614" s="342"/>
      <c r="BS614" s="342"/>
      <c r="BT614" s="342"/>
      <c r="BU614" s="346">
        <f>SUBTOTAL(103,A614)</f>
        <v>1</v>
      </c>
      <c r="BV614" s="310"/>
      <c r="BW614" s="310"/>
      <c r="BX614" s="291">
        <f t="shared" si="8"/>
        <v>0</v>
      </c>
      <c r="BY614" s="344"/>
      <c r="BZ614" s="347"/>
      <c r="CA614" s="347"/>
    </row>
    <row r="615" spans="1:84" ht="15" customHeight="1" x14ac:dyDescent="0.25">
      <c r="A615" s="313"/>
      <c r="B615" s="340"/>
      <c r="C615" s="350"/>
      <c r="D615" s="350"/>
      <c r="E615" s="350"/>
      <c r="F615" s="350"/>
      <c r="G615" s="350"/>
      <c r="H615" s="350"/>
      <c r="I615" s="350"/>
      <c r="J615" s="350"/>
      <c r="K615" s="1476" t="str">
        <f>Ky_Nay1_V</f>
        <v>31/12/2017</v>
      </c>
      <c r="L615" s="1476"/>
      <c r="M615" s="1476"/>
      <c r="N615" s="1476"/>
      <c r="O615" s="1476"/>
      <c r="P615" s="1476"/>
      <c r="Q615" s="1476"/>
      <c r="R615" s="1476"/>
      <c r="S615" s="1476"/>
      <c r="T615" s="1476"/>
      <c r="U615" s="1476"/>
      <c r="V615" s="1476"/>
      <c r="W615" s="372"/>
      <c r="X615" s="1476" t="str">
        <f>Ky_Truoc1_V</f>
        <v>01/01/2017</v>
      </c>
      <c r="Y615" s="1476"/>
      <c r="Z615" s="1476"/>
      <c r="AA615" s="1476"/>
      <c r="AB615" s="1476"/>
      <c r="AC615" s="1476"/>
      <c r="AD615" s="1476"/>
      <c r="AE615" s="1476"/>
      <c r="AF615" s="1476"/>
      <c r="AG615" s="1476"/>
      <c r="AH615" s="1476"/>
      <c r="AI615" s="1476"/>
      <c r="AJ615" s="344"/>
      <c r="AK615" s="345"/>
      <c r="AL615" s="340"/>
      <c r="AM615" s="350"/>
      <c r="AN615" s="350"/>
      <c r="AO615" s="350"/>
      <c r="AP615" s="350"/>
      <c r="AQ615" s="350"/>
      <c r="AR615" s="350"/>
      <c r="AS615" s="350"/>
      <c r="AT615" s="350"/>
      <c r="AU615" s="1476" t="str">
        <f>Ky_Nay1_E</f>
        <v>31/12/2017</v>
      </c>
      <c r="AV615" s="1476"/>
      <c r="AW615" s="1476"/>
      <c r="AX615" s="1476"/>
      <c r="AY615" s="1476"/>
      <c r="AZ615" s="1476"/>
      <c r="BA615" s="1476"/>
      <c r="BB615" s="1476"/>
      <c r="BC615" s="1476"/>
      <c r="BD615" s="1476"/>
      <c r="BE615" s="1476"/>
      <c r="BF615" s="1476"/>
      <c r="BG615" s="372"/>
      <c r="BH615" s="1476" t="str">
        <f>Ky_Truoc1_E</f>
        <v>01/01/2017</v>
      </c>
      <c r="BI615" s="1476"/>
      <c r="BJ615" s="1476"/>
      <c r="BK615" s="1476"/>
      <c r="BL615" s="1476"/>
      <c r="BM615" s="1476"/>
      <c r="BN615" s="1476"/>
      <c r="BO615" s="1476"/>
      <c r="BP615" s="1476"/>
      <c r="BQ615" s="1476"/>
      <c r="BR615" s="1476"/>
      <c r="BS615" s="1476"/>
      <c r="BT615" s="352"/>
      <c r="BU615" s="353"/>
      <c r="BV615" s="310"/>
      <c r="BW615" s="310"/>
      <c r="BX615" s="291">
        <f t="shared" si="8"/>
        <v>0</v>
      </c>
      <c r="BY615" s="344"/>
      <c r="BZ615" s="347"/>
      <c r="CA615" s="347"/>
    </row>
    <row r="616" spans="1:84" ht="15" customHeight="1" x14ac:dyDescent="0.25">
      <c r="A616" s="313"/>
      <c r="B616" s="340"/>
      <c r="C616" s="430"/>
      <c r="D616" s="430"/>
      <c r="E616" s="430"/>
      <c r="F616" s="430"/>
      <c r="G616" s="430"/>
      <c r="H616" s="430"/>
      <c r="I616" s="430"/>
      <c r="J616" s="430"/>
      <c r="K616" s="1483" t="s">
        <v>840</v>
      </c>
      <c r="L616" s="1483"/>
      <c r="M616" s="1483"/>
      <c r="N616" s="1483"/>
      <c r="O616" s="1483"/>
      <c r="P616" s="1483"/>
      <c r="Q616" s="372"/>
      <c r="R616" s="1483" t="s">
        <v>782</v>
      </c>
      <c r="S616" s="1483"/>
      <c r="T616" s="1483"/>
      <c r="U616" s="1483"/>
      <c r="V616" s="1483"/>
      <c r="W616" s="371"/>
      <c r="X616" s="1483" t="s">
        <v>840</v>
      </c>
      <c r="Y616" s="1483"/>
      <c r="Z616" s="1483"/>
      <c r="AA616" s="1483"/>
      <c r="AB616" s="1483"/>
      <c r="AC616" s="1483"/>
      <c r="AD616" s="372"/>
      <c r="AE616" s="1483" t="s">
        <v>782</v>
      </c>
      <c r="AF616" s="1483"/>
      <c r="AG616" s="1483"/>
      <c r="AH616" s="1483"/>
      <c r="AI616" s="1483"/>
      <c r="AJ616" s="344"/>
      <c r="AK616" s="345"/>
      <c r="AL616" s="340"/>
      <c r="AM616" s="430"/>
      <c r="AN616" s="430"/>
      <c r="AO616" s="430"/>
      <c r="AP616" s="430"/>
      <c r="AQ616" s="430"/>
      <c r="AR616" s="430"/>
      <c r="AS616" s="430"/>
      <c r="AT616" s="430"/>
      <c r="AU616" s="1483" t="s">
        <v>841</v>
      </c>
      <c r="AV616" s="1483"/>
      <c r="AW616" s="1483"/>
      <c r="AX616" s="1483"/>
      <c r="AY616" s="1483"/>
      <c r="AZ616" s="1483"/>
      <c r="BA616" s="372"/>
      <c r="BB616" s="1483" t="s">
        <v>842</v>
      </c>
      <c r="BC616" s="1483"/>
      <c r="BD616" s="1483"/>
      <c r="BE616" s="1483"/>
      <c r="BF616" s="1483"/>
      <c r="BG616" s="371"/>
      <c r="BH616" s="1483" t="s">
        <v>841</v>
      </c>
      <c r="BI616" s="1483"/>
      <c r="BJ616" s="1483"/>
      <c r="BK616" s="1483"/>
      <c r="BL616" s="1483"/>
      <c r="BM616" s="1483"/>
      <c r="BN616" s="372"/>
      <c r="BO616" s="1483" t="s">
        <v>842</v>
      </c>
      <c r="BP616" s="1483"/>
      <c r="BQ616" s="1483"/>
      <c r="BR616" s="1483"/>
      <c r="BS616" s="1483"/>
      <c r="BT616" s="352"/>
      <c r="BU616" s="353"/>
      <c r="BV616" s="310"/>
      <c r="BW616" s="310"/>
      <c r="BX616" s="291">
        <f t="shared" si="8"/>
        <v>0</v>
      </c>
      <c r="BY616" s="344"/>
      <c r="BZ616" s="347"/>
      <c r="CA616" s="347"/>
    </row>
    <row r="617" spans="1:84" ht="15" customHeight="1" x14ac:dyDescent="0.25">
      <c r="A617" s="313"/>
      <c r="B617" s="340"/>
      <c r="C617" s="430"/>
      <c r="D617" s="430"/>
      <c r="E617" s="430"/>
      <c r="F617" s="430"/>
      <c r="G617" s="430"/>
      <c r="H617" s="430"/>
      <c r="I617" s="430"/>
      <c r="J617" s="430"/>
      <c r="K617" s="1327" t="str">
        <f>Don_Vi_Tinh_V</f>
        <v>VND</v>
      </c>
      <c r="L617" s="1327"/>
      <c r="M617" s="1327"/>
      <c r="N617" s="1327"/>
      <c r="O617" s="1327"/>
      <c r="P617" s="1327"/>
      <c r="Q617" s="372"/>
      <c r="R617" s="1327" t="str">
        <f>Don_Vi_Tinh_V</f>
        <v>VND</v>
      </c>
      <c r="S617" s="1327"/>
      <c r="T617" s="1327"/>
      <c r="U617" s="1327"/>
      <c r="V617" s="1327"/>
      <c r="W617" s="371"/>
      <c r="X617" s="1327" t="str">
        <f>Don_Vi_Tinh_V</f>
        <v>VND</v>
      </c>
      <c r="Y617" s="1327"/>
      <c r="Z617" s="1327"/>
      <c r="AA617" s="1327"/>
      <c r="AB617" s="1327"/>
      <c r="AC617" s="1327"/>
      <c r="AD617" s="372"/>
      <c r="AE617" s="1327" t="str">
        <f>Don_Vi_Tinh_V</f>
        <v>VND</v>
      </c>
      <c r="AF617" s="1327"/>
      <c r="AG617" s="1327"/>
      <c r="AH617" s="1327"/>
      <c r="AI617" s="1327"/>
      <c r="AJ617" s="344"/>
      <c r="AK617" s="345"/>
      <c r="AL617" s="340"/>
      <c r="AM617" s="430"/>
      <c r="AN617" s="430"/>
      <c r="AO617" s="430"/>
      <c r="AP617" s="430"/>
      <c r="AQ617" s="430"/>
      <c r="AR617" s="430"/>
      <c r="AS617" s="430"/>
      <c r="AT617" s="430"/>
      <c r="AU617" s="1327" t="str">
        <f>Don_Vi_Tinh_E</f>
        <v>VND</v>
      </c>
      <c r="AV617" s="1327"/>
      <c r="AW617" s="1327"/>
      <c r="AX617" s="1327"/>
      <c r="AY617" s="1327"/>
      <c r="AZ617" s="1327"/>
      <c r="BA617" s="372"/>
      <c r="BB617" s="1327" t="str">
        <f>Don_Vi_Tinh_E</f>
        <v>VND</v>
      </c>
      <c r="BC617" s="1327"/>
      <c r="BD617" s="1327"/>
      <c r="BE617" s="1327"/>
      <c r="BF617" s="1327"/>
      <c r="BG617" s="371"/>
      <c r="BH617" s="1327" t="str">
        <f>Don_Vi_Tinh_E</f>
        <v>VND</v>
      </c>
      <c r="BI617" s="1327"/>
      <c r="BJ617" s="1327"/>
      <c r="BK617" s="1327"/>
      <c r="BL617" s="1327"/>
      <c r="BM617" s="1327"/>
      <c r="BN617" s="372"/>
      <c r="BO617" s="1327" t="str">
        <f>Don_Vi_Tinh_E</f>
        <v>VND</v>
      </c>
      <c r="BP617" s="1327"/>
      <c r="BQ617" s="1327"/>
      <c r="BR617" s="1327"/>
      <c r="BS617" s="1327"/>
      <c r="BT617" s="352"/>
      <c r="BU617" s="353"/>
      <c r="BV617" s="310"/>
      <c r="BW617" s="310"/>
      <c r="BX617" s="291">
        <f t="shared" si="8"/>
        <v>0</v>
      </c>
      <c r="BY617" s="344"/>
      <c r="BZ617" s="347"/>
      <c r="CA617" s="347"/>
    </row>
    <row r="618" spans="1:84" ht="12.95" customHeight="1" x14ac:dyDescent="0.25">
      <c r="A618" s="313"/>
      <c r="B618" s="340"/>
      <c r="C618" s="354"/>
      <c r="D618" s="340"/>
      <c r="E618" s="340"/>
      <c r="F618" s="340"/>
      <c r="G618" s="340"/>
      <c r="H618" s="340"/>
      <c r="I618" s="340"/>
      <c r="J618" s="340"/>
      <c r="K618" s="1318"/>
      <c r="L618" s="1318"/>
      <c r="M618" s="1318"/>
      <c r="N618" s="1318"/>
      <c r="O618" s="1318"/>
      <c r="P618" s="1318"/>
      <c r="Q618" s="355"/>
      <c r="R618" s="1318"/>
      <c r="S618" s="1318"/>
      <c r="T618" s="1318"/>
      <c r="U618" s="1318"/>
      <c r="V618" s="1318"/>
      <c r="W618" s="355"/>
      <c r="X618" s="1318"/>
      <c r="Y618" s="1318"/>
      <c r="Z618" s="1318"/>
      <c r="AA618" s="1318"/>
      <c r="AB618" s="1318"/>
      <c r="AC618" s="1318"/>
      <c r="AD618" s="355"/>
      <c r="AE618" s="1318"/>
      <c r="AF618" s="1318"/>
      <c r="AG618" s="1318"/>
      <c r="AH618" s="1318"/>
      <c r="AI618" s="1318"/>
      <c r="AJ618" s="344"/>
      <c r="AK618" s="345"/>
      <c r="AL618" s="340"/>
      <c r="AM618" s="354"/>
      <c r="AN618" s="340"/>
      <c r="AO618" s="340"/>
      <c r="AP618" s="340"/>
      <c r="AQ618" s="340"/>
      <c r="AR618" s="340"/>
      <c r="AS618" s="340"/>
      <c r="AT618" s="340"/>
      <c r="AU618" s="1318"/>
      <c r="AV618" s="1318"/>
      <c r="AW618" s="1318"/>
      <c r="AX618" s="1318"/>
      <c r="AY618" s="1318"/>
      <c r="AZ618" s="1318"/>
      <c r="BA618" s="355"/>
      <c r="BB618" s="1318"/>
      <c r="BC618" s="1318"/>
      <c r="BD618" s="1318"/>
      <c r="BE618" s="1318"/>
      <c r="BF618" s="1318"/>
      <c r="BG618" s="355"/>
      <c r="BH618" s="1318"/>
      <c r="BI618" s="1318"/>
      <c r="BJ618" s="1318"/>
      <c r="BK618" s="1318"/>
      <c r="BL618" s="1318"/>
      <c r="BM618" s="1318"/>
      <c r="BN618" s="355"/>
      <c r="BO618" s="1318"/>
      <c r="BP618" s="1318"/>
      <c r="BQ618" s="1318"/>
      <c r="BR618" s="1318"/>
      <c r="BS618" s="1318"/>
      <c r="BT618" s="352"/>
      <c r="BU618" s="353"/>
      <c r="BV618" s="310"/>
      <c r="BW618" s="310"/>
      <c r="BX618" s="291">
        <f t="shared" si="8"/>
        <v>0</v>
      </c>
      <c r="BY618" s="344"/>
      <c r="BZ618" s="347"/>
      <c r="CA618" s="347"/>
    </row>
    <row r="619" spans="1:84" ht="15" customHeight="1" x14ac:dyDescent="0.25">
      <c r="A619" s="313"/>
      <c r="B619" s="340"/>
      <c r="C619" s="341" t="s">
        <v>855</v>
      </c>
      <c r="D619" s="341"/>
      <c r="E619" s="341"/>
      <c r="F619" s="341"/>
      <c r="G619" s="341"/>
      <c r="H619" s="341"/>
      <c r="I619" s="341"/>
      <c r="J619" s="341"/>
      <c r="K619" s="1575"/>
      <c r="L619" s="1575"/>
      <c r="M619" s="1575"/>
      <c r="N619" s="1575"/>
      <c r="O619" s="1575"/>
      <c r="P619" s="1575"/>
      <c r="Q619" s="376"/>
      <c r="R619" s="1575"/>
      <c r="S619" s="1575"/>
      <c r="T619" s="1575"/>
      <c r="U619" s="1575"/>
      <c r="V619" s="1575"/>
      <c r="W619" s="376"/>
      <c r="X619" s="1575"/>
      <c r="Y619" s="1575"/>
      <c r="Z619" s="1575"/>
      <c r="AA619" s="1575"/>
      <c r="AB619" s="1575"/>
      <c r="AC619" s="1575"/>
      <c r="AD619" s="377"/>
      <c r="AE619" s="1575"/>
      <c r="AF619" s="1575"/>
      <c r="AG619" s="1575"/>
      <c r="AH619" s="1575"/>
      <c r="AI619" s="1575"/>
      <c r="AJ619" s="344"/>
      <c r="AK619" s="345"/>
      <c r="AL619" s="340"/>
      <c r="AM619" s="340"/>
      <c r="AN619" s="341"/>
      <c r="AO619" s="341"/>
      <c r="AP619" s="341"/>
      <c r="AQ619" s="341"/>
      <c r="AR619" s="341"/>
      <c r="AS619" s="341"/>
      <c r="AT619" s="341"/>
      <c r="AU619" s="1575"/>
      <c r="AV619" s="1575"/>
      <c r="AW619" s="1575"/>
      <c r="AX619" s="1575"/>
      <c r="AY619" s="1575"/>
      <c r="AZ619" s="1575"/>
      <c r="BA619" s="376"/>
      <c r="BB619" s="1575"/>
      <c r="BC619" s="1575"/>
      <c r="BD619" s="1575"/>
      <c r="BE619" s="1575"/>
      <c r="BF619" s="1575"/>
      <c r="BG619" s="376"/>
      <c r="BH619" s="1575"/>
      <c r="BI619" s="1575"/>
      <c r="BJ619" s="1575"/>
      <c r="BK619" s="1575"/>
      <c r="BL619" s="1575"/>
      <c r="BM619" s="1575"/>
      <c r="BN619" s="377"/>
      <c r="BO619" s="1575"/>
      <c r="BP619" s="1575"/>
      <c r="BQ619" s="1575"/>
      <c r="BR619" s="1575"/>
      <c r="BS619" s="1575"/>
      <c r="BT619" s="352"/>
      <c r="BU619" s="353"/>
      <c r="BV619" s="310"/>
      <c r="BW619" s="310"/>
      <c r="BX619" s="291">
        <f t="shared" si="8"/>
        <v>0</v>
      </c>
      <c r="BY619" s="344"/>
      <c r="BZ619" s="347"/>
      <c r="CA619" s="347"/>
    </row>
    <row r="620" spans="1:84" ht="15" customHeight="1" x14ac:dyDescent="0.25">
      <c r="A620" s="313"/>
      <c r="B620" s="340"/>
      <c r="C620" s="1579" t="s">
        <v>870</v>
      </c>
      <c r="D620" s="1579"/>
      <c r="E620" s="1579"/>
      <c r="F620" s="1579"/>
      <c r="G620" s="1579"/>
      <c r="H620" s="1579"/>
      <c r="I620" s="1579"/>
      <c r="J620" s="1579"/>
      <c r="K620" s="1567">
        <f>29396800+[1]Dieu_chinh!N26</f>
        <v>25610400</v>
      </c>
      <c r="L620" s="1567"/>
      <c r="M620" s="1567"/>
      <c r="N620" s="1567"/>
      <c r="O620" s="1567"/>
      <c r="P620" s="1567"/>
      <c r="Q620" s="432"/>
      <c r="R620" s="1567">
        <v>-21086200</v>
      </c>
      <c r="S620" s="1567"/>
      <c r="T620" s="1567"/>
      <c r="U620" s="1567"/>
      <c r="V620" s="1567"/>
      <c r="W620" s="432"/>
      <c r="X620" s="1567">
        <v>1043024800</v>
      </c>
      <c r="Y620" s="1567"/>
      <c r="Z620" s="1567"/>
      <c r="AA620" s="1567"/>
      <c r="AB620" s="1567"/>
      <c r="AC620" s="1567"/>
      <c r="AD620" s="433"/>
      <c r="AE620" s="1567">
        <v>-957542075</v>
      </c>
      <c r="AF620" s="1567"/>
      <c r="AG620" s="1567"/>
      <c r="AH620" s="1567"/>
      <c r="AI620" s="1567"/>
      <c r="AJ620" s="344"/>
      <c r="AK620" s="345"/>
      <c r="AL620" s="340"/>
      <c r="AM620" s="434" t="s">
        <v>844</v>
      </c>
      <c r="AN620" s="434"/>
      <c r="AO620" s="434"/>
      <c r="AP620" s="434"/>
      <c r="AQ620" s="434"/>
      <c r="AR620" s="434"/>
      <c r="AS620" s="434"/>
      <c r="AT620" s="434"/>
      <c r="AU620" s="1567">
        <f t="shared" ref="AU620:AU626" si="9">K620</f>
        <v>25610400</v>
      </c>
      <c r="AV620" s="1567"/>
      <c r="AW620" s="1567"/>
      <c r="AX620" s="1567"/>
      <c r="AY620" s="1567"/>
      <c r="AZ620" s="1567"/>
      <c r="BA620" s="432"/>
      <c r="BB620" s="1567">
        <f t="shared" ref="BB620:BB626" si="10">R620</f>
        <v>-21086200</v>
      </c>
      <c r="BC620" s="1567"/>
      <c r="BD620" s="1567"/>
      <c r="BE620" s="1567"/>
      <c r="BF620" s="1567"/>
      <c r="BG620" s="432"/>
      <c r="BH620" s="1567">
        <f t="shared" ref="BH620:BH626" si="11">X620</f>
        <v>1043024800</v>
      </c>
      <c r="BI620" s="1567"/>
      <c r="BJ620" s="1567"/>
      <c r="BK620" s="1567"/>
      <c r="BL620" s="1567"/>
      <c r="BM620" s="1567"/>
      <c r="BN620" s="433"/>
      <c r="BO620" s="1567">
        <f t="shared" ref="BO620:BO626" si="12">AE620</f>
        <v>-957542075</v>
      </c>
      <c r="BP620" s="1567"/>
      <c r="BQ620" s="1567"/>
      <c r="BR620" s="1567"/>
      <c r="BS620" s="1567"/>
      <c r="BT620" s="352"/>
      <c r="BU620" s="353"/>
      <c r="BV620" s="310"/>
      <c r="BW620" s="310"/>
      <c r="BX620" s="291">
        <f t="shared" si="8"/>
        <v>0</v>
      </c>
      <c r="BY620" s="344"/>
      <c r="BZ620" s="347">
        <f>SUM(CA620:CB620)</f>
        <v>29396800</v>
      </c>
      <c r="CA620" s="347"/>
      <c r="CB620" s="348">
        <v>29396800</v>
      </c>
    </row>
    <row r="621" spans="1:84" ht="15" customHeight="1" x14ac:dyDescent="0.25">
      <c r="A621" s="313"/>
      <c r="B621" s="340"/>
      <c r="C621" s="1579" t="s">
        <v>871</v>
      </c>
      <c r="D621" s="1579"/>
      <c r="E621" s="1579"/>
      <c r="F621" s="1579"/>
      <c r="G621" s="1579"/>
      <c r="H621" s="1579"/>
      <c r="I621" s="1579"/>
      <c r="J621" s="1579"/>
      <c r="K621" s="1567">
        <f>452394337+79381389</f>
        <v>531775726</v>
      </c>
      <c r="L621" s="1567"/>
      <c r="M621" s="1567"/>
      <c r="N621" s="1567"/>
      <c r="O621" s="1567"/>
      <c r="P621" s="1567"/>
      <c r="Q621" s="432"/>
      <c r="R621" s="1567">
        <v>0</v>
      </c>
      <c r="S621" s="1567"/>
      <c r="T621" s="1567"/>
      <c r="U621" s="1567"/>
      <c r="V621" s="1567"/>
      <c r="W621" s="432"/>
      <c r="X621" s="1567">
        <v>308031944</v>
      </c>
      <c r="Y621" s="1567"/>
      <c r="Z621" s="1567"/>
      <c r="AA621" s="1567"/>
      <c r="AB621" s="1567"/>
      <c r="AC621" s="1567"/>
      <c r="AD621" s="433"/>
      <c r="AE621" s="1567">
        <v>0</v>
      </c>
      <c r="AF621" s="1567"/>
      <c r="AG621" s="1567"/>
      <c r="AH621" s="1567"/>
      <c r="AI621" s="1567"/>
      <c r="AJ621" s="344"/>
      <c r="AK621" s="345"/>
      <c r="AL621" s="340"/>
      <c r="AM621" s="1578" t="s">
        <v>849</v>
      </c>
      <c r="AN621" s="1578"/>
      <c r="AO621" s="1578"/>
      <c r="AP621" s="1578"/>
      <c r="AQ621" s="1578"/>
      <c r="AR621" s="1578"/>
      <c r="AS621" s="1578"/>
      <c r="AT621" s="1578"/>
      <c r="AU621" s="1567">
        <f t="shared" si="9"/>
        <v>531775726</v>
      </c>
      <c r="AV621" s="1567"/>
      <c r="AW621" s="1567"/>
      <c r="AX621" s="1567"/>
      <c r="AY621" s="1567"/>
      <c r="AZ621" s="1567"/>
      <c r="BA621" s="432"/>
      <c r="BB621" s="1567">
        <f t="shared" si="10"/>
        <v>0</v>
      </c>
      <c r="BC621" s="1567"/>
      <c r="BD621" s="1567"/>
      <c r="BE621" s="1567"/>
      <c r="BF621" s="1567"/>
      <c r="BG621" s="432"/>
      <c r="BH621" s="1567">
        <f t="shared" si="11"/>
        <v>308031944</v>
      </c>
      <c r="BI621" s="1567"/>
      <c r="BJ621" s="1567"/>
      <c r="BK621" s="1567"/>
      <c r="BL621" s="1567"/>
      <c r="BM621" s="1567"/>
      <c r="BN621" s="433"/>
      <c r="BO621" s="1567">
        <f t="shared" si="12"/>
        <v>0</v>
      </c>
      <c r="BP621" s="1567"/>
      <c r="BQ621" s="1567"/>
      <c r="BR621" s="1567"/>
      <c r="BS621" s="1567"/>
      <c r="BT621" s="352"/>
      <c r="BU621" s="353"/>
      <c r="BV621" s="310"/>
      <c r="BW621" s="310"/>
      <c r="BX621" s="291">
        <f t="shared" si="8"/>
        <v>0</v>
      </c>
      <c r="BY621" s="344"/>
      <c r="BZ621" s="347">
        <f>SUM(CA621:CB621)</f>
        <v>531775726</v>
      </c>
      <c r="CA621" s="347">
        <v>452394337</v>
      </c>
      <c r="CB621" s="348">
        <v>79381389</v>
      </c>
    </row>
    <row r="622" spans="1:84" ht="29.1" customHeight="1" x14ac:dyDescent="0.25">
      <c r="A622" s="313"/>
      <c r="B622" s="340"/>
      <c r="C622" s="1579" t="s">
        <v>872</v>
      </c>
      <c r="D622" s="1579"/>
      <c r="E622" s="1579"/>
      <c r="F622" s="1579"/>
      <c r="G622" s="1579"/>
      <c r="H622" s="1579"/>
      <c r="I622" s="1579"/>
      <c r="J622" s="1579"/>
      <c r="K622" s="1567">
        <v>0</v>
      </c>
      <c r="L622" s="1567"/>
      <c r="M622" s="1567"/>
      <c r="N622" s="1567"/>
      <c r="O622" s="1567"/>
      <c r="P622" s="1567"/>
      <c r="Q622" s="432"/>
      <c r="R622" s="1567">
        <v>0</v>
      </c>
      <c r="S622" s="1567"/>
      <c r="T622" s="1567"/>
      <c r="U622" s="1567"/>
      <c r="V622" s="1567"/>
      <c r="W622" s="432"/>
      <c r="X622" s="1567">
        <v>156683677</v>
      </c>
      <c r="Y622" s="1567"/>
      <c r="Z622" s="1567"/>
      <c r="AA622" s="1567"/>
      <c r="AB622" s="1567"/>
      <c r="AC622" s="1567"/>
      <c r="AD622" s="433"/>
      <c r="AE622" s="1567">
        <v>0</v>
      </c>
      <c r="AF622" s="1567"/>
      <c r="AG622" s="1567"/>
      <c r="AH622" s="1567"/>
      <c r="AI622" s="1567"/>
      <c r="AJ622" s="344"/>
      <c r="AK622" s="345"/>
      <c r="AL622" s="340"/>
      <c r="AM622" s="434" t="s">
        <v>873</v>
      </c>
      <c r="AN622" s="434"/>
      <c r="AO622" s="434"/>
      <c r="AP622" s="434"/>
      <c r="AQ622" s="434"/>
      <c r="AR622" s="434"/>
      <c r="AS622" s="434"/>
      <c r="AT622" s="434"/>
      <c r="AU622" s="1567">
        <f t="shared" si="9"/>
        <v>0</v>
      </c>
      <c r="AV622" s="1567"/>
      <c r="AW622" s="1567"/>
      <c r="AX622" s="1567"/>
      <c r="AY622" s="1567"/>
      <c r="AZ622" s="1567"/>
      <c r="BA622" s="432"/>
      <c r="BB622" s="1567">
        <f t="shared" si="10"/>
        <v>0</v>
      </c>
      <c r="BC622" s="1567"/>
      <c r="BD622" s="1567"/>
      <c r="BE622" s="1567"/>
      <c r="BF622" s="1567"/>
      <c r="BG622" s="432"/>
      <c r="BH622" s="1567">
        <f t="shared" si="11"/>
        <v>156683677</v>
      </c>
      <c r="BI622" s="1567"/>
      <c r="BJ622" s="1567"/>
      <c r="BK622" s="1567"/>
      <c r="BL622" s="1567"/>
      <c r="BM622" s="1567"/>
      <c r="BN622" s="433"/>
      <c r="BO622" s="1567">
        <f t="shared" si="12"/>
        <v>0</v>
      </c>
      <c r="BP622" s="1567"/>
      <c r="BQ622" s="1567"/>
      <c r="BR622" s="1567"/>
      <c r="BS622" s="1567"/>
      <c r="BT622" s="352"/>
      <c r="BU622" s="353"/>
      <c r="BV622" s="310"/>
      <c r="BW622" s="310"/>
      <c r="BX622" s="291">
        <f t="shared" si="8"/>
        <v>0</v>
      </c>
      <c r="BY622" s="344"/>
      <c r="BZ622" s="347">
        <f>SUM(CA622:CB622)</f>
        <v>156370000</v>
      </c>
      <c r="CA622" s="347">
        <v>156370000</v>
      </c>
    </row>
    <row r="623" spans="1:84" ht="29.1" hidden="1" customHeight="1" x14ac:dyDescent="0.25">
      <c r="A623" s="313"/>
      <c r="B623" s="340"/>
      <c r="C623" s="1579" t="s">
        <v>874</v>
      </c>
      <c r="D623" s="1579"/>
      <c r="E623" s="1579"/>
      <c r="F623" s="1579"/>
      <c r="G623" s="1579"/>
      <c r="H623" s="1579"/>
      <c r="I623" s="1579"/>
      <c r="J623" s="1579"/>
      <c r="K623" s="1567">
        <v>0</v>
      </c>
      <c r="L623" s="1567"/>
      <c r="M623" s="1567"/>
      <c r="N623" s="1567"/>
      <c r="O623" s="1567"/>
      <c r="P623" s="1567"/>
      <c r="Q623" s="432"/>
      <c r="R623" s="1567">
        <v>0</v>
      </c>
      <c r="S623" s="1567"/>
      <c r="T623" s="1567"/>
      <c r="U623" s="1567"/>
      <c r="V623" s="1567"/>
      <c r="W623" s="432"/>
      <c r="X623" s="1567">
        <v>0</v>
      </c>
      <c r="Y623" s="1567"/>
      <c r="Z623" s="1567"/>
      <c r="AA623" s="1567"/>
      <c r="AB623" s="1567"/>
      <c r="AC623" s="1567"/>
      <c r="AD623" s="433"/>
      <c r="AE623" s="1567">
        <v>0</v>
      </c>
      <c r="AF623" s="1567"/>
      <c r="AG623" s="1567"/>
      <c r="AH623" s="1567"/>
      <c r="AI623" s="1567"/>
      <c r="AJ623" s="344"/>
      <c r="AK623" s="345"/>
      <c r="AL623" s="340"/>
      <c r="AM623" s="434" t="s">
        <v>875</v>
      </c>
      <c r="AN623" s="434"/>
      <c r="AO623" s="434"/>
      <c r="AP623" s="434"/>
      <c r="AQ623" s="434"/>
      <c r="AR623" s="434"/>
      <c r="AS623" s="434"/>
      <c r="AT623" s="434"/>
      <c r="AU623" s="1567">
        <f t="shared" si="9"/>
        <v>0</v>
      </c>
      <c r="AV623" s="1567"/>
      <c r="AW623" s="1567"/>
      <c r="AX623" s="1567"/>
      <c r="AY623" s="1567"/>
      <c r="AZ623" s="1567"/>
      <c r="BA623" s="432"/>
      <c r="BB623" s="1567">
        <f t="shared" si="10"/>
        <v>0</v>
      </c>
      <c r="BC623" s="1567"/>
      <c r="BD623" s="1567"/>
      <c r="BE623" s="1567"/>
      <c r="BF623" s="1567"/>
      <c r="BG623" s="432"/>
      <c r="BH623" s="1567">
        <f t="shared" si="11"/>
        <v>0</v>
      </c>
      <c r="BI623" s="1567"/>
      <c r="BJ623" s="1567"/>
      <c r="BK623" s="1567"/>
      <c r="BL623" s="1567"/>
      <c r="BM623" s="1567"/>
      <c r="BN623" s="433"/>
      <c r="BO623" s="1567">
        <f t="shared" si="12"/>
        <v>0</v>
      </c>
      <c r="BP623" s="1567"/>
      <c r="BQ623" s="1567"/>
      <c r="BR623" s="1567"/>
      <c r="BS623" s="1567"/>
      <c r="BT623" s="352"/>
      <c r="BU623" s="353"/>
      <c r="BV623" s="310"/>
      <c r="BW623" s="310"/>
      <c r="BX623" s="291">
        <f t="shared" si="8"/>
        <v>0</v>
      </c>
      <c r="BY623" s="344"/>
      <c r="BZ623" s="347"/>
      <c r="CA623" s="347"/>
    </row>
    <row r="624" spans="1:84" ht="15" customHeight="1" x14ac:dyDescent="0.25">
      <c r="A624" s="313"/>
      <c r="B624" s="340"/>
      <c r="C624" s="1481" t="s">
        <v>876</v>
      </c>
      <c r="D624" s="1481"/>
      <c r="E624" s="1481"/>
      <c r="F624" s="1481"/>
      <c r="G624" s="1481"/>
      <c r="H624" s="1481"/>
      <c r="I624" s="1481"/>
      <c r="J624" s="1481"/>
      <c r="K624" s="1567">
        <f>[1]Tong_hop!$S$55</f>
        <v>45705582</v>
      </c>
      <c r="L624" s="1567"/>
      <c r="M624" s="1567"/>
      <c r="N624" s="1567"/>
      <c r="O624" s="1567"/>
      <c r="P624" s="1567"/>
      <c r="Q624" s="432"/>
      <c r="R624" s="1567">
        <v>0</v>
      </c>
      <c r="S624" s="1567"/>
      <c r="T624" s="1567"/>
      <c r="U624" s="1567"/>
      <c r="V624" s="1567"/>
      <c r="W624" s="432"/>
      <c r="X624" s="1567">
        <v>40017562</v>
      </c>
      <c r="Y624" s="1567"/>
      <c r="Z624" s="1567"/>
      <c r="AA624" s="1567"/>
      <c r="AB624" s="1567"/>
      <c r="AC624" s="1567"/>
      <c r="AD624" s="433"/>
      <c r="AE624" s="1567">
        <v>0</v>
      </c>
      <c r="AF624" s="1567"/>
      <c r="AG624" s="1567"/>
      <c r="AH624" s="1567"/>
      <c r="AI624" s="1567"/>
      <c r="AJ624" s="344"/>
      <c r="AK624" s="345"/>
      <c r="AL624" s="340"/>
      <c r="AM624" s="434" t="s">
        <v>877</v>
      </c>
      <c r="AN624" s="434"/>
      <c r="AO624" s="434"/>
      <c r="AP624" s="434"/>
      <c r="AQ624" s="434"/>
      <c r="AR624" s="434"/>
      <c r="AS624" s="434"/>
      <c r="AT624" s="434"/>
      <c r="AU624" s="1567">
        <f t="shared" si="9"/>
        <v>45705582</v>
      </c>
      <c r="AV624" s="1567"/>
      <c r="AW624" s="1567"/>
      <c r="AX624" s="1567"/>
      <c r="AY624" s="1567"/>
      <c r="AZ624" s="1567"/>
      <c r="BA624" s="432"/>
      <c r="BB624" s="1567">
        <f t="shared" si="10"/>
        <v>0</v>
      </c>
      <c r="BC624" s="1567"/>
      <c r="BD624" s="1567"/>
      <c r="BE624" s="1567"/>
      <c r="BF624" s="1567"/>
      <c r="BG624" s="432"/>
      <c r="BH624" s="1567">
        <f t="shared" si="11"/>
        <v>40017562</v>
      </c>
      <c r="BI624" s="1567"/>
      <c r="BJ624" s="1567"/>
      <c r="BK624" s="1567"/>
      <c r="BL624" s="1567"/>
      <c r="BM624" s="1567"/>
      <c r="BN624" s="433"/>
      <c r="BO624" s="1567">
        <f t="shared" si="12"/>
        <v>0</v>
      </c>
      <c r="BP624" s="1567"/>
      <c r="BQ624" s="1567"/>
      <c r="BR624" s="1567"/>
      <c r="BS624" s="1567"/>
      <c r="BT624" s="352"/>
      <c r="BU624" s="353"/>
      <c r="BV624" s="310"/>
      <c r="BW624" s="310"/>
      <c r="BX624" s="291">
        <f t="shared" si="8"/>
        <v>0</v>
      </c>
      <c r="BY624" s="344"/>
      <c r="BZ624" s="347">
        <f>SUM(CA624:CB624)</f>
        <v>0</v>
      </c>
      <c r="CA624" s="347"/>
    </row>
    <row r="625" spans="1:16384" ht="15" hidden="1" customHeight="1" x14ac:dyDescent="0.25">
      <c r="A625" s="313"/>
      <c r="B625" s="340"/>
      <c r="C625" s="434" t="s">
        <v>878</v>
      </c>
      <c r="D625" s="434"/>
      <c r="E625" s="434"/>
      <c r="F625" s="434"/>
      <c r="G625" s="434"/>
      <c r="H625" s="434"/>
      <c r="I625" s="434"/>
      <c r="J625" s="434"/>
      <c r="K625" s="1567">
        <v>0</v>
      </c>
      <c r="L625" s="1567"/>
      <c r="M625" s="1567"/>
      <c r="N625" s="1567"/>
      <c r="O625" s="1567"/>
      <c r="P625" s="1567"/>
      <c r="Q625" s="432"/>
      <c r="R625" s="1567">
        <v>0</v>
      </c>
      <c r="S625" s="1567"/>
      <c r="T625" s="1567"/>
      <c r="U625" s="1567"/>
      <c r="V625" s="1567"/>
      <c r="W625" s="432"/>
      <c r="X625" s="1567">
        <v>0</v>
      </c>
      <c r="Y625" s="1567"/>
      <c r="Z625" s="1567"/>
      <c r="AA625" s="1567"/>
      <c r="AB625" s="1567"/>
      <c r="AC625" s="1567"/>
      <c r="AD625" s="433"/>
      <c r="AE625" s="1567">
        <v>0</v>
      </c>
      <c r="AF625" s="1567"/>
      <c r="AG625" s="1567"/>
      <c r="AH625" s="1567"/>
      <c r="AI625" s="1567"/>
      <c r="AJ625" s="344"/>
      <c r="AK625" s="345"/>
      <c r="AL625" s="340"/>
      <c r="AM625" s="434" t="s">
        <v>879</v>
      </c>
      <c r="AN625" s="434"/>
      <c r="AO625" s="434"/>
      <c r="AP625" s="434"/>
      <c r="AQ625" s="434"/>
      <c r="AR625" s="434"/>
      <c r="AS625" s="434"/>
      <c r="AT625" s="434"/>
      <c r="AU625" s="1567">
        <f t="shared" si="9"/>
        <v>0</v>
      </c>
      <c r="AV625" s="1567"/>
      <c r="AW625" s="1567"/>
      <c r="AX625" s="1567"/>
      <c r="AY625" s="1567"/>
      <c r="AZ625" s="1567"/>
      <c r="BA625" s="432"/>
      <c r="BB625" s="1567">
        <f t="shared" si="10"/>
        <v>0</v>
      </c>
      <c r="BC625" s="1567"/>
      <c r="BD625" s="1567"/>
      <c r="BE625" s="1567"/>
      <c r="BF625" s="1567"/>
      <c r="BG625" s="432"/>
      <c r="BH625" s="1567">
        <f t="shared" si="11"/>
        <v>0</v>
      </c>
      <c r="BI625" s="1567"/>
      <c r="BJ625" s="1567"/>
      <c r="BK625" s="1567"/>
      <c r="BL625" s="1567"/>
      <c r="BM625" s="1567"/>
      <c r="BN625" s="433"/>
      <c r="BO625" s="1567">
        <f t="shared" si="12"/>
        <v>0</v>
      </c>
      <c r="BP625" s="1567"/>
      <c r="BQ625" s="1567"/>
      <c r="BR625" s="1567"/>
      <c r="BS625" s="1567"/>
      <c r="BT625" s="352"/>
      <c r="BU625" s="353"/>
      <c r="BV625" s="310"/>
      <c r="BW625" s="310"/>
      <c r="BX625" s="291">
        <f t="shared" si="8"/>
        <v>0</v>
      </c>
      <c r="BY625" s="344"/>
      <c r="BZ625" s="347">
        <f>SUM(CA625:CB625)</f>
        <v>0</v>
      </c>
      <c r="CA625" s="347"/>
    </row>
    <row r="626" spans="1:16384" ht="15" customHeight="1" x14ac:dyDescent="0.25">
      <c r="A626" s="313"/>
      <c r="B626" s="340"/>
      <c r="C626" s="434" t="s">
        <v>865</v>
      </c>
      <c r="D626" s="434"/>
      <c r="E626" s="434"/>
      <c r="F626" s="434"/>
      <c r="G626" s="434"/>
      <c r="H626" s="434"/>
      <c r="I626" s="434"/>
      <c r="J626" s="434"/>
      <c r="K626" s="1567">
        <v>45643890</v>
      </c>
      <c r="L626" s="1567"/>
      <c r="M626" s="1567"/>
      <c r="N626" s="1567"/>
      <c r="O626" s="1567"/>
      <c r="P626" s="1567"/>
      <c r="Q626" s="432"/>
      <c r="R626" s="1567">
        <f>-33612250</f>
        <v>-33612250</v>
      </c>
      <c r="S626" s="1567"/>
      <c r="T626" s="1567"/>
      <c r="U626" s="1567"/>
      <c r="V626" s="1567"/>
      <c r="W626" s="432"/>
      <c r="X626" s="1567">
        <f>44202812+1120000+1551250</f>
        <v>46874062</v>
      </c>
      <c r="Y626" s="1567"/>
      <c r="Z626" s="1567"/>
      <c r="AA626" s="1567"/>
      <c r="AB626" s="1567"/>
      <c r="AC626" s="1567"/>
      <c r="AD626" s="433"/>
      <c r="AE626" s="1567">
        <v>-33612250</v>
      </c>
      <c r="AF626" s="1567"/>
      <c r="AG626" s="1567"/>
      <c r="AH626" s="1567"/>
      <c r="AI626" s="1567"/>
      <c r="AJ626" s="344"/>
      <c r="AK626" s="345"/>
      <c r="AL626" s="340"/>
      <c r="AM626" s="434" t="s">
        <v>880</v>
      </c>
      <c r="AN626" s="434"/>
      <c r="AO626" s="434"/>
      <c r="AP626" s="434"/>
      <c r="AQ626" s="434"/>
      <c r="AR626" s="434"/>
      <c r="AS626" s="434"/>
      <c r="AT626" s="434"/>
      <c r="AU626" s="1567">
        <f t="shared" si="9"/>
        <v>45643890</v>
      </c>
      <c r="AV626" s="1567"/>
      <c r="AW626" s="1567"/>
      <c r="AX626" s="1567"/>
      <c r="AY626" s="1567"/>
      <c r="AZ626" s="1567"/>
      <c r="BA626" s="432"/>
      <c r="BB626" s="1567">
        <f t="shared" si="10"/>
        <v>-33612250</v>
      </c>
      <c r="BC626" s="1567"/>
      <c r="BD626" s="1567"/>
      <c r="BE626" s="1567"/>
      <c r="BF626" s="1567"/>
      <c r="BG626" s="432"/>
      <c r="BH626" s="1567">
        <f t="shared" si="11"/>
        <v>46874062</v>
      </c>
      <c r="BI626" s="1567"/>
      <c r="BJ626" s="1567"/>
      <c r="BK626" s="1567"/>
      <c r="BL626" s="1567"/>
      <c r="BM626" s="1567"/>
      <c r="BN626" s="433"/>
      <c r="BO626" s="1567">
        <f t="shared" si="12"/>
        <v>-33612250</v>
      </c>
      <c r="BP626" s="1567"/>
      <c r="BQ626" s="1567"/>
      <c r="BR626" s="1567"/>
      <c r="BS626" s="1567"/>
      <c r="BT626" s="352"/>
      <c r="BU626" s="353"/>
      <c r="BV626" s="310"/>
      <c r="BW626" s="310"/>
      <c r="BX626" s="291">
        <f t="shared" si="8"/>
        <v>0</v>
      </c>
      <c r="BY626" s="344"/>
      <c r="BZ626" s="347">
        <f>SUM(CA626:CB626)</f>
        <v>0</v>
      </c>
      <c r="CA626" s="347"/>
    </row>
    <row r="627" spans="1:16384" ht="12.95" customHeight="1" x14ac:dyDescent="0.25">
      <c r="A627" s="313"/>
      <c r="B627" s="340"/>
      <c r="C627" s="427"/>
      <c r="D627" s="342"/>
      <c r="E627" s="342"/>
      <c r="F627" s="342"/>
      <c r="G627" s="342"/>
      <c r="H627" s="342"/>
      <c r="I627" s="342"/>
      <c r="J627" s="342"/>
      <c r="K627" s="1318"/>
      <c r="L627" s="1318"/>
      <c r="M627" s="1318"/>
      <c r="N627" s="1318"/>
      <c r="O627" s="1318"/>
      <c r="P627" s="1318"/>
      <c r="Q627" s="355"/>
      <c r="R627" s="1318"/>
      <c r="S627" s="1318"/>
      <c r="T627" s="1318"/>
      <c r="U627" s="1318"/>
      <c r="V627" s="1318"/>
      <c r="W627" s="355"/>
      <c r="X627" s="1318"/>
      <c r="Y627" s="1318"/>
      <c r="Z627" s="1318"/>
      <c r="AA627" s="1318"/>
      <c r="AB627" s="1318"/>
      <c r="AC627" s="1318"/>
      <c r="AD627" s="355"/>
      <c r="AE627" s="1318"/>
      <c r="AF627" s="1318"/>
      <c r="AG627" s="1318"/>
      <c r="AH627" s="1318"/>
      <c r="AI627" s="1318"/>
      <c r="AJ627" s="344"/>
      <c r="AK627" s="345"/>
      <c r="AL627" s="340"/>
      <c r="AM627" s="427"/>
      <c r="AN627" s="342"/>
      <c r="AO627" s="342"/>
      <c r="AP627" s="342"/>
      <c r="AQ627" s="342"/>
      <c r="AR627" s="342"/>
      <c r="AS627" s="342"/>
      <c r="AT627" s="342"/>
      <c r="AU627" s="1318"/>
      <c r="AV627" s="1318"/>
      <c r="AW627" s="1318"/>
      <c r="AX627" s="1318"/>
      <c r="AY627" s="1318"/>
      <c r="AZ627" s="1318"/>
      <c r="BA627" s="355"/>
      <c r="BB627" s="1318"/>
      <c r="BC627" s="1318"/>
      <c r="BD627" s="1318"/>
      <c r="BE627" s="1318"/>
      <c r="BF627" s="1318"/>
      <c r="BG627" s="355"/>
      <c r="BH627" s="1318"/>
      <c r="BI627" s="1318"/>
      <c r="BJ627" s="1318"/>
      <c r="BK627" s="1318"/>
      <c r="BL627" s="1318"/>
      <c r="BM627" s="1318"/>
      <c r="BN627" s="355"/>
      <c r="BO627" s="1318"/>
      <c r="BP627" s="1318"/>
      <c r="BQ627" s="1318"/>
      <c r="BR627" s="1318"/>
      <c r="BS627" s="1318"/>
      <c r="BT627" s="356"/>
      <c r="BU627" s="357"/>
      <c r="BV627" s="310"/>
      <c r="BW627" s="310"/>
      <c r="BX627" s="291">
        <f>IF(ISNONTEXT($C627),0,SUM(D627:AI627)-SUM(AN627:BS627))</f>
        <v>0</v>
      </c>
      <c r="BY627" s="344"/>
      <c r="BZ627" s="347"/>
      <c r="CA627" s="347"/>
    </row>
    <row r="628" spans="1:16384" ht="15" customHeight="1" thickBot="1" x14ac:dyDescent="0.3">
      <c r="A628" s="313"/>
      <c r="B628" s="340"/>
      <c r="C628" s="360" t="s">
        <v>752</v>
      </c>
      <c r="D628" s="340"/>
      <c r="E628" s="340"/>
      <c r="F628" s="340"/>
      <c r="G628" s="340"/>
      <c r="H628" s="340"/>
      <c r="I628" s="340"/>
      <c r="J628" s="340"/>
      <c r="K628" s="1565">
        <f>SUBTOTAL(109,K619:P626)</f>
        <v>648735598</v>
      </c>
      <c r="L628" s="1565"/>
      <c r="M628" s="1565"/>
      <c r="N628" s="1565"/>
      <c r="O628" s="1565"/>
      <c r="P628" s="1565"/>
      <c r="Q628" s="435"/>
      <c r="R628" s="1565">
        <f>SUBTOTAL(109,R619:V626)</f>
        <v>-54698450</v>
      </c>
      <c r="S628" s="1565"/>
      <c r="T628" s="1565"/>
      <c r="U628" s="1565"/>
      <c r="V628" s="1565"/>
      <c r="W628" s="435"/>
      <c r="X628" s="1565">
        <f>SUBTOTAL(109,X619:AC626)</f>
        <v>1594632045</v>
      </c>
      <c r="Y628" s="1565"/>
      <c r="Z628" s="1565"/>
      <c r="AA628" s="1565"/>
      <c r="AB628" s="1565"/>
      <c r="AC628" s="1565"/>
      <c r="AD628" s="363"/>
      <c r="AE628" s="1565">
        <f>SUBTOTAL(109,AE619:AI626)</f>
        <v>-991154325</v>
      </c>
      <c r="AF628" s="1565"/>
      <c r="AG628" s="1565"/>
      <c r="AH628" s="1565"/>
      <c r="AI628" s="1565"/>
      <c r="AJ628" s="344"/>
      <c r="AK628" s="345"/>
      <c r="AL628" s="340"/>
      <c r="AM628" s="360" t="s">
        <v>752</v>
      </c>
      <c r="AN628" s="340"/>
      <c r="AO628" s="340"/>
      <c r="AP628" s="340"/>
      <c r="AQ628" s="340"/>
      <c r="AR628" s="340"/>
      <c r="AS628" s="340"/>
      <c r="AT628" s="340"/>
      <c r="AU628" s="1565">
        <f>SUBTOTAL(109,AU601:AZ626)</f>
        <v>648735598</v>
      </c>
      <c r="AV628" s="1565"/>
      <c r="AW628" s="1565"/>
      <c r="AX628" s="1565"/>
      <c r="AY628" s="1565"/>
      <c r="AZ628" s="1565"/>
      <c r="BA628" s="435"/>
      <c r="BB628" s="1565">
        <f>SUBTOTAL(109,BB601:BF626)</f>
        <v>-54698450</v>
      </c>
      <c r="BC628" s="1565"/>
      <c r="BD628" s="1565"/>
      <c r="BE628" s="1565"/>
      <c r="BF628" s="1565"/>
      <c r="BG628" s="435"/>
      <c r="BH628" s="1565">
        <f>SUBTOTAL(109,BH601:BM626)</f>
        <v>1594632045</v>
      </c>
      <c r="BI628" s="1565"/>
      <c r="BJ628" s="1565"/>
      <c r="BK628" s="1565"/>
      <c r="BL628" s="1565"/>
      <c r="BM628" s="1565"/>
      <c r="BN628" s="363"/>
      <c r="BO628" s="1565">
        <f>SUBTOTAL(109,BO601:BS626)</f>
        <v>-991154325</v>
      </c>
      <c r="BP628" s="1565"/>
      <c r="BQ628" s="1565"/>
      <c r="BR628" s="1565"/>
      <c r="BS628" s="1565"/>
      <c r="BT628" s="356"/>
      <c r="BU628" s="357"/>
      <c r="BV628" s="310">
        <f>K628-KN_CT136</f>
        <v>0</v>
      </c>
      <c r="BW628" s="310">
        <f>X628-KT_CT136</f>
        <v>0</v>
      </c>
      <c r="BX628" s="291">
        <f>IF(ISNONTEXT($C628),0,SUM(D628:AI628)-SUM(AN628:BS628))</f>
        <v>0</v>
      </c>
      <c r="BY628" s="344"/>
      <c r="BZ628" s="347"/>
      <c r="CA628" s="347"/>
    </row>
    <row r="629" spans="1:16384" ht="12.95" hidden="1" customHeight="1" thickTop="1" x14ac:dyDescent="0.25">
      <c r="A629" s="313"/>
      <c r="B629" s="340"/>
      <c r="C629" s="434"/>
      <c r="D629" s="434"/>
      <c r="E629" s="434"/>
      <c r="F629" s="434"/>
      <c r="G629" s="434"/>
      <c r="H629" s="434"/>
      <c r="I629" s="434"/>
      <c r="J629" s="434"/>
      <c r="K629" s="1567"/>
      <c r="L629" s="1567"/>
      <c r="M629" s="1567"/>
      <c r="N629" s="1567"/>
      <c r="O629" s="1567"/>
      <c r="P629" s="1567"/>
      <c r="Q629" s="432"/>
      <c r="R629" s="1567"/>
      <c r="S629" s="1567"/>
      <c r="T629" s="1567"/>
      <c r="U629" s="1567"/>
      <c r="V629" s="1567"/>
      <c r="W629" s="432"/>
      <c r="X629" s="1567"/>
      <c r="Y629" s="1567"/>
      <c r="Z629" s="1567"/>
      <c r="AA629" s="1567"/>
      <c r="AB629" s="1567"/>
      <c r="AC629" s="1567"/>
      <c r="AD629" s="433"/>
      <c r="AE629" s="1567"/>
      <c r="AF629" s="1567"/>
      <c r="AG629" s="1567"/>
      <c r="AH629" s="1567"/>
      <c r="AI629" s="1567"/>
      <c r="AJ629" s="344"/>
      <c r="AK629" s="345"/>
      <c r="AL629" s="340"/>
      <c r="AM629" s="434"/>
      <c r="AN629" s="434"/>
      <c r="AO629" s="434"/>
      <c r="AP629" s="434"/>
      <c r="AQ629" s="434"/>
      <c r="AR629" s="434"/>
      <c r="AS629" s="434"/>
      <c r="AT629" s="434"/>
      <c r="AU629" s="1567"/>
      <c r="AV629" s="1567"/>
      <c r="AW629" s="1567"/>
      <c r="AX629" s="1567"/>
      <c r="AY629" s="1567"/>
      <c r="AZ629" s="1567"/>
      <c r="BA629" s="432"/>
      <c r="BB629" s="1567"/>
      <c r="BC629" s="1567"/>
      <c r="BD629" s="1567"/>
      <c r="BE629" s="1567"/>
      <c r="BF629" s="1567"/>
      <c r="BG629" s="432"/>
      <c r="BH629" s="1567"/>
      <c r="BI629" s="1567"/>
      <c r="BJ629" s="1567"/>
      <c r="BK629" s="1567"/>
      <c r="BL629" s="1567"/>
      <c r="BM629" s="1567"/>
      <c r="BN629" s="433"/>
      <c r="BO629" s="1567"/>
      <c r="BP629" s="1567"/>
      <c r="BQ629" s="1567"/>
      <c r="BR629" s="1567"/>
      <c r="BS629" s="1567"/>
      <c r="BT629" s="352"/>
      <c r="BU629" s="353"/>
      <c r="BV629" s="310"/>
      <c r="BW629" s="310"/>
      <c r="BX629" s="291">
        <f>IF(ISNONTEXT($C629),0,SUM(D629:AI629)-SUM(AN629:BS629))</f>
        <v>0</v>
      </c>
      <c r="BY629" s="344"/>
      <c r="BZ629" s="347"/>
      <c r="CA629" s="347"/>
    </row>
    <row r="630" spans="1:16384" ht="15" hidden="1" customHeight="1" x14ac:dyDescent="0.25">
      <c r="A630" s="313"/>
      <c r="B630" s="340"/>
      <c r="C630" s="341" t="s">
        <v>850</v>
      </c>
      <c r="D630" s="342"/>
      <c r="E630" s="342"/>
      <c r="F630" s="342"/>
      <c r="G630" s="342"/>
      <c r="H630" s="342"/>
      <c r="I630" s="342"/>
      <c r="J630" s="342"/>
      <c r="K630" s="1567"/>
      <c r="L630" s="1567"/>
      <c r="M630" s="1567"/>
      <c r="N630" s="1567"/>
      <c r="O630" s="1567"/>
      <c r="P630" s="1567"/>
      <c r="Q630" s="432"/>
      <c r="R630" s="1567"/>
      <c r="S630" s="1567"/>
      <c r="T630" s="1567"/>
      <c r="U630" s="1567"/>
      <c r="V630" s="1567"/>
      <c r="W630" s="432"/>
      <c r="X630" s="1567"/>
      <c r="Y630" s="1567"/>
      <c r="Z630" s="1567"/>
      <c r="AA630" s="1567"/>
      <c r="AB630" s="1567"/>
      <c r="AC630" s="1567"/>
      <c r="AD630" s="355"/>
      <c r="AE630" s="1567"/>
      <c r="AF630" s="1567"/>
      <c r="AG630" s="1567"/>
      <c r="AH630" s="1567"/>
      <c r="AI630" s="1567"/>
      <c r="AJ630" s="344"/>
      <c r="AK630" s="345"/>
      <c r="AL630" s="340"/>
      <c r="AM630" s="340"/>
      <c r="AN630" s="342"/>
      <c r="AO630" s="342"/>
      <c r="AP630" s="342"/>
      <c r="AQ630" s="342"/>
      <c r="AR630" s="342"/>
      <c r="AS630" s="342"/>
      <c r="AT630" s="342"/>
      <c r="AU630" s="1567"/>
      <c r="AV630" s="1567"/>
      <c r="AW630" s="1567"/>
      <c r="AX630" s="1567"/>
      <c r="AY630" s="1567"/>
      <c r="AZ630" s="1567"/>
      <c r="BA630" s="432"/>
      <c r="BB630" s="1567"/>
      <c r="BC630" s="1567"/>
      <c r="BD630" s="1567"/>
      <c r="BE630" s="1567"/>
      <c r="BF630" s="1567"/>
      <c r="BG630" s="432"/>
      <c r="BH630" s="1567"/>
      <c r="BI630" s="1567"/>
      <c r="BJ630" s="1567"/>
      <c r="BK630" s="1567"/>
      <c r="BL630" s="1567"/>
      <c r="BM630" s="1567"/>
      <c r="BN630" s="355"/>
      <c r="BO630" s="1567"/>
      <c r="BP630" s="1567"/>
      <c r="BQ630" s="1567"/>
      <c r="BR630" s="1567"/>
      <c r="BS630" s="1567"/>
      <c r="BT630" s="352"/>
      <c r="BU630" s="353"/>
      <c r="BV630" s="310"/>
      <c r="BW630" s="310"/>
      <c r="BX630" s="291">
        <f t="shared" si="8"/>
        <v>0</v>
      </c>
      <c r="BY630" s="344"/>
      <c r="BZ630" s="347"/>
      <c r="CA630" s="347"/>
    </row>
    <row r="631" spans="1:16384" ht="27.95" hidden="1" customHeight="1" x14ac:dyDescent="0.25">
      <c r="A631" s="313"/>
      <c r="B631" s="340"/>
      <c r="C631" s="1577" t="s">
        <v>881</v>
      </c>
      <c r="D631" s="1577"/>
      <c r="E631" s="1577"/>
      <c r="F631" s="1577"/>
      <c r="G631" s="1577"/>
      <c r="H631" s="1577"/>
      <c r="I631" s="1577"/>
      <c r="J631" s="1577"/>
      <c r="K631" s="1567">
        <v>0</v>
      </c>
      <c r="L631" s="1567"/>
      <c r="M631" s="1567"/>
      <c r="N631" s="1567"/>
      <c r="O631" s="1567"/>
      <c r="P631" s="1567"/>
      <c r="Q631" s="432"/>
      <c r="R631" s="1567">
        <v>0</v>
      </c>
      <c r="S631" s="1567"/>
      <c r="T631" s="1567"/>
      <c r="U631" s="1567"/>
      <c r="V631" s="1567"/>
      <c r="W631" s="432"/>
      <c r="X631" s="1567">
        <v>0</v>
      </c>
      <c r="Y631" s="1567"/>
      <c r="Z631" s="1567"/>
      <c r="AA631" s="1567"/>
      <c r="AB631" s="1567"/>
      <c r="AC631" s="1567"/>
      <c r="AD631" s="355"/>
      <c r="AE631" s="1567">
        <v>0</v>
      </c>
      <c r="AF631" s="1567"/>
      <c r="AG631" s="1567"/>
      <c r="AH631" s="1567"/>
      <c r="AI631" s="1567"/>
      <c r="AJ631" s="344"/>
      <c r="AK631" s="345"/>
      <c r="AL631" s="340"/>
      <c r="AM631" s="1578" t="s">
        <v>849</v>
      </c>
      <c r="AN631" s="1578"/>
      <c r="AO631" s="1578"/>
      <c r="AP631" s="1578"/>
      <c r="AQ631" s="1578"/>
      <c r="AR631" s="1578"/>
      <c r="AS631" s="1578"/>
      <c r="AT631" s="1578"/>
      <c r="AU631" s="1567">
        <f t="shared" ref="AU631:AU636" si="13">K631</f>
        <v>0</v>
      </c>
      <c r="AV631" s="1567"/>
      <c r="AW631" s="1567"/>
      <c r="AX631" s="1567"/>
      <c r="AY631" s="1567"/>
      <c r="AZ631" s="1567"/>
      <c r="BA631" s="432"/>
      <c r="BB631" s="1567">
        <f t="shared" ref="BB631:BB636" si="14">R631</f>
        <v>0</v>
      </c>
      <c r="BC631" s="1567"/>
      <c r="BD631" s="1567"/>
      <c r="BE631" s="1567"/>
      <c r="BF631" s="1567"/>
      <c r="BG631" s="432"/>
      <c r="BH631" s="1567">
        <f t="shared" ref="BH631:BH636" si="15">X631</f>
        <v>0</v>
      </c>
      <c r="BI631" s="1567"/>
      <c r="BJ631" s="1567"/>
      <c r="BK631" s="1567"/>
      <c r="BL631" s="1567"/>
      <c r="BM631" s="1567"/>
      <c r="BN631" s="355"/>
      <c r="BO631" s="1567">
        <f t="shared" ref="BO631:BO636" si="16">AE631</f>
        <v>0</v>
      </c>
      <c r="BP631" s="1567"/>
      <c r="BQ631" s="1567"/>
      <c r="BR631" s="1567"/>
      <c r="BS631" s="1567"/>
      <c r="BT631" s="352"/>
      <c r="BU631" s="353"/>
      <c r="BV631" s="310"/>
      <c r="BW631" s="310"/>
      <c r="BX631" s="291">
        <f t="shared" si="8"/>
        <v>0</v>
      </c>
      <c r="BY631" s="344"/>
      <c r="BZ631" s="347"/>
      <c r="CA631" s="347"/>
    </row>
    <row r="632" spans="1:16384" ht="15" hidden="1" customHeight="1" x14ac:dyDescent="0.25">
      <c r="A632" s="313"/>
      <c r="B632" s="340"/>
      <c r="C632" s="434" t="s">
        <v>882</v>
      </c>
      <c r="D632" s="434"/>
      <c r="E632" s="434"/>
      <c r="F632" s="434"/>
      <c r="G632" s="434"/>
      <c r="H632" s="434"/>
      <c r="I632" s="434"/>
      <c r="J632" s="434"/>
      <c r="K632" s="1567">
        <v>0</v>
      </c>
      <c r="L632" s="1567"/>
      <c r="M632" s="1567"/>
      <c r="N632" s="1567"/>
      <c r="O632" s="1567"/>
      <c r="P632" s="1567"/>
      <c r="Q632" s="432"/>
      <c r="R632" s="1567">
        <v>0</v>
      </c>
      <c r="S632" s="1567"/>
      <c r="T632" s="1567"/>
      <c r="U632" s="1567"/>
      <c r="V632" s="1567"/>
      <c r="W632" s="432"/>
      <c r="X632" s="1567">
        <v>0</v>
      </c>
      <c r="Y632" s="1567"/>
      <c r="Z632" s="1567"/>
      <c r="AA632" s="1567"/>
      <c r="AB632" s="1567"/>
      <c r="AC632" s="1567"/>
      <c r="AD632" s="355"/>
      <c r="AE632" s="1567">
        <v>0</v>
      </c>
      <c r="AF632" s="1567"/>
      <c r="AG632" s="1567"/>
      <c r="AH632" s="1567"/>
      <c r="AI632" s="1567"/>
      <c r="AJ632" s="344"/>
      <c r="AK632" s="345"/>
      <c r="AL632" s="340"/>
      <c r="AM632" s="434" t="s">
        <v>873</v>
      </c>
      <c r="AN632" s="434"/>
      <c r="AO632" s="434"/>
      <c r="AP632" s="434"/>
      <c r="AQ632" s="434"/>
      <c r="AR632" s="434"/>
      <c r="AS632" s="434"/>
      <c r="AT632" s="434"/>
      <c r="AU632" s="1567">
        <f t="shared" si="13"/>
        <v>0</v>
      </c>
      <c r="AV632" s="1567"/>
      <c r="AW632" s="1567"/>
      <c r="AX632" s="1567"/>
      <c r="AY632" s="1567"/>
      <c r="AZ632" s="1567"/>
      <c r="BA632" s="432"/>
      <c r="BB632" s="1567">
        <f t="shared" si="14"/>
        <v>0</v>
      </c>
      <c r="BC632" s="1567"/>
      <c r="BD632" s="1567"/>
      <c r="BE632" s="1567"/>
      <c r="BF632" s="1567"/>
      <c r="BG632" s="432"/>
      <c r="BH632" s="1567">
        <f t="shared" si="15"/>
        <v>0</v>
      </c>
      <c r="BI632" s="1567"/>
      <c r="BJ632" s="1567"/>
      <c r="BK632" s="1567"/>
      <c r="BL632" s="1567"/>
      <c r="BM632" s="1567"/>
      <c r="BN632" s="355"/>
      <c r="BO632" s="1567">
        <f t="shared" si="16"/>
        <v>0</v>
      </c>
      <c r="BP632" s="1567"/>
      <c r="BQ632" s="1567"/>
      <c r="BR632" s="1567"/>
      <c r="BS632" s="1567"/>
      <c r="BT632" s="352"/>
      <c r="BU632" s="353"/>
      <c r="BV632" s="310"/>
      <c r="BW632" s="310"/>
      <c r="BX632" s="291">
        <f t="shared" si="8"/>
        <v>0</v>
      </c>
      <c r="BY632" s="344"/>
      <c r="BZ632" s="347"/>
      <c r="CA632" s="347"/>
    </row>
    <row r="633" spans="1:16384" ht="15" hidden="1" customHeight="1" x14ac:dyDescent="0.25">
      <c r="A633" s="313"/>
      <c r="B633" s="340"/>
      <c r="C633" s="434" t="s">
        <v>883</v>
      </c>
      <c r="D633" s="434"/>
      <c r="E633" s="434"/>
      <c r="F633" s="434"/>
      <c r="G633" s="434"/>
      <c r="H633" s="434"/>
      <c r="I633" s="434"/>
      <c r="J633" s="434"/>
      <c r="K633" s="1567">
        <v>0</v>
      </c>
      <c r="L633" s="1567"/>
      <c r="M633" s="1567"/>
      <c r="N633" s="1567"/>
      <c r="O633" s="1567"/>
      <c r="P633" s="1567"/>
      <c r="Q633" s="432"/>
      <c r="R633" s="1567">
        <v>0</v>
      </c>
      <c r="S633" s="1567"/>
      <c r="T633" s="1567"/>
      <c r="U633" s="1567"/>
      <c r="V633" s="1567"/>
      <c r="W633" s="432"/>
      <c r="X633" s="1567">
        <v>0</v>
      </c>
      <c r="Y633" s="1567"/>
      <c r="Z633" s="1567"/>
      <c r="AA633" s="1567"/>
      <c r="AB633" s="1567"/>
      <c r="AC633" s="1567"/>
      <c r="AD633" s="355"/>
      <c r="AE633" s="1567">
        <v>0</v>
      </c>
      <c r="AF633" s="1567"/>
      <c r="AG633" s="1567"/>
      <c r="AH633" s="1567"/>
      <c r="AI633" s="1567"/>
      <c r="AJ633" s="344"/>
      <c r="AK633" s="345"/>
      <c r="AL633" s="340"/>
      <c r="AM633" s="434" t="s">
        <v>875</v>
      </c>
      <c r="AN633" s="434"/>
      <c r="AO633" s="434"/>
      <c r="AP633" s="434"/>
      <c r="AQ633" s="434"/>
      <c r="AR633" s="434"/>
      <c r="AS633" s="434"/>
      <c r="AT633" s="434"/>
      <c r="AU633" s="1567">
        <f t="shared" si="13"/>
        <v>0</v>
      </c>
      <c r="AV633" s="1567"/>
      <c r="AW633" s="1567"/>
      <c r="AX633" s="1567"/>
      <c r="AY633" s="1567"/>
      <c r="AZ633" s="1567"/>
      <c r="BA633" s="432"/>
      <c r="BB633" s="1567">
        <f t="shared" si="14"/>
        <v>0</v>
      </c>
      <c r="BC633" s="1567"/>
      <c r="BD633" s="1567"/>
      <c r="BE633" s="1567"/>
      <c r="BF633" s="1567"/>
      <c r="BG633" s="432"/>
      <c r="BH633" s="1567">
        <f t="shared" si="15"/>
        <v>0</v>
      </c>
      <c r="BI633" s="1567"/>
      <c r="BJ633" s="1567"/>
      <c r="BK633" s="1567"/>
      <c r="BL633" s="1567"/>
      <c r="BM633" s="1567"/>
      <c r="BN633" s="355"/>
      <c r="BO633" s="1567">
        <f t="shared" si="16"/>
        <v>0</v>
      </c>
      <c r="BP633" s="1567"/>
      <c r="BQ633" s="1567"/>
      <c r="BR633" s="1567"/>
      <c r="BS633" s="1567"/>
      <c r="BT633" s="352"/>
      <c r="BU633" s="353"/>
      <c r="BV633" s="310"/>
      <c r="BW633" s="310"/>
      <c r="BX633" s="291">
        <f t="shared" si="8"/>
        <v>0</v>
      </c>
      <c r="BY633" s="344"/>
      <c r="BZ633" s="347"/>
      <c r="CA633" s="347"/>
    </row>
    <row r="634" spans="1:16384" ht="15" hidden="1" customHeight="1" x14ac:dyDescent="0.25">
      <c r="A634" s="313"/>
      <c r="B634" s="340"/>
      <c r="C634" s="434" t="s">
        <v>884</v>
      </c>
      <c r="D634" s="434"/>
      <c r="E634" s="434"/>
      <c r="F634" s="434"/>
      <c r="G634" s="434"/>
      <c r="H634" s="434"/>
      <c r="I634" s="434"/>
      <c r="J634" s="434"/>
      <c r="K634" s="1567">
        <v>0</v>
      </c>
      <c r="L634" s="1567"/>
      <c r="M634" s="1567"/>
      <c r="N634" s="1567"/>
      <c r="O634" s="1567"/>
      <c r="P634" s="1567"/>
      <c r="Q634" s="432"/>
      <c r="R634" s="1567">
        <v>0</v>
      </c>
      <c r="S634" s="1567"/>
      <c r="T634" s="1567"/>
      <c r="U634" s="1567"/>
      <c r="V634" s="1567"/>
      <c r="W634" s="432"/>
      <c r="X634" s="1567">
        <v>0</v>
      </c>
      <c r="Y634" s="1567"/>
      <c r="Z634" s="1567"/>
      <c r="AA634" s="1567"/>
      <c r="AB634" s="1567"/>
      <c r="AC634" s="1567"/>
      <c r="AD634" s="355"/>
      <c r="AE634" s="1567">
        <v>0</v>
      </c>
      <c r="AF634" s="1567"/>
      <c r="AG634" s="1567"/>
      <c r="AH634" s="1567"/>
      <c r="AI634" s="1567"/>
      <c r="AJ634" s="344"/>
      <c r="AK634" s="345"/>
      <c r="AL634" s="340"/>
      <c r="AM634" s="434" t="s">
        <v>877</v>
      </c>
      <c r="AN634" s="434"/>
      <c r="AO634" s="434"/>
      <c r="AP634" s="434"/>
      <c r="AQ634" s="434"/>
      <c r="AR634" s="434"/>
      <c r="AS634" s="434"/>
      <c r="AT634" s="434"/>
      <c r="AU634" s="1567">
        <f t="shared" si="13"/>
        <v>0</v>
      </c>
      <c r="AV634" s="1567"/>
      <c r="AW634" s="1567"/>
      <c r="AX634" s="1567"/>
      <c r="AY634" s="1567"/>
      <c r="AZ634" s="1567"/>
      <c r="BA634" s="432"/>
      <c r="BB634" s="1567">
        <f t="shared" si="14"/>
        <v>0</v>
      </c>
      <c r="BC634" s="1567"/>
      <c r="BD634" s="1567"/>
      <c r="BE634" s="1567"/>
      <c r="BF634" s="1567"/>
      <c r="BG634" s="432"/>
      <c r="BH634" s="1567">
        <f t="shared" si="15"/>
        <v>0</v>
      </c>
      <c r="BI634" s="1567"/>
      <c r="BJ634" s="1567"/>
      <c r="BK634" s="1567"/>
      <c r="BL634" s="1567"/>
      <c r="BM634" s="1567"/>
      <c r="BN634" s="355"/>
      <c r="BO634" s="1567">
        <f t="shared" si="16"/>
        <v>0</v>
      </c>
      <c r="BP634" s="1567"/>
      <c r="BQ634" s="1567"/>
      <c r="BR634" s="1567"/>
      <c r="BS634" s="1567"/>
      <c r="BT634" s="352"/>
      <c r="BU634" s="353"/>
      <c r="BV634" s="310"/>
      <c r="BW634" s="310"/>
      <c r="BX634" s="291">
        <f t="shared" si="8"/>
        <v>0</v>
      </c>
      <c r="BY634" s="344"/>
      <c r="BZ634" s="347"/>
      <c r="CA634" s="347"/>
    </row>
    <row r="635" spans="1:16384" ht="15" hidden="1" customHeight="1" x14ac:dyDescent="0.25">
      <c r="A635" s="313"/>
      <c r="B635" s="340"/>
      <c r="C635" s="434" t="s">
        <v>878</v>
      </c>
      <c r="D635" s="434"/>
      <c r="E635" s="434"/>
      <c r="F635" s="434"/>
      <c r="G635" s="434"/>
      <c r="H635" s="434"/>
      <c r="I635" s="434"/>
      <c r="J635" s="434"/>
      <c r="K635" s="1567">
        <v>0</v>
      </c>
      <c r="L635" s="1567"/>
      <c r="M635" s="1567"/>
      <c r="N635" s="1567"/>
      <c r="O635" s="1567"/>
      <c r="P635" s="1567"/>
      <c r="Q635" s="432"/>
      <c r="R635" s="1567">
        <v>0</v>
      </c>
      <c r="S635" s="1567"/>
      <c r="T635" s="1567"/>
      <c r="U635" s="1567"/>
      <c r="V635" s="1567"/>
      <c r="W635" s="432"/>
      <c r="X635" s="1567">
        <v>0</v>
      </c>
      <c r="Y635" s="1567"/>
      <c r="Z635" s="1567"/>
      <c r="AA635" s="1567"/>
      <c r="AB635" s="1567"/>
      <c r="AC635" s="1567"/>
      <c r="AD635" s="355"/>
      <c r="AE635" s="1567">
        <v>0</v>
      </c>
      <c r="AF635" s="1567"/>
      <c r="AG635" s="1567"/>
      <c r="AH635" s="1567"/>
      <c r="AI635" s="1567"/>
      <c r="AJ635" s="344"/>
      <c r="AK635" s="345"/>
      <c r="AL635" s="340"/>
      <c r="AM635" s="434" t="s">
        <v>879</v>
      </c>
      <c r="AN635" s="434"/>
      <c r="AO635" s="434"/>
      <c r="AP635" s="434"/>
      <c r="AQ635" s="434"/>
      <c r="AR635" s="434"/>
      <c r="AS635" s="434"/>
      <c r="AT635" s="434"/>
      <c r="AU635" s="1567">
        <f t="shared" si="13"/>
        <v>0</v>
      </c>
      <c r="AV635" s="1567"/>
      <c r="AW635" s="1567"/>
      <c r="AX635" s="1567"/>
      <c r="AY635" s="1567"/>
      <c r="AZ635" s="1567"/>
      <c r="BA635" s="432"/>
      <c r="BB635" s="1567">
        <f t="shared" si="14"/>
        <v>0</v>
      </c>
      <c r="BC635" s="1567"/>
      <c r="BD635" s="1567"/>
      <c r="BE635" s="1567"/>
      <c r="BF635" s="1567"/>
      <c r="BG635" s="432"/>
      <c r="BH635" s="1567">
        <f t="shared" si="15"/>
        <v>0</v>
      </c>
      <c r="BI635" s="1567"/>
      <c r="BJ635" s="1567"/>
      <c r="BK635" s="1567"/>
      <c r="BL635" s="1567"/>
      <c r="BM635" s="1567"/>
      <c r="BN635" s="355"/>
      <c r="BO635" s="1567">
        <f t="shared" si="16"/>
        <v>0</v>
      </c>
      <c r="BP635" s="1567"/>
      <c r="BQ635" s="1567"/>
      <c r="BR635" s="1567"/>
      <c r="BS635" s="1567"/>
      <c r="BT635" s="352"/>
      <c r="BU635" s="353"/>
      <c r="BV635" s="310"/>
      <c r="BW635" s="310"/>
      <c r="BX635" s="291">
        <f t="shared" si="8"/>
        <v>0</v>
      </c>
      <c r="BY635" s="344"/>
      <c r="BZ635" s="347"/>
      <c r="CA635" s="347"/>
    </row>
    <row r="636" spans="1:16384" ht="15" hidden="1" customHeight="1" x14ac:dyDescent="0.25">
      <c r="A636" s="313"/>
      <c r="B636" s="340"/>
      <c r="C636" s="434" t="s">
        <v>865</v>
      </c>
      <c r="D636" s="434"/>
      <c r="E636" s="434"/>
      <c r="F636" s="434"/>
      <c r="G636" s="434"/>
      <c r="H636" s="434"/>
      <c r="I636" s="434"/>
      <c r="J636" s="434"/>
      <c r="K636" s="1567">
        <v>0</v>
      </c>
      <c r="L636" s="1567"/>
      <c r="M636" s="1567"/>
      <c r="N636" s="1567"/>
      <c r="O636" s="1567"/>
      <c r="P636" s="1567"/>
      <c r="Q636" s="432"/>
      <c r="R636" s="1567">
        <v>0</v>
      </c>
      <c r="S636" s="1567"/>
      <c r="T636" s="1567"/>
      <c r="U636" s="1567"/>
      <c r="V636" s="1567"/>
      <c r="W636" s="432"/>
      <c r="X636" s="1567">
        <v>0</v>
      </c>
      <c r="Y636" s="1567"/>
      <c r="Z636" s="1567"/>
      <c r="AA636" s="1567"/>
      <c r="AB636" s="1567"/>
      <c r="AC636" s="1567"/>
      <c r="AD636" s="355"/>
      <c r="AE636" s="1567">
        <v>0</v>
      </c>
      <c r="AF636" s="1567"/>
      <c r="AG636" s="1567"/>
      <c r="AH636" s="1567"/>
      <c r="AI636" s="1567"/>
      <c r="AJ636" s="344"/>
      <c r="AK636" s="345"/>
      <c r="AL636" s="340"/>
      <c r="AM636" s="434" t="s">
        <v>880</v>
      </c>
      <c r="AN636" s="434"/>
      <c r="AO636" s="434"/>
      <c r="AP636" s="434"/>
      <c r="AQ636" s="434"/>
      <c r="AR636" s="434"/>
      <c r="AS636" s="434"/>
      <c r="AT636" s="434"/>
      <c r="AU636" s="1567">
        <f t="shared" si="13"/>
        <v>0</v>
      </c>
      <c r="AV636" s="1567"/>
      <c r="AW636" s="1567"/>
      <c r="AX636" s="1567"/>
      <c r="AY636" s="1567"/>
      <c r="AZ636" s="1567"/>
      <c r="BA636" s="432"/>
      <c r="BB636" s="1567">
        <f t="shared" si="14"/>
        <v>0</v>
      </c>
      <c r="BC636" s="1567"/>
      <c r="BD636" s="1567"/>
      <c r="BE636" s="1567"/>
      <c r="BF636" s="1567"/>
      <c r="BG636" s="432"/>
      <c r="BH636" s="1567">
        <f t="shared" si="15"/>
        <v>0</v>
      </c>
      <c r="BI636" s="1567"/>
      <c r="BJ636" s="1567"/>
      <c r="BK636" s="1567"/>
      <c r="BL636" s="1567"/>
      <c r="BM636" s="1567"/>
      <c r="BN636" s="355"/>
      <c r="BO636" s="1567">
        <f t="shared" si="16"/>
        <v>0</v>
      </c>
      <c r="BP636" s="1567"/>
      <c r="BQ636" s="1567"/>
      <c r="BR636" s="1567"/>
      <c r="BS636" s="1567"/>
      <c r="BT636" s="352"/>
      <c r="BU636" s="353"/>
      <c r="BV636" s="310"/>
      <c r="BW636" s="310"/>
      <c r="BX636" s="291">
        <f t="shared" si="8"/>
        <v>0</v>
      </c>
      <c r="BY636" s="344"/>
      <c r="BZ636" s="347"/>
      <c r="CA636" s="347"/>
    </row>
    <row r="637" spans="1:16384" ht="12.95" customHeight="1" thickTop="1" x14ac:dyDescent="0.25">
      <c r="A637" s="313"/>
      <c r="B637" s="340"/>
      <c r="C637" s="427"/>
      <c r="D637" s="342"/>
      <c r="E637" s="342"/>
      <c r="F637" s="342"/>
      <c r="G637" s="342"/>
      <c r="H637" s="342"/>
      <c r="I637" s="342"/>
      <c r="J637" s="342"/>
      <c r="K637" s="1318"/>
      <c r="L637" s="1318"/>
      <c r="M637" s="1318"/>
      <c r="N637" s="1318"/>
      <c r="O637" s="1318"/>
      <c r="P637" s="1318"/>
      <c r="Q637" s="355"/>
      <c r="R637" s="1318"/>
      <c r="S637" s="1318"/>
      <c r="T637" s="1318"/>
      <c r="U637" s="1318"/>
      <c r="V637" s="1318"/>
      <c r="W637" s="355"/>
      <c r="X637" s="1318"/>
      <c r="Y637" s="1318"/>
      <c r="Z637" s="1318"/>
      <c r="AA637" s="1318"/>
      <c r="AB637" s="1318"/>
      <c r="AC637" s="1318"/>
      <c r="AD637" s="355"/>
      <c r="AE637" s="1318"/>
      <c r="AF637" s="1318"/>
      <c r="AG637" s="1318"/>
      <c r="AH637" s="1318"/>
      <c r="AI637" s="1318"/>
      <c r="AJ637" s="344"/>
      <c r="AK637" s="345"/>
      <c r="AL637" s="340"/>
      <c r="AM637" s="427"/>
      <c r="AN637" s="342"/>
      <c r="AO637" s="342"/>
      <c r="AP637" s="342"/>
      <c r="AQ637" s="342"/>
      <c r="AR637" s="342"/>
      <c r="AS637" s="342"/>
      <c r="AT637" s="342"/>
      <c r="AU637" s="1318"/>
      <c r="AV637" s="1318"/>
      <c r="AW637" s="1318"/>
      <c r="AX637" s="1318"/>
      <c r="AY637" s="1318"/>
      <c r="AZ637" s="1318"/>
      <c r="BA637" s="355"/>
      <c r="BB637" s="1318"/>
      <c r="BC637" s="1318"/>
      <c r="BD637" s="1318"/>
      <c r="BE637" s="1318"/>
      <c r="BF637" s="1318"/>
      <c r="BG637" s="355"/>
      <c r="BH637" s="1318"/>
      <c r="BI637" s="1318"/>
      <c r="BJ637" s="1318"/>
      <c r="BK637" s="1318"/>
      <c r="BL637" s="1318"/>
      <c r="BM637" s="1318"/>
      <c r="BN637" s="355"/>
      <c r="BO637" s="1318"/>
      <c r="BP637" s="1318"/>
      <c r="BQ637" s="1318"/>
      <c r="BR637" s="1318"/>
      <c r="BS637" s="1318"/>
      <c r="BT637" s="356"/>
      <c r="BU637" s="357"/>
      <c r="BV637" s="310"/>
      <c r="BW637" s="310"/>
      <c r="BX637" s="291">
        <f t="shared" si="8"/>
        <v>0</v>
      </c>
      <c r="BY637" s="344"/>
      <c r="BZ637" s="347"/>
      <c r="CA637" s="347"/>
    </row>
    <row r="638" spans="1:16384" ht="29.1" customHeight="1" thickBot="1" x14ac:dyDescent="0.3">
      <c r="A638" s="313"/>
      <c r="B638" s="340"/>
      <c r="C638" s="1572" t="s">
        <v>885</v>
      </c>
      <c r="D638" s="1572"/>
      <c r="E638" s="1572"/>
      <c r="F638" s="1572"/>
      <c r="G638" s="1572"/>
      <c r="H638" s="1572"/>
      <c r="I638" s="1572"/>
      <c r="J638" s="1572"/>
      <c r="K638" s="1565">
        <v>0</v>
      </c>
      <c r="L638" s="1565"/>
      <c r="M638" s="1565"/>
      <c r="N638" s="1565"/>
      <c r="O638" s="1565"/>
      <c r="P638" s="1565"/>
      <c r="Q638" s="435"/>
      <c r="R638" s="1565">
        <v>0</v>
      </c>
      <c r="S638" s="1565"/>
      <c r="T638" s="1565"/>
      <c r="U638" s="1565"/>
      <c r="V638" s="1565"/>
      <c r="W638" s="435"/>
      <c r="X638" s="1565">
        <v>321331078</v>
      </c>
      <c r="Y638" s="1565"/>
      <c r="Z638" s="1565"/>
      <c r="AA638" s="1565"/>
      <c r="AB638" s="1565"/>
      <c r="AC638" s="1565"/>
      <c r="AD638" s="363"/>
      <c r="AE638" s="1565">
        <v>-272125297</v>
      </c>
      <c r="AF638" s="1565"/>
      <c r="AG638" s="1565"/>
      <c r="AH638" s="1565"/>
      <c r="AI638" s="1565"/>
      <c r="AJ638" s="344"/>
      <c r="AK638" s="345"/>
      <c r="AL638" s="340"/>
      <c r="AM638" s="360" t="s">
        <v>752</v>
      </c>
      <c r="AN638" s="340"/>
      <c r="AO638" s="340"/>
      <c r="AP638" s="340"/>
      <c r="AQ638" s="340"/>
      <c r="AR638" s="340"/>
      <c r="AS638" s="340"/>
      <c r="AT638" s="340"/>
      <c r="AU638" s="1565">
        <f>SUBTOTAL(109,AU619:AZ636)</f>
        <v>648735598</v>
      </c>
      <c r="AV638" s="1565"/>
      <c r="AW638" s="1565"/>
      <c r="AX638" s="1565"/>
      <c r="AY638" s="1565"/>
      <c r="AZ638" s="1565"/>
      <c r="BA638" s="435"/>
      <c r="BB638" s="1565">
        <f>SUBTOTAL(109,BB619:BF636)</f>
        <v>-54698450</v>
      </c>
      <c r="BC638" s="1565"/>
      <c r="BD638" s="1565"/>
      <c r="BE638" s="1565"/>
      <c r="BF638" s="1565"/>
      <c r="BG638" s="435"/>
      <c r="BH638" s="1565">
        <f>SUBTOTAL(109,BH619:BM636)</f>
        <v>1594632045</v>
      </c>
      <c r="BI638" s="1565"/>
      <c r="BJ638" s="1565"/>
      <c r="BK638" s="1565"/>
      <c r="BL638" s="1565"/>
      <c r="BM638" s="1565"/>
      <c r="BN638" s="363"/>
      <c r="BO638" s="1565">
        <f>SUBTOTAL(109,BO619:BS636)</f>
        <v>-991154325</v>
      </c>
      <c r="BP638" s="1565"/>
      <c r="BQ638" s="1565"/>
      <c r="BR638" s="1565"/>
      <c r="BS638" s="1565"/>
      <c r="BT638" s="356"/>
      <c r="BU638" s="357"/>
      <c r="BV638" s="310"/>
      <c r="BW638" s="310"/>
      <c r="BX638" s="291">
        <f t="shared" si="8"/>
        <v>-1148309087</v>
      </c>
      <c r="BY638" s="344"/>
      <c r="BZ638" s="347"/>
      <c r="CA638" s="347"/>
    </row>
    <row r="639" spans="1:16384" ht="2.1" customHeight="1" thickTop="1" x14ac:dyDescent="0.25">
      <c r="A639" s="313"/>
      <c r="B639" s="340"/>
      <c r="C639" s="340"/>
      <c r="D639" s="354"/>
      <c r="E639" s="313"/>
      <c r="F639" s="340"/>
      <c r="G639" s="340"/>
      <c r="H639" s="354"/>
      <c r="I639" s="313"/>
      <c r="J639" s="340"/>
      <c r="K639" s="340"/>
      <c r="L639" s="354"/>
      <c r="M639" s="313"/>
      <c r="N639" s="340"/>
      <c r="O639" s="340"/>
      <c r="P639" s="354"/>
      <c r="Q639" s="313"/>
      <c r="R639" s="1576"/>
      <c r="S639" s="1576"/>
      <c r="T639" s="1576"/>
      <c r="U639" s="1576"/>
      <c r="V639" s="1576"/>
      <c r="W639" s="340"/>
      <c r="X639" s="313"/>
      <c r="Z639" s="340"/>
      <c r="AA639" s="340"/>
      <c r="AB639" s="354"/>
      <c r="AC639" s="313"/>
      <c r="AD639" s="340"/>
      <c r="AE639" s="340"/>
      <c r="AF639" s="354"/>
      <c r="AG639" s="313"/>
      <c r="AH639" s="340"/>
      <c r="AI639" s="340"/>
      <c r="AJ639" s="354"/>
      <c r="AK639" s="313"/>
      <c r="AL639" s="340"/>
      <c r="AM639" s="340" t="s">
        <v>886</v>
      </c>
      <c r="AN639" s="354"/>
      <c r="AO639" s="313"/>
      <c r="AP639" s="340"/>
      <c r="AQ639" s="340"/>
      <c r="AR639" s="354"/>
      <c r="AS639" s="313"/>
      <c r="AT639" s="340"/>
      <c r="AU639" s="340"/>
      <c r="AV639" s="354"/>
      <c r="AW639" s="313"/>
      <c r="AX639" s="340"/>
      <c r="AY639" s="340"/>
      <c r="AZ639" s="354"/>
      <c r="BA639" s="313"/>
      <c r="BB639" s="340"/>
      <c r="BC639" s="340"/>
      <c r="BD639" s="354"/>
      <c r="BE639" s="313"/>
      <c r="BF639" s="340"/>
      <c r="BG639" s="340">
        <f>W639</f>
        <v>0</v>
      </c>
      <c r="BH639" s="354"/>
      <c r="BI639" s="313"/>
      <c r="BJ639" s="340"/>
      <c r="BK639" s="340"/>
      <c r="BL639" s="354"/>
      <c r="BM639" s="313"/>
      <c r="BN639" s="340">
        <f>AD639</f>
        <v>0</v>
      </c>
      <c r="BO639" s="340"/>
      <c r="BP639" s="354"/>
      <c r="BQ639" s="313"/>
      <c r="BR639" s="340"/>
      <c r="BS639" s="340"/>
      <c r="BT639" s="354"/>
      <c r="BU639" s="313"/>
      <c r="BV639" s="310"/>
      <c r="BW639" s="310"/>
      <c r="BX639" s="291">
        <f t="shared" si="8"/>
        <v>0</v>
      </c>
      <c r="BY639" s="313"/>
      <c r="BZ639" s="442"/>
      <c r="CA639" s="442"/>
      <c r="CB639" s="443"/>
      <c r="CC639" s="442"/>
      <c r="CD639" s="442"/>
      <c r="CE639" s="442"/>
      <c r="CF639" s="443"/>
      <c r="CG639" s="313"/>
      <c r="CH639" s="340"/>
      <c r="CI639" s="340"/>
      <c r="CJ639" s="354"/>
      <c r="CK639" s="313"/>
      <c r="CL639" s="340"/>
      <c r="CM639" s="340"/>
      <c r="CN639" s="354"/>
      <c r="CO639" s="313"/>
      <c r="CP639" s="340"/>
      <c r="CQ639" s="340"/>
      <c r="CR639" s="354"/>
      <c r="CS639" s="313"/>
      <c r="CT639" s="340"/>
      <c r="CU639" s="340"/>
      <c r="CV639" s="354"/>
      <c r="CW639" s="313"/>
      <c r="CX639" s="340"/>
      <c r="CY639" s="340"/>
      <c r="CZ639" s="354"/>
      <c r="DA639" s="313"/>
      <c r="DB639" s="340"/>
      <c r="DC639" s="340"/>
      <c r="DD639" s="354"/>
      <c r="DE639" s="313"/>
      <c r="DF639" s="340"/>
      <c r="DG639" s="340"/>
      <c r="DH639" s="354"/>
      <c r="DI639" s="313"/>
      <c r="DJ639" s="340"/>
      <c r="DK639" s="340"/>
      <c r="DL639" s="354"/>
      <c r="DM639" s="313"/>
      <c r="DN639" s="340"/>
      <c r="DO639" s="340"/>
      <c r="DP639" s="354"/>
      <c r="DQ639" s="313"/>
      <c r="DR639" s="340"/>
      <c r="DS639" s="340"/>
      <c r="DT639" s="354"/>
      <c r="DU639" s="313"/>
      <c r="DV639" s="340"/>
      <c r="DW639" s="340"/>
      <c r="DX639" s="354"/>
      <c r="DY639" s="313"/>
      <c r="DZ639" s="340"/>
      <c r="EA639" s="340"/>
      <c r="EB639" s="354"/>
      <c r="EC639" s="313"/>
      <c r="ED639" s="340"/>
      <c r="EE639" s="340"/>
      <c r="EF639" s="354"/>
      <c r="EG639" s="313"/>
      <c r="EH639" s="340"/>
      <c r="EI639" s="340"/>
      <c r="EJ639" s="354"/>
      <c r="EK639" s="313"/>
      <c r="EL639" s="340"/>
      <c r="EM639" s="340"/>
      <c r="EN639" s="354"/>
      <c r="EO639" s="313"/>
      <c r="EP639" s="340"/>
      <c r="EQ639" s="340"/>
      <c r="ER639" s="354"/>
      <c r="ES639" s="313"/>
      <c r="ET639" s="340"/>
      <c r="EU639" s="340"/>
      <c r="EV639" s="354"/>
      <c r="EW639" s="313"/>
      <c r="EX639" s="340"/>
      <c r="EY639" s="340"/>
      <c r="EZ639" s="354"/>
      <c r="FA639" s="313"/>
      <c r="FB639" s="340"/>
      <c r="FC639" s="340"/>
      <c r="FD639" s="354"/>
      <c r="FE639" s="313"/>
      <c r="FF639" s="340"/>
      <c r="FG639" s="340"/>
      <c r="FH639" s="354"/>
      <c r="FI639" s="313"/>
      <c r="FJ639" s="340"/>
      <c r="FK639" s="340"/>
      <c r="FL639" s="354"/>
      <c r="FM639" s="313"/>
      <c r="FN639" s="340"/>
      <c r="FO639" s="340"/>
      <c r="FP639" s="354"/>
      <c r="FQ639" s="313"/>
      <c r="FR639" s="340"/>
      <c r="FS639" s="340"/>
      <c r="FT639" s="354"/>
      <c r="FU639" s="313"/>
      <c r="FV639" s="340"/>
      <c r="FW639" s="340"/>
      <c r="FX639" s="354"/>
      <c r="FY639" s="313"/>
      <c r="FZ639" s="340"/>
      <c r="GA639" s="340"/>
      <c r="GB639" s="354"/>
      <c r="GC639" s="313"/>
      <c r="GD639" s="340"/>
      <c r="GE639" s="340"/>
      <c r="GF639" s="354"/>
      <c r="GG639" s="313"/>
      <c r="GH639" s="340"/>
      <c r="GI639" s="340"/>
      <c r="GJ639" s="354"/>
      <c r="GK639" s="313"/>
      <c r="GL639" s="340"/>
      <c r="GM639" s="340"/>
      <c r="GN639" s="354"/>
      <c r="GO639" s="313"/>
      <c r="GP639" s="340"/>
      <c r="GQ639" s="340"/>
      <c r="GR639" s="354"/>
      <c r="GS639" s="313"/>
      <c r="GT639" s="340"/>
      <c r="GU639" s="340"/>
      <c r="GV639" s="354"/>
      <c r="GW639" s="313"/>
      <c r="GX639" s="340"/>
      <c r="GY639" s="340"/>
      <c r="GZ639" s="354"/>
      <c r="HA639" s="313"/>
      <c r="HB639" s="340"/>
      <c r="HC639" s="340"/>
      <c r="HD639" s="354"/>
      <c r="HE639" s="313"/>
      <c r="HF639" s="340"/>
      <c r="HG639" s="340"/>
      <c r="HH639" s="354"/>
      <c r="HI639" s="313"/>
      <c r="HJ639" s="340"/>
      <c r="HK639" s="340"/>
      <c r="HL639" s="354"/>
      <c r="HM639" s="313"/>
      <c r="HN639" s="340"/>
      <c r="HO639" s="340"/>
      <c r="HP639" s="354"/>
      <c r="HQ639" s="313"/>
      <c r="HR639" s="340"/>
      <c r="HS639" s="340"/>
      <c r="HT639" s="354"/>
      <c r="HU639" s="313"/>
      <c r="HV639" s="340"/>
      <c r="HW639" s="340"/>
      <c r="HX639" s="354"/>
      <c r="HY639" s="313"/>
      <c r="HZ639" s="340"/>
      <c r="IA639" s="340"/>
      <c r="IB639" s="354"/>
      <c r="IC639" s="313"/>
      <c r="ID639" s="340"/>
      <c r="IE639" s="340"/>
      <c r="IF639" s="354"/>
      <c r="IG639" s="313"/>
      <c r="IH639" s="340"/>
      <c r="II639" s="340"/>
      <c r="IJ639" s="354"/>
      <c r="IK639" s="313"/>
      <c r="IL639" s="340"/>
      <c r="IM639" s="340"/>
      <c r="IN639" s="354"/>
      <c r="IO639" s="313"/>
      <c r="IP639" s="340"/>
      <c r="IQ639" s="340"/>
      <c r="IR639" s="354"/>
      <c r="IS639" s="313"/>
      <c r="IT639" s="340"/>
      <c r="IU639" s="340"/>
      <c r="IV639" s="354"/>
      <c r="IW639" s="313"/>
      <c r="IX639" s="340"/>
      <c r="IY639" s="340"/>
      <c r="IZ639" s="354"/>
      <c r="JA639" s="313"/>
      <c r="JB639" s="340"/>
      <c r="JC639" s="340"/>
      <c r="JD639" s="354"/>
      <c r="JE639" s="313"/>
      <c r="JF639" s="340"/>
      <c r="JG639" s="340"/>
      <c r="JH639" s="354"/>
      <c r="JI639" s="313"/>
      <c r="JJ639" s="340"/>
      <c r="JK639" s="340"/>
      <c r="JL639" s="354"/>
      <c r="JM639" s="313"/>
      <c r="JN639" s="340"/>
      <c r="JO639" s="340"/>
      <c r="JP639" s="354"/>
      <c r="JQ639" s="313"/>
      <c r="JR639" s="340"/>
      <c r="JS639" s="340"/>
      <c r="JT639" s="354"/>
      <c r="JU639" s="313"/>
      <c r="JV639" s="340"/>
      <c r="JW639" s="340"/>
      <c r="JX639" s="354"/>
      <c r="JY639" s="313"/>
      <c r="JZ639" s="340"/>
      <c r="KA639" s="340"/>
      <c r="KB639" s="354"/>
      <c r="KC639" s="313"/>
      <c r="KD639" s="340"/>
      <c r="KE639" s="340"/>
      <c r="KF639" s="354"/>
      <c r="KG639" s="313"/>
      <c r="KH639" s="340"/>
      <c r="KI639" s="340"/>
      <c r="KJ639" s="354"/>
      <c r="KK639" s="313"/>
      <c r="KL639" s="340"/>
      <c r="KM639" s="340"/>
      <c r="KN639" s="354"/>
      <c r="KO639" s="313"/>
      <c r="KP639" s="340"/>
      <c r="KQ639" s="340"/>
      <c r="KR639" s="354"/>
      <c r="KS639" s="313"/>
      <c r="KT639" s="340"/>
      <c r="KU639" s="340"/>
      <c r="KV639" s="354"/>
      <c r="KW639" s="313"/>
      <c r="KX639" s="340"/>
      <c r="KY639" s="340"/>
      <c r="KZ639" s="354"/>
      <c r="LA639" s="313"/>
      <c r="LB639" s="340"/>
      <c r="LC639" s="340"/>
      <c r="LD639" s="354"/>
      <c r="LE639" s="313"/>
      <c r="LF639" s="340"/>
      <c r="LG639" s="340"/>
      <c r="LH639" s="354"/>
      <c r="LI639" s="313"/>
      <c r="LJ639" s="340"/>
      <c r="LK639" s="340"/>
      <c r="LL639" s="354"/>
      <c r="LM639" s="313"/>
      <c r="LN639" s="340"/>
      <c r="LO639" s="340"/>
      <c r="LP639" s="354"/>
      <c r="LQ639" s="313"/>
      <c r="LR639" s="340"/>
      <c r="LS639" s="340"/>
      <c r="LT639" s="354"/>
      <c r="LU639" s="313"/>
      <c r="LV639" s="340"/>
      <c r="LW639" s="340"/>
      <c r="LX639" s="354"/>
      <c r="LY639" s="313"/>
      <c r="LZ639" s="340"/>
      <c r="MA639" s="340"/>
      <c r="MB639" s="354"/>
      <c r="MC639" s="313"/>
      <c r="MD639" s="340"/>
      <c r="ME639" s="340"/>
      <c r="MF639" s="354"/>
      <c r="MG639" s="313"/>
      <c r="MH639" s="340"/>
      <c r="MI639" s="340"/>
      <c r="MJ639" s="354"/>
      <c r="MK639" s="313"/>
      <c r="ML639" s="340"/>
      <c r="MM639" s="340"/>
      <c r="MN639" s="354"/>
      <c r="MO639" s="313"/>
      <c r="MP639" s="340"/>
      <c r="MQ639" s="340"/>
      <c r="MR639" s="354"/>
      <c r="MS639" s="313"/>
      <c r="MT639" s="340"/>
      <c r="MU639" s="340"/>
      <c r="MV639" s="354"/>
      <c r="MW639" s="313"/>
      <c r="MX639" s="340"/>
      <c r="MY639" s="340"/>
      <c r="MZ639" s="354"/>
      <c r="NA639" s="313"/>
      <c r="NB639" s="340"/>
      <c r="NC639" s="340"/>
      <c r="ND639" s="354"/>
      <c r="NE639" s="313"/>
      <c r="NF639" s="340"/>
      <c r="NG639" s="340"/>
      <c r="NH639" s="354"/>
      <c r="NI639" s="313"/>
      <c r="NJ639" s="340"/>
      <c r="NK639" s="340"/>
      <c r="NL639" s="354"/>
      <c r="NM639" s="313"/>
      <c r="NN639" s="340"/>
      <c r="NO639" s="340"/>
      <c r="NP639" s="354"/>
      <c r="NQ639" s="313"/>
      <c r="NR639" s="340"/>
      <c r="NS639" s="340"/>
      <c r="NT639" s="354"/>
      <c r="NU639" s="313"/>
      <c r="NV639" s="340"/>
      <c r="NW639" s="340"/>
      <c r="NX639" s="354"/>
      <c r="NY639" s="313"/>
      <c r="NZ639" s="340"/>
      <c r="OA639" s="340"/>
      <c r="OB639" s="354"/>
      <c r="OC639" s="313"/>
      <c r="OD639" s="340"/>
      <c r="OE639" s="340"/>
      <c r="OF639" s="354"/>
      <c r="OG639" s="313"/>
      <c r="OH639" s="340"/>
      <c r="OI639" s="340"/>
      <c r="OJ639" s="354"/>
      <c r="OK639" s="313"/>
      <c r="OL639" s="340"/>
      <c r="OM639" s="340"/>
      <c r="ON639" s="354"/>
      <c r="OO639" s="313"/>
      <c r="OP639" s="340"/>
      <c r="OQ639" s="340"/>
      <c r="OR639" s="354"/>
      <c r="OS639" s="313"/>
      <c r="OT639" s="340"/>
      <c r="OU639" s="340"/>
      <c r="OV639" s="354"/>
      <c r="OW639" s="313"/>
      <c r="OX639" s="340"/>
      <c r="OY639" s="340"/>
      <c r="OZ639" s="354"/>
      <c r="PA639" s="313"/>
      <c r="PB639" s="340"/>
      <c r="PC639" s="340"/>
      <c r="PD639" s="354"/>
      <c r="PE639" s="313"/>
      <c r="PF639" s="340"/>
      <c r="PG639" s="340"/>
      <c r="PH639" s="354"/>
      <c r="PI639" s="313"/>
      <c r="PJ639" s="340"/>
      <c r="PK639" s="340"/>
      <c r="PL639" s="354"/>
      <c r="PM639" s="313"/>
      <c r="PN639" s="340"/>
      <c r="PO639" s="340"/>
      <c r="PP639" s="354"/>
      <c r="PQ639" s="313"/>
      <c r="PR639" s="340"/>
      <c r="PS639" s="340"/>
      <c r="PT639" s="354"/>
      <c r="PU639" s="313"/>
      <c r="PV639" s="340"/>
      <c r="PW639" s="340"/>
      <c r="PX639" s="354"/>
      <c r="PY639" s="313"/>
      <c r="PZ639" s="340"/>
      <c r="QA639" s="340"/>
      <c r="QB639" s="354"/>
      <c r="QC639" s="313"/>
      <c r="QD639" s="340"/>
      <c r="QE639" s="340"/>
      <c r="QF639" s="354"/>
      <c r="QG639" s="313"/>
      <c r="QH639" s="340"/>
      <c r="QI639" s="340"/>
      <c r="QJ639" s="354"/>
      <c r="QK639" s="313"/>
      <c r="QL639" s="340"/>
      <c r="QM639" s="340"/>
      <c r="QN639" s="354"/>
      <c r="QO639" s="313"/>
      <c r="QP639" s="340"/>
      <c r="QQ639" s="340"/>
      <c r="QR639" s="354"/>
      <c r="QS639" s="313"/>
      <c r="QT639" s="340"/>
      <c r="QU639" s="340"/>
      <c r="QV639" s="354"/>
      <c r="QW639" s="313"/>
      <c r="QX639" s="340"/>
      <c r="QY639" s="340"/>
      <c r="QZ639" s="354"/>
      <c r="RA639" s="313"/>
      <c r="RB639" s="340"/>
      <c r="RC639" s="340"/>
      <c r="RD639" s="354"/>
      <c r="RE639" s="313"/>
      <c r="RF639" s="340"/>
      <c r="RG639" s="340"/>
      <c r="RH639" s="354"/>
      <c r="RI639" s="313"/>
      <c r="RJ639" s="340"/>
      <c r="RK639" s="340"/>
      <c r="RL639" s="354"/>
      <c r="RM639" s="313"/>
      <c r="RN639" s="340"/>
      <c r="RO639" s="340"/>
      <c r="RP639" s="354"/>
      <c r="RQ639" s="313"/>
      <c r="RR639" s="340"/>
      <c r="RS639" s="340"/>
      <c r="RT639" s="354"/>
      <c r="RU639" s="313"/>
      <c r="RV639" s="340"/>
      <c r="RW639" s="340"/>
      <c r="RX639" s="354"/>
      <c r="RY639" s="313"/>
      <c r="RZ639" s="340"/>
      <c r="SA639" s="340"/>
      <c r="SB639" s="354"/>
      <c r="SC639" s="313"/>
      <c r="SD639" s="340"/>
      <c r="SE639" s="340"/>
      <c r="SF639" s="354"/>
      <c r="SG639" s="313"/>
      <c r="SH639" s="340"/>
      <c r="SI639" s="340"/>
      <c r="SJ639" s="354"/>
      <c r="SK639" s="313"/>
      <c r="SL639" s="340"/>
      <c r="SM639" s="340"/>
      <c r="SN639" s="354"/>
      <c r="SO639" s="313"/>
      <c r="SP639" s="340"/>
      <c r="SQ639" s="340"/>
      <c r="SR639" s="354"/>
      <c r="SS639" s="313"/>
      <c r="ST639" s="340"/>
      <c r="SU639" s="340"/>
      <c r="SV639" s="354"/>
      <c r="SW639" s="313"/>
      <c r="SX639" s="340"/>
      <c r="SY639" s="340"/>
      <c r="SZ639" s="354"/>
      <c r="TA639" s="313"/>
      <c r="TB639" s="340"/>
      <c r="TC639" s="340"/>
      <c r="TD639" s="354"/>
      <c r="TE639" s="313"/>
      <c r="TF639" s="340"/>
      <c r="TG639" s="340"/>
      <c r="TH639" s="354"/>
      <c r="TI639" s="313"/>
      <c r="TJ639" s="340"/>
      <c r="TK639" s="340"/>
      <c r="TL639" s="354"/>
      <c r="TM639" s="313"/>
      <c r="TN639" s="340"/>
      <c r="TO639" s="340"/>
      <c r="TP639" s="354"/>
      <c r="TQ639" s="313"/>
      <c r="TR639" s="340"/>
      <c r="TS639" s="340"/>
      <c r="TT639" s="354"/>
      <c r="TU639" s="313"/>
      <c r="TV639" s="340"/>
      <c r="TW639" s="340"/>
      <c r="TX639" s="354"/>
      <c r="TY639" s="313"/>
      <c r="TZ639" s="340"/>
      <c r="UA639" s="340"/>
      <c r="UB639" s="354"/>
      <c r="UC639" s="313"/>
      <c r="UD639" s="340"/>
      <c r="UE639" s="340"/>
      <c r="UF639" s="354"/>
      <c r="UG639" s="313"/>
      <c r="UH639" s="340"/>
      <c r="UI639" s="340"/>
      <c r="UJ639" s="354"/>
      <c r="UK639" s="313"/>
      <c r="UL639" s="340"/>
      <c r="UM639" s="340"/>
      <c r="UN639" s="354"/>
      <c r="UO639" s="313"/>
      <c r="UP639" s="340"/>
      <c r="UQ639" s="340"/>
      <c r="UR639" s="354"/>
      <c r="US639" s="313"/>
      <c r="UT639" s="340"/>
      <c r="UU639" s="340"/>
      <c r="UV639" s="354"/>
      <c r="UW639" s="313"/>
      <c r="UX639" s="340"/>
      <c r="UY639" s="340"/>
      <c r="UZ639" s="354"/>
      <c r="VA639" s="313"/>
      <c r="VB639" s="340"/>
      <c r="VC639" s="340"/>
      <c r="VD639" s="354"/>
      <c r="VE639" s="313"/>
      <c r="VF639" s="340"/>
      <c r="VG639" s="340"/>
      <c r="VH639" s="354"/>
      <c r="VI639" s="313"/>
      <c r="VJ639" s="340"/>
      <c r="VK639" s="340"/>
      <c r="VL639" s="354"/>
      <c r="VM639" s="313"/>
      <c r="VN639" s="340"/>
      <c r="VO639" s="340"/>
      <c r="VP639" s="354"/>
      <c r="VQ639" s="313"/>
      <c r="VR639" s="340"/>
      <c r="VS639" s="340"/>
      <c r="VT639" s="354"/>
      <c r="VU639" s="313"/>
      <c r="VV639" s="340"/>
      <c r="VW639" s="340"/>
      <c r="VX639" s="354"/>
      <c r="VY639" s="313"/>
      <c r="VZ639" s="340"/>
      <c r="WA639" s="340"/>
      <c r="WB639" s="354"/>
      <c r="WC639" s="313"/>
      <c r="WD639" s="340"/>
      <c r="WE639" s="340"/>
      <c r="WF639" s="354"/>
      <c r="WG639" s="313"/>
      <c r="WH639" s="340"/>
      <c r="WI639" s="340"/>
      <c r="WJ639" s="354"/>
      <c r="WK639" s="313"/>
      <c r="WL639" s="340"/>
      <c r="WM639" s="340"/>
      <c r="WN639" s="354"/>
      <c r="WO639" s="313"/>
      <c r="WP639" s="340"/>
      <c r="WQ639" s="340"/>
      <c r="WR639" s="354"/>
      <c r="WS639" s="313"/>
      <c r="WT639" s="340"/>
      <c r="WU639" s="340"/>
      <c r="WV639" s="354"/>
      <c r="WW639" s="313"/>
      <c r="WX639" s="340"/>
      <c r="WY639" s="340"/>
      <c r="WZ639" s="354"/>
      <c r="XA639" s="313"/>
      <c r="XB639" s="340"/>
      <c r="XC639" s="340"/>
      <c r="XD639" s="354"/>
      <c r="XE639" s="313"/>
      <c r="XF639" s="340"/>
      <c r="XG639" s="340"/>
      <c r="XH639" s="354"/>
      <c r="XI639" s="313"/>
      <c r="XJ639" s="340"/>
      <c r="XK639" s="340"/>
      <c r="XL639" s="354"/>
      <c r="XM639" s="313"/>
      <c r="XN639" s="340"/>
      <c r="XO639" s="340"/>
      <c r="XP639" s="354"/>
      <c r="XQ639" s="313"/>
      <c r="XR639" s="340"/>
      <c r="XS639" s="340"/>
      <c r="XT639" s="354"/>
      <c r="XU639" s="313"/>
      <c r="XV639" s="340"/>
      <c r="XW639" s="340"/>
      <c r="XX639" s="354"/>
      <c r="XY639" s="313"/>
      <c r="XZ639" s="340"/>
      <c r="YA639" s="340"/>
      <c r="YB639" s="354"/>
      <c r="YC639" s="313"/>
      <c r="YD639" s="340"/>
      <c r="YE639" s="340"/>
      <c r="YF639" s="354"/>
      <c r="YG639" s="313"/>
      <c r="YH639" s="340"/>
      <c r="YI639" s="340"/>
      <c r="YJ639" s="354"/>
      <c r="YK639" s="313"/>
      <c r="YL639" s="340"/>
      <c r="YM639" s="340"/>
      <c r="YN639" s="354"/>
      <c r="YO639" s="313"/>
      <c r="YP639" s="340"/>
      <c r="YQ639" s="340"/>
      <c r="YR639" s="354"/>
      <c r="YS639" s="313"/>
      <c r="YT639" s="340"/>
      <c r="YU639" s="340"/>
      <c r="YV639" s="354"/>
      <c r="YW639" s="313"/>
      <c r="YX639" s="340"/>
      <c r="YY639" s="340"/>
      <c r="YZ639" s="354"/>
      <c r="ZA639" s="313"/>
      <c r="ZB639" s="340"/>
      <c r="ZC639" s="340"/>
      <c r="ZD639" s="354"/>
      <c r="ZE639" s="313"/>
      <c r="ZF639" s="340"/>
      <c r="ZG639" s="340"/>
      <c r="ZH639" s="354"/>
      <c r="ZI639" s="313"/>
      <c r="ZJ639" s="340"/>
      <c r="ZK639" s="340"/>
      <c r="ZL639" s="354"/>
      <c r="ZM639" s="313"/>
      <c r="ZN639" s="340"/>
      <c r="ZO639" s="340"/>
      <c r="ZP639" s="354"/>
      <c r="ZQ639" s="313"/>
      <c r="ZR639" s="340"/>
      <c r="ZS639" s="340"/>
      <c r="ZT639" s="354"/>
      <c r="ZU639" s="313"/>
      <c r="ZV639" s="340"/>
      <c r="ZW639" s="340"/>
      <c r="ZX639" s="354"/>
      <c r="ZY639" s="313"/>
      <c r="ZZ639" s="340"/>
      <c r="AAA639" s="340"/>
      <c r="AAB639" s="354"/>
      <c r="AAC639" s="313"/>
      <c r="AAD639" s="340"/>
      <c r="AAE639" s="340"/>
      <c r="AAF639" s="354"/>
      <c r="AAG639" s="313"/>
      <c r="AAH639" s="340"/>
      <c r="AAI639" s="340"/>
      <c r="AAJ639" s="354"/>
      <c r="AAK639" s="313"/>
      <c r="AAL639" s="340"/>
      <c r="AAM639" s="340"/>
      <c r="AAN639" s="354"/>
      <c r="AAO639" s="313"/>
      <c r="AAP639" s="340"/>
      <c r="AAQ639" s="340"/>
      <c r="AAR639" s="354"/>
      <c r="AAS639" s="313"/>
      <c r="AAT639" s="340"/>
      <c r="AAU639" s="340"/>
      <c r="AAV639" s="354"/>
      <c r="AAW639" s="313"/>
      <c r="AAX639" s="340"/>
      <c r="AAY639" s="340"/>
      <c r="AAZ639" s="354"/>
      <c r="ABA639" s="313"/>
      <c r="ABB639" s="340"/>
      <c r="ABC639" s="340"/>
      <c r="ABD639" s="354"/>
      <c r="ABE639" s="313"/>
      <c r="ABF639" s="340"/>
      <c r="ABG639" s="340"/>
      <c r="ABH639" s="354"/>
      <c r="ABI639" s="313"/>
      <c r="ABJ639" s="340"/>
      <c r="ABK639" s="340"/>
      <c r="ABL639" s="354"/>
      <c r="ABM639" s="313"/>
      <c r="ABN639" s="340"/>
      <c r="ABO639" s="340"/>
      <c r="ABP639" s="354"/>
      <c r="ABQ639" s="313"/>
      <c r="ABR639" s="340"/>
      <c r="ABS639" s="340"/>
      <c r="ABT639" s="354"/>
      <c r="ABU639" s="313"/>
      <c r="ABV639" s="340"/>
      <c r="ABW639" s="340"/>
      <c r="ABX639" s="354"/>
      <c r="ABY639" s="313"/>
      <c r="ABZ639" s="340"/>
      <c r="ACA639" s="340"/>
      <c r="ACB639" s="354"/>
      <c r="ACC639" s="313"/>
      <c r="ACD639" s="340"/>
      <c r="ACE639" s="340"/>
      <c r="ACF639" s="354"/>
      <c r="ACG639" s="313"/>
      <c r="ACH639" s="340"/>
      <c r="ACI639" s="340"/>
      <c r="ACJ639" s="354"/>
      <c r="ACK639" s="313"/>
      <c r="ACL639" s="340"/>
      <c r="ACM639" s="340"/>
      <c r="ACN639" s="354"/>
      <c r="ACO639" s="313"/>
      <c r="ACP639" s="340"/>
      <c r="ACQ639" s="340"/>
      <c r="ACR639" s="354"/>
      <c r="ACS639" s="313"/>
      <c r="ACT639" s="340"/>
      <c r="ACU639" s="340"/>
      <c r="ACV639" s="354"/>
      <c r="ACW639" s="313"/>
      <c r="ACX639" s="340"/>
      <c r="ACY639" s="340"/>
      <c r="ACZ639" s="354"/>
      <c r="ADA639" s="313"/>
      <c r="ADB639" s="340"/>
      <c r="ADC639" s="340"/>
      <c r="ADD639" s="354"/>
      <c r="ADE639" s="313"/>
      <c r="ADF639" s="340"/>
      <c r="ADG639" s="340"/>
      <c r="ADH639" s="354"/>
      <c r="ADI639" s="313"/>
      <c r="ADJ639" s="340"/>
      <c r="ADK639" s="340"/>
      <c r="ADL639" s="354"/>
      <c r="ADM639" s="313"/>
      <c r="ADN639" s="340"/>
      <c r="ADO639" s="340"/>
      <c r="ADP639" s="354"/>
      <c r="ADQ639" s="313"/>
      <c r="ADR639" s="340"/>
      <c r="ADS639" s="340"/>
      <c r="ADT639" s="354"/>
      <c r="ADU639" s="313"/>
      <c r="ADV639" s="340"/>
      <c r="ADW639" s="340"/>
      <c r="ADX639" s="354"/>
      <c r="ADY639" s="313"/>
      <c r="ADZ639" s="340"/>
      <c r="AEA639" s="340"/>
      <c r="AEB639" s="354"/>
      <c r="AEC639" s="313"/>
      <c r="AED639" s="340"/>
      <c r="AEE639" s="340"/>
      <c r="AEF639" s="354"/>
      <c r="AEG639" s="313"/>
      <c r="AEH639" s="340"/>
      <c r="AEI639" s="340"/>
      <c r="AEJ639" s="354"/>
      <c r="AEK639" s="313"/>
      <c r="AEL639" s="340"/>
      <c r="AEM639" s="340"/>
      <c r="AEN639" s="354"/>
      <c r="AEO639" s="313"/>
      <c r="AEP639" s="340"/>
      <c r="AEQ639" s="340"/>
      <c r="AER639" s="354"/>
      <c r="AES639" s="313"/>
      <c r="AET639" s="340"/>
      <c r="AEU639" s="340"/>
      <c r="AEV639" s="354"/>
      <c r="AEW639" s="313"/>
      <c r="AEX639" s="340"/>
      <c r="AEY639" s="340"/>
      <c r="AEZ639" s="354"/>
      <c r="AFA639" s="313"/>
      <c r="AFB639" s="340"/>
      <c r="AFC639" s="340"/>
      <c r="AFD639" s="354"/>
      <c r="AFE639" s="313"/>
      <c r="AFF639" s="340"/>
      <c r="AFG639" s="340"/>
      <c r="AFH639" s="354"/>
      <c r="AFI639" s="313"/>
      <c r="AFJ639" s="340"/>
      <c r="AFK639" s="340"/>
      <c r="AFL639" s="354"/>
      <c r="AFM639" s="313"/>
      <c r="AFN639" s="340"/>
      <c r="AFO639" s="340"/>
      <c r="AFP639" s="354"/>
      <c r="AFQ639" s="313"/>
      <c r="AFR639" s="340"/>
      <c r="AFS639" s="340"/>
      <c r="AFT639" s="354"/>
      <c r="AFU639" s="313"/>
      <c r="AFV639" s="340"/>
      <c r="AFW639" s="340"/>
      <c r="AFX639" s="354"/>
      <c r="AFY639" s="313"/>
      <c r="AFZ639" s="340"/>
      <c r="AGA639" s="340"/>
      <c r="AGB639" s="354"/>
      <c r="AGC639" s="313"/>
      <c r="AGD639" s="340"/>
      <c r="AGE639" s="340"/>
      <c r="AGF639" s="354"/>
      <c r="AGG639" s="313"/>
      <c r="AGH639" s="340"/>
      <c r="AGI639" s="340"/>
      <c r="AGJ639" s="354"/>
      <c r="AGK639" s="313"/>
      <c r="AGL639" s="340"/>
      <c r="AGM639" s="340"/>
      <c r="AGN639" s="354"/>
      <c r="AGO639" s="313"/>
      <c r="AGP639" s="340"/>
      <c r="AGQ639" s="340"/>
      <c r="AGR639" s="354"/>
      <c r="AGS639" s="313"/>
      <c r="AGT639" s="340"/>
      <c r="AGU639" s="340"/>
      <c r="AGV639" s="354"/>
      <c r="AGW639" s="313"/>
      <c r="AGX639" s="340"/>
      <c r="AGY639" s="340"/>
      <c r="AGZ639" s="354"/>
      <c r="AHA639" s="313"/>
      <c r="AHB639" s="340"/>
      <c r="AHC639" s="340"/>
      <c r="AHD639" s="354"/>
      <c r="AHE639" s="313"/>
      <c r="AHF639" s="340"/>
      <c r="AHG639" s="340"/>
      <c r="AHH639" s="354"/>
      <c r="AHI639" s="313"/>
      <c r="AHJ639" s="340"/>
      <c r="AHK639" s="340"/>
      <c r="AHL639" s="354"/>
      <c r="AHM639" s="313"/>
      <c r="AHN639" s="340"/>
      <c r="AHO639" s="340"/>
      <c r="AHP639" s="354"/>
      <c r="AHQ639" s="313"/>
      <c r="AHR639" s="340"/>
      <c r="AHS639" s="340"/>
      <c r="AHT639" s="354"/>
      <c r="AHU639" s="313"/>
      <c r="AHV639" s="340"/>
      <c r="AHW639" s="340"/>
      <c r="AHX639" s="354"/>
      <c r="AHY639" s="313"/>
      <c r="AHZ639" s="340"/>
      <c r="AIA639" s="340"/>
      <c r="AIB639" s="354"/>
      <c r="AIC639" s="313"/>
      <c r="AID639" s="340"/>
      <c r="AIE639" s="340"/>
      <c r="AIF639" s="354"/>
      <c r="AIG639" s="313"/>
      <c r="AIH639" s="340"/>
      <c r="AII639" s="340"/>
      <c r="AIJ639" s="354"/>
      <c r="AIK639" s="313"/>
      <c r="AIL639" s="340"/>
      <c r="AIM639" s="340"/>
      <c r="AIN639" s="354"/>
      <c r="AIO639" s="313"/>
      <c r="AIP639" s="340"/>
      <c r="AIQ639" s="340"/>
      <c r="AIR639" s="354"/>
      <c r="AIS639" s="313"/>
      <c r="AIT639" s="340"/>
      <c r="AIU639" s="340"/>
      <c r="AIV639" s="354"/>
      <c r="AIW639" s="313"/>
      <c r="AIX639" s="340"/>
      <c r="AIY639" s="340"/>
      <c r="AIZ639" s="354"/>
      <c r="AJA639" s="313"/>
      <c r="AJB639" s="340"/>
      <c r="AJC639" s="340"/>
      <c r="AJD639" s="354"/>
      <c r="AJE639" s="313"/>
      <c r="AJF639" s="340"/>
      <c r="AJG639" s="340"/>
      <c r="AJH639" s="354"/>
      <c r="AJI639" s="313"/>
      <c r="AJJ639" s="340"/>
      <c r="AJK639" s="340"/>
      <c r="AJL639" s="354"/>
      <c r="AJM639" s="313"/>
      <c r="AJN639" s="340"/>
      <c r="AJO639" s="340"/>
      <c r="AJP639" s="354"/>
      <c r="AJQ639" s="313"/>
      <c r="AJR639" s="340"/>
      <c r="AJS639" s="340"/>
      <c r="AJT639" s="354"/>
      <c r="AJU639" s="313"/>
      <c r="AJV639" s="340"/>
      <c r="AJW639" s="340"/>
      <c r="AJX639" s="354"/>
      <c r="AJY639" s="313"/>
      <c r="AJZ639" s="340"/>
      <c r="AKA639" s="340"/>
      <c r="AKB639" s="354"/>
      <c r="AKC639" s="313"/>
      <c r="AKD639" s="340"/>
      <c r="AKE639" s="340"/>
      <c r="AKF639" s="354"/>
      <c r="AKG639" s="313"/>
      <c r="AKH639" s="340"/>
      <c r="AKI639" s="340"/>
      <c r="AKJ639" s="354"/>
      <c r="AKK639" s="313"/>
      <c r="AKL639" s="340"/>
      <c r="AKM639" s="340"/>
      <c r="AKN639" s="354"/>
      <c r="AKO639" s="313"/>
      <c r="AKP639" s="340"/>
      <c r="AKQ639" s="340"/>
      <c r="AKR639" s="354"/>
      <c r="AKS639" s="313"/>
      <c r="AKT639" s="340"/>
      <c r="AKU639" s="340"/>
      <c r="AKV639" s="354"/>
      <c r="AKW639" s="313"/>
      <c r="AKX639" s="340"/>
      <c r="AKY639" s="340"/>
      <c r="AKZ639" s="354"/>
      <c r="ALA639" s="313"/>
      <c r="ALB639" s="340"/>
      <c r="ALC639" s="340"/>
      <c r="ALD639" s="354"/>
      <c r="ALE639" s="313"/>
      <c r="ALF639" s="340"/>
      <c r="ALG639" s="340"/>
      <c r="ALH639" s="354"/>
      <c r="ALI639" s="313"/>
      <c r="ALJ639" s="340"/>
      <c r="ALK639" s="340"/>
      <c r="ALL639" s="354"/>
      <c r="ALM639" s="313"/>
      <c r="ALN639" s="340"/>
      <c r="ALO639" s="340"/>
      <c r="ALP639" s="354"/>
      <c r="ALQ639" s="313"/>
      <c r="ALR639" s="340"/>
      <c r="ALS639" s="340"/>
      <c r="ALT639" s="354"/>
      <c r="ALU639" s="313"/>
      <c r="ALV639" s="340"/>
      <c r="ALW639" s="340"/>
      <c r="ALX639" s="354"/>
      <c r="ALY639" s="313"/>
      <c r="ALZ639" s="340"/>
      <c r="AMA639" s="340"/>
      <c r="AMB639" s="354"/>
      <c r="AMC639" s="313"/>
      <c r="AMD639" s="340"/>
      <c r="AME639" s="340"/>
      <c r="AMF639" s="354"/>
      <c r="AMG639" s="313"/>
      <c r="AMH639" s="340"/>
      <c r="AMI639" s="340"/>
      <c r="AMJ639" s="354"/>
      <c r="AMK639" s="313"/>
      <c r="AML639" s="340"/>
      <c r="AMM639" s="340"/>
      <c r="AMN639" s="354"/>
      <c r="AMO639" s="313"/>
      <c r="AMP639" s="340"/>
      <c r="AMQ639" s="340"/>
      <c r="AMR639" s="354"/>
      <c r="AMS639" s="313"/>
      <c r="AMT639" s="340"/>
      <c r="AMU639" s="340"/>
      <c r="AMV639" s="354"/>
      <c r="AMW639" s="313"/>
      <c r="AMX639" s="340"/>
      <c r="AMY639" s="340"/>
      <c r="AMZ639" s="354"/>
      <c r="ANA639" s="313"/>
      <c r="ANB639" s="340"/>
      <c r="ANC639" s="340"/>
      <c r="AND639" s="354"/>
      <c r="ANE639" s="313"/>
      <c r="ANF639" s="340"/>
      <c r="ANG639" s="340"/>
      <c r="ANH639" s="354"/>
      <c r="ANI639" s="313"/>
      <c r="ANJ639" s="340"/>
      <c r="ANK639" s="340"/>
      <c r="ANL639" s="354"/>
      <c r="ANM639" s="313"/>
      <c r="ANN639" s="340"/>
      <c r="ANO639" s="340"/>
      <c r="ANP639" s="354"/>
      <c r="ANQ639" s="313"/>
      <c r="ANR639" s="340"/>
      <c r="ANS639" s="340"/>
      <c r="ANT639" s="354"/>
      <c r="ANU639" s="313"/>
      <c r="ANV639" s="340"/>
      <c r="ANW639" s="340"/>
      <c r="ANX639" s="354"/>
      <c r="ANY639" s="313"/>
      <c r="ANZ639" s="340"/>
      <c r="AOA639" s="340"/>
      <c r="AOB639" s="354"/>
      <c r="AOC639" s="313"/>
      <c r="AOD639" s="340"/>
      <c r="AOE639" s="340"/>
      <c r="AOF639" s="354"/>
      <c r="AOG639" s="313"/>
      <c r="AOH639" s="340"/>
      <c r="AOI639" s="340"/>
      <c r="AOJ639" s="354"/>
      <c r="AOK639" s="313"/>
      <c r="AOL639" s="340"/>
      <c r="AOM639" s="340"/>
      <c r="AON639" s="354"/>
      <c r="AOO639" s="313"/>
      <c r="AOP639" s="340"/>
      <c r="AOQ639" s="340"/>
      <c r="AOR639" s="354"/>
      <c r="AOS639" s="313"/>
      <c r="AOT639" s="340"/>
      <c r="AOU639" s="340"/>
      <c r="AOV639" s="354"/>
      <c r="AOW639" s="313"/>
      <c r="AOX639" s="340"/>
      <c r="AOY639" s="340"/>
      <c r="AOZ639" s="354"/>
      <c r="APA639" s="313"/>
      <c r="APB639" s="340"/>
      <c r="APC639" s="340"/>
      <c r="APD639" s="354"/>
      <c r="APE639" s="313"/>
      <c r="APF639" s="340"/>
      <c r="APG639" s="340"/>
      <c r="APH639" s="354"/>
      <c r="API639" s="313"/>
      <c r="APJ639" s="340"/>
      <c r="APK639" s="340"/>
      <c r="APL639" s="354"/>
      <c r="APM639" s="313"/>
      <c r="APN639" s="340"/>
      <c r="APO639" s="340"/>
      <c r="APP639" s="354"/>
      <c r="APQ639" s="313"/>
      <c r="APR639" s="340"/>
      <c r="APS639" s="340"/>
      <c r="APT639" s="354"/>
      <c r="APU639" s="313"/>
      <c r="APV639" s="340"/>
      <c r="APW639" s="340"/>
      <c r="APX639" s="354"/>
      <c r="APY639" s="313"/>
      <c r="APZ639" s="340"/>
      <c r="AQA639" s="340"/>
      <c r="AQB639" s="354"/>
      <c r="AQC639" s="313"/>
      <c r="AQD639" s="340"/>
      <c r="AQE639" s="340"/>
      <c r="AQF639" s="354"/>
      <c r="AQG639" s="313"/>
      <c r="AQH639" s="340"/>
      <c r="AQI639" s="340"/>
      <c r="AQJ639" s="354"/>
      <c r="AQK639" s="313"/>
      <c r="AQL639" s="340"/>
      <c r="AQM639" s="340"/>
      <c r="AQN639" s="354"/>
      <c r="AQO639" s="313"/>
      <c r="AQP639" s="340"/>
      <c r="AQQ639" s="340"/>
      <c r="AQR639" s="354"/>
      <c r="AQS639" s="313"/>
      <c r="AQT639" s="340"/>
      <c r="AQU639" s="340"/>
      <c r="AQV639" s="354"/>
      <c r="AQW639" s="313"/>
      <c r="AQX639" s="340"/>
      <c r="AQY639" s="340"/>
      <c r="AQZ639" s="354"/>
      <c r="ARA639" s="313"/>
      <c r="ARB639" s="340"/>
      <c r="ARC639" s="340"/>
      <c r="ARD639" s="354"/>
      <c r="ARE639" s="313"/>
      <c r="ARF639" s="340"/>
      <c r="ARG639" s="340"/>
      <c r="ARH639" s="354"/>
      <c r="ARI639" s="313"/>
      <c r="ARJ639" s="340"/>
      <c r="ARK639" s="340"/>
      <c r="ARL639" s="354"/>
      <c r="ARM639" s="313"/>
      <c r="ARN639" s="340"/>
      <c r="ARO639" s="340"/>
      <c r="ARP639" s="354"/>
      <c r="ARQ639" s="313"/>
      <c r="ARR639" s="340"/>
      <c r="ARS639" s="340"/>
      <c r="ART639" s="354"/>
      <c r="ARU639" s="313"/>
      <c r="ARV639" s="340"/>
      <c r="ARW639" s="340"/>
      <c r="ARX639" s="354"/>
      <c r="ARY639" s="313"/>
      <c r="ARZ639" s="340"/>
      <c r="ASA639" s="340"/>
      <c r="ASB639" s="354"/>
      <c r="ASC639" s="313"/>
      <c r="ASD639" s="340"/>
      <c r="ASE639" s="340"/>
      <c r="ASF639" s="354"/>
      <c r="ASG639" s="313"/>
      <c r="ASH639" s="340"/>
      <c r="ASI639" s="340"/>
      <c r="ASJ639" s="354"/>
      <c r="ASK639" s="313"/>
      <c r="ASL639" s="340"/>
      <c r="ASM639" s="340"/>
      <c r="ASN639" s="354"/>
      <c r="ASO639" s="313"/>
      <c r="ASP639" s="340"/>
      <c r="ASQ639" s="340"/>
      <c r="ASR639" s="354"/>
      <c r="ASS639" s="313"/>
      <c r="AST639" s="340"/>
      <c r="ASU639" s="340"/>
      <c r="ASV639" s="354"/>
      <c r="ASW639" s="313"/>
      <c r="ASX639" s="340"/>
      <c r="ASY639" s="340"/>
      <c r="ASZ639" s="354"/>
      <c r="ATA639" s="313"/>
      <c r="ATB639" s="340"/>
      <c r="ATC639" s="340"/>
      <c r="ATD639" s="354"/>
      <c r="ATE639" s="313"/>
      <c r="ATF639" s="340"/>
      <c r="ATG639" s="340"/>
      <c r="ATH639" s="354"/>
      <c r="ATI639" s="313"/>
      <c r="ATJ639" s="340"/>
      <c r="ATK639" s="340"/>
      <c r="ATL639" s="354"/>
      <c r="ATM639" s="313"/>
      <c r="ATN639" s="340"/>
      <c r="ATO639" s="340"/>
      <c r="ATP639" s="354"/>
      <c r="ATQ639" s="313"/>
      <c r="ATR639" s="340"/>
      <c r="ATS639" s="340"/>
      <c r="ATT639" s="354"/>
      <c r="ATU639" s="313"/>
      <c r="ATV639" s="340"/>
      <c r="ATW639" s="340"/>
      <c r="ATX639" s="354"/>
      <c r="ATY639" s="313"/>
      <c r="ATZ639" s="340"/>
      <c r="AUA639" s="340"/>
      <c r="AUB639" s="354"/>
      <c r="AUC639" s="313"/>
      <c r="AUD639" s="340"/>
      <c r="AUE639" s="340"/>
      <c r="AUF639" s="354"/>
      <c r="AUG639" s="313"/>
      <c r="AUH639" s="340"/>
      <c r="AUI639" s="340"/>
      <c r="AUJ639" s="354"/>
      <c r="AUK639" s="313"/>
      <c r="AUL639" s="340"/>
      <c r="AUM639" s="340"/>
      <c r="AUN639" s="354"/>
      <c r="AUO639" s="313"/>
      <c r="AUP639" s="340"/>
      <c r="AUQ639" s="340"/>
      <c r="AUR639" s="354"/>
      <c r="AUS639" s="313"/>
      <c r="AUT639" s="340"/>
      <c r="AUU639" s="340"/>
      <c r="AUV639" s="354"/>
      <c r="AUW639" s="313"/>
      <c r="AUX639" s="340"/>
      <c r="AUY639" s="340"/>
      <c r="AUZ639" s="354"/>
      <c r="AVA639" s="313"/>
      <c r="AVB639" s="340"/>
      <c r="AVC639" s="340"/>
      <c r="AVD639" s="354"/>
      <c r="AVE639" s="313"/>
      <c r="AVF639" s="340"/>
      <c r="AVG639" s="340"/>
      <c r="AVH639" s="354"/>
      <c r="AVI639" s="313"/>
      <c r="AVJ639" s="340"/>
      <c r="AVK639" s="340"/>
      <c r="AVL639" s="354"/>
      <c r="AVM639" s="313"/>
      <c r="AVN639" s="340"/>
      <c r="AVO639" s="340"/>
      <c r="AVP639" s="354"/>
      <c r="AVQ639" s="313"/>
      <c r="AVR639" s="340"/>
      <c r="AVS639" s="340"/>
      <c r="AVT639" s="354"/>
      <c r="AVU639" s="313"/>
      <c r="AVV639" s="340"/>
      <c r="AVW639" s="340"/>
      <c r="AVX639" s="354"/>
      <c r="AVY639" s="313"/>
      <c r="AVZ639" s="340"/>
      <c r="AWA639" s="340"/>
      <c r="AWB639" s="354"/>
      <c r="AWC639" s="313"/>
      <c r="AWD639" s="340"/>
      <c r="AWE639" s="340"/>
      <c r="AWF639" s="354"/>
      <c r="AWG639" s="313"/>
      <c r="AWH639" s="340"/>
      <c r="AWI639" s="340"/>
      <c r="AWJ639" s="354"/>
      <c r="AWK639" s="313"/>
      <c r="AWL639" s="340"/>
      <c r="AWM639" s="340"/>
      <c r="AWN639" s="354"/>
      <c r="AWO639" s="313"/>
      <c r="AWP639" s="340"/>
      <c r="AWQ639" s="340"/>
      <c r="AWR639" s="354"/>
      <c r="AWS639" s="313"/>
      <c r="AWT639" s="340"/>
      <c r="AWU639" s="340"/>
      <c r="AWV639" s="354"/>
      <c r="AWW639" s="313"/>
      <c r="AWX639" s="340"/>
      <c r="AWY639" s="340"/>
      <c r="AWZ639" s="354"/>
      <c r="AXA639" s="313"/>
      <c r="AXB639" s="340"/>
      <c r="AXC639" s="340"/>
      <c r="AXD639" s="354"/>
      <c r="AXE639" s="313"/>
      <c r="AXF639" s="340"/>
      <c r="AXG639" s="340"/>
      <c r="AXH639" s="354"/>
      <c r="AXI639" s="313"/>
      <c r="AXJ639" s="340"/>
      <c r="AXK639" s="340"/>
      <c r="AXL639" s="354"/>
      <c r="AXM639" s="313"/>
      <c r="AXN639" s="340"/>
      <c r="AXO639" s="340"/>
      <c r="AXP639" s="354"/>
      <c r="AXQ639" s="313"/>
      <c r="AXR639" s="340"/>
      <c r="AXS639" s="340"/>
      <c r="AXT639" s="354"/>
      <c r="AXU639" s="313"/>
      <c r="AXV639" s="340"/>
      <c r="AXW639" s="340"/>
      <c r="AXX639" s="354"/>
      <c r="AXY639" s="313"/>
      <c r="AXZ639" s="340"/>
      <c r="AYA639" s="340"/>
      <c r="AYB639" s="354"/>
      <c r="AYC639" s="313"/>
      <c r="AYD639" s="340"/>
      <c r="AYE639" s="340"/>
      <c r="AYF639" s="354"/>
      <c r="AYG639" s="313"/>
      <c r="AYH639" s="340"/>
      <c r="AYI639" s="340"/>
      <c r="AYJ639" s="354"/>
      <c r="AYK639" s="313"/>
      <c r="AYL639" s="340"/>
      <c r="AYM639" s="340"/>
      <c r="AYN639" s="354"/>
      <c r="AYO639" s="313"/>
      <c r="AYP639" s="340"/>
      <c r="AYQ639" s="340"/>
      <c r="AYR639" s="354"/>
      <c r="AYS639" s="313"/>
      <c r="AYT639" s="340"/>
      <c r="AYU639" s="340"/>
      <c r="AYV639" s="354"/>
      <c r="AYW639" s="313"/>
      <c r="AYX639" s="340"/>
      <c r="AYY639" s="340"/>
      <c r="AYZ639" s="354"/>
      <c r="AZA639" s="313"/>
      <c r="AZB639" s="340"/>
      <c r="AZC639" s="340"/>
      <c r="AZD639" s="354"/>
      <c r="AZE639" s="313"/>
      <c r="AZF639" s="340"/>
      <c r="AZG639" s="340"/>
      <c r="AZH639" s="354"/>
      <c r="AZI639" s="313"/>
      <c r="AZJ639" s="340"/>
      <c r="AZK639" s="340"/>
      <c r="AZL639" s="354"/>
      <c r="AZM639" s="313"/>
      <c r="AZN639" s="340"/>
      <c r="AZO639" s="340"/>
      <c r="AZP639" s="354"/>
      <c r="AZQ639" s="313"/>
      <c r="AZR639" s="340"/>
      <c r="AZS639" s="340"/>
      <c r="AZT639" s="354"/>
      <c r="AZU639" s="313"/>
      <c r="AZV639" s="340"/>
      <c r="AZW639" s="340"/>
      <c r="AZX639" s="354"/>
      <c r="AZY639" s="313"/>
      <c r="AZZ639" s="340"/>
      <c r="BAA639" s="340"/>
      <c r="BAB639" s="354"/>
      <c r="BAC639" s="313"/>
      <c r="BAD639" s="340"/>
      <c r="BAE639" s="340"/>
      <c r="BAF639" s="354"/>
      <c r="BAG639" s="313"/>
      <c r="BAH639" s="340"/>
      <c r="BAI639" s="340"/>
      <c r="BAJ639" s="354"/>
      <c r="BAK639" s="313"/>
      <c r="BAL639" s="340"/>
      <c r="BAM639" s="340"/>
      <c r="BAN639" s="354"/>
      <c r="BAO639" s="313"/>
      <c r="BAP639" s="340"/>
      <c r="BAQ639" s="340"/>
      <c r="BAR639" s="354"/>
      <c r="BAS639" s="313"/>
      <c r="BAT639" s="340"/>
      <c r="BAU639" s="340"/>
      <c r="BAV639" s="354"/>
      <c r="BAW639" s="313"/>
      <c r="BAX639" s="340"/>
      <c r="BAY639" s="340"/>
      <c r="BAZ639" s="354"/>
      <c r="BBA639" s="313"/>
      <c r="BBB639" s="340"/>
      <c r="BBC639" s="340"/>
      <c r="BBD639" s="354"/>
      <c r="BBE639" s="313"/>
      <c r="BBF639" s="340"/>
      <c r="BBG639" s="340"/>
      <c r="BBH639" s="354"/>
      <c r="BBI639" s="313"/>
      <c r="BBJ639" s="340"/>
      <c r="BBK639" s="340"/>
      <c r="BBL639" s="354"/>
      <c r="BBM639" s="313"/>
      <c r="BBN639" s="340"/>
      <c r="BBO639" s="340"/>
      <c r="BBP639" s="354"/>
      <c r="BBQ639" s="313"/>
      <c r="BBR639" s="340"/>
      <c r="BBS639" s="340"/>
      <c r="BBT639" s="354"/>
      <c r="BBU639" s="313"/>
      <c r="BBV639" s="340"/>
      <c r="BBW639" s="340"/>
      <c r="BBX639" s="354"/>
      <c r="BBY639" s="313"/>
      <c r="BBZ639" s="340"/>
      <c r="BCA639" s="340"/>
      <c r="BCB639" s="354"/>
      <c r="BCC639" s="313"/>
      <c r="BCD639" s="340"/>
      <c r="BCE639" s="340"/>
      <c r="BCF639" s="354"/>
      <c r="BCG639" s="313"/>
      <c r="BCH639" s="340"/>
      <c r="BCI639" s="340"/>
      <c r="BCJ639" s="354"/>
      <c r="BCK639" s="313"/>
      <c r="BCL639" s="340"/>
      <c r="BCM639" s="340"/>
      <c r="BCN639" s="354"/>
      <c r="BCO639" s="313"/>
      <c r="BCP639" s="340"/>
      <c r="BCQ639" s="340"/>
      <c r="BCR639" s="354"/>
      <c r="BCS639" s="313"/>
      <c r="BCT639" s="340"/>
      <c r="BCU639" s="340"/>
      <c r="BCV639" s="354"/>
      <c r="BCW639" s="313"/>
      <c r="BCX639" s="340"/>
      <c r="BCY639" s="340"/>
      <c r="BCZ639" s="354"/>
      <c r="BDA639" s="313"/>
      <c r="BDB639" s="340"/>
      <c r="BDC639" s="340"/>
      <c r="BDD639" s="354"/>
      <c r="BDE639" s="313"/>
      <c r="BDF639" s="340"/>
      <c r="BDG639" s="340"/>
      <c r="BDH639" s="354"/>
      <c r="BDI639" s="313"/>
      <c r="BDJ639" s="340"/>
      <c r="BDK639" s="340"/>
      <c r="BDL639" s="354"/>
      <c r="BDM639" s="313"/>
      <c r="BDN639" s="340"/>
      <c r="BDO639" s="340"/>
      <c r="BDP639" s="354"/>
      <c r="BDQ639" s="313"/>
      <c r="BDR639" s="340"/>
      <c r="BDS639" s="340"/>
      <c r="BDT639" s="354"/>
      <c r="BDU639" s="313"/>
      <c r="BDV639" s="340"/>
      <c r="BDW639" s="340"/>
      <c r="BDX639" s="354"/>
      <c r="BDY639" s="313"/>
      <c r="BDZ639" s="340"/>
      <c r="BEA639" s="340"/>
      <c r="BEB639" s="354"/>
      <c r="BEC639" s="313"/>
      <c r="BED639" s="340"/>
      <c r="BEE639" s="340"/>
      <c r="BEF639" s="354"/>
      <c r="BEG639" s="313"/>
      <c r="BEH639" s="340"/>
      <c r="BEI639" s="340"/>
      <c r="BEJ639" s="354"/>
      <c r="BEK639" s="313"/>
      <c r="BEL639" s="340"/>
      <c r="BEM639" s="340"/>
      <c r="BEN639" s="354"/>
      <c r="BEO639" s="313"/>
      <c r="BEP639" s="340"/>
      <c r="BEQ639" s="340"/>
      <c r="BER639" s="354"/>
      <c r="BES639" s="313"/>
      <c r="BET639" s="340"/>
      <c r="BEU639" s="340"/>
      <c r="BEV639" s="354"/>
      <c r="BEW639" s="313"/>
      <c r="BEX639" s="340"/>
      <c r="BEY639" s="340"/>
      <c r="BEZ639" s="354"/>
      <c r="BFA639" s="313"/>
      <c r="BFB639" s="340"/>
      <c r="BFC639" s="340"/>
      <c r="BFD639" s="354"/>
      <c r="BFE639" s="313"/>
      <c r="BFF639" s="340"/>
      <c r="BFG639" s="340"/>
      <c r="BFH639" s="354"/>
      <c r="BFI639" s="313"/>
      <c r="BFJ639" s="340"/>
      <c r="BFK639" s="340"/>
      <c r="BFL639" s="354"/>
      <c r="BFM639" s="313"/>
      <c r="BFN639" s="340"/>
      <c r="BFO639" s="340"/>
      <c r="BFP639" s="354"/>
      <c r="BFQ639" s="313"/>
      <c r="BFR639" s="340"/>
      <c r="BFS639" s="340"/>
      <c r="BFT639" s="354"/>
      <c r="BFU639" s="313"/>
      <c r="BFV639" s="340"/>
      <c r="BFW639" s="340"/>
      <c r="BFX639" s="354"/>
      <c r="BFY639" s="313"/>
      <c r="BFZ639" s="340"/>
      <c r="BGA639" s="340"/>
      <c r="BGB639" s="354"/>
      <c r="BGC639" s="313"/>
      <c r="BGD639" s="340"/>
      <c r="BGE639" s="340"/>
      <c r="BGF639" s="354"/>
      <c r="BGG639" s="313"/>
      <c r="BGH639" s="340"/>
      <c r="BGI639" s="340"/>
      <c r="BGJ639" s="354"/>
      <c r="BGK639" s="313"/>
      <c r="BGL639" s="340"/>
      <c r="BGM639" s="340"/>
      <c r="BGN639" s="354"/>
      <c r="BGO639" s="313"/>
      <c r="BGP639" s="340"/>
      <c r="BGQ639" s="340"/>
      <c r="BGR639" s="354"/>
      <c r="BGS639" s="313"/>
      <c r="BGT639" s="340"/>
      <c r="BGU639" s="340"/>
      <c r="BGV639" s="354"/>
      <c r="BGW639" s="313"/>
      <c r="BGX639" s="340"/>
      <c r="BGY639" s="340"/>
      <c r="BGZ639" s="354"/>
      <c r="BHA639" s="313"/>
      <c r="BHB639" s="340"/>
      <c r="BHC639" s="340"/>
      <c r="BHD639" s="354"/>
      <c r="BHE639" s="313"/>
      <c r="BHF639" s="340"/>
      <c r="BHG639" s="340"/>
      <c r="BHH639" s="354"/>
      <c r="BHI639" s="313"/>
      <c r="BHJ639" s="340"/>
      <c r="BHK639" s="340"/>
      <c r="BHL639" s="354"/>
      <c r="BHM639" s="313"/>
      <c r="BHN639" s="340"/>
      <c r="BHO639" s="340"/>
      <c r="BHP639" s="354"/>
      <c r="BHQ639" s="313"/>
      <c r="BHR639" s="340"/>
      <c r="BHS639" s="340"/>
      <c r="BHT639" s="354"/>
      <c r="BHU639" s="313"/>
      <c r="BHV639" s="340"/>
      <c r="BHW639" s="340"/>
      <c r="BHX639" s="354"/>
      <c r="BHY639" s="313"/>
      <c r="BHZ639" s="340"/>
      <c r="BIA639" s="340"/>
      <c r="BIB639" s="354"/>
      <c r="BIC639" s="313"/>
      <c r="BID639" s="340"/>
      <c r="BIE639" s="340"/>
      <c r="BIF639" s="354"/>
      <c r="BIG639" s="313"/>
      <c r="BIH639" s="340"/>
      <c r="BII639" s="340"/>
      <c r="BIJ639" s="354"/>
      <c r="BIK639" s="313"/>
      <c r="BIL639" s="340"/>
      <c r="BIM639" s="340"/>
      <c r="BIN639" s="354"/>
      <c r="BIO639" s="313"/>
      <c r="BIP639" s="340"/>
      <c r="BIQ639" s="340"/>
      <c r="BIR639" s="354"/>
      <c r="BIS639" s="313"/>
      <c r="BIT639" s="340"/>
      <c r="BIU639" s="340"/>
      <c r="BIV639" s="354"/>
      <c r="BIW639" s="313"/>
      <c r="BIX639" s="340"/>
      <c r="BIY639" s="340"/>
      <c r="BIZ639" s="354"/>
      <c r="BJA639" s="313"/>
      <c r="BJB639" s="340"/>
      <c r="BJC639" s="340"/>
      <c r="BJD639" s="354"/>
      <c r="BJE639" s="313"/>
      <c r="BJF639" s="340"/>
      <c r="BJG639" s="340"/>
      <c r="BJH639" s="354"/>
      <c r="BJI639" s="313"/>
      <c r="BJJ639" s="340"/>
      <c r="BJK639" s="340"/>
      <c r="BJL639" s="354"/>
      <c r="BJM639" s="313"/>
      <c r="BJN639" s="340"/>
      <c r="BJO639" s="340"/>
      <c r="BJP639" s="354"/>
      <c r="BJQ639" s="313"/>
      <c r="BJR639" s="340"/>
      <c r="BJS639" s="340"/>
      <c r="BJT639" s="354"/>
      <c r="BJU639" s="313"/>
      <c r="BJV639" s="340"/>
      <c r="BJW639" s="340"/>
      <c r="BJX639" s="354"/>
      <c r="BJY639" s="313"/>
      <c r="BJZ639" s="340"/>
      <c r="BKA639" s="340"/>
      <c r="BKB639" s="354"/>
      <c r="BKC639" s="313"/>
      <c r="BKD639" s="340"/>
      <c r="BKE639" s="340"/>
      <c r="BKF639" s="354"/>
      <c r="BKG639" s="313"/>
      <c r="BKH639" s="340"/>
      <c r="BKI639" s="340"/>
      <c r="BKJ639" s="354"/>
      <c r="BKK639" s="313"/>
      <c r="BKL639" s="340"/>
      <c r="BKM639" s="340"/>
      <c r="BKN639" s="354"/>
      <c r="BKO639" s="313"/>
      <c r="BKP639" s="340"/>
      <c r="BKQ639" s="340"/>
      <c r="BKR639" s="354"/>
      <c r="BKS639" s="313"/>
      <c r="BKT639" s="340"/>
      <c r="BKU639" s="340"/>
      <c r="BKV639" s="354"/>
      <c r="BKW639" s="313"/>
      <c r="BKX639" s="340"/>
      <c r="BKY639" s="340"/>
      <c r="BKZ639" s="354"/>
      <c r="BLA639" s="313"/>
      <c r="BLB639" s="340"/>
      <c r="BLC639" s="340"/>
      <c r="BLD639" s="354"/>
      <c r="BLE639" s="313"/>
      <c r="BLF639" s="340"/>
      <c r="BLG639" s="340"/>
      <c r="BLH639" s="354"/>
      <c r="BLI639" s="313"/>
      <c r="BLJ639" s="340"/>
      <c r="BLK639" s="340"/>
      <c r="BLL639" s="354"/>
      <c r="BLM639" s="313"/>
      <c r="BLN639" s="340"/>
      <c r="BLO639" s="340"/>
      <c r="BLP639" s="354"/>
      <c r="BLQ639" s="313"/>
      <c r="BLR639" s="340"/>
      <c r="BLS639" s="340"/>
      <c r="BLT639" s="354"/>
      <c r="BLU639" s="313"/>
      <c r="BLV639" s="340"/>
      <c r="BLW639" s="340"/>
      <c r="BLX639" s="354"/>
      <c r="BLY639" s="313"/>
      <c r="BLZ639" s="340"/>
      <c r="BMA639" s="340"/>
      <c r="BMB639" s="354"/>
      <c r="BMC639" s="313"/>
      <c r="BMD639" s="340"/>
      <c r="BME639" s="340"/>
      <c r="BMF639" s="354"/>
      <c r="BMG639" s="313"/>
      <c r="BMH639" s="340"/>
      <c r="BMI639" s="340"/>
      <c r="BMJ639" s="354"/>
      <c r="BMK639" s="313"/>
      <c r="BML639" s="340"/>
      <c r="BMM639" s="340"/>
      <c r="BMN639" s="354"/>
      <c r="BMO639" s="313"/>
      <c r="BMP639" s="340"/>
      <c r="BMQ639" s="340"/>
      <c r="BMR639" s="354"/>
      <c r="BMS639" s="313"/>
      <c r="BMT639" s="340"/>
      <c r="BMU639" s="340"/>
      <c r="BMV639" s="354"/>
      <c r="BMW639" s="313"/>
      <c r="BMX639" s="340"/>
      <c r="BMY639" s="340"/>
      <c r="BMZ639" s="354"/>
      <c r="BNA639" s="313"/>
      <c r="BNB639" s="340"/>
      <c r="BNC639" s="340"/>
      <c r="BND639" s="354"/>
      <c r="BNE639" s="313"/>
      <c r="BNF639" s="340"/>
      <c r="BNG639" s="340"/>
      <c r="BNH639" s="354"/>
      <c r="BNI639" s="313"/>
      <c r="BNJ639" s="340"/>
      <c r="BNK639" s="340"/>
      <c r="BNL639" s="354"/>
      <c r="BNM639" s="313"/>
      <c r="BNN639" s="340"/>
      <c r="BNO639" s="340"/>
      <c r="BNP639" s="354"/>
      <c r="BNQ639" s="313"/>
      <c r="BNR639" s="340"/>
      <c r="BNS639" s="340"/>
      <c r="BNT639" s="354"/>
      <c r="BNU639" s="313"/>
      <c r="BNV639" s="340"/>
      <c r="BNW639" s="340"/>
      <c r="BNX639" s="354"/>
      <c r="BNY639" s="313"/>
      <c r="BNZ639" s="340"/>
      <c r="BOA639" s="340"/>
      <c r="BOB639" s="354"/>
      <c r="BOC639" s="313"/>
      <c r="BOD639" s="340"/>
      <c r="BOE639" s="340"/>
      <c r="BOF639" s="354"/>
      <c r="BOG639" s="313"/>
      <c r="BOH639" s="340"/>
      <c r="BOI639" s="340"/>
      <c r="BOJ639" s="354"/>
      <c r="BOK639" s="313"/>
      <c r="BOL639" s="340"/>
      <c r="BOM639" s="340"/>
      <c r="BON639" s="354"/>
      <c r="BOO639" s="313"/>
      <c r="BOP639" s="340"/>
      <c r="BOQ639" s="340"/>
      <c r="BOR639" s="354"/>
      <c r="BOS639" s="313"/>
      <c r="BOT639" s="340"/>
      <c r="BOU639" s="340"/>
      <c r="BOV639" s="354"/>
      <c r="BOW639" s="313"/>
      <c r="BOX639" s="340"/>
      <c r="BOY639" s="340"/>
      <c r="BOZ639" s="354"/>
      <c r="BPA639" s="313"/>
      <c r="BPB639" s="340"/>
      <c r="BPC639" s="340"/>
      <c r="BPD639" s="354"/>
      <c r="BPE639" s="313"/>
      <c r="BPF639" s="340"/>
      <c r="BPG639" s="340"/>
      <c r="BPH639" s="354"/>
      <c r="BPI639" s="313"/>
      <c r="BPJ639" s="340"/>
      <c r="BPK639" s="340"/>
      <c r="BPL639" s="354"/>
      <c r="BPM639" s="313"/>
      <c r="BPN639" s="340"/>
      <c r="BPO639" s="340"/>
      <c r="BPP639" s="354"/>
      <c r="BPQ639" s="313"/>
      <c r="BPR639" s="340"/>
      <c r="BPS639" s="340"/>
      <c r="BPT639" s="354"/>
      <c r="BPU639" s="313"/>
      <c r="BPV639" s="340"/>
      <c r="BPW639" s="340"/>
      <c r="BPX639" s="354"/>
      <c r="BPY639" s="313"/>
      <c r="BPZ639" s="340"/>
      <c r="BQA639" s="340"/>
      <c r="BQB639" s="354"/>
      <c r="BQC639" s="313"/>
      <c r="BQD639" s="340"/>
      <c r="BQE639" s="340"/>
      <c r="BQF639" s="354"/>
      <c r="BQG639" s="313"/>
      <c r="BQH639" s="340"/>
      <c r="BQI639" s="340"/>
      <c r="BQJ639" s="354"/>
      <c r="BQK639" s="313"/>
      <c r="BQL639" s="340"/>
      <c r="BQM639" s="340"/>
      <c r="BQN639" s="354"/>
      <c r="BQO639" s="313"/>
      <c r="BQP639" s="340"/>
      <c r="BQQ639" s="340"/>
      <c r="BQR639" s="354"/>
      <c r="BQS639" s="313"/>
      <c r="BQT639" s="340"/>
      <c r="BQU639" s="340"/>
      <c r="BQV639" s="354"/>
      <c r="BQW639" s="313"/>
      <c r="BQX639" s="340"/>
      <c r="BQY639" s="340"/>
      <c r="BQZ639" s="354"/>
      <c r="BRA639" s="313"/>
      <c r="BRB639" s="340"/>
      <c r="BRC639" s="340"/>
      <c r="BRD639" s="354"/>
      <c r="BRE639" s="313"/>
      <c r="BRF639" s="340"/>
      <c r="BRG639" s="340"/>
      <c r="BRH639" s="354"/>
      <c r="BRI639" s="313"/>
      <c r="BRJ639" s="340"/>
      <c r="BRK639" s="340"/>
      <c r="BRL639" s="354"/>
      <c r="BRM639" s="313"/>
      <c r="BRN639" s="340"/>
      <c r="BRO639" s="340"/>
      <c r="BRP639" s="354"/>
      <c r="BRQ639" s="313"/>
      <c r="BRR639" s="340"/>
      <c r="BRS639" s="340"/>
      <c r="BRT639" s="354"/>
      <c r="BRU639" s="313"/>
      <c r="BRV639" s="340"/>
      <c r="BRW639" s="340"/>
      <c r="BRX639" s="354"/>
      <c r="BRY639" s="313"/>
      <c r="BRZ639" s="340"/>
      <c r="BSA639" s="340"/>
      <c r="BSB639" s="354"/>
      <c r="BSC639" s="313"/>
      <c r="BSD639" s="340"/>
      <c r="BSE639" s="340"/>
      <c r="BSF639" s="354"/>
      <c r="BSG639" s="313"/>
      <c r="BSH639" s="340"/>
      <c r="BSI639" s="340"/>
      <c r="BSJ639" s="354"/>
      <c r="BSK639" s="313"/>
      <c r="BSL639" s="340"/>
      <c r="BSM639" s="340"/>
      <c r="BSN639" s="354"/>
      <c r="BSO639" s="313"/>
      <c r="BSP639" s="340"/>
      <c r="BSQ639" s="340"/>
      <c r="BSR639" s="354"/>
      <c r="BSS639" s="313"/>
      <c r="BST639" s="340"/>
      <c r="BSU639" s="340"/>
      <c r="BSV639" s="354"/>
      <c r="BSW639" s="313"/>
      <c r="BSX639" s="340"/>
      <c r="BSY639" s="340"/>
      <c r="BSZ639" s="354"/>
      <c r="BTA639" s="313"/>
      <c r="BTB639" s="340"/>
      <c r="BTC639" s="340"/>
      <c r="BTD639" s="354"/>
      <c r="BTE639" s="313"/>
      <c r="BTF639" s="340"/>
      <c r="BTG639" s="340"/>
      <c r="BTH639" s="354"/>
      <c r="BTI639" s="313"/>
      <c r="BTJ639" s="340"/>
      <c r="BTK639" s="340"/>
      <c r="BTL639" s="354"/>
      <c r="BTM639" s="313"/>
      <c r="BTN639" s="340"/>
      <c r="BTO639" s="340"/>
      <c r="BTP639" s="354"/>
      <c r="BTQ639" s="313"/>
      <c r="BTR639" s="340"/>
      <c r="BTS639" s="340"/>
      <c r="BTT639" s="354"/>
      <c r="BTU639" s="313"/>
      <c r="BTV639" s="340"/>
      <c r="BTW639" s="340"/>
      <c r="BTX639" s="354"/>
      <c r="BTY639" s="313"/>
      <c r="BTZ639" s="340"/>
      <c r="BUA639" s="340"/>
      <c r="BUB639" s="354"/>
      <c r="BUC639" s="313"/>
      <c r="BUD639" s="340"/>
      <c r="BUE639" s="340"/>
      <c r="BUF639" s="354"/>
      <c r="BUG639" s="313"/>
      <c r="BUH639" s="340"/>
      <c r="BUI639" s="340"/>
      <c r="BUJ639" s="354"/>
      <c r="BUK639" s="313"/>
      <c r="BUL639" s="340"/>
      <c r="BUM639" s="340"/>
      <c r="BUN639" s="354"/>
      <c r="BUO639" s="313"/>
      <c r="BUP639" s="340"/>
      <c r="BUQ639" s="340"/>
      <c r="BUR639" s="354"/>
      <c r="BUS639" s="313"/>
      <c r="BUT639" s="340"/>
      <c r="BUU639" s="340"/>
      <c r="BUV639" s="354"/>
      <c r="BUW639" s="313"/>
      <c r="BUX639" s="340"/>
      <c r="BUY639" s="340"/>
      <c r="BUZ639" s="354"/>
      <c r="BVA639" s="313"/>
      <c r="BVB639" s="340"/>
      <c r="BVC639" s="340"/>
      <c r="BVD639" s="354"/>
      <c r="BVE639" s="313"/>
      <c r="BVF639" s="340"/>
      <c r="BVG639" s="340"/>
      <c r="BVH639" s="354"/>
      <c r="BVI639" s="313"/>
      <c r="BVJ639" s="340"/>
      <c r="BVK639" s="340"/>
      <c r="BVL639" s="354"/>
      <c r="BVM639" s="313"/>
      <c r="BVN639" s="340"/>
      <c r="BVO639" s="340"/>
      <c r="BVP639" s="354"/>
      <c r="BVQ639" s="313"/>
      <c r="BVR639" s="340"/>
      <c r="BVS639" s="340"/>
      <c r="BVT639" s="354"/>
      <c r="BVU639" s="313"/>
      <c r="BVV639" s="340"/>
      <c r="BVW639" s="340"/>
      <c r="BVX639" s="354"/>
      <c r="BVY639" s="313"/>
      <c r="BVZ639" s="340"/>
      <c r="BWA639" s="340"/>
      <c r="BWB639" s="354"/>
      <c r="BWC639" s="313"/>
      <c r="BWD639" s="340"/>
      <c r="BWE639" s="340"/>
      <c r="BWF639" s="354"/>
      <c r="BWG639" s="313"/>
      <c r="BWH639" s="340"/>
      <c r="BWI639" s="340"/>
      <c r="BWJ639" s="354"/>
      <c r="BWK639" s="313"/>
      <c r="BWL639" s="340"/>
      <c r="BWM639" s="340"/>
      <c r="BWN639" s="354"/>
      <c r="BWO639" s="313"/>
      <c r="BWP639" s="340"/>
      <c r="BWQ639" s="340"/>
      <c r="BWR639" s="354"/>
      <c r="BWS639" s="313"/>
      <c r="BWT639" s="340"/>
      <c r="BWU639" s="340"/>
      <c r="BWV639" s="354"/>
      <c r="BWW639" s="313"/>
      <c r="BWX639" s="340"/>
      <c r="BWY639" s="340"/>
      <c r="BWZ639" s="354"/>
      <c r="BXA639" s="313"/>
      <c r="BXB639" s="340"/>
      <c r="BXC639" s="340"/>
      <c r="BXD639" s="354"/>
      <c r="BXE639" s="313"/>
      <c r="BXF639" s="340"/>
      <c r="BXG639" s="340"/>
      <c r="BXH639" s="354"/>
      <c r="BXI639" s="313"/>
      <c r="BXJ639" s="340"/>
      <c r="BXK639" s="340"/>
      <c r="BXL639" s="354"/>
      <c r="BXM639" s="313"/>
      <c r="BXN639" s="340"/>
      <c r="BXO639" s="340"/>
      <c r="BXP639" s="354"/>
      <c r="BXQ639" s="313"/>
      <c r="BXR639" s="340"/>
      <c r="BXS639" s="340"/>
      <c r="BXT639" s="354"/>
      <c r="BXU639" s="313"/>
      <c r="BXV639" s="340"/>
      <c r="BXW639" s="340"/>
      <c r="BXX639" s="354"/>
      <c r="BXY639" s="313"/>
      <c r="BXZ639" s="340"/>
      <c r="BYA639" s="340"/>
      <c r="BYB639" s="354"/>
      <c r="BYC639" s="313"/>
      <c r="BYD639" s="340"/>
      <c r="BYE639" s="340"/>
      <c r="BYF639" s="354"/>
      <c r="BYG639" s="313"/>
      <c r="BYH639" s="340"/>
      <c r="BYI639" s="340"/>
      <c r="BYJ639" s="354"/>
      <c r="BYK639" s="313"/>
      <c r="BYL639" s="340"/>
      <c r="BYM639" s="340"/>
      <c r="BYN639" s="354"/>
      <c r="BYO639" s="313"/>
      <c r="BYP639" s="340"/>
      <c r="BYQ639" s="340"/>
      <c r="BYR639" s="354"/>
      <c r="BYS639" s="313"/>
      <c r="BYT639" s="340"/>
      <c r="BYU639" s="340"/>
      <c r="BYV639" s="354"/>
      <c r="BYW639" s="313"/>
      <c r="BYX639" s="340"/>
      <c r="BYY639" s="340"/>
      <c r="BYZ639" s="354"/>
      <c r="BZA639" s="313"/>
      <c r="BZB639" s="340"/>
      <c r="BZC639" s="340"/>
      <c r="BZD639" s="354"/>
      <c r="BZE639" s="313"/>
      <c r="BZF639" s="340"/>
      <c r="BZG639" s="340"/>
      <c r="BZH639" s="354"/>
      <c r="BZI639" s="313"/>
      <c r="BZJ639" s="340"/>
      <c r="BZK639" s="340"/>
      <c r="BZL639" s="354"/>
      <c r="BZM639" s="313"/>
      <c r="BZN639" s="340"/>
      <c r="BZO639" s="340"/>
      <c r="BZP639" s="354"/>
      <c r="BZQ639" s="313"/>
      <c r="BZR639" s="340"/>
      <c r="BZS639" s="340"/>
      <c r="BZT639" s="354"/>
      <c r="BZU639" s="313"/>
      <c r="BZV639" s="340"/>
      <c r="BZW639" s="340"/>
      <c r="BZX639" s="354"/>
      <c r="BZY639" s="313"/>
      <c r="BZZ639" s="340"/>
      <c r="CAA639" s="340"/>
      <c r="CAB639" s="354"/>
      <c r="CAC639" s="313"/>
      <c r="CAD639" s="340"/>
      <c r="CAE639" s="340"/>
      <c r="CAF639" s="354"/>
      <c r="CAG639" s="313"/>
      <c r="CAH639" s="340"/>
      <c r="CAI639" s="340"/>
      <c r="CAJ639" s="354"/>
      <c r="CAK639" s="313"/>
      <c r="CAL639" s="340"/>
      <c r="CAM639" s="340"/>
      <c r="CAN639" s="354"/>
      <c r="CAO639" s="313"/>
      <c r="CAP639" s="340"/>
      <c r="CAQ639" s="340"/>
      <c r="CAR639" s="354"/>
      <c r="CAS639" s="313"/>
      <c r="CAT639" s="340"/>
      <c r="CAU639" s="340"/>
      <c r="CAV639" s="354"/>
      <c r="CAW639" s="313"/>
      <c r="CAX639" s="340"/>
      <c r="CAY639" s="340"/>
      <c r="CAZ639" s="354"/>
      <c r="CBA639" s="313"/>
      <c r="CBB639" s="340"/>
      <c r="CBC639" s="340"/>
      <c r="CBD639" s="354"/>
      <c r="CBE639" s="313"/>
      <c r="CBF639" s="340"/>
      <c r="CBG639" s="340"/>
      <c r="CBH639" s="354"/>
      <c r="CBI639" s="313"/>
      <c r="CBJ639" s="340"/>
      <c r="CBK639" s="340"/>
      <c r="CBL639" s="354"/>
      <c r="CBM639" s="313"/>
      <c r="CBN639" s="340"/>
      <c r="CBO639" s="340"/>
      <c r="CBP639" s="354"/>
      <c r="CBQ639" s="313"/>
      <c r="CBR639" s="340"/>
      <c r="CBS639" s="340"/>
      <c r="CBT639" s="354"/>
      <c r="CBU639" s="313"/>
      <c r="CBV639" s="340"/>
      <c r="CBW639" s="340"/>
      <c r="CBX639" s="354"/>
      <c r="CBY639" s="313"/>
      <c r="CBZ639" s="340"/>
      <c r="CCA639" s="340"/>
      <c r="CCB639" s="354"/>
      <c r="CCC639" s="313"/>
      <c r="CCD639" s="340"/>
      <c r="CCE639" s="340"/>
      <c r="CCF639" s="354"/>
      <c r="CCG639" s="313"/>
      <c r="CCH639" s="340"/>
      <c r="CCI639" s="340"/>
      <c r="CCJ639" s="354"/>
      <c r="CCK639" s="313"/>
      <c r="CCL639" s="340"/>
      <c r="CCM639" s="340"/>
      <c r="CCN639" s="354"/>
      <c r="CCO639" s="313"/>
      <c r="CCP639" s="340"/>
      <c r="CCQ639" s="340"/>
      <c r="CCR639" s="354"/>
      <c r="CCS639" s="313"/>
      <c r="CCT639" s="340"/>
      <c r="CCU639" s="340"/>
      <c r="CCV639" s="354"/>
      <c r="CCW639" s="313"/>
      <c r="CCX639" s="340"/>
      <c r="CCY639" s="340"/>
      <c r="CCZ639" s="354"/>
      <c r="CDA639" s="313"/>
      <c r="CDB639" s="340"/>
      <c r="CDC639" s="340"/>
      <c r="CDD639" s="354"/>
      <c r="CDE639" s="313"/>
      <c r="CDF639" s="340"/>
      <c r="CDG639" s="340"/>
      <c r="CDH639" s="354"/>
      <c r="CDI639" s="313"/>
      <c r="CDJ639" s="340"/>
      <c r="CDK639" s="340"/>
      <c r="CDL639" s="354"/>
      <c r="CDM639" s="313"/>
      <c r="CDN639" s="340"/>
      <c r="CDO639" s="340"/>
      <c r="CDP639" s="354"/>
      <c r="CDQ639" s="313"/>
      <c r="CDR639" s="340"/>
      <c r="CDS639" s="340"/>
      <c r="CDT639" s="354"/>
      <c r="CDU639" s="313"/>
      <c r="CDV639" s="340"/>
      <c r="CDW639" s="340"/>
      <c r="CDX639" s="354"/>
      <c r="CDY639" s="313"/>
      <c r="CDZ639" s="340"/>
      <c r="CEA639" s="340"/>
      <c r="CEB639" s="354"/>
      <c r="CEC639" s="313"/>
      <c r="CED639" s="340"/>
      <c r="CEE639" s="340"/>
      <c r="CEF639" s="354"/>
      <c r="CEG639" s="313"/>
      <c r="CEH639" s="340"/>
      <c r="CEI639" s="340"/>
      <c r="CEJ639" s="354"/>
      <c r="CEK639" s="313"/>
      <c r="CEL639" s="340"/>
      <c r="CEM639" s="340"/>
      <c r="CEN639" s="354"/>
      <c r="CEO639" s="313"/>
      <c r="CEP639" s="340"/>
      <c r="CEQ639" s="340"/>
      <c r="CER639" s="354"/>
      <c r="CES639" s="313"/>
      <c r="CET639" s="340"/>
      <c r="CEU639" s="340"/>
      <c r="CEV639" s="354"/>
      <c r="CEW639" s="313"/>
      <c r="CEX639" s="340"/>
      <c r="CEY639" s="340"/>
      <c r="CEZ639" s="354"/>
      <c r="CFA639" s="313"/>
      <c r="CFB639" s="340"/>
      <c r="CFC639" s="340"/>
      <c r="CFD639" s="354"/>
      <c r="CFE639" s="313"/>
      <c r="CFF639" s="340"/>
      <c r="CFG639" s="340"/>
      <c r="CFH639" s="354"/>
      <c r="CFI639" s="313"/>
      <c r="CFJ639" s="340"/>
      <c r="CFK639" s="340"/>
      <c r="CFL639" s="354"/>
      <c r="CFM639" s="313"/>
      <c r="CFN639" s="340"/>
      <c r="CFO639" s="340"/>
      <c r="CFP639" s="354"/>
      <c r="CFQ639" s="313"/>
      <c r="CFR639" s="340"/>
      <c r="CFS639" s="340"/>
      <c r="CFT639" s="354"/>
      <c r="CFU639" s="313"/>
      <c r="CFV639" s="340"/>
      <c r="CFW639" s="340"/>
      <c r="CFX639" s="354"/>
      <c r="CFY639" s="313"/>
      <c r="CFZ639" s="340"/>
      <c r="CGA639" s="340"/>
      <c r="CGB639" s="354"/>
      <c r="CGC639" s="313"/>
      <c r="CGD639" s="340"/>
      <c r="CGE639" s="340"/>
      <c r="CGF639" s="354"/>
      <c r="CGG639" s="313"/>
      <c r="CGH639" s="340"/>
      <c r="CGI639" s="340"/>
      <c r="CGJ639" s="354"/>
      <c r="CGK639" s="313"/>
      <c r="CGL639" s="340"/>
      <c r="CGM639" s="340"/>
      <c r="CGN639" s="354"/>
      <c r="CGO639" s="313"/>
      <c r="CGP639" s="340"/>
      <c r="CGQ639" s="340"/>
      <c r="CGR639" s="354"/>
      <c r="CGS639" s="313"/>
      <c r="CGT639" s="340"/>
      <c r="CGU639" s="340"/>
      <c r="CGV639" s="354"/>
      <c r="CGW639" s="313"/>
      <c r="CGX639" s="340"/>
      <c r="CGY639" s="340"/>
      <c r="CGZ639" s="354"/>
      <c r="CHA639" s="313"/>
      <c r="CHB639" s="340"/>
      <c r="CHC639" s="340"/>
      <c r="CHD639" s="354"/>
      <c r="CHE639" s="313"/>
      <c r="CHF639" s="340"/>
      <c r="CHG639" s="340"/>
      <c r="CHH639" s="354"/>
      <c r="CHI639" s="313"/>
      <c r="CHJ639" s="340"/>
      <c r="CHK639" s="340"/>
      <c r="CHL639" s="354"/>
      <c r="CHM639" s="313"/>
      <c r="CHN639" s="340"/>
      <c r="CHO639" s="340"/>
      <c r="CHP639" s="354"/>
      <c r="CHQ639" s="313"/>
      <c r="CHR639" s="340"/>
      <c r="CHS639" s="340"/>
      <c r="CHT639" s="354"/>
      <c r="CHU639" s="313"/>
      <c r="CHV639" s="340"/>
      <c r="CHW639" s="340"/>
      <c r="CHX639" s="354"/>
      <c r="CHY639" s="313"/>
      <c r="CHZ639" s="340"/>
      <c r="CIA639" s="340"/>
      <c r="CIB639" s="354"/>
      <c r="CIC639" s="313"/>
      <c r="CID639" s="340"/>
      <c r="CIE639" s="340"/>
      <c r="CIF639" s="354"/>
      <c r="CIG639" s="313"/>
      <c r="CIH639" s="340"/>
      <c r="CII639" s="340"/>
      <c r="CIJ639" s="354"/>
      <c r="CIK639" s="313"/>
      <c r="CIL639" s="340"/>
      <c r="CIM639" s="340"/>
      <c r="CIN639" s="354"/>
      <c r="CIO639" s="313"/>
      <c r="CIP639" s="340"/>
      <c r="CIQ639" s="340"/>
      <c r="CIR639" s="354"/>
      <c r="CIS639" s="313"/>
      <c r="CIT639" s="340"/>
      <c r="CIU639" s="340"/>
      <c r="CIV639" s="354"/>
      <c r="CIW639" s="313"/>
      <c r="CIX639" s="340"/>
      <c r="CIY639" s="340"/>
      <c r="CIZ639" s="354"/>
      <c r="CJA639" s="313"/>
      <c r="CJB639" s="340"/>
      <c r="CJC639" s="340"/>
      <c r="CJD639" s="354"/>
      <c r="CJE639" s="313"/>
      <c r="CJF639" s="340"/>
      <c r="CJG639" s="340"/>
      <c r="CJH639" s="354"/>
      <c r="CJI639" s="313"/>
      <c r="CJJ639" s="340"/>
      <c r="CJK639" s="340"/>
      <c r="CJL639" s="354"/>
      <c r="CJM639" s="313"/>
      <c r="CJN639" s="340"/>
      <c r="CJO639" s="340"/>
      <c r="CJP639" s="354"/>
      <c r="CJQ639" s="313"/>
      <c r="CJR639" s="340"/>
      <c r="CJS639" s="340"/>
      <c r="CJT639" s="354"/>
      <c r="CJU639" s="313"/>
      <c r="CJV639" s="340"/>
      <c r="CJW639" s="340"/>
      <c r="CJX639" s="354"/>
      <c r="CJY639" s="313"/>
      <c r="CJZ639" s="340"/>
      <c r="CKA639" s="340"/>
      <c r="CKB639" s="354"/>
      <c r="CKC639" s="313"/>
      <c r="CKD639" s="340"/>
      <c r="CKE639" s="340"/>
      <c r="CKF639" s="354"/>
      <c r="CKG639" s="313"/>
      <c r="CKH639" s="340"/>
      <c r="CKI639" s="340"/>
      <c r="CKJ639" s="354"/>
      <c r="CKK639" s="313"/>
      <c r="CKL639" s="340"/>
      <c r="CKM639" s="340"/>
      <c r="CKN639" s="354"/>
      <c r="CKO639" s="313"/>
      <c r="CKP639" s="340"/>
      <c r="CKQ639" s="340"/>
      <c r="CKR639" s="354"/>
      <c r="CKS639" s="313"/>
      <c r="CKT639" s="340"/>
      <c r="CKU639" s="340"/>
      <c r="CKV639" s="354"/>
      <c r="CKW639" s="313"/>
      <c r="CKX639" s="340"/>
      <c r="CKY639" s="340"/>
      <c r="CKZ639" s="354"/>
      <c r="CLA639" s="313"/>
      <c r="CLB639" s="340"/>
      <c r="CLC639" s="340"/>
      <c r="CLD639" s="354"/>
      <c r="CLE639" s="313"/>
      <c r="CLF639" s="340"/>
      <c r="CLG639" s="340"/>
      <c r="CLH639" s="354"/>
      <c r="CLI639" s="313"/>
      <c r="CLJ639" s="340"/>
      <c r="CLK639" s="340"/>
      <c r="CLL639" s="354"/>
      <c r="CLM639" s="313"/>
      <c r="CLN639" s="340"/>
      <c r="CLO639" s="340"/>
      <c r="CLP639" s="354"/>
      <c r="CLQ639" s="313"/>
      <c r="CLR639" s="340"/>
      <c r="CLS639" s="340"/>
      <c r="CLT639" s="354"/>
      <c r="CLU639" s="313"/>
      <c r="CLV639" s="340"/>
      <c r="CLW639" s="340"/>
      <c r="CLX639" s="354"/>
      <c r="CLY639" s="313"/>
      <c r="CLZ639" s="340"/>
      <c r="CMA639" s="340"/>
      <c r="CMB639" s="354"/>
      <c r="CMC639" s="313"/>
      <c r="CMD639" s="340"/>
      <c r="CME639" s="340"/>
      <c r="CMF639" s="354"/>
      <c r="CMG639" s="313"/>
      <c r="CMH639" s="340"/>
      <c r="CMI639" s="340"/>
      <c r="CMJ639" s="354"/>
      <c r="CMK639" s="313"/>
      <c r="CML639" s="340"/>
      <c r="CMM639" s="340"/>
      <c r="CMN639" s="354"/>
      <c r="CMO639" s="313"/>
      <c r="CMP639" s="340"/>
      <c r="CMQ639" s="340"/>
      <c r="CMR639" s="354"/>
      <c r="CMS639" s="313"/>
      <c r="CMT639" s="340"/>
      <c r="CMU639" s="340"/>
      <c r="CMV639" s="354"/>
      <c r="CMW639" s="313"/>
      <c r="CMX639" s="340"/>
      <c r="CMY639" s="340"/>
      <c r="CMZ639" s="354"/>
      <c r="CNA639" s="313"/>
      <c r="CNB639" s="340"/>
      <c r="CNC639" s="340"/>
      <c r="CND639" s="354"/>
      <c r="CNE639" s="313"/>
      <c r="CNF639" s="340"/>
      <c r="CNG639" s="340"/>
      <c r="CNH639" s="354"/>
      <c r="CNI639" s="313"/>
      <c r="CNJ639" s="340"/>
      <c r="CNK639" s="340"/>
      <c r="CNL639" s="354"/>
      <c r="CNM639" s="313"/>
      <c r="CNN639" s="340"/>
      <c r="CNO639" s="340"/>
      <c r="CNP639" s="354"/>
      <c r="CNQ639" s="313"/>
      <c r="CNR639" s="340"/>
      <c r="CNS639" s="340"/>
      <c r="CNT639" s="354"/>
      <c r="CNU639" s="313"/>
      <c r="CNV639" s="340"/>
      <c r="CNW639" s="340"/>
      <c r="CNX639" s="354"/>
      <c r="CNY639" s="313"/>
      <c r="CNZ639" s="340"/>
      <c r="COA639" s="340"/>
      <c r="COB639" s="354"/>
      <c r="COC639" s="313"/>
      <c r="COD639" s="340"/>
      <c r="COE639" s="340"/>
      <c r="COF639" s="354"/>
      <c r="COG639" s="313"/>
      <c r="COH639" s="340"/>
      <c r="COI639" s="340"/>
      <c r="COJ639" s="354"/>
      <c r="COK639" s="313"/>
      <c r="COL639" s="340"/>
      <c r="COM639" s="340"/>
      <c r="CON639" s="354"/>
      <c r="COO639" s="313"/>
      <c r="COP639" s="340"/>
      <c r="COQ639" s="340"/>
      <c r="COR639" s="354"/>
      <c r="COS639" s="313"/>
      <c r="COT639" s="340"/>
      <c r="COU639" s="340"/>
      <c r="COV639" s="354"/>
      <c r="COW639" s="313"/>
      <c r="COX639" s="340"/>
      <c r="COY639" s="340"/>
      <c r="COZ639" s="354"/>
      <c r="CPA639" s="313"/>
      <c r="CPB639" s="340"/>
      <c r="CPC639" s="340"/>
      <c r="CPD639" s="354"/>
      <c r="CPE639" s="313"/>
      <c r="CPF639" s="340"/>
      <c r="CPG639" s="340"/>
      <c r="CPH639" s="354"/>
      <c r="CPI639" s="313"/>
      <c r="CPJ639" s="340"/>
      <c r="CPK639" s="340"/>
      <c r="CPL639" s="354"/>
      <c r="CPM639" s="313"/>
      <c r="CPN639" s="340"/>
      <c r="CPO639" s="340"/>
      <c r="CPP639" s="354"/>
      <c r="CPQ639" s="313"/>
      <c r="CPR639" s="340"/>
      <c r="CPS639" s="340"/>
      <c r="CPT639" s="354"/>
      <c r="CPU639" s="313"/>
      <c r="CPV639" s="340"/>
      <c r="CPW639" s="340"/>
      <c r="CPX639" s="354"/>
      <c r="CPY639" s="313"/>
      <c r="CPZ639" s="340"/>
      <c r="CQA639" s="340"/>
      <c r="CQB639" s="354"/>
      <c r="CQC639" s="313"/>
      <c r="CQD639" s="340"/>
      <c r="CQE639" s="340"/>
      <c r="CQF639" s="354"/>
      <c r="CQG639" s="313"/>
      <c r="CQH639" s="340"/>
      <c r="CQI639" s="340"/>
      <c r="CQJ639" s="354"/>
      <c r="CQK639" s="313"/>
      <c r="CQL639" s="340"/>
      <c r="CQM639" s="340"/>
      <c r="CQN639" s="354"/>
      <c r="CQO639" s="313"/>
      <c r="CQP639" s="340"/>
      <c r="CQQ639" s="340"/>
      <c r="CQR639" s="354"/>
      <c r="CQS639" s="313"/>
      <c r="CQT639" s="340"/>
      <c r="CQU639" s="340"/>
      <c r="CQV639" s="354"/>
      <c r="CQW639" s="313"/>
      <c r="CQX639" s="340"/>
      <c r="CQY639" s="340"/>
      <c r="CQZ639" s="354"/>
      <c r="CRA639" s="313"/>
      <c r="CRB639" s="340"/>
      <c r="CRC639" s="340"/>
      <c r="CRD639" s="354"/>
      <c r="CRE639" s="313"/>
      <c r="CRF639" s="340"/>
      <c r="CRG639" s="340"/>
      <c r="CRH639" s="354"/>
      <c r="CRI639" s="313"/>
      <c r="CRJ639" s="340"/>
      <c r="CRK639" s="340"/>
      <c r="CRL639" s="354"/>
      <c r="CRM639" s="313"/>
      <c r="CRN639" s="340"/>
      <c r="CRO639" s="340"/>
      <c r="CRP639" s="354"/>
      <c r="CRQ639" s="313"/>
      <c r="CRR639" s="340"/>
      <c r="CRS639" s="340"/>
      <c r="CRT639" s="354"/>
      <c r="CRU639" s="313"/>
      <c r="CRV639" s="340"/>
      <c r="CRW639" s="340"/>
      <c r="CRX639" s="354"/>
      <c r="CRY639" s="313"/>
      <c r="CRZ639" s="340"/>
      <c r="CSA639" s="340"/>
      <c r="CSB639" s="354"/>
      <c r="CSC639" s="313"/>
      <c r="CSD639" s="340"/>
      <c r="CSE639" s="340"/>
      <c r="CSF639" s="354"/>
      <c r="CSG639" s="313"/>
      <c r="CSH639" s="340"/>
      <c r="CSI639" s="340"/>
      <c r="CSJ639" s="354"/>
      <c r="CSK639" s="313"/>
      <c r="CSL639" s="340"/>
      <c r="CSM639" s="340"/>
      <c r="CSN639" s="354"/>
      <c r="CSO639" s="313"/>
      <c r="CSP639" s="340"/>
      <c r="CSQ639" s="340"/>
      <c r="CSR639" s="354"/>
      <c r="CSS639" s="313"/>
      <c r="CST639" s="340"/>
      <c r="CSU639" s="340"/>
      <c r="CSV639" s="354"/>
      <c r="CSW639" s="313"/>
      <c r="CSX639" s="340"/>
      <c r="CSY639" s="340"/>
      <c r="CSZ639" s="354"/>
      <c r="CTA639" s="313"/>
      <c r="CTB639" s="340"/>
      <c r="CTC639" s="340"/>
      <c r="CTD639" s="354"/>
      <c r="CTE639" s="313"/>
      <c r="CTF639" s="340"/>
      <c r="CTG639" s="340"/>
      <c r="CTH639" s="354"/>
      <c r="CTI639" s="313"/>
      <c r="CTJ639" s="340"/>
      <c r="CTK639" s="340"/>
      <c r="CTL639" s="354"/>
      <c r="CTM639" s="313"/>
      <c r="CTN639" s="340"/>
      <c r="CTO639" s="340"/>
      <c r="CTP639" s="354"/>
      <c r="CTQ639" s="313"/>
      <c r="CTR639" s="340"/>
      <c r="CTS639" s="340"/>
      <c r="CTT639" s="354"/>
      <c r="CTU639" s="313"/>
      <c r="CTV639" s="340"/>
      <c r="CTW639" s="340"/>
      <c r="CTX639" s="354"/>
      <c r="CTY639" s="313"/>
      <c r="CTZ639" s="340"/>
      <c r="CUA639" s="340"/>
      <c r="CUB639" s="354"/>
      <c r="CUC639" s="313"/>
      <c r="CUD639" s="340"/>
      <c r="CUE639" s="340"/>
      <c r="CUF639" s="354"/>
      <c r="CUG639" s="313"/>
      <c r="CUH639" s="340"/>
      <c r="CUI639" s="340"/>
      <c r="CUJ639" s="354"/>
      <c r="CUK639" s="313"/>
      <c r="CUL639" s="340"/>
      <c r="CUM639" s="340"/>
      <c r="CUN639" s="354"/>
      <c r="CUO639" s="313"/>
      <c r="CUP639" s="340"/>
      <c r="CUQ639" s="340"/>
      <c r="CUR639" s="354"/>
      <c r="CUS639" s="313"/>
      <c r="CUT639" s="340"/>
      <c r="CUU639" s="340"/>
      <c r="CUV639" s="354"/>
      <c r="CUW639" s="313"/>
      <c r="CUX639" s="340"/>
      <c r="CUY639" s="340"/>
      <c r="CUZ639" s="354"/>
      <c r="CVA639" s="313"/>
      <c r="CVB639" s="340"/>
      <c r="CVC639" s="340"/>
      <c r="CVD639" s="354"/>
      <c r="CVE639" s="313"/>
      <c r="CVF639" s="340"/>
      <c r="CVG639" s="340"/>
      <c r="CVH639" s="354"/>
      <c r="CVI639" s="313"/>
      <c r="CVJ639" s="340"/>
      <c r="CVK639" s="340"/>
      <c r="CVL639" s="354"/>
      <c r="CVM639" s="313"/>
      <c r="CVN639" s="340"/>
      <c r="CVO639" s="340"/>
      <c r="CVP639" s="354"/>
      <c r="CVQ639" s="313"/>
      <c r="CVR639" s="340"/>
      <c r="CVS639" s="340"/>
      <c r="CVT639" s="354"/>
      <c r="CVU639" s="313"/>
      <c r="CVV639" s="340"/>
      <c r="CVW639" s="340"/>
      <c r="CVX639" s="354"/>
      <c r="CVY639" s="313"/>
      <c r="CVZ639" s="340"/>
      <c r="CWA639" s="340"/>
      <c r="CWB639" s="354"/>
      <c r="CWC639" s="313"/>
      <c r="CWD639" s="340"/>
      <c r="CWE639" s="340"/>
      <c r="CWF639" s="354"/>
      <c r="CWG639" s="313"/>
      <c r="CWH639" s="340"/>
      <c r="CWI639" s="340"/>
      <c r="CWJ639" s="354"/>
      <c r="CWK639" s="313"/>
      <c r="CWL639" s="340"/>
      <c r="CWM639" s="340"/>
      <c r="CWN639" s="354"/>
      <c r="CWO639" s="313"/>
      <c r="CWP639" s="340"/>
      <c r="CWQ639" s="340"/>
      <c r="CWR639" s="354"/>
      <c r="CWS639" s="313"/>
      <c r="CWT639" s="340"/>
      <c r="CWU639" s="340"/>
      <c r="CWV639" s="354"/>
      <c r="CWW639" s="313"/>
      <c r="CWX639" s="340"/>
      <c r="CWY639" s="340"/>
      <c r="CWZ639" s="354"/>
      <c r="CXA639" s="313"/>
      <c r="CXB639" s="340"/>
      <c r="CXC639" s="340"/>
      <c r="CXD639" s="354"/>
      <c r="CXE639" s="313"/>
      <c r="CXF639" s="340"/>
      <c r="CXG639" s="340"/>
      <c r="CXH639" s="354"/>
      <c r="CXI639" s="313"/>
      <c r="CXJ639" s="340"/>
      <c r="CXK639" s="340"/>
      <c r="CXL639" s="354"/>
      <c r="CXM639" s="313"/>
      <c r="CXN639" s="340"/>
      <c r="CXO639" s="340"/>
      <c r="CXP639" s="354"/>
      <c r="CXQ639" s="313"/>
      <c r="CXR639" s="340"/>
      <c r="CXS639" s="340"/>
      <c r="CXT639" s="354"/>
      <c r="CXU639" s="313"/>
      <c r="CXV639" s="340"/>
      <c r="CXW639" s="340"/>
      <c r="CXX639" s="354"/>
      <c r="CXY639" s="313"/>
      <c r="CXZ639" s="340"/>
      <c r="CYA639" s="340"/>
      <c r="CYB639" s="354"/>
      <c r="CYC639" s="313"/>
      <c r="CYD639" s="340"/>
      <c r="CYE639" s="340"/>
      <c r="CYF639" s="354"/>
      <c r="CYG639" s="313"/>
      <c r="CYH639" s="340"/>
      <c r="CYI639" s="340"/>
      <c r="CYJ639" s="354"/>
      <c r="CYK639" s="313"/>
      <c r="CYL639" s="340"/>
      <c r="CYM639" s="340"/>
      <c r="CYN639" s="354"/>
      <c r="CYO639" s="313"/>
      <c r="CYP639" s="340"/>
      <c r="CYQ639" s="340"/>
      <c r="CYR639" s="354"/>
      <c r="CYS639" s="313"/>
      <c r="CYT639" s="340"/>
      <c r="CYU639" s="340"/>
      <c r="CYV639" s="354"/>
      <c r="CYW639" s="313"/>
      <c r="CYX639" s="340"/>
      <c r="CYY639" s="340"/>
      <c r="CYZ639" s="354"/>
      <c r="CZA639" s="313"/>
      <c r="CZB639" s="340"/>
      <c r="CZC639" s="340"/>
      <c r="CZD639" s="354"/>
      <c r="CZE639" s="313"/>
      <c r="CZF639" s="340"/>
      <c r="CZG639" s="340"/>
      <c r="CZH639" s="354"/>
      <c r="CZI639" s="313"/>
      <c r="CZJ639" s="340"/>
      <c r="CZK639" s="340"/>
      <c r="CZL639" s="354"/>
      <c r="CZM639" s="313"/>
      <c r="CZN639" s="340"/>
      <c r="CZO639" s="340"/>
      <c r="CZP639" s="354"/>
      <c r="CZQ639" s="313"/>
      <c r="CZR639" s="340"/>
      <c r="CZS639" s="340"/>
      <c r="CZT639" s="354"/>
      <c r="CZU639" s="313"/>
      <c r="CZV639" s="340"/>
      <c r="CZW639" s="340"/>
      <c r="CZX639" s="354"/>
      <c r="CZY639" s="313"/>
      <c r="CZZ639" s="340"/>
      <c r="DAA639" s="340"/>
      <c r="DAB639" s="354"/>
      <c r="DAC639" s="313"/>
      <c r="DAD639" s="340"/>
      <c r="DAE639" s="340"/>
      <c r="DAF639" s="354"/>
      <c r="DAG639" s="313"/>
      <c r="DAH639" s="340"/>
      <c r="DAI639" s="340"/>
      <c r="DAJ639" s="354"/>
      <c r="DAK639" s="313"/>
      <c r="DAL639" s="340"/>
      <c r="DAM639" s="340"/>
      <c r="DAN639" s="354"/>
      <c r="DAO639" s="313"/>
      <c r="DAP639" s="340"/>
      <c r="DAQ639" s="340"/>
      <c r="DAR639" s="354"/>
      <c r="DAS639" s="313"/>
      <c r="DAT639" s="340"/>
      <c r="DAU639" s="340"/>
      <c r="DAV639" s="354"/>
      <c r="DAW639" s="313"/>
      <c r="DAX639" s="340"/>
      <c r="DAY639" s="340"/>
      <c r="DAZ639" s="354"/>
      <c r="DBA639" s="313"/>
      <c r="DBB639" s="340"/>
      <c r="DBC639" s="340"/>
      <c r="DBD639" s="354"/>
      <c r="DBE639" s="313"/>
      <c r="DBF639" s="340"/>
      <c r="DBG639" s="340"/>
      <c r="DBH639" s="354"/>
      <c r="DBI639" s="313"/>
      <c r="DBJ639" s="340"/>
      <c r="DBK639" s="340"/>
      <c r="DBL639" s="354"/>
      <c r="DBM639" s="313"/>
      <c r="DBN639" s="340"/>
      <c r="DBO639" s="340"/>
      <c r="DBP639" s="354"/>
      <c r="DBQ639" s="313"/>
      <c r="DBR639" s="340"/>
      <c r="DBS639" s="340"/>
      <c r="DBT639" s="354"/>
      <c r="DBU639" s="313"/>
      <c r="DBV639" s="340"/>
      <c r="DBW639" s="340"/>
      <c r="DBX639" s="354"/>
      <c r="DBY639" s="313"/>
      <c r="DBZ639" s="340"/>
      <c r="DCA639" s="340"/>
      <c r="DCB639" s="354"/>
      <c r="DCC639" s="313"/>
      <c r="DCD639" s="340"/>
      <c r="DCE639" s="340"/>
      <c r="DCF639" s="354"/>
      <c r="DCG639" s="313"/>
      <c r="DCH639" s="340"/>
      <c r="DCI639" s="340"/>
      <c r="DCJ639" s="354"/>
      <c r="DCK639" s="313"/>
      <c r="DCL639" s="340"/>
      <c r="DCM639" s="340"/>
      <c r="DCN639" s="354"/>
      <c r="DCO639" s="313"/>
      <c r="DCP639" s="340"/>
      <c r="DCQ639" s="340"/>
      <c r="DCR639" s="354"/>
      <c r="DCS639" s="313"/>
      <c r="DCT639" s="340"/>
      <c r="DCU639" s="340"/>
      <c r="DCV639" s="354"/>
      <c r="DCW639" s="313"/>
      <c r="DCX639" s="340"/>
      <c r="DCY639" s="340"/>
      <c r="DCZ639" s="354"/>
      <c r="DDA639" s="313"/>
      <c r="DDB639" s="340"/>
      <c r="DDC639" s="340"/>
      <c r="DDD639" s="354"/>
      <c r="DDE639" s="313"/>
      <c r="DDF639" s="340"/>
      <c r="DDG639" s="340"/>
      <c r="DDH639" s="354"/>
      <c r="DDI639" s="313"/>
      <c r="DDJ639" s="340"/>
      <c r="DDK639" s="340"/>
      <c r="DDL639" s="354"/>
      <c r="DDM639" s="313"/>
      <c r="DDN639" s="340"/>
      <c r="DDO639" s="340"/>
      <c r="DDP639" s="354"/>
      <c r="DDQ639" s="313"/>
      <c r="DDR639" s="340"/>
      <c r="DDS639" s="340"/>
      <c r="DDT639" s="354"/>
      <c r="DDU639" s="313"/>
      <c r="DDV639" s="340"/>
      <c r="DDW639" s="340"/>
      <c r="DDX639" s="354"/>
      <c r="DDY639" s="313"/>
      <c r="DDZ639" s="340"/>
      <c r="DEA639" s="340"/>
      <c r="DEB639" s="354"/>
      <c r="DEC639" s="313"/>
      <c r="DED639" s="340"/>
      <c r="DEE639" s="340"/>
      <c r="DEF639" s="354"/>
      <c r="DEG639" s="313"/>
      <c r="DEH639" s="340"/>
      <c r="DEI639" s="340"/>
      <c r="DEJ639" s="354"/>
      <c r="DEK639" s="313"/>
      <c r="DEL639" s="340"/>
      <c r="DEM639" s="340"/>
      <c r="DEN639" s="354"/>
      <c r="DEO639" s="313"/>
      <c r="DEP639" s="340"/>
      <c r="DEQ639" s="340"/>
      <c r="DER639" s="354"/>
      <c r="DES639" s="313"/>
      <c r="DET639" s="340"/>
      <c r="DEU639" s="340"/>
      <c r="DEV639" s="354"/>
      <c r="DEW639" s="313"/>
      <c r="DEX639" s="340"/>
      <c r="DEY639" s="340"/>
      <c r="DEZ639" s="354"/>
      <c r="DFA639" s="313"/>
      <c r="DFB639" s="340"/>
      <c r="DFC639" s="340"/>
      <c r="DFD639" s="354"/>
      <c r="DFE639" s="313"/>
      <c r="DFF639" s="340"/>
      <c r="DFG639" s="340"/>
      <c r="DFH639" s="354"/>
      <c r="DFI639" s="313"/>
      <c r="DFJ639" s="340"/>
      <c r="DFK639" s="340"/>
      <c r="DFL639" s="354"/>
      <c r="DFM639" s="313"/>
      <c r="DFN639" s="340"/>
      <c r="DFO639" s="340"/>
      <c r="DFP639" s="354"/>
      <c r="DFQ639" s="313"/>
      <c r="DFR639" s="340"/>
      <c r="DFS639" s="340"/>
      <c r="DFT639" s="354"/>
      <c r="DFU639" s="313"/>
      <c r="DFV639" s="340"/>
      <c r="DFW639" s="340"/>
      <c r="DFX639" s="354"/>
      <c r="DFY639" s="313"/>
      <c r="DFZ639" s="340"/>
      <c r="DGA639" s="340"/>
      <c r="DGB639" s="354"/>
      <c r="DGC639" s="313"/>
      <c r="DGD639" s="340"/>
      <c r="DGE639" s="340"/>
      <c r="DGF639" s="354"/>
      <c r="DGG639" s="313"/>
      <c r="DGH639" s="340"/>
      <c r="DGI639" s="340"/>
      <c r="DGJ639" s="354"/>
      <c r="DGK639" s="313"/>
      <c r="DGL639" s="340"/>
      <c r="DGM639" s="340"/>
      <c r="DGN639" s="354"/>
      <c r="DGO639" s="313"/>
      <c r="DGP639" s="340"/>
      <c r="DGQ639" s="340"/>
      <c r="DGR639" s="354"/>
      <c r="DGS639" s="313"/>
      <c r="DGT639" s="340"/>
      <c r="DGU639" s="340"/>
      <c r="DGV639" s="354"/>
      <c r="DGW639" s="313"/>
      <c r="DGX639" s="340"/>
      <c r="DGY639" s="340"/>
      <c r="DGZ639" s="354"/>
      <c r="DHA639" s="313"/>
      <c r="DHB639" s="340"/>
      <c r="DHC639" s="340"/>
      <c r="DHD639" s="354"/>
      <c r="DHE639" s="313"/>
      <c r="DHF639" s="340"/>
      <c r="DHG639" s="340"/>
      <c r="DHH639" s="354"/>
      <c r="DHI639" s="313"/>
      <c r="DHJ639" s="340"/>
      <c r="DHK639" s="340"/>
      <c r="DHL639" s="354"/>
      <c r="DHM639" s="313"/>
      <c r="DHN639" s="340"/>
      <c r="DHO639" s="340"/>
      <c r="DHP639" s="354"/>
      <c r="DHQ639" s="313"/>
      <c r="DHR639" s="340"/>
      <c r="DHS639" s="340"/>
      <c r="DHT639" s="354"/>
      <c r="DHU639" s="313"/>
      <c r="DHV639" s="340"/>
      <c r="DHW639" s="340"/>
      <c r="DHX639" s="354"/>
      <c r="DHY639" s="313"/>
      <c r="DHZ639" s="340"/>
      <c r="DIA639" s="340"/>
      <c r="DIB639" s="354"/>
      <c r="DIC639" s="313"/>
      <c r="DID639" s="340"/>
      <c r="DIE639" s="340"/>
      <c r="DIF639" s="354"/>
      <c r="DIG639" s="313"/>
      <c r="DIH639" s="340"/>
      <c r="DII639" s="340"/>
      <c r="DIJ639" s="354"/>
      <c r="DIK639" s="313"/>
      <c r="DIL639" s="340"/>
      <c r="DIM639" s="340"/>
      <c r="DIN639" s="354"/>
      <c r="DIO639" s="313"/>
      <c r="DIP639" s="340"/>
      <c r="DIQ639" s="340"/>
      <c r="DIR639" s="354"/>
      <c r="DIS639" s="313"/>
      <c r="DIT639" s="340"/>
      <c r="DIU639" s="340"/>
      <c r="DIV639" s="354"/>
      <c r="DIW639" s="313"/>
      <c r="DIX639" s="340"/>
      <c r="DIY639" s="340"/>
      <c r="DIZ639" s="354"/>
      <c r="DJA639" s="313"/>
      <c r="DJB639" s="340"/>
      <c r="DJC639" s="340"/>
      <c r="DJD639" s="354"/>
      <c r="DJE639" s="313"/>
      <c r="DJF639" s="340"/>
      <c r="DJG639" s="340"/>
      <c r="DJH639" s="354"/>
      <c r="DJI639" s="313"/>
      <c r="DJJ639" s="340"/>
      <c r="DJK639" s="340"/>
      <c r="DJL639" s="354"/>
      <c r="DJM639" s="313"/>
      <c r="DJN639" s="340"/>
      <c r="DJO639" s="340"/>
      <c r="DJP639" s="354"/>
      <c r="DJQ639" s="313"/>
      <c r="DJR639" s="340"/>
      <c r="DJS639" s="340"/>
      <c r="DJT639" s="354"/>
      <c r="DJU639" s="313"/>
      <c r="DJV639" s="340"/>
      <c r="DJW639" s="340"/>
      <c r="DJX639" s="354"/>
      <c r="DJY639" s="313"/>
      <c r="DJZ639" s="340"/>
      <c r="DKA639" s="340"/>
      <c r="DKB639" s="354"/>
      <c r="DKC639" s="313"/>
      <c r="DKD639" s="340"/>
      <c r="DKE639" s="340"/>
      <c r="DKF639" s="354"/>
      <c r="DKG639" s="313"/>
      <c r="DKH639" s="340"/>
      <c r="DKI639" s="340"/>
      <c r="DKJ639" s="354"/>
      <c r="DKK639" s="313"/>
      <c r="DKL639" s="340"/>
      <c r="DKM639" s="340"/>
      <c r="DKN639" s="354"/>
      <c r="DKO639" s="313"/>
      <c r="DKP639" s="340"/>
      <c r="DKQ639" s="340"/>
      <c r="DKR639" s="354"/>
      <c r="DKS639" s="313"/>
      <c r="DKT639" s="340"/>
      <c r="DKU639" s="340"/>
      <c r="DKV639" s="354"/>
      <c r="DKW639" s="313"/>
      <c r="DKX639" s="340"/>
      <c r="DKY639" s="340"/>
      <c r="DKZ639" s="354"/>
      <c r="DLA639" s="313"/>
      <c r="DLB639" s="340"/>
      <c r="DLC639" s="340"/>
      <c r="DLD639" s="354"/>
      <c r="DLE639" s="313"/>
      <c r="DLF639" s="340"/>
      <c r="DLG639" s="340"/>
      <c r="DLH639" s="354"/>
      <c r="DLI639" s="313"/>
      <c r="DLJ639" s="340"/>
      <c r="DLK639" s="340"/>
      <c r="DLL639" s="354"/>
      <c r="DLM639" s="313"/>
      <c r="DLN639" s="340"/>
      <c r="DLO639" s="340"/>
      <c r="DLP639" s="354"/>
      <c r="DLQ639" s="313"/>
      <c r="DLR639" s="340"/>
      <c r="DLS639" s="340"/>
      <c r="DLT639" s="354"/>
      <c r="DLU639" s="313"/>
      <c r="DLV639" s="340"/>
      <c r="DLW639" s="340"/>
      <c r="DLX639" s="354"/>
      <c r="DLY639" s="313"/>
      <c r="DLZ639" s="340"/>
      <c r="DMA639" s="340"/>
      <c r="DMB639" s="354"/>
      <c r="DMC639" s="313"/>
      <c r="DMD639" s="340"/>
      <c r="DME639" s="340"/>
      <c r="DMF639" s="354"/>
      <c r="DMG639" s="313"/>
      <c r="DMH639" s="340"/>
      <c r="DMI639" s="340"/>
      <c r="DMJ639" s="354"/>
      <c r="DMK639" s="313"/>
      <c r="DML639" s="340"/>
      <c r="DMM639" s="340"/>
      <c r="DMN639" s="354"/>
      <c r="DMO639" s="313"/>
      <c r="DMP639" s="340"/>
      <c r="DMQ639" s="340"/>
      <c r="DMR639" s="354"/>
      <c r="DMS639" s="313"/>
      <c r="DMT639" s="340"/>
      <c r="DMU639" s="340"/>
      <c r="DMV639" s="354"/>
      <c r="DMW639" s="313"/>
      <c r="DMX639" s="340"/>
      <c r="DMY639" s="340"/>
      <c r="DMZ639" s="354"/>
      <c r="DNA639" s="313"/>
      <c r="DNB639" s="340"/>
      <c r="DNC639" s="340"/>
      <c r="DND639" s="354"/>
      <c r="DNE639" s="313"/>
      <c r="DNF639" s="340"/>
      <c r="DNG639" s="340"/>
      <c r="DNH639" s="354"/>
      <c r="DNI639" s="313"/>
      <c r="DNJ639" s="340"/>
      <c r="DNK639" s="340"/>
      <c r="DNL639" s="354"/>
      <c r="DNM639" s="313"/>
      <c r="DNN639" s="340"/>
      <c r="DNO639" s="340"/>
      <c r="DNP639" s="354"/>
      <c r="DNQ639" s="313"/>
      <c r="DNR639" s="340"/>
      <c r="DNS639" s="340"/>
      <c r="DNT639" s="354"/>
      <c r="DNU639" s="313"/>
      <c r="DNV639" s="340"/>
      <c r="DNW639" s="340"/>
      <c r="DNX639" s="354"/>
      <c r="DNY639" s="313"/>
      <c r="DNZ639" s="340"/>
      <c r="DOA639" s="340"/>
      <c r="DOB639" s="354"/>
      <c r="DOC639" s="313"/>
      <c r="DOD639" s="340"/>
      <c r="DOE639" s="340"/>
      <c r="DOF639" s="354"/>
      <c r="DOG639" s="313"/>
      <c r="DOH639" s="340"/>
      <c r="DOI639" s="340"/>
      <c r="DOJ639" s="354"/>
      <c r="DOK639" s="313"/>
      <c r="DOL639" s="340"/>
      <c r="DOM639" s="340"/>
      <c r="DON639" s="354"/>
      <c r="DOO639" s="313"/>
      <c r="DOP639" s="340"/>
      <c r="DOQ639" s="340"/>
      <c r="DOR639" s="354"/>
      <c r="DOS639" s="313"/>
      <c r="DOT639" s="340"/>
      <c r="DOU639" s="340"/>
      <c r="DOV639" s="354"/>
      <c r="DOW639" s="313"/>
      <c r="DOX639" s="340"/>
      <c r="DOY639" s="340"/>
      <c r="DOZ639" s="354"/>
      <c r="DPA639" s="313"/>
      <c r="DPB639" s="340"/>
      <c r="DPC639" s="340"/>
      <c r="DPD639" s="354"/>
      <c r="DPE639" s="313"/>
      <c r="DPF639" s="340"/>
      <c r="DPG639" s="340"/>
      <c r="DPH639" s="354"/>
      <c r="DPI639" s="313"/>
      <c r="DPJ639" s="340"/>
      <c r="DPK639" s="340"/>
      <c r="DPL639" s="354"/>
      <c r="DPM639" s="313"/>
      <c r="DPN639" s="340"/>
      <c r="DPO639" s="340"/>
      <c r="DPP639" s="354"/>
      <c r="DPQ639" s="313"/>
      <c r="DPR639" s="340"/>
      <c r="DPS639" s="340"/>
      <c r="DPT639" s="354"/>
      <c r="DPU639" s="313"/>
      <c r="DPV639" s="340"/>
      <c r="DPW639" s="340"/>
      <c r="DPX639" s="354"/>
      <c r="DPY639" s="313"/>
      <c r="DPZ639" s="340"/>
      <c r="DQA639" s="340"/>
      <c r="DQB639" s="354"/>
      <c r="DQC639" s="313"/>
      <c r="DQD639" s="340"/>
      <c r="DQE639" s="340"/>
      <c r="DQF639" s="354"/>
      <c r="DQG639" s="313"/>
      <c r="DQH639" s="340"/>
      <c r="DQI639" s="340"/>
      <c r="DQJ639" s="354"/>
      <c r="DQK639" s="313"/>
      <c r="DQL639" s="340"/>
      <c r="DQM639" s="340"/>
      <c r="DQN639" s="354"/>
      <c r="DQO639" s="313"/>
      <c r="DQP639" s="340"/>
      <c r="DQQ639" s="340"/>
      <c r="DQR639" s="354"/>
      <c r="DQS639" s="313"/>
      <c r="DQT639" s="340"/>
      <c r="DQU639" s="340"/>
      <c r="DQV639" s="354"/>
      <c r="DQW639" s="313"/>
      <c r="DQX639" s="340"/>
      <c r="DQY639" s="340"/>
      <c r="DQZ639" s="354"/>
      <c r="DRA639" s="313"/>
      <c r="DRB639" s="340"/>
      <c r="DRC639" s="340"/>
      <c r="DRD639" s="354"/>
      <c r="DRE639" s="313"/>
      <c r="DRF639" s="340"/>
      <c r="DRG639" s="340"/>
      <c r="DRH639" s="354"/>
      <c r="DRI639" s="313"/>
      <c r="DRJ639" s="340"/>
      <c r="DRK639" s="340"/>
      <c r="DRL639" s="354"/>
      <c r="DRM639" s="313"/>
      <c r="DRN639" s="340"/>
      <c r="DRO639" s="340"/>
      <c r="DRP639" s="354"/>
      <c r="DRQ639" s="313"/>
      <c r="DRR639" s="340"/>
      <c r="DRS639" s="340"/>
      <c r="DRT639" s="354"/>
      <c r="DRU639" s="313"/>
      <c r="DRV639" s="340"/>
      <c r="DRW639" s="340"/>
      <c r="DRX639" s="354"/>
      <c r="DRY639" s="313"/>
      <c r="DRZ639" s="340"/>
      <c r="DSA639" s="340"/>
      <c r="DSB639" s="354"/>
      <c r="DSC639" s="313"/>
      <c r="DSD639" s="340"/>
      <c r="DSE639" s="340"/>
      <c r="DSF639" s="354"/>
      <c r="DSG639" s="313"/>
      <c r="DSH639" s="340"/>
      <c r="DSI639" s="340"/>
      <c r="DSJ639" s="354"/>
      <c r="DSK639" s="313"/>
      <c r="DSL639" s="340"/>
      <c r="DSM639" s="340"/>
      <c r="DSN639" s="354"/>
      <c r="DSO639" s="313"/>
      <c r="DSP639" s="340"/>
      <c r="DSQ639" s="340"/>
      <c r="DSR639" s="354"/>
      <c r="DSS639" s="313"/>
      <c r="DST639" s="340"/>
      <c r="DSU639" s="340"/>
      <c r="DSV639" s="354"/>
      <c r="DSW639" s="313"/>
      <c r="DSX639" s="340"/>
      <c r="DSY639" s="340"/>
      <c r="DSZ639" s="354"/>
      <c r="DTA639" s="313"/>
      <c r="DTB639" s="340"/>
      <c r="DTC639" s="340"/>
      <c r="DTD639" s="354"/>
      <c r="DTE639" s="313"/>
      <c r="DTF639" s="340"/>
      <c r="DTG639" s="340"/>
      <c r="DTH639" s="354"/>
      <c r="DTI639" s="313"/>
      <c r="DTJ639" s="340"/>
      <c r="DTK639" s="340"/>
      <c r="DTL639" s="354"/>
      <c r="DTM639" s="313"/>
      <c r="DTN639" s="340"/>
      <c r="DTO639" s="340"/>
      <c r="DTP639" s="354"/>
      <c r="DTQ639" s="313"/>
      <c r="DTR639" s="340"/>
      <c r="DTS639" s="340"/>
      <c r="DTT639" s="354"/>
      <c r="DTU639" s="313"/>
      <c r="DTV639" s="340"/>
      <c r="DTW639" s="340"/>
      <c r="DTX639" s="354"/>
      <c r="DTY639" s="313"/>
      <c r="DTZ639" s="340"/>
      <c r="DUA639" s="340"/>
      <c r="DUB639" s="354"/>
      <c r="DUC639" s="313"/>
      <c r="DUD639" s="340"/>
      <c r="DUE639" s="340"/>
      <c r="DUF639" s="354"/>
      <c r="DUG639" s="313"/>
      <c r="DUH639" s="340"/>
      <c r="DUI639" s="340"/>
      <c r="DUJ639" s="354"/>
      <c r="DUK639" s="313"/>
      <c r="DUL639" s="340"/>
      <c r="DUM639" s="340"/>
      <c r="DUN639" s="354"/>
      <c r="DUO639" s="313"/>
      <c r="DUP639" s="340"/>
      <c r="DUQ639" s="340"/>
      <c r="DUR639" s="354"/>
      <c r="DUS639" s="313"/>
      <c r="DUT639" s="340"/>
      <c r="DUU639" s="340"/>
      <c r="DUV639" s="354"/>
      <c r="DUW639" s="313"/>
      <c r="DUX639" s="340"/>
      <c r="DUY639" s="340"/>
      <c r="DUZ639" s="354"/>
      <c r="DVA639" s="313"/>
      <c r="DVB639" s="340"/>
      <c r="DVC639" s="340"/>
      <c r="DVD639" s="354"/>
      <c r="DVE639" s="313"/>
      <c r="DVF639" s="340"/>
      <c r="DVG639" s="340"/>
      <c r="DVH639" s="354"/>
      <c r="DVI639" s="313"/>
      <c r="DVJ639" s="340"/>
      <c r="DVK639" s="340"/>
      <c r="DVL639" s="354"/>
      <c r="DVM639" s="313"/>
      <c r="DVN639" s="340"/>
      <c r="DVO639" s="340"/>
      <c r="DVP639" s="354"/>
      <c r="DVQ639" s="313"/>
      <c r="DVR639" s="340"/>
      <c r="DVS639" s="340"/>
      <c r="DVT639" s="354"/>
      <c r="DVU639" s="313"/>
      <c r="DVV639" s="340"/>
      <c r="DVW639" s="340"/>
      <c r="DVX639" s="354"/>
      <c r="DVY639" s="313"/>
      <c r="DVZ639" s="340"/>
      <c r="DWA639" s="340"/>
      <c r="DWB639" s="354"/>
      <c r="DWC639" s="313"/>
      <c r="DWD639" s="340"/>
      <c r="DWE639" s="340"/>
      <c r="DWF639" s="354"/>
      <c r="DWG639" s="313"/>
      <c r="DWH639" s="340"/>
      <c r="DWI639" s="340"/>
      <c r="DWJ639" s="354"/>
      <c r="DWK639" s="313"/>
      <c r="DWL639" s="340"/>
      <c r="DWM639" s="340"/>
      <c r="DWN639" s="354"/>
      <c r="DWO639" s="313"/>
      <c r="DWP639" s="340"/>
      <c r="DWQ639" s="340"/>
      <c r="DWR639" s="354"/>
      <c r="DWS639" s="313"/>
      <c r="DWT639" s="340"/>
      <c r="DWU639" s="340"/>
      <c r="DWV639" s="354"/>
      <c r="DWW639" s="313"/>
      <c r="DWX639" s="340"/>
      <c r="DWY639" s="340"/>
      <c r="DWZ639" s="354"/>
      <c r="DXA639" s="313"/>
      <c r="DXB639" s="340"/>
      <c r="DXC639" s="340"/>
      <c r="DXD639" s="354"/>
      <c r="DXE639" s="313"/>
      <c r="DXF639" s="340"/>
      <c r="DXG639" s="340"/>
      <c r="DXH639" s="354"/>
      <c r="DXI639" s="313"/>
      <c r="DXJ639" s="340"/>
      <c r="DXK639" s="340"/>
      <c r="DXL639" s="354"/>
      <c r="DXM639" s="313"/>
      <c r="DXN639" s="340"/>
      <c r="DXO639" s="340"/>
      <c r="DXP639" s="354"/>
      <c r="DXQ639" s="313"/>
      <c r="DXR639" s="340"/>
      <c r="DXS639" s="340"/>
      <c r="DXT639" s="354"/>
      <c r="DXU639" s="313"/>
      <c r="DXV639" s="340"/>
      <c r="DXW639" s="340"/>
      <c r="DXX639" s="354"/>
      <c r="DXY639" s="313"/>
      <c r="DXZ639" s="340"/>
      <c r="DYA639" s="340"/>
      <c r="DYB639" s="354"/>
      <c r="DYC639" s="313"/>
      <c r="DYD639" s="340"/>
      <c r="DYE639" s="340"/>
      <c r="DYF639" s="354"/>
      <c r="DYG639" s="313"/>
      <c r="DYH639" s="340"/>
      <c r="DYI639" s="340"/>
      <c r="DYJ639" s="354"/>
      <c r="DYK639" s="313"/>
      <c r="DYL639" s="340"/>
      <c r="DYM639" s="340"/>
      <c r="DYN639" s="354"/>
      <c r="DYO639" s="313"/>
      <c r="DYP639" s="340"/>
      <c r="DYQ639" s="340"/>
      <c r="DYR639" s="354"/>
      <c r="DYS639" s="313"/>
      <c r="DYT639" s="340"/>
      <c r="DYU639" s="340"/>
      <c r="DYV639" s="354"/>
      <c r="DYW639" s="313"/>
      <c r="DYX639" s="340"/>
      <c r="DYY639" s="340"/>
      <c r="DYZ639" s="354"/>
      <c r="DZA639" s="313"/>
      <c r="DZB639" s="340"/>
      <c r="DZC639" s="340"/>
      <c r="DZD639" s="354"/>
      <c r="DZE639" s="313"/>
      <c r="DZF639" s="340"/>
      <c r="DZG639" s="340"/>
      <c r="DZH639" s="354"/>
      <c r="DZI639" s="313"/>
      <c r="DZJ639" s="340"/>
      <c r="DZK639" s="340"/>
      <c r="DZL639" s="354"/>
      <c r="DZM639" s="313"/>
      <c r="DZN639" s="340"/>
      <c r="DZO639" s="340"/>
      <c r="DZP639" s="354"/>
      <c r="DZQ639" s="313"/>
      <c r="DZR639" s="340"/>
      <c r="DZS639" s="340"/>
      <c r="DZT639" s="354"/>
      <c r="DZU639" s="313"/>
      <c r="DZV639" s="340"/>
      <c r="DZW639" s="340"/>
      <c r="DZX639" s="354"/>
      <c r="DZY639" s="313"/>
      <c r="DZZ639" s="340"/>
      <c r="EAA639" s="340"/>
      <c r="EAB639" s="354"/>
      <c r="EAC639" s="313"/>
      <c r="EAD639" s="340"/>
      <c r="EAE639" s="340"/>
      <c r="EAF639" s="354"/>
      <c r="EAG639" s="313"/>
      <c r="EAH639" s="340"/>
      <c r="EAI639" s="340"/>
      <c r="EAJ639" s="354"/>
      <c r="EAK639" s="313"/>
      <c r="EAL639" s="340"/>
      <c r="EAM639" s="340"/>
      <c r="EAN639" s="354"/>
      <c r="EAO639" s="313"/>
      <c r="EAP639" s="340"/>
      <c r="EAQ639" s="340"/>
      <c r="EAR639" s="354"/>
      <c r="EAS639" s="313"/>
      <c r="EAT639" s="340"/>
      <c r="EAU639" s="340"/>
      <c r="EAV639" s="354"/>
      <c r="EAW639" s="313"/>
      <c r="EAX639" s="340"/>
      <c r="EAY639" s="340"/>
      <c r="EAZ639" s="354"/>
      <c r="EBA639" s="313"/>
      <c r="EBB639" s="340"/>
      <c r="EBC639" s="340"/>
      <c r="EBD639" s="354"/>
      <c r="EBE639" s="313"/>
      <c r="EBF639" s="340"/>
      <c r="EBG639" s="340"/>
      <c r="EBH639" s="354"/>
      <c r="EBI639" s="313"/>
      <c r="EBJ639" s="340"/>
      <c r="EBK639" s="340"/>
      <c r="EBL639" s="354"/>
      <c r="EBM639" s="313"/>
      <c r="EBN639" s="340"/>
      <c r="EBO639" s="340"/>
      <c r="EBP639" s="354"/>
      <c r="EBQ639" s="313"/>
      <c r="EBR639" s="340"/>
      <c r="EBS639" s="340"/>
      <c r="EBT639" s="354"/>
      <c r="EBU639" s="313"/>
      <c r="EBV639" s="340"/>
      <c r="EBW639" s="340"/>
      <c r="EBX639" s="354"/>
      <c r="EBY639" s="313"/>
      <c r="EBZ639" s="340"/>
      <c r="ECA639" s="340"/>
      <c r="ECB639" s="354"/>
      <c r="ECC639" s="313"/>
      <c r="ECD639" s="340"/>
      <c r="ECE639" s="340"/>
      <c r="ECF639" s="354"/>
      <c r="ECG639" s="313"/>
      <c r="ECH639" s="340"/>
      <c r="ECI639" s="340"/>
      <c r="ECJ639" s="354"/>
      <c r="ECK639" s="313"/>
      <c r="ECL639" s="340"/>
      <c r="ECM639" s="340"/>
      <c r="ECN639" s="354"/>
      <c r="ECO639" s="313"/>
      <c r="ECP639" s="340"/>
      <c r="ECQ639" s="340"/>
      <c r="ECR639" s="354"/>
      <c r="ECS639" s="313"/>
      <c r="ECT639" s="340"/>
      <c r="ECU639" s="340"/>
      <c r="ECV639" s="354"/>
      <c r="ECW639" s="313"/>
      <c r="ECX639" s="340"/>
      <c r="ECY639" s="340"/>
      <c r="ECZ639" s="354"/>
      <c r="EDA639" s="313"/>
      <c r="EDB639" s="340"/>
      <c r="EDC639" s="340"/>
      <c r="EDD639" s="354"/>
      <c r="EDE639" s="313"/>
      <c r="EDF639" s="340"/>
      <c r="EDG639" s="340"/>
      <c r="EDH639" s="354"/>
      <c r="EDI639" s="313"/>
      <c r="EDJ639" s="340"/>
      <c r="EDK639" s="340"/>
      <c r="EDL639" s="354"/>
      <c r="EDM639" s="313"/>
      <c r="EDN639" s="340"/>
      <c r="EDO639" s="340"/>
      <c r="EDP639" s="354"/>
      <c r="EDQ639" s="313"/>
      <c r="EDR639" s="340"/>
      <c r="EDS639" s="340"/>
      <c r="EDT639" s="354"/>
      <c r="EDU639" s="313"/>
      <c r="EDV639" s="340"/>
      <c r="EDW639" s="340"/>
      <c r="EDX639" s="354"/>
      <c r="EDY639" s="313"/>
      <c r="EDZ639" s="340"/>
      <c r="EEA639" s="340"/>
      <c r="EEB639" s="354"/>
      <c r="EEC639" s="313"/>
      <c r="EED639" s="340"/>
      <c r="EEE639" s="340"/>
      <c r="EEF639" s="354"/>
      <c r="EEG639" s="313"/>
      <c r="EEH639" s="340"/>
      <c r="EEI639" s="340"/>
      <c r="EEJ639" s="354"/>
      <c r="EEK639" s="313"/>
      <c r="EEL639" s="340"/>
      <c r="EEM639" s="340"/>
      <c r="EEN639" s="354"/>
      <c r="EEO639" s="313"/>
      <c r="EEP639" s="340"/>
      <c r="EEQ639" s="340"/>
      <c r="EER639" s="354"/>
      <c r="EES639" s="313"/>
      <c r="EET639" s="340"/>
      <c r="EEU639" s="340"/>
      <c r="EEV639" s="354"/>
      <c r="EEW639" s="313"/>
      <c r="EEX639" s="340"/>
      <c r="EEY639" s="340"/>
      <c r="EEZ639" s="354"/>
      <c r="EFA639" s="313"/>
      <c r="EFB639" s="340"/>
      <c r="EFC639" s="340"/>
      <c r="EFD639" s="354"/>
      <c r="EFE639" s="313"/>
      <c r="EFF639" s="340"/>
      <c r="EFG639" s="340"/>
      <c r="EFH639" s="354"/>
      <c r="EFI639" s="313"/>
      <c r="EFJ639" s="340"/>
      <c r="EFK639" s="340"/>
      <c r="EFL639" s="354"/>
      <c r="EFM639" s="313"/>
      <c r="EFN639" s="340"/>
      <c r="EFO639" s="340"/>
      <c r="EFP639" s="354"/>
      <c r="EFQ639" s="313"/>
      <c r="EFR639" s="340"/>
      <c r="EFS639" s="340"/>
      <c r="EFT639" s="354"/>
      <c r="EFU639" s="313"/>
      <c r="EFV639" s="340"/>
      <c r="EFW639" s="340"/>
      <c r="EFX639" s="354"/>
      <c r="EFY639" s="313"/>
      <c r="EFZ639" s="340"/>
      <c r="EGA639" s="340"/>
      <c r="EGB639" s="354"/>
      <c r="EGC639" s="313"/>
      <c r="EGD639" s="340"/>
      <c r="EGE639" s="340"/>
      <c r="EGF639" s="354"/>
      <c r="EGG639" s="313"/>
      <c r="EGH639" s="340"/>
      <c r="EGI639" s="340"/>
      <c r="EGJ639" s="354"/>
      <c r="EGK639" s="313"/>
      <c r="EGL639" s="340"/>
      <c r="EGM639" s="340"/>
      <c r="EGN639" s="354"/>
      <c r="EGO639" s="313"/>
      <c r="EGP639" s="340"/>
      <c r="EGQ639" s="340"/>
      <c r="EGR639" s="354"/>
      <c r="EGS639" s="313"/>
      <c r="EGT639" s="340"/>
      <c r="EGU639" s="340"/>
      <c r="EGV639" s="354"/>
      <c r="EGW639" s="313"/>
      <c r="EGX639" s="340"/>
      <c r="EGY639" s="340"/>
      <c r="EGZ639" s="354"/>
      <c r="EHA639" s="313"/>
      <c r="EHB639" s="340"/>
      <c r="EHC639" s="340"/>
      <c r="EHD639" s="354"/>
      <c r="EHE639" s="313"/>
      <c r="EHF639" s="340"/>
      <c r="EHG639" s="340"/>
      <c r="EHH639" s="354"/>
      <c r="EHI639" s="313"/>
      <c r="EHJ639" s="340"/>
      <c r="EHK639" s="340"/>
      <c r="EHL639" s="354"/>
      <c r="EHM639" s="313"/>
      <c r="EHN639" s="340"/>
      <c r="EHO639" s="340"/>
      <c r="EHP639" s="354"/>
      <c r="EHQ639" s="313"/>
      <c r="EHR639" s="340"/>
      <c r="EHS639" s="340"/>
      <c r="EHT639" s="354"/>
      <c r="EHU639" s="313"/>
      <c r="EHV639" s="340"/>
      <c r="EHW639" s="340"/>
      <c r="EHX639" s="354"/>
      <c r="EHY639" s="313"/>
      <c r="EHZ639" s="340"/>
      <c r="EIA639" s="340"/>
      <c r="EIB639" s="354"/>
      <c r="EIC639" s="313"/>
      <c r="EID639" s="340"/>
      <c r="EIE639" s="340"/>
      <c r="EIF639" s="354"/>
      <c r="EIG639" s="313"/>
      <c r="EIH639" s="340"/>
      <c r="EII639" s="340"/>
      <c r="EIJ639" s="354"/>
      <c r="EIK639" s="313"/>
      <c r="EIL639" s="340"/>
      <c r="EIM639" s="340"/>
      <c r="EIN639" s="354"/>
      <c r="EIO639" s="313"/>
      <c r="EIP639" s="340"/>
      <c r="EIQ639" s="340"/>
      <c r="EIR639" s="354"/>
      <c r="EIS639" s="313"/>
      <c r="EIT639" s="340"/>
      <c r="EIU639" s="340"/>
      <c r="EIV639" s="354"/>
      <c r="EIW639" s="313"/>
      <c r="EIX639" s="340"/>
      <c r="EIY639" s="340"/>
      <c r="EIZ639" s="354"/>
      <c r="EJA639" s="313"/>
      <c r="EJB639" s="340"/>
      <c r="EJC639" s="340"/>
      <c r="EJD639" s="354"/>
      <c r="EJE639" s="313"/>
      <c r="EJF639" s="340"/>
      <c r="EJG639" s="340"/>
      <c r="EJH639" s="354"/>
      <c r="EJI639" s="313"/>
      <c r="EJJ639" s="340"/>
      <c r="EJK639" s="340"/>
      <c r="EJL639" s="354"/>
      <c r="EJM639" s="313"/>
      <c r="EJN639" s="340"/>
      <c r="EJO639" s="340"/>
      <c r="EJP639" s="354"/>
      <c r="EJQ639" s="313"/>
      <c r="EJR639" s="340"/>
      <c r="EJS639" s="340"/>
      <c r="EJT639" s="354"/>
      <c r="EJU639" s="313"/>
      <c r="EJV639" s="340"/>
      <c r="EJW639" s="340"/>
      <c r="EJX639" s="354"/>
      <c r="EJY639" s="313"/>
      <c r="EJZ639" s="340"/>
      <c r="EKA639" s="340"/>
      <c r="EKB639" s="354"/>
      <c r="EKC639" s="313"/>
      <c r="EKD639" s="340"/>
      <c r="EKE639" s="340"/>
      <c r="EKF639" s="354"/>
      <c r="EKG639" s="313"/>
      <c r="EKH639" s="340"/>
      <c r="EKI639" s="340"/>
      <c r="EKJ639" s="354"/>
      <c r="EKK639" s="313"/>
      <c r="EKL639" s="340"/>
      <c r="EKM639" s="340"/>
      <c r="EKN639" s="354"/>
      <c r="EKO639" s="313"/>
      <c r="EKP639" s="340"/>
      <c r="EKQ639" s="340"/>
      <c r="EKR639" s="354"/>
      <c r="EKS639" s="313"/>
      <c r="EKT639" s="340"/>
      <c r="EKU639" s="340"/>
      <c r="EKV639" s="354"/>
      <c r="EKW639" s="313"/>
      <c r="EKX639" s="340"/>
      <c r="EKY639" s="340"/>
      <c r="EKZ639" s="354"/>
      <c r="ELA639" s="313"/>
      <c r="ELB639" s="340"/>
      <c r="ELC639" s="340"/>
      <c r="ELD639" s="354"/>
      <c r="ELE639" s="313"/>
      <c r="ELF639" s="340"/>
      <c r="ELG639" s="340"/>
      <c r="ELH639" s="354"/>
      <c r="ELI639" s="313"/>
      <c r="ELJ639" s="340"/>
      <c r="ELK639" s="340"/>
      <c r="ELL639" s="354"/>
      <c r="ELM639" s="313"/>
      <c r="ELN639" s="340"/>
      <c r="ELO639" s="340"/>
      <c r="ELP639" s="354"/>
      <c r="ELQ639" s="313"/>
      <c r="ELR639" s="340"/>
      <c r="ELS639" s="340"/>
      <c r="ELT639" s="354"/>
      <c r="ELU639" s="313"/>
      <c r="ELV639" s="340"/>
      <c r="ELW639" s="340"/>
      <c r="ELX639" s="354"/>
      <c r="ELY639" s="313"/>
      <c r="ELZ639" s="340"/>
      <c r="EMA639" s="340"/>
      <c r="EMB639" s="354"/>
      <c r="EMC639" s="313"/>
      <c r="EMD639" s="340"/>
      <c r="EME639" s="340"/>
      <c r="EMF639" s="354"/>
      <c r="EMG639" s="313"/>
      <c r="EMH639" s="340"/>
      <c r="EMI639" s="340"/>
      <c r="EMJ639" s="354"/>
      <c r="EMK639" s="313"/>
      <c r="EML639" s="340"/>
      <c r="EMM639" s="340"/>
      <c r="EMN639" s="354"/>
      <c r="EMO639" s="313"/>
      <c r="EMP639" s="340"/>
      <c r="EMQ639" s="340"/>
      <c r="EMR639" s="354"/>
      <c r="EMS639" s="313"/>
      <c r="EMT639" s="340"/>
      <c r="EMU639" s="340"/>
      <c r="EMV639" s="354"/>
      <c r="EMW639" s="313"/>
      <c r="EMX639" s="340"/>
      <c r="EMY639" s="340"/>
      <c r="EMZ639" s="354"/>
      <c r="ENA639" s="313"/>
      <c r="ENB639" s="340"/>
      <c r="ENC639" s="340"/>
      <c r="END639" s="354"/>
      <c r="ENE639" s="313"/>
      <c r="ENF639" s="340"/>
      <c r="ENG639" s="340"/>
      <c r="ENH639" s="354"/>
      <c r="ENI639" s="313"/>
      <c r="ENJ639" s="340"/>
      <c r="ENK639" s="340"/>
      <c r="ENL639" s="354"/>
      <c r="ENM639" s="313"/>
      <c r="ENN639" s="340"/>
      <c r="ENO639" s="340"/>
      <c r="ENP639" s="354"/>
      <c r="ENQ639" s="313"/>
      <c r="ENR639" s="340"/>
      <c r="ENS639" s="340"/>
      <c r="ENT639" s="354"/>
      <c r="ENU639" s="313"/>
      <c r="ENV639" s="340"/>
      <c r="ENW639" s="340"/>
      <c r="ENX639" s="354"/>
      <c r="ENY639" s="313"/>
      <c r="ENZ639" s="340"/>
      <c r="EOA639" s="340"/>
      <c r="EOB639" s="354"/>
      <c r="EOC639" s="313"/>
      <c r="EOD639" s="340"/>
      <c r="EOE639" s="340"/>
      <c r="EOF639" s="354"/>
      <c r="EOG639" s="313"/>
      <c r="EOH639" s="340"/>
      <c r="EOI639" s="340"/>
      <c r="EOJ639" s="354"/>
      <c r="EOK639" s="313"/>
      <c r="EOL639" s="340"/>
      <c r="EOM639" s="340"/>
      <c r="EON639" s="354"/>
      <c r="EOO639" s="313"/>
      <c r="EOP639" s="340"/>
      <c r="EOQ639" s="340"/>
      <c r="EOR639" s="354"/>
      <c r="EOS639" s="313"/>
      <c r="EOT639" s="340"/>
      <c r="EOU639" s="340"/>
      <c r="EOV639" s="354"/>
      <c r="EOW639" s="313"/>
      <c r="EOX639" s="340"/>
      <c r="EOY639" s="340"/>
      <c r="EOZ639" s="354"/>
      <c r="EPA639" s="313"/>
      <c r="EPB639" s="340"/>
      <c r="EPC639" s="340"/>
      <c r="EPD639" s="354"/>
      <c r="EPE639" s="313"/>
      <c r="EPF639" s="340"/>
      <c r="EPG639" s="340"/>
      <c r="EPH639" s="354"/>
      <c r="EPI639" s="313"/>
      <c r="EPJ639" s="340"/>
      <c r="EPK639" s="340"/>
      <c r="EPL639" s="354"/>
      <c r="EPM639" s="313"/>
      <c r="EPN639" s="340"/>
      <c r="EPO639" s="340"/>
      <c r="EPP639" s="354"/>
      <c r="EPQ639" s="313"/>
      <c r="EPR639" s="340"/>
      <c r="EPS639" s="340"/>
      <c r="EPT639" s="354"/>
      <c r="EPU639" s="313"/>
      <c r="EPV639" s="340"/>
      <c r="EPW639" s="340"/>
      <c r="EPX639" s="354"/>
      <c r="EPY639" s="313"/>
      <c r="EPZ639" s="340"/>
      <c r="EQA639" s="340"/>
      <c r="EQB639" s="354"/>
      <c r="EQC639" s="313"/>
      <c r="EQD639" s="340"/>
      <c r="EQE639" s="340"/>
      <c r="EQF639" s="354"/>
      <c r="EQG639" s="313"/>
      <c r="EQH639" s="340"/>
      <c r="EQI639" s="340"/>
      <c r="EQJ639" s="354"/>
      <c r="EQK639" s="313"/>
      <c r="EQL639" s="340"/>
      <c r="EQM639" s="340"/>
      <c r="EQN639" s="354"/>
      <c r="EQO639" s="313"/>
      <c r="EQP639" s="340"/>
      <c r="EQQ639" s="340"/>
      <c r="EQR639" s="354"/>
      <c r="EQS639" s="313"/>
      <c r="EQT639" s="340"/>
      <c r="EQU639" s="340"/>
      <c r="EQV639" s="354"/>
      <c r="EQW639" s="313"/>
      <c r="EQX639" s="340"/>
      <c r="EQY639" s="340"/>
      <c r="EQZ639" s="354"/>
      <c r="ERA639" s="313"/>
      <c r="ERB639" s="340"/>
      <c r="ERC639" s="340"/>
      <c r="ERD639" s="354"/>
      <c r="ERE639" s="313"/>
      <c r="ERF639" s="340"/>
      <c r="ERG639" s="340"/>
      <c r="ERH639" s="354"/>
      <c r="ERI639" s="313"/>
      <c r="ERJ639" s="340"/>
      <c r="ERK639" s="340"/>
      <c r="ERL639" s="354"/>
      <c r="ERM639" s="313"/>
      <c r="ERN639" s="340"/>
      <c r="ERO639" s="340"/>
      <c r="ERP639" s="354"/>
      <c r="ERQ639" s="313"/>
      <c r="ERR639" s="340"/>
      <c r="ERS639" s="340"/>
      <c r="ERT639" s="354"/>
      <c r="ERU639" s="313"/>
      <c r="ERV639" s="340"/>
      <c r="ERW639" s="340"/>
      <c r="ERX639" s="354"/>
      <c r="ERY639" s="313"/>
      <c r="ERZ639" s="340"/>
      <c r="ESA639" s="340"/>
      <c r="ESB639" s="354"/>
      <c r="ESC639" s="313"/>
      <c r="ESD639" s="340"/>
      <c r="ESE639" s="340"/>
      <c r="ESF639" s="354"/>
      <c r="ESG639" s="313"/>
      <c r="ESH639" s="340"/>
      <c r="ESI639" s="340"/>
      <c r="ESJ639" s="354"/>
      <c r="ESK639" s="313"/>
      <c r="ESL639" s="340"/>
      <c r="ESM639" s="340"/>
      <c r="ESN639" s="354"/>
      <c r="ESO639" s="313"/>
      <c r="ESP639" s="340"/>
      <c r="ESQ639" s="340"/>
      <c r="ESR639" s="354"/>
      <c r="ESS639" s="313"/>
      <c r="EST639" s="340"/>
      <c r="ESU639" s="340"/>
      <c r="ESV639" s="354"/>
      <c r="ESW639" s="313"/>
      <c r="ESX639" s="340"/>
      <c r="ESY639" s="340"/>
      <c r="ESZ639" s="354"/>
      <c r="ETA639" s="313"/>
      <c r="ETB639" s="340"/>
      <c r="ETC639" s="340"/>
      <c r="ETD639" s="354"/>
      <c r="ETE639" s="313"/>
      <c r="ETF639" s="340"/>
      <c r="ETG639" s="340"/>
      <c r="ETH639" s="354"/>
      <c r="ETI639" s="313"/>
      <c r="ETJ639" s="340"/>
      <c r="ETK639" s="340"/>
      <c r="ETL639" s="354"/>
      <c r="ETM639" s="313"/>
      <c r="ETN639" s="340"/>
      <c r="ETO639" s="340"/>
      <c r="ETP639" s="354"/>
      <c r="ETQ639" s="313"/>
      <c r="ETR639" s="340"/>
      <c r="ETS639" s="340"/>
      <c r="ETT639" s="354"/>
      <c r="ETU639" s="313"/>
      <c r="ETV639" s="340"/>
      <c r="ETW639" s="340"/>
      <c r="ETX639" s="354"/>
      <c r="ETY639" s="313"/>
      <c r="ETZ639" s="340"/>
      <c r="EUA639" s="340"/>
      <c r="EUB639" s="354"/>
      <c r="EUC639" s="313"/>
      <c r="EUD639" s="340"/>
      <c r="EUE639" s="340"/>
      <c r="EUF639" s="354"/>
      <c r="EUG639" s="313"/>
      <c r="EUH639" s="340"/>
      <c r="EUI639" s="340"/>
      <c r="EUJ639" s="354"/>
      <c r="EUK639" s="313"/>
      <c r="EUL639" s="340"/>
      <c r="EUM639" s="340"/>
      <c r="EUN639" s="354"/>
      <c r="EUO639" s="313"/>
      <c r="EUP639" s="340"/>
      <c r="EUQ639" s="340"/>
      <c r="EUR639" s="354"/>
      <c r="EUS639" s="313"/>
      <c r="EUT639" s="340"/>
      <c r="EUU639" s="340"/>
      <c r="EUV639" s="354"/>
      <c r="EUW639" s="313"/>
      <c r="EUX639" s="340"/>
      <c r="EUY639" s="340"/>
      <c r="EUZ639" s="354"/>
      <c r="EVA639" s="313"/>
      <c r="EVB639" s="340"/>
      <c r="EVC639" s="340"/>
      <c r="EVD639" s="354"/>
      <c r="EVE639" s="313"/>
      <c r="EVF639" s="340"/>
      <c r="EVG639" s="340"/>
      <c r="EVH639" s="354"/>
      <c r="EVI639" s="313"/>
      <c r="EVJ639" s="340"/>
      <c r="EVK639" s="340"/>
      <c r="EVL639" s="354"/>
      <c r="EVM639" s="313"/>
      <c r="EVN639" s="340"/>
      <c r="EVO639" s="340"/>
      <c r="EVP639" s="354"/>
      <c r="EVQ639" s="313"/>
      <c r="EVR639" s="340"/>
      <c r="EVS639" s="340"/>
      <c r="EVT639" s="354"/>
      <c r="EVU639" s="313"/>
      <c r="EVV639" s="340"/>
      <c r="EVW639" s="340"/>
      <c r="EVX639" s="354"/>
      <c r="EVY639" s="313"/>
      <c r="EVZ639" s="340"/>
      <c r="EWA639" s="340"/>
      <c r="EWB639" s="354"/>
      <c r="EWC639" s="313"/>
      <c r="EWD639" s="340"/>
      <c r="EWE639" s="340"/>
      <c r="EWF639" s="354"/>
      <c r="EWG639" s="313"/>
      <c r="EWH639" s="340"/>
      <c r="EWI639" s="340"/>
      <c r="EWJ639" s="354"/>
      <c r="EWK639" s="313"/>
      <c r="EWL639" s="340"/>
      <c r="EWM639" s="340"/>
      <c r="EWN639" s="354"/>
      <c r="EWO639" s="313"/>
      <c r="EWP639" s="340"/>
      <c r="EWQ639" s="340"/>
      <c r="EWR639" s="354"/>
      <c r="EWS639" s="313"/>
      <c r="EWT639" s="340"/>
      <c r="EWU639" s="340"/>
      <c r="EWV639" s="354"/>
      <c r="EWW639" s="313"/>
      <c r="EWX639" s="340"/>
      <c r="EWY639" s="340"/>
      <c r="EWZ639" s="354"/>
      <c r="EXA639" s="313"/>
      <c r="EXB639" s="340"/>
      <c r="EXC639" s="340"/>
      <c r="EXD639" s="354"/>
      <c r="EXE639" s="313"/>
      <c r="EXF639" s="340"/>
      <c r="EXG639" s="340"/>
      <c r="EXH639" s="354"/>
      <c r="EXI639" s="313"/>
      <c r="EXJ639" s="340"/>
      <c r="EXK639" s="340"/>
      <c r="EXL639" s="354"/>
      <c r="EXM639" s="313"/>
      <c r="EXN639" s="340"/>
      <c r="EXO639" s="340"/>
      <c r="EXP639" s="354"/>
      <c r="EXQ639" s="313"/>
      <c r="EXR639" s="340"/>
      <c r="EXS639" s="340"/>
      <c r="EXT639" s="354"/>
      <c r="EXU639" s="313"/>
      <c r="EXV639" s="340"/>
      <c r="EXW639" s="340"/>
      <c r="EXX639" s="354"/>
      <c r="EXY639" s="313"/>
      <c r="EXZ639" s="340"/>
      <c r="EYA639" s="340"/>
      <c r="EYB639" s="354"/>
      <c r="EYC639" s="313"/>
      <c r="EYD639" s="340"/>
      <c r="EYE639" s="340"/>
      <c r="EYF639" s="354"/>
      <c r="EYG639" s="313"/>
      <c r="EYH639" s="340"/>
      <c r="EYI639" s="340"/>
      <c r="EYJ639" s="354"/>
      <c r="EYK639" s="313"/>
      <c r="EYL639" s="340"/>
      <c r="EYM639" s="340"/>
      <c r="EYN639" s="354"/>
      <c r="EYO639" s="313"/>
      <c r="EYP639" s="340"/>
      <c r="EYQ639" s="340"/>
      <c r="EYR639" s="354"/>
      <c r="EYS639" s="313"/>
      <c r="EYT639" s="340"/>
      <c r="EYU639" s="340"/>
      <c r="EYV639" s="354"/>
      <c r="EYW639" s="313"/>
      <c r="EYX639" s="340"/>
      <c r="EYY639" s="340"/>
      <c r="EYZ639" s="354"/>
      <c r="EZA639" s="313"/>
      <c r="EZB639" s="340"/>
      <c r="EZC639" s="340"/>
      <c r="EZD639" s="354"/>
      <c r="EZE639" s="313"/>
      <c r="EZF639" s="340"/>
      <c r="EZG639" s="340"/>
      <c r="EZH639" s="354"/>
      <c r="EZI639" s="313"/>
      <c r="EZJ639" s="340"/>
      <c r="EZK639" s="340"/>
      <c r="EZL639" s="354"/>
      <c r="EZM639" s="313"/>
      <c r="EZN639" s="340"/>
      <c r="EZO639" s="340"/>
      <c r="EZP639" s="354"/>
      <c r="EZQ639" s="313"/>
      <c r="EZR639" s="340"/>
      <c r="EZS639" s="340"/>
      <c r="EZT639" s="354"/>
      <c r="EZU639" s="313"/>
      <c r="EZV639" s="340"/>
      <c r="EZW639" s="340"/>
      <c r="EZX639" s="354"/>
      <c r="EZY639" s="313"/>
      <c r="EZZ639" s="340"/>
      <c r="FAA639" s="340"/>
      <c r="FAB639" s="354"/>
      <c r="FAC639" s="313"/>
      <c r="FAD639" s="340"/>
      <c r="FAE639" s="340"/>
      <c r="FAF639" s="354"/>
      <c r="FAG639" s="313"/>
      <c r="FAH639" s="340"/>
      <c r="FAI639" s="340"/>
      <c r="FAJ639" s="354"/>
      <c r="FAK639" s="313"/>
      <c r="FAL639" s="340"/>
      <c r="FAM639" s="340"/>
      <c r="FAN639" s="354"/>
      <c r="FAO639" s="313"/>
      <c r="FAP639" s="340"/>
      <c r="FAQ639" s="340"/>
      <c r="FAR639" s="354"/>
      <c r="FAS639" s="313"/>
      <c r="FAT639" s="340"/>
      <c r="FAU639" s="340"/>
      <c r="FAV639" s="354"/>
      <c r="FAW639" s="313"/>
      <c r="FAX639" s="340"/>
      <c r="FAY639" s="340"/>
      <c r="FAZ639" s="354"/>
      <c r="FBA639" s="313"/>
      <c r="FBB639" s="340"/>
      <c r="FBC639" s="340"/>
      <c r="FBD639" s="354"/>
      <c r="FBE639" s="313"/>
      <c r="FBF639" s="340"/>
      <c r="FBG639" s="340"/>
      <c r="FBH639" s="354"/>
      <c r="FBI639" s="313"/>
      <c r="FBJ639" s="340"/>
      <c r="FBK639" s="340"/>
      <c r="FBL639" s="354"/>
      <c r="FBM639" s="313"/>
      <c r="FBN639" s="340"/>
      <c r="FBO639" s="340"/>
      <c r="FBP639" s="354"/>
      <c r="FBQ639" s="313"/>
      <c r="FBR639" s="340"/>
      <c r="FBS639" s="340"/>
      <c r="FBT639" s="354"/>
      <c r="FBU639" s="313"/>
      <c r="FBV639" s="340"/>
      <c r="FBW639" s="340"/>
      <c r="FBX639" s="354"/>
      <c r="FBY639" s="313"/>
      <c r="FBZ639" s="340"/>
      <c r="FCA639" s="340"/>
      <c r="FCB639" s="354"/>
      <c r="FCC639" s="313"/>
      <c r="FCD639" s="340"/>
      <c r="FCE639" s="340"/>
      <c r="FCF639" s="354"/>
      <c r="FCG639" s="313"/>
      <c r="FCH639" s="340"/>
      <c r="FCI639" s="340"/>
      <c r="FCJ639" s="354"/>
      <c r="FCK639" s="313"/>
      <c r="FCL639" s="340"/>
      <c r="FCM639" s="340"/>
      <c r="FCN639" s="354"/>
      <c r="FCO639" s="313"/>
      <c r="FCP639" s="340"/>
      <c r="FCQ639" s="340"/>
      <c r="FCR639" s="354"/>
      <c r="FCS639" s="313"/>
      <c r="FCT639" s="340"/>
      <c r="FCU639" s="340"/>
      <c r="FCV639" s="354"/>
      <c r="FCW639" s="313"/>
      <c r="FCX639" s="340"/>
      <c r="FCY639" s="340"/>
      <c r="FCZ639" s="354"/>
      <c r="FDA639" s="313"/>
      <c r="FDB639" s="340"/>
      <c r="FDC639" s="340"/>
      <c r="FDD639" s="354"/>
      <c r="FDE639" s="313"/>
      <c r="FDF639" s="340"/>
      <c r="FDG639" s="340"/>
      <c r="FDH639" s="354"/>
      <c r="FDI639" s="313"/>
      <c r="FDJ639" s="340"/>
      <c r="FDK639" s="340"/>
      <c r="FDL639" s="354"/>
      <c r="FDM639" s="313"/>
      <c r="FDN639" s="340"/>
      <c r="FDO639" s="340"/>
      <c r="FDP639" s="354"/>
      <c r="FDQ639" s="313"/>
      <c r="FDR639" s="340"/>
      <c r="FDS639" s="340"/>
      <c r="FDT639" s="354"/>
      <c r="FDU639" s="313"/>
      <c r="FDV639" s="340"/>
      <c r="FDW639" s="340"/>
      <c r="FDX639" s="354"/>
      <c r="FDY639" s="313"/>
      <c r="FDZ639" s="340"/>
      <c r="FEA639" s="340"/>
      <c r="FEB639" s="354"/>
      <c r="FEC639" s="313"/>
      <c r="FED639" s="340"/>
      <c r="FEE639" s="340"/>
      <c r="FEF639" s="354"/>
      <c r="FEG639" s="313"/>
      <c r="FEH639" s="340"/>
      <c r="FEI639" s="340"/>
      <c r="FEJ639" s="354"/>
      <c r="FEK639" s="313"/>
      <c r="FEL639" s="340"/>
      <c r="FEM639" s="340"/>
      <c r="FEN639" s="354"/>
      <c r="FEO639" s="313"/>
      <c r="FEP639" s="340"/>
      <c r="FEQ639" s="340"/>
      <c r="FER639" s="354"/>
      <c r="FES639" s="313"/>
      <c r="FET639" s="340"/>
      <c r="FEU639" s="340"/>
      <c r="FEV639" s="354"/>
      <c r="FEW639" s="313"/>
      <c r="FEX639" s="340"/>
      <c r="FEY639" s="340"/>
      <c r="FEZ639" s="354"/>
      <c r="FFA639" s="313"/>
      <c r="FFB639" s="340"/>
      <c r="FFC639" s="340"/>
      <c r="FFD639" s="354"/>
      <c r="FFE639" s="313"/>
      <c r="FFF639" s="340"/>
      <c r="FFG639" s="340"/>
      <c r="FFH639" s="354"/>
      <c r="FFI639" s="313"/>
      <c r="FFJ639" s="340"/>
      <c r="FFK639" s="340"/>
      <c r="FFL639" s="354"/>
      <c r="FFM639" s="313"/>
      <c r="FFN639" s="340"/>
      <c r="FFO639" s="340"/>
      <c r="FFP639" s="354"/>
      <c r="FFQ639" s="313"/>
      <c r="FFR639" s="340"/>
      <c r="FFS639" s="340"/>
      <c r="FFT639" s="354"/>
      <c r="FFU639" s="313"/>
      <c r="FFV639" s="340"/>
      <c r="FFW639" s="340"/>
      <c r="FFX639" s="354"/>
      <c r="FFY639" s="313"/>
      <c r="FFZ639" s="340"/>
      <c r="FGA639" s="340"/>
      <c r="FGB639" s="354"/>
      <c r="FGC639" s="313"/>
      <c r="FGD639" s="340"/>
      <c r="FGE639" s="340"/>
      <c r="FGF639" s="354"/>
      <c r="FGG639" s="313"/>
      <c r="FGH639" s="340"/>
      <c r="FGI639" s="340"/>
      <c r="FGJ639" s="354"/>
      <c r="FGK639" s="313"/>
      <c r="FGL639" s="340"/>
      <c r="FGM639" s="340"/>
      <c r="FGN639" s="354"/>
      <c r="FGO639" s="313"/>
      <c r="FGP639" s="340"/>
      <c r="FGQ639" s="340"/>
      <c r="FGR639" s="354"/>
      <c r="FGS639" s="313"/>
      <c r="FGT639" s="340"/>
      <c r="FGU639" s="340"/>
      <c r="FGV639" s="354"/>
      <c r="FGW639" s="313"/>
      <c r="FGX639" s="340"/>
      <c r="FGY639" s="340"/>
      <c r="FGZ639" s="354"/>
      <c r="FHA639" s="313"/>
      <c r="FHB639" s="340"/>
      <c r="FHC639" s="340"/>
      <c r="FHD639" s="354"/>
      <c r="FHE639" s="313"/>
      <c r="FHF639" s="340"/>
      <c r="FHG639" s="340"/>
      <c r="FHH639" s="354"/>
      <c r="FHI639" s="313"/>
      <c r="FHJ639" s="340"/>
      <c r="FHK639" s="340"/>
      <c r="FHL639" s="354"/>
      <c r="FHM639" s="313"/>
      <c r="FHN639" s="340"/>
      <c r="FHO639" s="340"/>
      <c r="FHP639" s="354"/>
      <c r="FHQ639" s="313"/>
      <c r="FHR639" s="340"/>
      <c r="FHS639" s="340"/>
      <c r="FHT639" s="354"/>
      <c r="FHU639" s="313"/>
      <c r="FHV639" s="340"/>
      <c r="FHW639" s="340"/>
      <c r="FHX639" s="354"/>
      <c r="FHY639" s="313"/>
      <c r="FHZ639" s="340"/>
      <c r="FIA639" s="340"/>
      <c r="FIB639" s="354"/>
      <c r="FIC639" s="313"/>
      <c r="FID639" s="340"/>
      <c r="FIE639" s="340"/>
      <c r="FIF639" s="354"/>
      <c r="FIG639" s="313"/>
      <c r="FIH639" s="340"/>
      <c r="FII639" s="340"/>
      <c r="FIJ639" s="354"/>
      <c r="FIK639" s="313"/>
      <c r="FIL639" s="340"/>
      <c r="FIM639" s="340"/>
      <c r="FIN639" s="354"/>
      <c r="FIO639" s="313"/>
      <c r="FIP639" s="340"/>
      <c r="FIQ639" s="340"/>
      <c r="FIR639" s="354"/>
      <c r="FIS639" s="313"/>
      <c r="FIT639" s="340"/>
      <c r="FIU639" s="340"/>
      <c r="FIV639" s="354"/>
      <c r="FIW639" s="313"/>
      <c r="FIX639" s="340"/>
      <c r="FIY639" s="340"/>
      <c r="FIZ639" s="354"/>
      <c r="FJA639" s="313"/>
      <c r="FJB639" s="340"/>
      <c r="FJC639" s="340"/>
      <c r="FJD639" s="354"/>
      <c r="FJE639" s="313"/>
      <c r="FJF639" s="340"/>
      <c r="FJG639" s="340"/>
      <c r="FJH639" s="354"/>
      <c r="FJI639" s="313"/>
      <c r="FJJ639" s="340"/>
      <c r="FJK639" s="340"/>
      <c r="FJL639" s="354"/>
      <c r="FJM639" s="313"/>
      <c r="FJN639" s="340"/>
      <c r="FJO639" s="340"/>
      <c r="FJP639" s="354"/>
      <c r="FJQ639" s="313"/>
      <c r="FJR639" s="340"/>
      <c r="FJS639" s="340"/>
      <c r="FJT639" s="354"/>
      <c r="FJU639" s="313"/>
      <c r="FJV639" s="340"/>
      <c r="FJW639" s="340"/>
      <c r="FJX639" s="354"/>
      <c r="FJY639" s="313"/>
      <c r="FJZ639" s="340"/>
      <c r="FKA639" s="340"/>
      <c r="FKB639" s="354"/>
      <c r="FKC639" s="313"/>
      <c r="FKD639" s="340"/>
      <c r="FKE639" s="340"/>
      <c r="FKF639" s="354"/>
      <c r="FKG639" s="313"/>
      <c r="FKH639" s="340"/>
      <c r="FKI639" s="340"/>
      <c r="FKJ639" s="354"/>
      <c r="FKK639" s="313"/>
      <c r="FKL639" s="340"/>
      <c r="FKM639" s="340"/>
      <c r="FKN639" s="354"/>
      <c r="FKO639" s="313"/>
      <c r="FKP639" s="340"/>
      <c r="FKQ639" s="340"/>
      <c r="FKR639" s="354"/>
      <c r="FKS639" s="313"/>
      <c r="FKT639" s="340"/>
      <c r="FKU639" s="340"/>
      <c r="FKV639" s="354"/>
      <c r="FKW639" s="313"/>
      <c r="FKX639" s="340"/>
      <c r="FKY639" s="340"/>
      <c r="FKZ639" s="354"/>
      <c r="FLA639" s="313"/>
      <c r="FLB639" s="340"/>
      <c r="FLC639" s="340"/>
      <c r="FLD639" s="354"/>
      <c r="FLE639" s="313"/>
      <c r="FLF639" s="340"/>
      <c r="FLG639" s="340"/>
      <c r="FLH639" s="354"/>
      <c r="FLI639" s="313"/>
      <c r="FLJ639" s="340"/>
      <c r="FLK639" s="340"/>
      <c r="FLL639" s="354"/>
      <c r="FLM639" s="313"/>
      <c r="FLN639" s="340"/>
      <c r="FLO639" s="340"/>
      <c r="FLP639" s="354"/>
      <c r="FLQ639" s="313"/>
      <c r="FLR639" s="340"/>
      <c r="FLS639" s="340"/>
      <c r="FLT639" s="354"/>
      <c r="FLU639" s="313"/>
      <c r="FLV639" s="340"/>
      <c r="FLW639" s="340"/>
      <c r="FLX639" s="354"/>
      <c r="FLY639" s="313"/>
      <c r="FLZ639" s="340"/>
      <c r="FMA639" s="340"/>
      <c r="FMB639" s="354"/>
      <c r="FMC639" s="313"/>
      <c r="FMD639" s="340"/>
      <c r="FME639" s="340"/>
      <c r="FMF639" s="354"/>
      <c r="FMG639" s="313"/>
      <c r="FMH639" s="340"/>
      <c r="FMI639" s="340"/>
      <c r="FMJ639" s="354"/>
      <c r="FMK639" s="313"/>
      <c r="FML639" s="340"/>
      <c r="FMM639" s="340"/>
      <c r="FMN639" s="354"/>
      <c r="FMO639" s="313"/>
      <c r="FMP639" s="340"/>
      <c r="FMQ639" s="340"/>
      <c r="FMR639" s="354"/>
      <c r="FMS639" s="313"/>
      <c r="FMT639" s="340"/>
      <c r="FMU639" s="340"/>
      <c r="FMV639" s="354"/>
      <c r="FMW639" s="313"/>
      <c r="FMX639" s="340"/>
      <c r="FMY639" s="340"/>
      <c r="FMZ639" s="354"/>
      <c r="FNA639" s="313"/>
      <c r="FNB639" s="340"/>
      <c r="FNC639" s="340"/>
      <c r="FND639" s="354"/>
      <c r="FNE639" s="313"/>
      <c r="FNF639" s="340"/>
      <c r="FNG639" s="340"/>
      <c r="FNH639" s="354"/>
      <c r="FNI639" s="313"/>
      <c r="FNJ639" s="340"/>
      <c r="FNK639" s="340"/>
      <c r="FNL639" s="354"/>
      <c r="FNM639" s="313"/>
      <c r="FNN639" s="340"/>
      <c r="FNO639" s="340"/>
      <c r="FNP639" s="354"/>
      <c r="FNQ639" s="313"/>
      <c r="FNR639" s="340"/>
      <c r="FNS639" s="340"/>
      <c r="FNT639" s="354"/>
      <c r="FNU639" s="313"/>
      <c r="FNV639" s="340"/>
      <c r="FNW639" s="340"/>
      <c r="FNX639" s="354"/>
      <c r="FNY639" s="313"/>
      <c r="FNZ639" s="340"/>
      <c r="FOA639" s="340"/>
      <c r="FOB639" s="354"/>
      <c r="FOC639" s="313"/>
      <c r="FOD639" s="340"/>
      <c r="FOE639" s="340"/>
      <c r="FOF639" s="354"/>
      <c r="FOG639" s="313"/>
      <c r="FOH639" s="340"/>
      <c r="FOI639" s="340"/>
      <c r="FOJ639" s="354"/>
      <c r="FOK639" s="313"/>
      <c r="FOL639" s="340"/>
      <c r="FOM639" s="340"/>
      <c r="FON639" s="354"/>
      <c r="FOO639" s="313"/>
      <c r="FOP639" s="340"/>
      <c r="FOQ639" s="340"/>
      <c r="FOR639" s="354"/>
      <c r="FOS639" s="313"/>
      <c r="FOT639" s="340"/>
      <c r="FOU639" s="340"/>
      <c r="FOV639" s="354"/>
      <c r="FOW639" s="313"/>
      <c r="FOX639" s="340"/>
      <c r="FOY639" s="340"/>
      <c r="FOZ639" s="354"/>
      <c r="FPA639" s="313"/>
      <c r="FPB639" s="340"/>
      <c r="FPC639" s="340"/>
      <c r="FPD639" s="354"/>
      <c r="FPE639" s="313"/>
      <c r="FPF639" s="340"/>
      <c r="FPG639" s="340"/>
      <c r="FPH639" s="354"/>
      <c r="FPI639" s="313"/>
      <c r="FPJ639" s="340"/>
      <c r="FPK639" s="340"/>
      <c r="FPL639" s="354"/>
      <c r="FPM639" s="313"/>
      <c r="FPN639" s="340"/>
      <c r="FPO639" s="340"/>
      <c r="FPP639" s="354"/>
      <c r="FPQ639" s="313"/>
      <c r="FPR639" s="340"/>
      <c r="FPS639" s="340"/>
      <c r="FPT639" s="354"/>
      <c r="FPU639" s="313"/>
      <c r="FPV639" s="340"/>
      <c r="FPW639" s="340"/>
      <c r="FPX639" s="354"/>
      <c r="FPY639" s="313"/>
      <c r="FPZ639" s="340"/>
      <c r="FQA639" s="340"/>
      <c r="FQB639" s="354"/>
      <c r="FQC639" s="313"/>
      <c r="FQD639" s="340"/>
      <c r="FQE639" s="340"/>
      <c r="FQF639" s="354"/>
      <c r="FQG639" s="313"/>
      <c r="FQH639" s="340"/>
      <c r="FQI639" s="340"/>
      <c r="FQJ639" s="354"/>
      <c r="FQK639" s="313"/>
      <c r="FQL639" s="340"/>
      <c r="FQM639" s="340"/>
      <c r="FQN639" s="354"/>
      <c r="FQO639" s="313"/>
      <c r="FQP639" s="340"/>
      <c r="FQQ639" s="340"/>
      <c r="FQR639" s="354"/>
      <c r="FQS639" s="313"/>
      <c r="FQT639" s="340"/>
      <c r="FQU639" s="340"/>
      <c r="FQV639" s="354"/>
      <c r="FQW639" s="313"/>
      <c r="FQX639" s="340"/>
      <c r="FQY639" s="340"/>
      <c r="FQZ639" s="354"/>
      <c r="FRA639" s="313"/>
      <c r="FRB639" s="340"/>
      <c r="FRC639" s="340"/>
      <c r="FRD639" s="354"/>
      <c r="FRE639" s="313"/>
      <c r="FRF639" s="340"/>
      <c r="FRG639" s="340"/>
      <c r="FRH639" s="354"/>
      <c r="FRI639" s="313"/>
      <c r="FRJ639" s="340"/>
      <c r="FRK639" s="340"/>
      <c r="FRL639" s="354"/>
      <c r="FRM639" s="313"/>
      <c r="FRN639" s="340"/>
      <c r="FRO639" s="340"/>
      <c r="FRP639" s="354"/>
      <c r="FRQ639" s="313"/>
      <c r="FRR639" s="340"/>
      <c r="FRS639" s="340"/>
      <c r="FRT639" s="354"/>
      <c r="FRU639" s="313"/>
      <c r="FRV639" s="340"/>
      <c r="FRW639" s="340"/>
      <c r="FRX639" s="354"/>
      <c r="FRY639" s="313"/>
      <c r="FRZ639" s="340"/>
      <c r="FSA639" s="340"/>
      <c r="FSB639" s="354"/>
      <c r="FSC639" s="313"/>
      <c r="FSD639" s="340"/>
      <c r="FSE639" s="340"/>
      <c r="FSF639" s="354"/>
      <c r="FSG639" s="313"/>
      <c r="FSH639" s="340"/>
      <c r="FSI639" s="340"/>
      <c r="FSJ639" s="354"/>
      <c r="FSK639" s="313"/>
      <c r="FSL639" s="340"/>
      <c r="FSM639" s="340"/>
      <c r="FSN639" s="354"/>
      <c r="FSO639" s="313"/>
      <c r="FSP639" s="340"/>
      <c r="FSQ639" s="340"/>
      <c r="FSR639" s="354"/>
      <c r="FSS639" s="313"/>
      <c r="FST639" s="340"/>
      <c r="FSU639" s="340"/>
      <c r="FSV639" s="354"/>
      <c r="FSW639" s="313"/>
      <c r="FSX639" s="340"/>
      <c r="FSY639" s="340"/>
      <c r="FSZ639" s="354"/>
      <c r="FTA639" s="313"/>
      <c r="FTB639" s="340"/>
      <c r="FTC639" s="340"/>
      <c r="FTD639" s="354"/>
      <c r="FTE639" s="313"/>
      <c r="FTF639" s="340"/>
      <c r="FTG639" s="340"/>
      <c r="FTH639" s="354"/>
      <c r="FTI639" s="313"/>
      <c r="FTJ639" s="340"/>
      <c r="FTK639" s="340"/>
      <c r="FTL639" s="354"/>
      <c r="FTM639" s="313"/>
      <c r="FTN639" s="340"/>
      <c r="FTO639" s="340"/>
      <c r="FTP639" s="354"/>
      <c r="FTQ639" s="313"/>
      <c r="FTR639" s="340"/>
      <c r="FTS639" s="340"/>
      <c r="FTT639" s="354"/>
      <c r="FTU639" s="313"/>
      <c r="FTV639" s="340"/>
      <c r="FTW639" s="340"/>
      <c r="FTX639" s="354"/>
      <c r="FTY639" s="313"/>
      <c r="FTZ639" s="340"/>
      <c r="FUA639" s="340"/>
      <c r="FUB639" s="354"/>
      <c r="FUC639" s="313"/>
      <c r="FUD639" s="340"/>
      <c r="FUE639" s="340"/>
      <c r="FUF639" s="354"/>
      <c r="FUG639" s="313"/>
      <c r="FUH639" s="340"/>
      <c r="FUI639" s="340"/>
      <c r="FUJ639" s="354"/>
      <c r="FUK639" s="313"/>
      <c r="FUL639" s="340"/>
      <c r="FUM639" s="340"/>
      <c r="FUN639" s="354"/>
      <c r="FUO639" s="313"/>
      <c r="FUP639" s="340"/>
      <c r="FUQ639" s="340"/>
      <c r="FUR639" s="354"/>
      <c r="FUS639" s="313"/>
      <c r="FUT639" s="340"/>
      <c r="FUU639" s="340"/>
      <c r="FUV639" s="354"/>
      <c r="FUW639" s="313"/>
      <c r="FUX639" s="340"/>
      <c r="FUY639" s="340"/>
      <c r="FUZ639" s="354"/>
      <c r="FVA639" s="313"/>
      <c r="FVB639" s="340"/>
      <c r="FVC639" s="340"/>
      <c r="FVD639" s="354"/>
      <c r="FVE639" s="313"/>
      <c r="FVF639" s="340"/>
      <c r="FVG639" s="340"/>
      <c r="FVH639" s="354"/>
      <c r="FVI639" s="313"/>
      <c r="FVJ639" s="340"/>
      <c r="FVK639" s="340"/>
      <c r="FVL639" s="354"/>
      <c r="FVM639" s="313"/>
      <c r="FVN639" s="340"/>
      <c r="FVO639" s="340"/>
      <c r="FVP639" s="354"/>
      <c r="FVQ639" s="313"/>
      <c r="FVR639" s="340"/>
      <c r="FVS639" s="340"/>
      <c r="FVT639" s="354"/>
      <c r="FVU639" s="313"/>
      <c r="FVV639" s="340"/>
      <c r="FVW639" s="340"/>
      <c r="FVX639" s="354"/>
      <c r="FVY639" s="313"/>
      <c r="FVZ639" s="340"/>
      <c r="FWA639" s="340"/>
      <c r="FWB639" s="354"/>
      <c r="FWC639" s="313"/>
      <c r="FWD639" s="340"/>
      <c r="FWE639" s="340"/>
      <c r="FWF639" s="354"/>
      <c r="FWG639" s="313"/>
      <c r="FWH639" s="340"/>
      <c r="FWI639" s="340"/>
      <c r="FWJ639" s="354"/>
      <c r="FWK639" s="313"/>
      <c r="FWL639" s="340"/>
      <c r="FWM639" s="340"/>
      <c r="FWN639" s="354"/>
      <c r="FWO639" s="313"/>
      <c r="FWP639" s="340"/>
      <c r="FWQ639" s="340"/>
      <c r="FWR639" s="354"/>
      <c r="FWS639" s="313"/>
      <c r="FWT639" s="340"/>
      <c r="FWU639" s="340"/>
      <c r="FWV639" s="354"/>
      <c r="FWW639" s="313"/>
      <c r="FWX639" s="340"/>
      <c r="FWY639" s="340"/>
      <c r="FWZ639" s="354"/>
      <c r="FXA639" s="313"/>
      <c r="FXB639" s="340"/>
      <c r="FXC639" s="340"/>
      <c r="FXD639" s="354"/>
      <c r="FXE639" s="313"/>
      <c r="FXF639" s="340"/>
      <c r="FXG639" s="340"/>
      <c r="FXH639" s="354"/>
      <c r="FXI639" s="313"/>
      <c r="FXJ639" s="340"/>
      <c r="FXK639" s="340"/>
      <c r="FXL639" s="354"/>
      <c r="FXM639" s="313"/>
      <c r="FXN639" s="340"/>
      <c r="FXO639" s="340"/>
      <c r="FXP639" s="354"/>
      <c r="FXQ639" s="313"/>
      <c r="FXR639" s="340"/>
      <c r="FXS639" s="340"/>
      <c r="FXT639" s="354"/>
      <c r="FXU639" s="313"/>
      <c r="FXV639" s="340"/>
      <c r="FXW639" s="340"/>
      <c r="FXX639" s="354"/>
      <c r="FXY639" s="313"/>
      <c r="FXZ639" s="340"/>
      <c r="FYA639" s="340"/>
      <c r="FYB639" s="354"/>
      <c r="FYC639" s="313"/>
      <c r="FYD639" s="340"/>
      <c r="FYE639" s="340"/>
      <c r="FYF639" s="354"/>
      <c r="FYG639" s="313"/>
      <c r="FYH639" s="340"/>
      <c r="FYI639" s="340"/>
      <c r="FYJ639" s="354"/>
      <c r="FYK639" s="313"/>
      <c r="FYL639" s="340"/>
      <c r="FYM639" s="340"/>
      <c r="FYN639" s="354"/>
      <c r="FYO639" s="313"/>
      <c r="FYP639" s="340"/>
      <c r="FYQ639" s="340"/>
      <c r="FYR639" s="354"/>
      <c r="FYS639" s="313"/>
      <c r="FYT639" s="340"/>
      <c r="FYU639" s="340"/>
      <c r="FYV639" s="354"/>
      <c r="FYW639" s="313"/>
      <c r="FYX639" s="340"/>
      <c r="FYY639" s="340"/>
      <c r="FYZ639" s="354"/>
      <c r="FZA639" s="313"/>
      <c r="FZB639" s="340"/>
      <c r="FZC639" s="340"/>
      <c r="FZD639" s="354"/>
      <c r="FZE639" s="313"/>
      <c r="FZF639" s="340"/>
      <c r="FZG639" s="340"/>
      <c r="FZH639" s="354"/>
      <c r="FZI639" s="313"/>
      <c r="FZJ639" s="340"/>
      <c r="FZK639" s="340"/>
      <c r="FZL639" s="354"/>
      <c r="FZM639" s="313"/>
      <c r="FZN639" s="340"/>
      <c r="FZO639" s="340"/>
      <c r="FZP639" s="354"/>
      <c r="FZQ639" s="313"/>
      <c r="FZR639" s="340"/>
      <c r="FZS639" s="340"/>
      <c r="FZT639" s="354"/>
      <c r="FZU639" s="313"/>
      <c r="FZV639" s="340"/>
      <c r="FZW639" s="340"/>
      <c r="FZX639" s="354"/>
      <c r="FZY639" s="313"/>
      <c r="FZZ639" s="340"/>
      <c r="GAA639" s="340"/>
      <c r="GAB639" s="354"/>
      <c r="GAC639" s="313"/>
      <c r="GAD639" s="340"/>
      <c r="GAE639" s="340"/>
      <c r="GAF639" s="354"/>
      <c r="GAG639" s="313"/>
      <c r="GAH639" s="340"/>
      <c r="GAI639" s="340"/>
      <c r="GAJ639" s="354"/>
      <c r="GAK639" s="313"/>
      <c r="GAL639" s="340"/>
      <c r="GAM639" s="340"/>
      <c r="GAN639" s="354"/>
      <c r="GAO639" s="313"/>
      <c r="GAP639" s="340"/>
      <c r="GAQ639" s="340"/>
      <c r="GAR639" s="354"/>
      <c r="GAS639" s="313"/>
      <c r="GAT639" s="340"/>
      <c r="GAU639" s="340"/>
      <c r="GAV639" s="354"/>
      <c r="GAW639" s="313"/>
      <c r="GAX639" s="340"/>
      <c r="GAY639" s="340"/>
      <c r="GAZ639" s="354"/>
      <c r="GBA639" s="313"/>
      <c r="GBB639" s="340"/>
      <c r="GBC639" s="340"/>
      <c r="GBD639" s="354"/>
      <c r="GBE639" s="313"/>
      <c r="GBF639" s="340"/>
      <c r="GBG639" s="340"/>
      <c r="GBH639" s="354"/>
      <c r="GBI639" s="313"/>
      <c r="GBJ639" s="340"/>
      <c r="GBK639" s="340"/>
      <c r="GBL639" s="354"/>
      <c r="GBM639" s="313"/>
      <c r="GBN639" s="340"/>
      <c r="GBO639" s="340"/>
      <c r="GBP639" s="354"/>
      <c r="GBQ639" s="313"/>
      <c r="GBR639" s="340"/>
      <c r="GBS639" s="340"/>
      <c r="GBT639" s="354"/>
      <c r="GBU639" s="313"/>
      <c r="GBV639" s="340"/>
      <c r="GBW639" s="340"/>
      <c r="GBX639" s="354"/>
      <c r="GBY639" s="313"/>
      <c r="GBZ639" s="340"/>
      <c r="GCA639" s="340"/>
      <c r="GCB639" s="354"/>
      <c r="GCC639" s="313"/>
      <c r="GCD639" s="340"/>
      <c r="GCE639" s="340"/>
      <c r="GCF639" s="354"/>
      <c r="GCG639" s="313"/>
      <c r="GCH639" s="340"/>
      <c r="GCI639" s="340"/>
      <c r="GCJ639" s="354"/>
      <c r="GCK639" s="313"/>
      <c r="GCL639" s="340"/>
      <c r="GCM639" s="340"/>
      <c r="GCN639" s="354"/>
      <c r="GCO639" s="313"/>
      <c r="GCP639" s="340"/>
      <c r="GCQ639" s="340"/>
      <c r="GCR639" s="354"/>
      <c r="GCS639" s="313"/>
      <c r="GCT639" s="340"/>
      <c r="GCU639" s="340"/>
      <c r="GCV639" s="354"/>
      <c r="GCW639" s="313"/>
      <c r="GCX639" s="340"/>
      <c r="GCY639" s="340"/>
      <c r="GCZ639" s="354"/>
      <c r="GDA639" s="313"/>
      <c r="GDB639" s="340"/>
      <c r="GDC639" s="340"/>
      <c r="GDD639" s="354"/>
      <c r="GDE639" s="313"/>
      <c r="GDF639" s="340"/>
      <c r="GDG639" s="340"/>
      <c r="GDH639" s="354"/>
      <c r="GDI639" s="313"/>
      <c r="GDJ639" s="340"/>
      <c r="GDK639" s="340"/>
      <c r="GDL639" s="354"/>
      <c r="GDM639" s="313"/>
      <c r="GDN639" s="340"/>
      <c r="GDO639" s="340"/>
      <c r="GDP639" s="354"/>
      <c r="GDQ639" s="313"/>
      <c r="GDR639" s="340"/>
      <c r="GDS639" s="340"/>
      <c r="GDT639" s="354"/>
      <c r="GDU639" s="313"/>
      <c r="GDV639" s="340"/>
      <c r="GDW639" s="340"/>
      <c r="GDX639" s="354"/>
      <c r="GDY639" s="313"/>
      <c r="GDZ639" s="340"/>
      <c r="GEA639" s="340"/>
      <c r="GEB639" s="354"/>
      <c r="GEC639" s="313"/>
      <c r="GED639" s="340"/>
      <c r="GEE639" s="340"/>
      <c r="GEF639" s="354"/>
      <c r="GEG639" s="313"/>
      <c r="GEH639" s="340"/>
      <c r="GEI639" s="340"/>
      <c r="GEJ639" s="354"/>
      <c r="GEK639" s="313"/>
      <c r="GEL639" s="340"/>
      <c r="GEM639" s="340"/>
      <c r="GEN639" s="354"/>
      <c r="GEO639" s="313"/>
      <c r="GEP639" s="340"/>
      <c r="GEQ639" s="340"/>
      <c r="GER639" s="354"/>
      <c r="GES639" s="313"/>
      <c r="GET639" s="340"/>
      <c r="GEU639" s="340"/>
      <c r="GEV639" s="354"/>
      <c r="GEW639" s="313"/>
      <c r="GEX639" s="340"/>
      <c r="GEY639" s="340"/>
      <c r="GEZ639" s="354"/>
      <c r="GFA639" s="313"/>
      <c r="GFB639" s="340"/>
      <c r="GFC639" s="340"/>
      <c r="GFD639" s="354"/>
      <c r="GFE639" s="313"/>
      <c r="GFF639" s="340"/>
      <c r="GFG639" s="340"/>
      <c r="GFH639" s="354"/>
      <c r="GFI639" s="313"/>
      <c r="GFJ639" s="340"/>
      <c r="GFK639" s="340"/>
      <c r="GFL639" s="354"/>
      <c r="GFM639" s="313"/>
      <c r="GFN639" s="340"/>
      <c r="GFO639" s="340"/>
      <c r="GFP639" s="354"/>
      <c r="GFQ639" s="313"/>
      <c r="GFR639" s="340"/>
      <c r="GFS639" s="340"/>
      <c r="GFT639" s="354"/>
      <c r="GFU639" s="313"/>
      <c r="GFV639" s="340"/>
      <c r="GFW639" s="340"/>
      <c r="GFX639" s="354"/>
      <c r="GFY639" s="313"/>
      <c r="GFZ639" s="340"/>
      <c r="GGA639" s="340"/>
      <c r="GGB639" s="354"/>
      <c r="GGC639" s="313"/>
      <c r="GGD639" s="340"/>
      <c r="GGE639" s="340"/>
      <c r="GGF639" s="354"/>
      <c r="GGG639" s="313"/>
      <c r="GGH639" s="340"/>
      <c r="GGI639" s="340"/>
      <c r="GGJ639" s="354"/>
      <c r="GGK639" s="313"/>
      <c r="GGL639" s="340"/>
      <c r="GGM639" s="340"/>
      <c r="GGN639" s="354"/>
      <c r="GGO639" s="313"/>
      <c r="GGP639" s="340"/>
      <c r="GGQ639" s="340"/>
      <c r="GGR639" s="354"/>
      <c r="GGS639" s="313"/>
      <c r="GGT639" s="340"/>
      <c r="GGU639" s="340"/>
      <c r="GGV639" s="354"/>
      <c r="GGW639" s="313"/>
      <c r="GGX639" s="340"/>
      <c r="GGY639" s="340"/>
      <c r="GGZ639" s="354"/>
      <c r="GHA639" s="313"/>
      <c r="GHB639" s="340"/>
      <c r="GHC639" s="340"/>
      <c r="GHD639" s="354"/>
      <c r="GHE639" s="313"/>
      <c r="GHF639" s="340"/>
      <c r="GHG639" s="340"/>
      <c r="GHH639" s="354"/>
      <c r="GHI639" s="313"/>
      <c r="GHJ639" s="340"/>
      <c r="GHK639" s="340"/>
      <c r="GHL639" s="354"/>
      <c r="GHM639" s="313"/>
      <c r="GHN639" s="340"/>
      <c r="GHO639" s="340"/>
      <c r="GHP639" s="354"/>
      <c r="GHQ639" s="313"/>
      <c r="GHR639" s="340"/>
      <c r="GHS639" s="340"/>
      <c r="GHT639" s="354"/>
      <c r="GHU639" s="313"/>
      <c r="GHV639" s="340"/>
      <c r="GHW639" s="340"/>
      <c r="GHX639" s="354"/>
      <c r="GHY639" s="313"/>
      <c r="GHZ639" s="340"/>
      <c r="GIA639" s="340"/>
      <c r="GIB639" s="354"/>
      <c r="GIC639" s="313"/>
      <c r="GID639" s="340"/>
      <c r="GIE639" s="340"/>
      <c r="GIF639" s="354"/>
      <c r="GIG639" s="313"/>
      <c r="GIH639" s="340"/>
      <c r="GII639" s="340"/>
      <c r="GIJ639" s="354"/>
      <c r="GIK639" s="313"/>
      <c r="GIL639" s="340"/>
      <c r="GIM639" s="340"/>
      <c r="GIN639" s="354"/>
      <c r="GIO639" s="313"/>
      <c r="GIP639" s="340"/>
      <c r="GIQ639" s="340"/>
      <c r="GIR639" s="354"/>
      <c r="GIS639" s="313"/>
      <c r="GIT639" s="340"/>
      <c r="GIU639" s="340"/>
      <c r="GIV639" s="354"/>
      <c r="GIW639" s="313"/>
      <c r="GIX639" s="340"/>
      <c r="GIY639" s="340"/>
      <c r="GIZ639" s="354"/>
      <c r="GJA639" s="313"/>
      <c r="GJB639" s="340"/>
      <c r="GJC639" s="340"/>
      <c r="GJD639" s="354"/>
      <c r="GJE639" s="313"/>
      <c r="GJF639" s="340"/>
      <c r="GJG639" s="340"/>
      <c r="GJH639" s="354"/>
      <c r="GJI639" s="313"/>
      <c r="GJJ639" s="340"/>
      <c r="GJK639" s="340"/>
      <c r="GJL639" s="354"/>
      <c r="GJM639" s="313"/>
      <c r="GJN639" s="340"/>
      <c r="GJO639" s="340"/>
      <c r="GJP639" s="354"/>
      <c r="GJQ639" s="313"/>
      <c r="GJR639" s="340"/>
      <c r="GJS639" s="340"/>
      <c r="GJT639" s="354"/>
      <c r="GJU639" s="313"/>
      <c r="GJV639" s="340"/>
      <c r="GJW639" s="340"/>
      <c r="GJX639" s="354"/>
      <c r="GJY639" s="313"/>
      <c r="GJZ639" s="340"/>
      <c r="GKA639" s="340"/>
      <c r="GKB639" s="354"/>
      <c r="GKC639" s="313"/>
      <c r="GKD639" s="340"/>
      <c r="GKE639" s="340"/>
      <c r="GKF639" s="354"/>
      <c r="GKG639" s="313"/>
      <c r="GKH639" s="340"/>
      <c r="GKI639" s="340"/>
      <c r="GKJ639" s="354"/>
      <c r="GKK639" s="313"/>
      <c r="GKL639" s="340"/>
      <c r="GKM639" s="340"/>
      <c r="GKN639" s="354"/>
      <c r="GKO639" s="313"/>
      <c r="GKP639" s="340"/>
      <c r="GKQ639" s="340"/>
      <c r="GKR639" s="354"/>
      <c r="GKS639" s="313"/>
      <c r="GKT639" s="340"/>
      <c r="GKU639" s="340"/>
      <c r="GKV639" s="354"/>
      <c r="GKW639" s="313"/>
      <c r="GKX639" s="340"/>
      <c r="GKY639" s="340"/>
      <c r="GKZ639" s="354"/>
      <c r="GLA639" s="313"/>
      <c r="GLB639" s="340"/>
      <c r="GLC639" s="340"/>
      <c r="GLD639" s="354"/>
      <c r="GLE639" s="313"/>
      <c r="GLF639" s="340"/>
      <c r="GLG639" s="340"/>
      <c r="GLH639" s="354"/>
      <c r="GLI639" s="313"/>
      <c r="GLJ639" s="340"/>
      <c r="GLK639" s="340"/>
      <c r="GLL639" s="354"/>
      <c r="GLM639" s="313"/>
      <c r="GLN639" s="340"/>
      <c r="GLO639" s="340"/>
      <c r="GLP639" s="354"/>
      <c r="GLQ639" s="313"/>
      <c r="GLR639" s="340"/>
      <c r="GLS639" s="340"/>
      <c r="GLT639" s="354"/>
      <c r="GLU639" s="313"/>
      <c r="GLV639" s="340"/>
      <c r="GLW639" s="340"/>
      <c r="GLX639" s="354"/>
      <c r="GLY639" s="313"/>
      <c r="GLZ639" s="340"/>
      <c r="GMA639" s="340"/>
      <c r="GMB639" s="354"/>
      <c r="GMC639" s="313"/>
      <c r="GMD639" s="340"/>
      <c r="GME639" s="340"/>
      <c r="GMF639" s="354"/>
      <c r="GMG639" s="313"/>
      <c r="GMH639" s="340"/>
      <c r="GMI639" s="340"/>
      <c r="GMJ639" s="354"/>
      <c r="GMK639" s="313"/>
      <c r="GML639" s="340"/>
      <c r="GMM639" s="340"/>
      <c r="GMN639" s="354"/>
      <c r="GMO639" s="313"/>
      <c r="GMP639" s="340"/>
      <c r="GMQ639" s="340"/>
      <c r="GMR639" s="354"/>
      <c r="GMS639" s="313"/>
      <c r="GMT639" s="340"/>
      <c r="GMU639" s="340"/>
      <c r="GMV639" s="354"/>
      <c r="GMW639" s="313"/>
      <c r="GMX639" s="340"/>
      <c r="GMY639" s="340"/>
      <c r="GMZ639" s="354"/>
      <c r="GNA639" s="313"/>
      <c r="GNB639" s="340"/>
      <c r="GNC639" s="340"/>
      <c r="GND639" s="354"/>
      <c r="GNE639" s="313"/>
      <c r="GNF639" s="340"/>
      <c r="GNG639" s="340"/>
      <c r="GNH639" s="354"/>
      <c r="GNI639" s="313"/>
      <c r="GNJ639" s="340"/>
      <c r="GNK639" s="340"/>
      <c r="GNL639" s="354"/>
      <c r="GNM639" s="313"/>
      <c r="GNN639" s="340"/>
      <c r="GNO639" s="340"/>
      <c r="GNP639" s="354"/>
      <c r="GNQ639" s="313"/>
      <c r="GNR639" s="340"/>
      <c r="GNS639" s="340"/>
      <c r="GNT639" s="354"/>
      <c r="GNU639" s="313"/>
      <c r="GNV639" s="340"/>
      <c r="GNW639" s="340"/>
      <c r="GNX639" s="354"/>
      <c r="GNY639" s="313"/>
      <c r="GNZ639" s="340"/>
      <c r="GOA639" s="340"/>
      <c r="GOB639" s="354"/>
      <c r="GOC639" s="313"/>
      <c r="GOD639" s="340"/>
      <c r="GOE639" s="340"/>
      <c r="GOF639" s="354"/>
      <c r="GOG639" s="313"/>
      <c r="GOH639" s="340"/>
      <c r="GOI639" s="340"/>
      <c r="GOJ639" s="354"/>
      <c r="GOK639" s="313"/>
      <c r="GOL639" s="340"/>
      <c r="GOM639" s="340"/>
      <c r="GON639" s="354"/>
      <c r="GOO639" s="313"/>
      <c r="GOP639" s="340"/>
      <c r="GOQ639" s="340"/>
      <c r="GOR639" s="354"/>
      <c r="GOS639" s="313"/>
      <c r="GOT639" s="340"/>
      <c r="GOU639" s="340"/>
      <c r="GOV639" s="354"/>
      <c r="GOW639" s="313"/>
      <c r="GOX639" s="340"/>
      <c r="GOY639" s="340"/>
      <c r="GOZ639" s="354"/>
      <c r="GPA639" s="313"/>
      <c r="GPB639" s="340"/>
      <c r="GPC639" s="340"/>
      <c r="GPD639" s="354"/>
      <c r="GPE639" s="313"/>
      <c r="GPF639" s="340"/>
      <c r="GPG639" s="340"/>
      <c r="GPH639" s="354"/>
      <c r="GPI639" s="313"/>
      <c r="GPJ639" s="340"/>
      <c r="GPK639" s="340"/>
      <c r="GPL639" s="354"/>
      <c r="GPM639" s="313"/>
      <c r="GPN639" s="340"/>
      <c r="GPO639" s="340"/>
      <c r="GPP639" s="354"/>
      <c r="GPQ639" s="313"/>
      <c r="GPR639" s="340"/>
      <c r="GPS639" s="340"/>
      <c r="GPT639" s="354"/>
      <c r="GPU639" s="313"/>
      <c r="GPV639" s="340"/>
      <c r="GPW639" s="340"/>
      <c r="GPX639" s="354"/>
      <c r="GPY639" s="313"/>
      <c r="GPZ639" s="340"/>
      <c r="GQA639" s="340"/>
      <c r="GQB639" s="354"/>
      <c r="GQC639" s="313"/>
      <c r="GQD639" s="340"/>
      <c r="GQE639" s="340"/>
      <c r="GQF639" s="354"/>
      <c r="GQG639" s="313"/>
      <c r="GQH639" s="340"/>
      <c r="GQI639" s="340"/>
      <c r="GQJ639" s="354"/>
      <c r="GQK639" s="313"/>
      <c r="GQL639" s="340"/>
      <c r="GQM639" s="340"/>
      <c r="GQN639" s="354"/>
      <c r="GQO639" s="313"/>
      <c r="GQP639" s="340"/>
      <c r="GQQ639" s="340"/>
      <c r="GQR639" s="354"/>
      <c r="GQS639" s="313"/>
      <c r="GQT639" s="340"/>
      <c r="GQU639" s="340"/>
      <c r="GQV639" s="354"/>
      <c r="GQW639" s="313"/>
      <c r="GQX639" s="340"/>
      <c r="GQY639" s="340"/>
      <c r="GQZ639" s="354"/>
      <c r="GRA639" s="313"/>
      <c r="GRB639" s="340"/>
      <c r="GRC639" s="340"/>
      <c r="GRD639" s="354"/>
      <c r="GRE639" s="313"/>
      <c r="GRF639" s="340"/>
      <c r="GRG639" s="340"/>
      <c r="GRH639" s="354"/>
      <c r="GRI639" s="313"/>
      <c r="GRJ639" s="340"/>
      <c r="GRK639" s="340"/>
      <c r="GRL639" s="354"/>
      <c r="GRM639" s="313"/>
      <c r="GRN639" s="340"/>
      <c r="GRO639" s="340"/>
      <c r="GRP639" s="354"/>
      <c r="GRQ639" s="313"/>
      <c r="GRR639" s="340"/>
      <c r="GRS639" s="340"/>
      <c r="GRT639" s="354"/>
      <c r="GRU639" s="313"/>
      <c r="GRV639" s="340"/>
      <c r="GRW639" s="340"/>
      <c r="GRX639" s="354"/>
      <c r="GRY639" s="313"/>
      <c r="GRZ639" s="340"/>
      <c r="GSA639" s="340"/>
      <c r="GSB639" s="354"/>
      <c r="GSC639" s="313"/>
      <c r="GSD639" s="340"/>
      <c r="GSE639" s="340"/>
      <c r="GSF639" s="354"/>
      <c r="GSG639" s="313"/>
      <c r="GSH639" s="340"/>
      <c r="GSI639" s="340"/>
      <c r="GSJ639" s="354"/>
      <c r="GSK639" s="313"/>
      <c r="GSL639" s="340"/>
      <c r="GSM639" s="340"/>
      <c r="GSN639" s="354"/>
      <c r="GSO639" s="313"/>
      <c r="GSP639" s="340"/>
      <c r="GSQ639" s="340"/>
      <c r="GSR639" s="354"/>
      <c r="GSS639" s="313"/>
      <c r="GST639" s="340"/>
      <c r="GSU639" s="340"/>
      <c r="GSV639" s="354"/>
      <c r="GSW639" s="313"/>
      <c r="GSX639" s="340"/>
      <c r="GSY639" s="340"/>
      <c r="GSZ639" s="354"/>
      <c r="GTA639" s="313"/>
      <c r="GTB639" s="340"/>
      <c r="GTC639" s="340"/>
      <c r="GTD639" s="354"/>
      <c r="GTE639" s="313"/>
      <c r="GTF639" s="340"/>
      <c r="GTG639" s="340"/>
      <c r="GTH639" s="354"/>
      <c r="GTI639" s="313"/>
      <c r="GTJ639" s="340"/>
      <c r="GTK639" s="340"/>
      <c r="GTL639" s="354"/>
      <c r="GTM639" s="313"/>
      <c r="GTN639" s="340"/>
      <c r="GTO639" s="340"/>
      <c r="GTP639" s="354"/>
      <c r="GTQ639" s="313"/>
      <c r="GTR639" s="340"/>
      <c r="GTS639" s="340"/>
      <c r="GTT639" s="354"/>
      <c r="GTU639" s="313"/>
      <c r="GTV639" s="340"/>
      <c r="GTW639" s="340"/>
      <c r="GTX639" s="354"/>
      <c r="GTY639" s="313"/>
      <c r="GTZ639" s="340"/>
      <c r="GUA639" s="340"/>
      <c r="GUB639" s="354"/>
      <c r="GUC639" s="313"/>
      <c r="GUD639" s="340"/>
      <c r="GUE639" s="340"/>
      <c r="GUF639" s="354"/>
      <c r="GUG639" s="313"/>
      <c r="GUH639" s="340"/>
      <c r="GUI639" s="340"/>
      <c r="GUJ639" s="354"/>
      <c r="GUK639" s="313"/>
      <c r="GUL639" s="340"/>
      <c r="GUM639" s="340"/>
      <c r="GUN639" s="354"/>
      <c r="GUO639" s="313"/>
      <c r="GUP639" s="340"/>
      <c r="GUQ639" s="340"/>
      <c r="GUR639" s="354"/>
      <c r="GUS639" s="313"/>
      <c r="GUT639" s="340"/>
      <c r="GUU639" s="340"/>
      <c r="GUV639" s="354"/>
      <c r="GUW639" s="313"/>
      <c r="GUX639" s="340"/>
      <c r="GUY639" s="340"/>
      <c r="GUZ639" s="354"/>
      <c r="GVA639" s="313"/>
      <c r="GVB639" s="340"/>
      <c r="GVC639" s="340"/>
      <c r="GVD639" s="354"/>
      <c r="GVE639" s="313"/>
      <c r="GVF639" s="340"/>
      <c r="GVG639" s="340"/>
      <c r="GVH639" s="354"/>
      <c r="GVI639" s="313"/>
      <c r="GVJ639" s="340"/>
      <c r="GVK639" s="340"/>
      <c r="GVL639" s="354"/>
      <c r="GVM639" s="313"/>
      <c r="GVN639" s="340"/>
      <c r="GVO639" s="340"/>
      <c r="GVP639" s="354"/>
      <c r="GVQ639" s="313"/>
      <c r="GVR639" s="340"/>
      <c r="GVS639" s="340"/>
      <c r="GVT639" s="354"/>
      <c r="GVU639" s="313"/>
      <c r="GVV639" s="340"/>
      <c r="GVW639" s="340"/>
      <c r="GVX639" s="354"/>
      <c r="GVY639" s="313"/>
      <c r="GVZ639" s="340"/>
      <c r="GWA639" s="340"/>
      <c r="GWB639" s="354"/>
      <c r="GWC639" s="313"/>
      <c r="GWD639" s="340"/>
      <c r="GWE639" s="340"/>
      <c r="GWF639" s="354"/>
      <c r="GWG639" s="313"/>
      <c r="GWH639" s="340"/>
      <c r="GWI639" s="340"/>
      <c r="GWJ639" s="354"/>
      <c r="GWK639" s="313"/>
      <c r="GWL639" s="340"/>
      <c r="GWM639" s="340"/>
      <c r="GWN639" s="354"/>
      <c r="GWO639" s="313"/>
      <c r="GWP639" s="340"/>
      <c r="GWQ639" s="340"/>
      <c r="GWR639" s="354"/>
      <c r="GWS639" s="313"/>
      <c r="GWT639" s="340"/>
      <c r="GWU639" s="340"/>
      <c r="GWV639" s="354"/>
      <c r="GWW639" s="313"/>
      <c r="GWX639" s="340"/>
      <c r="GWY639" s="340"/>
      <c r="GWZ639" s="354"/>
      <c r="GXA639" s="313"/>
      <c r="GXB639" s="340"/>
      <c r="GXC639" s="340"/>
      <c r="GXD639" s="354"/>
      <c r="GXE639" s="313"/>
      <c r="GXF639" s="340"/>
      <c r="GXG639" s="340"/>
      <c r="GXH639" s="354"/>
      <c r="GXI639" s="313"/>
      <c r="GXJ639" s="340"/>
      <c r="GXK639" s="340"/>
      <c r="GXL639" s="354"/>
      <c r="GXM639" s="313"/>
      <c r="GXN639" s="340"/>
      <c r="GXO639" s="340"/>
      <c r="GXP639" s="354"/>
      <c r="GXQ639" s="313"/>
      <c r="GXR639" s="340"/>
      <c r="GXS639" s="340"/>
      <c r="GXT639" s="354"/>
      <c r="GXU639" s="313"/>
      <c r="GXV639" s="340"/>
      <c r="GXW639" s="340"/>
      <c r="GXX639" s="354"/>
      <c r="GXY639" s="313"/>
      <c r="GXZ639" s="340"/>
      <c r="GYA639" s="340"/>
      <c r="GYB639" s="354"/>
      <c r="GYC639" s="313"/>
      <c r="GYD639" s="340"/>
      <c r="GYE639" s="340"/>
      <c r="GYF639" s="354"/>
      <c r="GYG639" s="313"/>
      <c r="GYH639" s="340"/>
      <c r="GYI639" s="340"/>
      <c r="GYJ639" s="354"/>
      <c r="GYK639" s="313"/>
      <c r="GYL639" s="340"/>
      <c r="GYM639" s="340"/>
      <c r="GYN639" s="354"/>
      <c r="GYO639" s="313"/>
      <c r="GYP639" s="340"/>
      <c r="GYQ639" s="340"/>
      <c r="GYR639" s="354"/>
      <c r="GYS639" s="313"/>
      <c r="GYT639" s="340"/>
      <c r="GYU639" s="340"/>
      <c r="GYV639" s="354"/>
      <c r="GYW639" s="313"/>
      <c r="GYX639" s="340"/>
      <c r="GYY639" s="340"/>
      <c r="GYZ639" s="354"/>
      <c r="GZA639" s="313"/>
      <c r="GZB639" s="340"/>
      <c r="GZC639" s="340"/>
      <c r="GZD639" s="354"/>
      <c r="GZE639" s="313"/>
      <c r="GZF639" s="340"/>
      <c r="GZG639" s="340"/>
      <c r="GZH639" s="354"/>
      <c r="GZI639" s="313"/>
      <c r="GZJ639" s="340"/>
      <c r="GZK639" s="340"/>
      <c r="GZL639" s="354"/>
      <c r="GZM639" s="313"/>
      <c r="GZN639" s="340"/>
      <c r="GZO639" s="340"/>
      <c r="GZP639" s="354"/>
      <c r="GZQ639" s="313"/>
      <c r="GZR639" s="340"/>
      <c r="GZS639" s="340"/>
      <c r="GZT639" s="354"/>
      <c r="GZU639" s="313"/>
      <c r="GZV639" s="340"/>
      <c r="GZW639" s="340"/>
      <c r="GZX639" s="354"/>
      <c r="GZY639" s="313"/>
      <c r="GZZ639" s="340"/>
      <c r="HAA639" s="340"/>
      <c r="HAB639" s="354"/>
      <c r="HAC639" s="313"/>
      <c r="HAD639" s="340"/>
      <c r="HAE639" s="340"/>
      <c r="HAF639" s="354"/>
      <c r="HAG639" s="313"/>
      <c r="HAH639" s="340"/>
      <c r="HAI639" s="340"/>
      <c r="HAJ639" s="354"/>
      <c r="HAK639" s="313"/>
      <c r="HAL639" s="340"/>
      <c r="HAM639" s="340"/>
      <c r="HAN639" s="354"/>
      <c r="HAO639" s="313"/>
      <c r="HAP639" s="340"/>
      <c r="HAQ639" s="340"/>
      <c r="HAR639" s="354"/>
      <c r="HAS639" s="313"/>
      <c r="HAT639" s="340"/>
      <c r="HAU639" s="340"/>
      <c r="HAV639" s="354"/>
      <c r="HAW639" s="313"/>
      <c r="HAX639" s="340"/>
      <c r="HAY639" s="340"/>
      <c r="HAZ639" s="354"/>
      <c r="HBA639" s="313"/>
      <c r="HBB639" s="340"/>
      <c r="HBC639" s="340"/>
      <c r="HBD639" s="354"/>
      <c r="HBE639" s="313"/>
      <c r="HBF639" s="340"/>
      <c r="HBG639" s="340"/>
      <c r="HBH639" s="354"/>
      <c r="HBI639" s="313"/>
      <c r="HBJ639" s="340"/>
      <c r="HBK639" s="340"/>
      <c r="HBL639" s="354"/>
      <c r="HBM639" s="313"/>
      <c r="HBN639" s="340"/>
      <c r="HBO639" s="340"/>
      <c r="HBP639" s="354"/>
      <c r="HBQ639" s="313"/>
      <c r="HBR639" s="340"/>
      <c r="HBS639" s="340"/>
      <c r="HBT639" s="354"/>
      <c r="HBU639" s="313"/>
      <c r="HBV639" s="340"/>
      <c r="HBW639" s="340"/>
      <c r="HBX639" s="354"/>
      <c r="HBY639" s="313"/>
      <c r="HBZ639" s="340"/>
      <c r="HCA639" s="340"/>
      <c r="HCB639" s="354"/>
      <c r="HCC639" s="313"/>
      <c r="HCD639" s="340"/>
      <c r="HCE639" s="340"/>
      <c r="HCF639" s="354"/>
      <c r="HCG639" s="313"/>
      <c r="HCH639" s="340"/>
      <c r="HCI639" s="340"/>
      <c r="HCJ639" s="354"/>
      <c r="HCK639" s="313"/>
      <c r="HCL639" s="340"/>
      <c r="HCM639" s="340"/>
      <c r="HCN639" s="354"/>
      <c r="HCO639" s="313"/>
      <c r="HCP639" s="340"/>
      <c r="HCQ639" s="340"/>
      <c r="HCR639" s="354"/>
      <c r="HCS639" s="313"/>
      <c r="HCT639" s="340"/>
      <c r="HCU639" s="340"/>
      <c r="HCV639" s="354"/>
      <c r="HCW639" s="313"/>
      <c r="HCX639" s="340"/>
      <c r="HCY639" s="340"/>
      <c r="HCZ639" s="354"/>
      <c r="HDA639" s="313"/>
      <c r="HDB639" s="340"/>
      <c r="HDC639" s="340"/>
      <c r="HDD639" s="354"/>
      <c r="HDE639" s="313"/>
      <c r="HDF639" s="340"/>
      <c r="HDG639" s="340"/>
      <c r="HDH639" s="354"/>
      <c r="HDI639" s="313"/>
      <c r="HDJ639" s="340"/>
      <c r="HDK639" s="340"/>
      <c r="HDL639" s="354"/>
      <c r="HDM639" s="313"/>
      <c r="HDN639" s="340"/>
      <c r="HDO639" s="340"/>
      <c r="HDP639" s="354"/>
      <c r="HDQ639" s="313"/>
      <c r="HDR639" s="340"/>
      <c r="HDS639" s="340"/>
      <c r="HDT639" s="354"/>
      <c r="HDU639" s="313"/>
      <c r="HDV639" s="340"/>
      <c r="HDW639" s="340"/>
      <c r="HDX639" s="354"/>
      <c r="HDY639" s="313"/>
      <c r="HDZ639" s="340"/>
      <c r="HEA639" s="340"/>
      <c r="HEB639" s="354"/>
      <c r="HEC639" s="313"/>
      <c r="HED639" s="340"/>
      <c r="HEE639" s="340"/>
      <c r="HEF639" s="354"/>
      <c r="HEG639" s="313"/>
      <c r="HEH639" s="340"/>
      <c r="HEI639" s="340"/>
      <c r="HEJ639" s="354"/>
      <c r="HEK639" s="313"/>
      <c r="HEL639" s="340"/>
      <c r="HEM639" s="340"/>
      <c r="HEN639" s="354"/>
      <c r="HEO639" s="313"/>
      <c r="HEP639" s="340"/>
      <c r="HEQ639" s="340"/>
      <c r="HER639" s="354"/>
      <c r="HES639" s="313"/>
      <c r="HET639" s="340"/>
      <c r="HEU639" s="340"/>
      <c r="HEV639" s="354"/>
      <c r="HEW639" s="313"/>
      <c r="HEX639" s="340"/>
      <c r="HEY639" s="340"/>
      <c r="HEZ639" s="354"/>
      <c r="HFA639" s="313"/>
      <c r="HFB639" s="340"/>
      <c r="HFC639" s="340"/>
      <c r="HFD639" s="354"/>
      <c r="HFE639" s="313"/>
      <c r="HFF639" s="340"/>
      <c r="HFG639" s="340"/>
      <c r="HFH639" s="354"/>
      <c r="HFI639" s="313"/>
      <c r="HFJ639" s="340"/>
      <c r="HFK639" s="340"/>
      <c r="HFL639" s="354"/>
      <c r="HFM639" s="313"/>
      <c r="HFN639" s="340"/>
      <c r="HFO639" s="340"/>
      <c r="HFP639" s="354"/>
      <c r="HFQ639" s="313"/>
      <c r="HFR639" s="340"/>
      <c r="HFS639" s="340"/>
      <c r="HFT639" s="354"/>
      <c r="HFU639" s="313"/>
      <c r="HFV639" s="340"/>
      <c r="HFW639" s="340"/>
      <c r="HFX639" s="354"/>
      <c r="HFY639" s="313"/>
      <c r="HFZ639" s="340"/>
      <c r="HGA639" s="340"/>
      <c r="HGB639" s="354"/>
      <c r="HGC639" s="313"/>
      <c r="HGD639" s="340"/>
      <c r="HGE639" s="340"/>
      <c r="HGF639" s="354"/>
      <c r="HGG639" s="313"/>
      <c r="HGH639" s="340"/>
      <c r="HGI639" s="340"/>
      <c r="HGJ639" s="354"/>
      <c r="HGK639" s="313"/>
      <c r="HGL639" s="340"/>
      <c r="HGM639" s="340"/>
      <c r="HGN639" s="354"/>
      <c r="HGO639" s="313"/>
      <c r="HGP639" s="340"/>
      <c r="HGQ639" s="340"/>
      <c r="HGR639" s="354"/>
      <c r="HGS639" s="313"/>
      <c r="HGT639" s="340"/>
      <c r="HGU639" s="340"/>
      <c r="HGV639" s="354"/>
      <c r="HGW639" s="313"/>
      <c r="HGX639" s="340"/>
      <c r="HGY639" s="340"/>
      <c r="HGZ639" s="354"/>
      <c r="HHA639" s="313"/>
      <c r="HHB639" s="340"/>
      <c r="HHC639" s="340"/>
      <c r="HHD639" s="354"/>
      <c r="HHE639" s="313"/>
      <c r="HHF639" s="340"/>
      <c r="HHG639" s="340"/>
      <c r="HHH639" s="354"/>
      <c r="HHI639" s="313"/>
      <c r="HHJ639" s="340"/>
      <c r="HHK639" s="340"/>
      <c r="HHL639" s="354"/>
      <c r="HHM639" s="313"/>
      <c r="HHN639" s="340"/>
      <c r="HHO639" s="340"/>
      <c r="HHP639" s="354"/>
      <c r="HHQ639" s="313"/>
      <c r="HHR639" s="340"/>
      <c r="HHS639" s="340"/>
      <c r="HHT639" s="354"/>
      <c r="HHU639" s="313"/>
      <c r="HHV639" s="340"/>
      <c r="HHW639" s="340"/>
      <c r="HHX639" s="354"/>
      <c r="HHY639" s="313"/>
      <c r="HHZ639" s="340"/>
      <c r="HIA639" s="340"/>
      <c r="HIB639" s="354"/>
      <c r="HIC639" s="313"/>
      <c r="HID639" s="340"/>
      <c r="HIE639" s="340"/>
      <c r="HIF639" s="354"/>
      <c r="HIG639" s="313"/>
      <c r="HIH639" s="340"/>
      <c r="HII639" s="340"/>
      <c r="HIJ639" s="354"/>
      <c r="HIK639" s="313"/>
      <c r="HIL639" s="340"/>
      <c r="HIM639" s="340"/>
      <c r="HIN639" s="354"/>
      <c r="HIO639" s="313"/>
      <c r="HIP639" s="340"/>
      <c r="HIQ639" s="340"/>
      <c r="HIR639" s="354"/>
      <c r="HIS639" s="313"/>
      <c r="HIT639" s="340"/>
      <c r="HIU639" s="340"/>
      <c r="HIV639" s="354"/>
      <c r="HIW639" s="313"/>
      <c r="HIX639" s="340"/>
      <c r="HIY639" s="340"/>
      <c r="HIZ639" s="354"/>
      <c r="HJA639" s="313"/>
      <c r="HJB639" s="340"/>
      <c r="HJC639" s="340"/>
      <c r="HJD639" s="354"/>
      <c r="HJE639" s="313"/>
      <c r="HJF639" s="340"/>
      <c r="HJG639" s="340"/>
      <c r="HJH639" s="354"/>
      <c r="HJI639" s="313"/>
      <c r="HJJ639" s="340"/>
      <c r="HJK639" s="340"/>
      <c r="HJL639" s="354"/>
      <c r="HJM639" s="313"/>
      <c r="HJN639" s="340"/>
      <c r="HJO639" s="340"/>
      <c r="HJP639" s="354"/>
      <c r="HJQ639" s="313"/>
      <c r="HJR639" s="340"/>
      <c r="HJS639" s="340"/>
      <c r="HJT639" s="354"/>
      <c r="HJU639" s="313"/>
      <c r="HJV639" s="340"/>
      <c r="HJW639" s="340"/>
      <c r="HJX639" s="354"/>
      <c r="HJY639" s="313"/>
      <c r="HJZ639" s="340"/>
      <c r="HKA639" s="340"/>
      <c r="HKB639" s="354"/>
      <c r="HKC639" s="313"/>
      <c r="HKD639" s="340"/>
      <c r="HKE639" s="340"/>
      <c r="HKF639" s="354"/>
      <c r="HKG639" s="313"/>
      <c r="HKH639" s="340"/>
      <c r="HKI639" s="340"/>
      <c r="HKJ639" s="354"/>
      <c r="HKK639" s="313"/>
      <c r="HKL639" s="340"/>
      <c r="HKM639" s="340"/>
      <c r="HKN639" s="354"/>
      <c r="HKO639" s="313"/>
      <c r="HKP639" s="340"/>
      <c r="HKQ639" s="340"/>
      <c r="HKR639" s="354"/>
      <c r="HKS639" s="313"/>
      <c r="HKT639" s="340"/>
      <c r="HKU639" s="340"/>
      <c r="HKV639" s="354"/>
      <c r="HKW639" s="313"/>
      <c r="HKX639" s="340"/>
      <c r="HKY639" s="340"/>
      <c r="HKZ639" s="354"/>
      <c r="HLA639" s="313"/>
      <c r="HLB639" s="340"/>
      <c r="HLC639" s="340"/>
      <c r="HLD639" s="354"/>
      <c r="HLE639" s="313"/>
      <c r="HLF639" s="340"/>
      <c r="HLG639" s="340"/>
      <c r="HLH639" s="354"/>
      <c r="HLI639" s="313"/>
      <c r="HLJ639" s="340"/>
      <c r="HLK639" s="340"/>
      <c r="HLL639" s="354"/>
      <c r="HLM639" s="313"/>
      <c r="HLN639" s="340"/>
      <c r="HLO639" s="340"/>
      <c r="HLP639" s="354"/>
      <c r="HLQ639" s="313"/>
      <c r="HLR639" s="340"/>
      <c r="HLS639" s="340"/>
      <c r="HLT639" s="354"/>
      <c r="HLU639" s="313"/>
      <c r="HLV639" s="340"/>
      <c r="HLW639" s="340"/>
      <c r="HLX639" s="354"/>
      <c r="HLY639" s="313"/>
      <c r="HLZ639" s="340"/>
      <c r="HMA639" s="340"/>
      <c r="HMB639" s="354"/>
      <c r="HMC639" s="313"/>
      <c r="HMD639" s="340"/>
      <c r="HME639" s="340"/>
      <c r="HMF639" s="354"/>
      <c r="HMG639" s="313"/>
      <c r="HMH639" s="340"/>
      <c r="HMI639" s="340"/>
      <c r="HMJ639" s="354"/>
      <c r="HMK639" s="313"/>
      <c r="HML639" s="340"/>
      <c r="HMM639" s="340"/>
      <c r="HMN639" s="354"/>
      <c r="HMO639" s="313"/>
      <c r="HMP639" s="340"/>
      <c r="HMQ639" s="340"/>
      <c r="HMR639" s="354"/>
      <c r="HMS639" s="313"/>
      <c r="HMT639" s="340"/>
      <c r="HMU639" s="340"/>
      <c r="HMV639" s="354"/>
      <c r="HMW639" s="313"/>
      <c r="HMX639" s="340"/>
      <c r="HMY639" s="340"/>
      <c r="HMZ639" s="354"/>
      <c r="HNA639" s="313"/>
      <c r="HNB639" s="340"/>
      <c r="HNC639" s="340"/>
      <c r="HND639" s="354"/>
      <c r="HNE639" s="313"/>
      <c r="HNF639" s="340"/>
      <c r="HNG639" s="340"/>
      <c r="HNH639" s="354"/>
      <c r="HNI639" s="313"/>
      <c r="HNJ639" s="340"/>
      <c r="HNK639" s="340"/>
      <c r="HNL639" s="354"/>
      <c r="HNM639" s="313"/>
      <c r="HNN639" s="340"/>
      <c r="HNO639" s="340"/>
      <c r="HNP639" s="354"/>
      <c r="HNQ639" s="313"/>
      <c r="HNR639" s="340"/>
      <c r="HNS639" s="340"/>
      <c r="HNT639" s="354"/>
      <c r="HNU639" s="313"/>
      <c r="HNV639" s="340"/>
      <c r="HNW639" s="340"/>
      <c r="HNX639" s="354"/>
      <c r="HNY639" s="313"/>
      <c r="HNZ639" s="340"/>
      <c r="HOA639" s="340"/>
      <c r="HOB639" s="354"/>
      <c r="HOC639" s="313"/>
      <c r="HOD639" s="340"/>
      <c r="HOE639" s="340"/>
      <c r="HOF639" s="354"/>
      <c r="HOG639" s="313"/>
      <c r="HOH639" s="340"/>
      <c r="HOI639" s="340"/>
      <c r="HOJ639" s="354"/>
      <c r="HOK639" s="313"/>
      <c r="HOL639" s="340"/>
      <c r="HOM639" s="340"/>
      <c r="HON639" s="354"/>
      <c r="HOO639" s="313"/>
      <c r="HOP639" s="340"/>
      <c r="HOQ639" s="340"/>
      <c r="HOR639" s="354"/>
      <c r="HOS639" s="313"/>
      <c r="HOT639" s="340"/>
      <c r="HOU639" s="340"/>
      <c r="HOV639" s="354"/>
      <c r="HOW639" s="313"/>
      <c r="HOX639" s="340"/>
      <c r="HOY639" s="340"/>
      <c r="HOZ639" s="354"/>
      <c r="HPA639" s="313"/>
      <c r="HPB639" s="340"/>
      <c r="HPC639" s="340"/>
      <c r="HPD639" s="354"/>
      <c r="HPE639" s="313"/>
      <c r="HPF639" s="340"/>
      <c r="HPG639" s="340"/>
      <c r="HPH639" s="354"/>
      <c r="HPI639" s="313"/>
      <c r="HPJ639" s="340"/>
      <c r="HPK639" s="340"/>
      <c r="HPL639" s="354"/>
      <c r="HPM639" s="313"/>
      <c r="HPN639" s="340"/>
      <c r="HPO639" s="340"/>
      <c r="HPP639" s="354"/>
      <c r="HPQ639" s="313"/>
      <c r="HPR639" s="340"/>
      <c r="HPS639" s="340"/>
      <c r="HPT639" s="354"/>
      <c r="HPU639" s="313"/>
      <c r="HPV639" s="340"/>
      <c r="HPW639" s="340"/>
      <c r="HPX639" s="354"/>
      <c r="HPY639" s="313"/>
      <c r="HPZ639" s="340"/>
      <c r="HQA639" s="340"/>
      <c r="HQB639" s="354"/>
      <c r="HQC639" s="313"/>
      <c r="HQD639" s="340"/>
      <c r="HQE639" s="340"/>
      <c r="HQF639" s="354"/>
      <c r="HQG639" s="313"/>
      <c r="HQH639" s="340"/>
      <c r="HQI639" s="340"/>
      <c r="HQJ639" s="354"/>
      <c r="HQK639" s="313"/>
      <c r="HQL639" s="340"/>
      <c r="HQM639" s="340"/>
      <c r="HQN639" s="354"/>
      <c r="HQO639" s="313"/>
      <c r="HQP639" s="340"/>
      <c r="HQQ639" s="340"/>
      <c r="HQR639" s="354"/>
      <c r="HQS639" s="313"/>
      <c r="HQT639" s="340"/>
      <c r="HQU639" s="340"/>
      <c r="HQV639" s="354"/>
      <c r="HQW639" s="313"/>
      <c r="HQX639" s="340"/>
      <c r="HQY639" s="340"/>
      <c r="HQZ639" s="354"/>
      <c r="HRA639" s="313"/>
      <c r="HRB639" s="340"/>
      <c r="HRC639" s="340"/>
      <c r="HRD639" s="354"/>
      <c r="HRE639" s="313"/>
      <c r="HRF639" s="340"/>
      <c r="HRG639" s="340"/>
      <c r="HRH639" s="354"/>
      <c r="HRI639" s="313"/>
      <c r="HRJ639" s="340"/>
      <c r="HRK639" s="340"/>
      <c r="HRL639" s="354"/>
      <c r="HRM639" s="313"/>
      <c r="HRN639" s="340"/>
      <c r="HRO639" s="340"/>
      <c r="HRP639" s="354"/>
      <c r="HRQ639" s="313"/>
      <c r="HRR639" s="340"/>
      <c r="HRS639" s="340"/>
      <c r="HRT639" s="354"/>
      <c r="HRU639" s="313"/>
      <c r="HRV639" s="340"/>
      <c r="HRW639" s="340"/>
      <c r="HRX639" s="354"/>
      <c r="HRY639" s="313"/>
      <c r="HRZ639" s="340"/>
      <c r="HSA639" s="340"/>
      <c r="HSB639" s="354"/>
      <c r="HSC639" s="313"/>
      <c r="HSD639" s="340"/>
      <c r="HSE639" s="340"/>
      <c r="HSF639" s="354"/>
      <c r="HSG639" s="313"/>
      <c r="HSH639" s="340"/>
      <c r="HSI639" s="340"/>
      <c r="HSJ639" s="354"/>
      <c r="HSK639" s="313"/>
      <c r="HSL639" s="340"/>
      <c r="HSM639" s="340"/>
      <c r="HSN639" s="354"/>
      <c r="HSO639" s="313"/>
      <c r="HSP639" s="340"/>
      <c r="HSQ639" s="340"/>
      <c r="HSR639" s="354"/>
      <c r="HSS639" s="313"/>
      <c r="HST639" s="340"/>
      <c r="HSU639" s="340"/>
      <c r="HSV639" s="354"/>
      <c r="HSW639" s="313"/>
      <c r="HSX639" s="340"/>
      <c r="HSY639" s="340"/>
      <c r="HSZ639" s="354"/>
      <c r="HTA639" s="313"/>
      <c r="HTB639" s="340"/>
      <c r="HTC639" s="340"/>
      <c r="HTD639" s="354"/>
      <c r="HTE639" s="313"/>
      <c r="HTF639" s="340"/>
      <c r="HTG639" s="340"/>
      <c r="HTH639" s="354"/>
      <c r="HTI639" s="313"/>
      <c r="HTJ639" s="340"/>
      <c r="HTK639" s="340"/>
      <c r="HTL639" s="354"/>
      <c r="HTM639" s="313"/>
      <c r="HTN639" s="340"/>
      <c r="HTO639" s="340"/>
      <c r="HTP639" s="354"/>
      <c r="HTQ639" s="313"/>
      <c r="HTR639" s="340"/>
      <c r="HTS639" s="340"/>
      <c r="HTT639" s="354"/>
      <c r="HTU639" s="313"/>
      <c r="HTV639" s="340"/>
      <c r="HTW639" s="340"/>
      <c r="HTX639" s="354"/>
      <c r="HTY639" s="313"/>
      <c r="HTZ639" s="340"/>
      <c r="HUA639" s="340"/>
      <c r="HUB639" s="354"/>
      <c r="HUC639" s="313"/>
      <c r="HUD639" s="340"/>
      <c r="HUE639" s="340"/>
      <c r="HUF639" s="354"/>
      <c r="HUG639" s="313"/>
      <c r="HUH639" s="340"/>
      <c r="HUI639" s="340"/>
      <c r="HUJ639" s="354"/>
      <c r="HUK639" s="313"/>
      <c r="HUL639" s="340"/>
      <c r="HUM639" s="340"/>
      <c r="HUN639" s="354"/>
      <c r="HUO639" s="313"/>
      <c r="HUP639" s="340"/>
      <c r="HUQ639" s="340"/>
      <c r="HUR639" s="354"/>
      <c r="HUS639" s="313"/>
      <c r="HUT639" s="340"/>
      <c r="HUU639" s="340"/>
      <c r="HUV639" s="354"/>
      <c r="HUW639" s="313"/>
      <c r="HUX639" s="340"/>
      <c r="HUY639" s="340"/>
      <c r="HUZ639" s="354"/>
      <c r="HVA639" s="313"/>
      <c r="HVB639" s="340"/>
      <c r="HVC639" s="340"/>
      <c r="HVD639" s="354"/>
      <c r="HVE639" s="313"/>
      <c r="HVF639" s="340"/>
      <c r="HVG639" s="340"/>
      <c r="HVH639" s="354"/>
      <c r="HVI639" s="313"/>
      <c r="HVJ639" s="340"/>
      <c r="HVK639" s="340"/>
      <c r="HVL639" s="354"/>
      <c r="HVM639" s="313"/>
      <c r="HVN639" s="340"/>
      <c r="HVO639" s="340"/>
      <c r="HVP639" s="354"/>
      <c r="HVQ639" s="313"/>
      <c r="HVR639" s="340"/>
      <c r="HVS639" s="340"/>
      <c r="HVT639" s="354"/>
      <c r="HVU639" s="313"/>
      <c r="HVV639" s="340"/>
      <c r="HVW639" s="340"/>
      <c r="HVX639" s="354"/>
      <c r="HVY639" s="313"/>
      <c r="HVZ639" s="340"/>
      <c r="HWA639" s="340"/>
      <c r="HWB639" s="354"/>
      <c r="HWC639" s="313"/>
      <c r="HWD639" s="340"/>
      <c r="HWE639" s="340"/>
      <c r="HWF639" s="354"/>
      <c r="HWG639" s="313"/>
      <c r="HWH639" s="340"/>
      <c r="HWI639" s="340"/>
      <c r="HWJ639" s="354"/>
      <c r="HWK639" s="313"/>
      <c r="HWL639" s="340"/>
      <c r="HWM639" s="340"/>
      <c r="HWN639" s="354"/>
      <c r="HWO639" s="313"/>
      <c r="HWP639" s="340"/>
      <c r="HWQ639" s="340"/>
      <c r="HWR639" s="354"/>
      <c r="HWS639" s="313"/>
      <c r="HWT639" s="340"/>
      <c r="HWU639" s="340"/>
      <c r="HWV639" s="354"/>
      <c r="HWW639" s="313"/>
      <c r="HWX639" s="340"/>
      <c r="HWY639" s="340"/>
      <c r="HWZ639" s="354"/>
      <c r="HXA639" s="313"/>
      <c r="HXB639" s="340"/>
      <c r="HXC639" s="340"/>
      <c r="HXD639" s="354"/>
      <c r="HXE639" s="313"/>
      <c r="HXF639" s="340"/>
      <c r="HXG639" s="340"/>
      <c r="HXH639" s="354"/>
      <c r="HXI639" s="313"/>
      <c r="HXJ639" s="340"/>
      <c r="HXK639" s="340"/>
      <c r="HXL639" s="354"/>
      <c r="HXM639" s="313"/>
      <c r="HXN639" s="340"/>
      <c r="HXO639" s="340"/>
      <c r="HXP639" s="354"/>
      <c r="HXQ639" s="313"/>
      <c r="HXR639" s="340"/>
      <c r="HXS639" s="340"/>
      <c r="HXT639" s="354"/>
      <c r="HXU639" s="313"/>
      <c r="HXV639" s="340"/>
      <c r="HXW639" s="340"/>
      <c r="HXX639" s="354"/>
      <c r="HXY639" s="313"/>
      <c r="HXZ639" s="340"/>
      <c r="HYA639" s="340"/>
      <c r="HYB639" s="354"/>
      <c r="HYC639" s="313"/>
      <c r="HYD639" s="340"/>
      <c r="HYE639" s="340"/>
      <c r="HYF639" s="354"/>
      <c r="HYG639" s="313"/>
      <c r="HYH639" s="340"/>
      <c r="HYI639" s="340"/>
      <c r="HYJ639" s="354"/>
      <c r="HYK639" s="313"/>
      <c r="HYL639" s="340"/>
      <c r="HYM639" s="340"/>
      <c r="HYN639" s="354"/>
      <c r="HYO639" s="313"/>
      <c r="HYP639" s="340"/>
      <c r="HYQ639" s="340"/>
      <c r="HYR639" s="354"/>
      <c r="HYS639" s="313"/>
      <c r="HYT639" s="340"/>
      <c r="HYU639" s="340"/>
      <c r="HYV639" s="354"/>
      <c r="HYW639" s="313"/>
      <c r="HYX639" s="340"/>
      <c r="HYY639" s="340"/>
      <c r="HYZ639" s="354"/>
      <c r="HZA639" s="313"/>
      <c r="HZB639" s="340"/>
      <c r="HZC639" s="340"/>
      <c r="HZD639" s="354"/>
      <c r="HZE639" s="313"/>
      <c r="HZF639" s="340"/>
      <c r="HZG639" s="340"/>
      <c r="HZH639" s="354"/>
      <c r="HZI639" s="313"/>
      <c r="HZJ639" s="340"/>
      <c r="HZK639" s="340"/>
      <c r="HZL639" s="354"/>
      <c r="HZM639" s="313"/>
      <c r="HZN639" s="340"/>
      <c r="HZO639" s="340"/>
      <c r="HZP639" s="354"/>
      <c r="HZQ639" s="313"/>
      <c r="HZR639" s="340"/>
      <c r="HZS639" s="340"/>
      <c r="HZT639" s="354"/>
      <c r="HZU639" s="313"/>
      <c r="HZV639" s="340"/>
      <c r="HZW639" s="340"/>
      <c r="HZX639" s="354"/>
      <c r="HZY639" s="313"/>
      <c r="HZZ639" s="340"/>
      <c r="IAA639" s="340"/>
      <c r="IAB639" s="354"/>
      <c r="IAC639" s="313"/>
      <c r="IAD639" s="340"/>
      <c r="IAE639" s="340"/>
      <c r="IAF639" s="354"/>
      <c r="IAG639" s="313"/>
      <c r="IAH639" s="340"/>
      <c r="IAI639" s="340"/>
      <c r="IAJ639" s="354"/>
      <c r="IAK639" s="313"/>
      <c r="IAL639" s="340"/>
      <c r="IAM639" s="340"/>
      <c r="IAN639" s="354"/>
      <c r="IAO639" s="313"/>
      <c r="IAP639" s="340"/>
      <c r="IAQ639" s="340"/>
      <c r="IAR639" s="354"/>
      <c r="IAS639" s="313"/>
      <c r="IAT639" s="340"/>
      <c r="IAU639" s="340"/>
      <c r="IAV639" s="354"/>
      <c r="IAW639" s="313"/>
      <c r="IAX639" s="340"/>
      <c r="IAY639" s="340"/>
      <c r="IAZ639" s="354"/>
      <c r="IBA639" s="313"/>
      <c r="IBB639" s="340"/>
      <c r="IBC639" s="340"/>
      <c r="IBD639" s="354"/>
      <c r="IBE639" s="313"/>
      <c r="IBF639" s="340"/>
      <c r="IBG639" s="340"/>
      <c r="IBH639" s="354"/>
      <c r="IBI639" s="313"/>
      <c r="IBJ639" s="340"/>
      <c r="IBK639" s="340"/>
      <c r="IBL639" s="354"/>
      <c r="IBM639" s="313"/>
      <c r="IBN639" s="340"/>
      <c r="IBO639" s="340"/>
      <c r="IBP639" s="354"/>
      <c r="IBQ639" s="313"/>
      <c r="IBR639" s="340"/>
      <c r="IBS639" s="340"/>
      <c r="IBT639" s="354"/>
      <c r="IBU639" s="313"/>
      <c r="IBV639" s="340"/>
      <c r="IBW639" s="340"/>
      <c r="IBX639" s="354"/>
      <c r="IBY639" s="313"/>
      <c r="IBZ639" s="340"/>
      <c r="ICA639" s="340"/>
      <c r="ICB639" s="354"/>
      <c r="ICC639" s="313"/>
      <c r="ICD639" s="340"/>
      <c r="ICE639" s="340"/>
      <c r="ICF639" s="354"/>
      <c r="ICG639" s="313"/>
      <c r="ICH639" s="340"/>
      <c r="ICI639" s="340"/>
      <c r="ICJ639" s="354"/>
      <c r="ICK639" s="313"/>
      <c r="ICL639" s="340"/>
      <c r="ICM639" s="340"/>
      <c r="ICN639" s="354"/>
      <c r="ICO639" s="313"/>
      <c r="ICP639" s="340"/>
      <c r="ICQ639" s="340"/>
      <c r="ICR639" s="354"/>
      <c r="ICS639" s="313"/>
      <c r="ICT639" s="340"/>
      <c r="ICU639" s="340"/>
      <c r="ICV639" s="354"/>
      <c r="ICW639" s="313"/>
      <c r="ICX639" s="340"/>
      <c r="ICY639" s="340"/>
      <c r="ICZ639" s="354"/>
      <c r="IDA639" s="313"/>
      <c r="IDB639" s="340"/>
      <c r="IDC639" s="340"/>
      <c r="IDD639" s="354"/>
      <c r="IDE639" s="313"/>
      <c r="IDF639" s="340"/>
      <c r="IDG639" s="340"/>
      <c r="IDH639" s="354"/>
      <c r="IDI639" s="313"/>
      <c r="IDJ639" s="340"/>
      <c r="IDK639" s="340"/>
      <c r="IDL639" s="354"/>
      <c r="IDM639" s="313"/>
      <c r="IDN639" s="340"/>
      <c r="IDO639" s="340"/>
      <c r="IDP639" s="354"/>
      <c r="IDQ639" s="313"/>
      <c r="IDR639" s="340"/>
      <c r="IDS639" s="340"/>
      <c r="IDT639" s="354"/>
      <c r="IDU639" s="313"/>
      <c r="IDV639" s="340"/>
      <c r="IDW639" s="340"/>
      <c r="IDX639" s="354"/>
      <c r="IDY639" s="313"/>
      <c r="IDZ639" s="340"/>
      <c r="IEA639" s="340"/>
      <c r="IEB639" s="354"/>
      <c r="IEC639" s="313"/>
      <c r="IED639" s="340"/>
      <c r="IEE639" s="340"/>
      <c r="IEF639" s="354"/>
      <c r="IEG639" s="313"/>
      <c r="IEH639" s="340"/>
      <c r="IEI639" s="340"/>
      <c r="IEJ639" s="354"/>
      <c r="IEK639" s="313"/>
      <c r="IEL639" s="340"/>
      <c r="IEM639" s="340"/>
      <c r="IEN639" s="354"/>
      <c r="IEO639" s="313"/>
      <c r="IEP639" s="340"/>
      <c r="IEQ639" s="340"/>
      <c r="IER639" s="354"/>
      <c r="IES639" s="313"/>
      <c r="IET639" s="340"/>
      <c r="IEU639" s="340"/>
      <c r="IEV639" s="354"/>
      <c r="IEW639" s="313"/>
      <c r="IEX639" s="340"/>
      <c r="IEY639" s="340"/>
      <c r="IEZ639" s="354"/>
      <c r="IFA639" s="313"/>
      <c r="IFB639" s="340"/>
      <c r="IFC639" s="340"/>
      <c r="IFD639" s="354"/>
      <c r="IFE639" s="313"/>
      <c r="IFF639" s="340"/>
      <c r="IFG639" s="340"/>
      <c r="IFH639" s="354"/>
      <c r="IFI639" s="313"/>
      <c r="IFJ639" s="340"/>
      <c r="IFK639" s="340"/>
      <c r="IFL639" s="354"/>
      <c r="IFM639" s="313"/>
      <c r="IFN639" s="340"/>
      <c r="IFO639" s="340"/>
      <c r="IFP639" s="354"/>
      <c r="IFQ639" s="313"/>
      <c r="IFR639" s="340"/>
      <c r="IFS639" s="340"/>
      <c r="IFT639" s="354"/>
      <c r="IFU639" s="313"/>
      <c r="IFV639" s="340"/>
      <c r="IFW639" s="340"/>
      <c r="IFX639" s="354"/>
      <c r="IFY639" s="313"/>
      <c r="IFZ639" s="340"/>
      <c r="IGA639" s="340"/>
      <c r="IGB639" s="354"/>
      <c r="IGC639" s="313"/>
      <c r="IGD639" s="340"/>
      <c r="IGE639" s="340"/>
      <c r="IGF639" s="354"/>
      <c r="IGG639" s="313"/>
      <c r="IGH639" s="340"/>
      <c r="IGI639" s="340"/>
      <c r="IGJ639" s="354"/>
      <c r="IGK639" s="313"/>
      <c r="IGL639" s="340"/>
      <c r="IGM639" s="340"/>
      <c r="IGN639" s="354"/>
      <c r="IGO639" s="313"/>
      <c r="IGP639" s="340"/>
      <c r="IGQ639" s="340"/>
      <c r="IGR639" s="354"/>
      <c r="IGS639" s="313"/>
      <c r="IGT639" s="340"/>
      <c r="IGU639" s="340"/>
      <c r="IGV639" s="354"/>
      <c r="IGW639" s="313"/>
      <c r="IGX639" s="340"/>
      <c r="IGY639" s="340"/>
      <c r="IGZ639" s="354"/>
      <c r="IHA639" s="313"/>
      <c r="IHB639" s="340"/>
      <c r="IHC639" s="340"/>
      <c r="IHD639" s="354"/>
      <c r="IHE639" s="313"/>
      <c r="IHF639" s="340"/>
      <c r="IHG639" s="340"/>
      <c r="IHH639" s="354"/>
      <c r="IHI639" s="313"/>
      <c r="IHJ639" s="340"/>
      <c r="IHK639" s="340"/>
      <c r="IHL639" s="354"/>
      <c r="IHM639" s="313"/>
      <c r="IHN639" s="340"/>
      <c r="IHO639" s="340"/>
      <c r="IHP639" s="354"/>
      <c r="IHQ639" s="313"/>
      <c r="IHR639" s="340"/>
      <c r="IHS639" s="340"/>
      <c r="IHT639" s="354"/>
      <c r="IHU639" s="313"/>
      <c r="IHV639" s="340"/>
      <c r="IHW639" s="340"/>
      <c r="IHX639" s="354"/>
      <c r="IHY639" s="313"/>
      <c r="IHZ639" s="340"/>
      <c r="IIA639" s="340"/>
      <c r="IIB639" s="354"/>
      <c r="IIC639" s="313"/>
      <c r="IID639" s="340"/>
      <c r="IIE639" s="340"/>
      <c r="IIF639" s="354"/>
      <c r="IIG639" s="313"/>
      <c r="IIH639" s="340"/>
      <c r="III639" s="340"/>
      <c r="IIJ639" s="354"/>
      <c r="IIK639" s="313"/>
      <c r="IIL639" s="340"/>
      <c r="IIM639" s="340"/>
      <c r="IIN639" s="354"/>
      <c r="IIO639" s="313"/>
      <c r="IIP639" s="340"/>
      <c r="IIQ639" s="340"/>
      <c r="IIR639" s="354"/>
      <c r="IIS639" s="313"/>
      <c r="IIT639" s="340"/>
      <c r="IIU639" s="340"/>
      <c r="IIV639" s="354"/>
      <c r="IIW639" s="313"/>
      <c r="IIX639" s="340"/>
      <c r="IIY639" s="340"/>
      <c r="IIZ639" s="354"/>
      <c r="IJA639" s="313"/>
      <c r="IJB639" s="340"/>
      <c r="IJC639" s="340"/>
      <c r="IJD639" s="354"/>
      <c r="IJE639" s="313"/>
      <c r="IJF639" s="340"/>
      <c r="IJG639" s="340"/>
      <c r="IJH639" s="354"/>
      <c r="IJI639" s="313"/>
      <c r="IJJ639" s="340"/>
      <c r="IJK639" s="340"/>
      <c r="IJL639" s="354"/>
      <c r="IJM639" s="313"/>
      <c r="IJN639" s="340"/>
      <c r="IJO639" s="340"/>
      <c r="IJP639" s="354"/>
      <c r="IJQ639" s="313"/>
      <c r="IJR639" s="340"/>
      <c r="IJS639" s="340"/>
      <c r="IJT639" s="354"/>
      <c r="IJU639" s="313"/>
      <c r="IJV639" s="340"/>
      <c r="IJW639" s="340"/>
      <c r="IJX639" s="354"/>
      <c r="IJY639" s="313"/>
      <c r="IJZ639" s="340"/>
      <c r="IKA639" s="340"/>
      <c r="IKB639" s="354"/>
      <c r="IKC639" s="313"/>
      <c r="IKD639" s="340"/>
      <c r="IKE639" s="340"/>
      <c r="IKF639" s="354"/>
      <c r="IKG639" s="313"/>
      <c r="IKH639" s="340"/>
      <c r="IKI639" s="340"/>
      <c r="IKJ639" s="354"/>
      <c r="IKK639" s="313"/>
      <c r="IKL639" s="340"/>
      <c r="IKM639" s="340"/>
      <c r="IKN639" s="354"/>
      <c r="IKO639" s="313"/>
      <c r="IKP639" s="340"/>
      <c r="IKQ639" s="340"/>
      <c r="IKR639" s="354"/>
      <c r="IKS639" s="313"/>
      <c r="IKT639" s="340"/>
      <c r="IKU639" s="340"/>
      <c r="IKV639" s="354"/>
      <c r="IKW639" s="313"/>
      <c r="IKX639" s="340"/>
      <c r="IKY639" s="340"/>
      <c r="IKZ639" s="354"/>
      <c r="ILA639" s="313"/>
      <c r="ILB639" s="340"/>
      <c r="ILC639" s="340"/>
      <c r="ILD639" s="354"/>
      <c r="ILE639" s="313"/>
      <c r="ILF639" s="340"/>
      <c r="ILG639" s="340"/>
      <c r="ILH639" s="354"/>
      <c r="ILI639" s="313"/>
      <c r="ILJ639" s="340"/>
      <c r="ILK639" s="340"/>
      <c r="ILL639" s="354"/>
      <c r="ILM639" s="313"/>
      <c r="ILN639" s="340"/>
      <c r="ILO639" s="340"/>
      <c r="ILP639" s="354"/>
      <c r="ILQ639" s="313"/>
      <c r="ILR639" s="340"/>
      <c r="ILS639" s="340"/>
      <c r="ILT639" s="354"/>
      <c r="ILU639" s="313"/>
      <c r="ILV639" s="340"/>
      <c r="ILW639" s="340"/>
      <c r="ILX639" s="354"/>
      <c r="ILY639" s="313"/>
      <c r="ILZ639" s="340"/>
      <c r="IMA639" s="340"/>
      <c r="IMB639" s="354"/>
      <c r="IMC639" s="313"/>
      <c r="IMD639" s="340"/>
      <c r="IME639" s="340"/>
      <c r="IMF639" s="354"/>
      <c r="IMG639" s="313"/>
      <c r="IMH639" s="340"/>
      <c r="IMI639" s="340"/>
      <c r="IMJ639" s="354"/>
      <c r="IMK639" s="313"/>
      <c r="IML639" s="340"/>
      <c r="IMM639" s="340"/>
      <c r="IMN639" s="354"/>
      <c r="IMO639" s="313"/>
      <c r="IMP639" s="340"/>
      <c r="IMQ639" s="340"/>
      <c r="IMR639" s="354"/>
      <c r="IMS639" s="313"/>
      <c r="IMT639" s="340"/>
      <c r="IMU639" s="340"/>
      <c r="IMV639" s="354"/>
      <c r="IMW639" s="313"/>
      <c r="IMX639" s="340"/>
      <c r="IMY639" s="340"/>
      <c r="IMZ639" s="354"/>
      <c r="INA639" s="313"/>
      <c r="INB639" s="340"/>
      <c r="INC639" s="340"/>
      <c r="IND639" s="354"/>
      <c r="INE639" s="313"/>
      <c r="INF639" s="340"/>
      <c r="ING639" s="340"/>
      <c r="INH639" s="354"/>
      <c r="INI639" s="313"/>
      <c r="INJ639" s="340"/>
      <c r="INK639" s="340"/>
      <c r="INL639" s="354"/>
      <c r="INM639" s="313"/>
      <c r="INN639" s="340"/>
      <c r="INO639" s="340"/>
      <c r="INP639" s="354"/>
      <c r="INQ639" s="313"/>
      <c r="INR639" s="340"/>
      <c r="INS639" s="340"/>
      <c r="INT639" s="354"/>
      <c r="INU639" s="313"/>
      <c r="INV639" s="340"/>
      <c r="INW639" s="340"/>
      <c r="INX639" s="354"/>
      <c r="INY639" s="313"/>
      <c r="INZ639" s="340"/>
      <c r="IOA639" s="340"/>
      <c r="IOB639" s="354"/>
      <c r="IOC639" s="313"/>
      <c r="IOD639" s="340"/>
      <c r="IOE639" s="340"/>
      <c r="IOF639" s="354"/>
      <c r="IOG639" s="313"/>
      <c r="IOH639" s="340"/>
      <c r="IOI639" s="340"/>
      <c r="IOJ639" s="354"/>
      <c r="IOK639" s="313"/>
      <c r="IOL639" s="340"/>
      <c r="IOM639" s="340"/>
      <c r="ION639" s="354"/>
      <c r="IOO639" s="313"/>
      <c r="IOP639" s="340"/>
      <c r="IOQ639" s="340"/>
      <c r="IOR639" s="354"/>
      <c r="IOS639" s="313"/>
      <c r="IOT639" s="340"/>
      <c r="IOU639" s="340"/>
      <c r="IOV639" s="354"/>
      <c r="IOW639" s="313"/>
      <c r="IOX639" s="340"/>
      <c r="IOY639" s="340"/>
      <c r="IOZ639" s="354"/>
      <c r="IPA639" s="313"/>
      <c r="IPB639" s="340"/>
      <c r="IPC639" s="340"/>
      <c r="IPD639" s="354"/>
      <c r="IPE639" s="313"/>
      <c r="IPF639" s="340"/>
      <c r="IPG639" s="340"/>
      <c r="IPH639" s="354"/>
      <c r="IPI639" s="313"/>
      <c r="IPJ639" s="340"/>
      <c r="IPK639" s="340"/>
      <c r="IPL639" s="354"/>
      <c r="IPM639" s="313"/>
      <c r="IPN639" s="340"/>
      <c r="IPO639" s="340"/>
      <c r="IPP639" s="354"/>
      <c r="IPQ639" s="313"/>
      <c r="IPR639" s="340"/>
      <c r="IPS639" s="340"/>
      <c r="IPT639" s="354"/>
      <c r="IPU639" s="313"/>
      <c r="IPV639" s="340"/>
      <c r="IPW639" s="340"/>
      <c r="IPX639" s="354"/>
      <c r="IPY639" s="313"/>
      <c r="IPZ639" s="340"/>
      <c r="IQA639" s="340"/>
      <c r="IQB639" s="354"/>
      <c r="IQC639" s="313"/>
      <c r="IQD639" s="340"/>
      <c r="IQE639" s="340"/>
      <c r="IQF639" s="354"/>
      <c r="IQG639" s="313"/>
      <c r="IQH639" s="340"/>
      <c r="IQI639" s="340"/>
      <c r="IQJ639" s="354"/>
      <c r="IQK639" s="313"/>
      <c r="IQL639" s="340"/>
      <c r="IQM639" s="340"/>
      <c r="IQN639" s="354"/>
      <c r="IQO639" s="313"/>
      <c r="IQP639" s="340"/>
      <c r="IQQ639" s="340"/>
      <c r="IQR639" s="354"/>
      <c r="IQS639" s="313"/>
      <c r="IQT639" s="340"/>
      <c r="IQU639" s="340"/>
      <c r="IQV639" s="354"/>
      <c r="IQW639" s="313"/>
      <c r="IQX639" s="340"/>
      <c r="IQY639" s="340"/>
      <c r="IQZ639" s="354"/>
      <c r="IRA639" s="313"/>
      <c r="IRB639" s="340"/>
      <c r="IRC639" s="340"/>
      <c r="IRD639" s="354"/>
      <c r="IRE639" s="313"/>
      <c r="IRF639" s="340"/>
      <c r="IRG639" s="340"/>
      <c r="IRH639" s="354"/>
      <c r="IRI639" s="313"/>
      <c r="IRJ639" s="340"/>
      <c r="IRK639" s="340"/>
      <c r="IRL639" s="354"/>
      <c r="IRM639" s="313"/>
      <c r="IRN639" s="340"/>
      <c r="IRO639" s="340"/>
      <c r="IRP639" s="354"/>
      <c r="IRQ639" s="313"/>
      <c r="IRR639" s="340"/>
      <c r="IRS639" s="340"/>
      <c r="IRT639" s="354"/>
      <c r="IRU639" s="313"/>
      <c r="IRV639" s="340"/>
      <c r="IRW639" s="340"/>
      <c r="IRX639" s="354"/>
      <c r="IRY639" s="313"/>
      <c r="IRZ639" s="340"/>
      <c r="ISA639" s="340"/>
      <c r="ISB639" s="354"/>
      <c r="ISC639" s="313"/>
      <c r="ISD639" s="340"/>
      <c r="ISE639" s="340"/>
      <c r="ISF639" s="354"/>
      <c r="ISG639" s="313"/>
      <c r="ISH639" s="340"/>
      <c r="ISI639" s="340"/>
      <c r="ISJ639" s="354"/>
      <c r="ISK639" s="313"/>
      <c r="ISL639" s="340"/>
      <c r="ISM639" s="340"/>
      <c r="ISN639" s="354"/>
      <c r="ISO639" s="313"/>
      <c r="ISP639" s="340"/>
      <c r="ISQ639" s="340"/>
      <c r="ISR639" s="354"/>
      <c r="ISS639" s="313"/>
      <c r="IST639" s="340"/>
      <c r="ISU639" s="340"/>
      <c r="ISV639" s="354"/>
      <c r="ISW639" s="313"/>
      <c r="ISX639" s="340"/>
      <c r="ISY639" s="340"/>
      <c r="ISZ639" s="354"/>
      <c r="ITA639" s="313"/>
      <c r="ITB639" s="340"/>
      <c r="ITC639" s="340"/>
      <c r="ITD639" s="354"/>
      <c r="ITE639" s="313"/>
      <c r="ITF639" s="340"/>
      <c r="ITG639" s="340"/>
      <c r="ITH639" s="354"/>
      <c r="ITI639" s="313"/>
      <c r="ITJ639" s="340"/>
      <c r="ITK639" s="340"/>
      <c r="ITL639" s="354"/>
      <c r="ITM639" s="313"/>
      <c r="ITN639" s="340"/>
      <c r="ITO639" s="340"/>
      <c r="ITP639" s="354"/>
      <c r="ITQ639" s="313"/>
      <c r="ITR639" s="340"/>
      <c r="ITS639" s="340"/>
      <c r="ITT639" s="354"/>
      <c r="ITU639" s="313"/>
      <c r="ITV639" s="340"/>
      <c r="ITW639" s="340"/>
      <c r="ITX639" s="354"/>
      <c r="ITY639" s="313"/>
      <c r="ITZ639" s="340"/>
      <c r="IUA639" s="340"/>
      <c r="IUB639" s="354"/>
      <c r="IUC639" s="313"/>
      <c r="IUD639" s="340"/>
      <c r="IUE639" s="340"/>
      <c r="IUF639" s="354"/>
      <c r="IUG639" s="313"/>
      <c r="IUH639" s="340"/>
      <c r="IUI639" s="340"/>
      <c r="IUJ639" s="354"/>
      <c r="IUK639" s="313"/>
      <c r="IUL639" s="340"/>
      <c r="IUM639" s="340"/>
      <c r="IUN639" s="354"/>
      <c r="IUO639" s="313"/>
      <c r="IUP639" s="340"/>
      <c r="IUQ639" s="340"/>
      <c r="IUR639" s="354"/>
      <c r="IUS639" s="313"/>
      <c r="IUT639" s="340"/>
      <c r="IUU639" s="340"/>
      <c r="IUV639" s="354"/>
      <c r="IUW639" s="313"/>
      <c r="IUX639" s="340"/>
      <c r="IUY639" s="340"/>
      <c r="IUZ639" s="354"/>
      <c r="IVA639" s="313"/>
      <c r="IVB639" s="340"/>
      <c r="IVC639" s="340"/>
      <c r="IVD639" s="354"/>
      <c r="IVE639" s="313"/>
      <c r="IVF639" s="340"/>
      <c r="IVG639" s="340"/>
      <c r="IVH639" s="354"/>
      <c r="IVI639" s="313"/>
      <c r="IVJ639" s="340"/>
      <c r="IVK639" s="340"/>
      <c r="IVL639" s="354"/>
      <c r="IVM639" s="313"/>
      <c r="IVN639" s="340"/>
      <c r="IVO639" s="340"/>
      <c r="IVP639" s="354"/>
      <c r="IVQ639" s="313"/>
      <c r="IVR639" s="340"/>
      <c r="IVS639" s="340"/>
      <c r="IVT639" s="354"/>
      <c r="IVU639" s="313"/>
      <c r="IVV639" s="340"/>
      <c r="IVW639" s="340"/>
      <c r="IVX639" s="354"/>
      <c r="IVY639" s="313"/>
      <c r="IVZ639" s="340"/>
      <c r="IWA639" s="340"/>
      <c r="IWB639" s="354"/>
      <c r="IWC639" s="313"/>
      <c r="IWD639" s="340"/>
      <c r="IWE639" s="340"/>
      <c r="IWF639" s="354"/>
      <c r="IWG639" s="313"/>
      <c r="IWH639" s="340"/>
      <c r="IWI639" s="340"/>
      <c r="IWJ639" s="354"/>
      <c r="IWK639" s="313"/>
      <c r="IWL639" s="340"/>
      <c r="IWM639" s="340"/>
      <c r="IWN639" s="354"/>
      <c r="IWO639" s="313"/>
      <c r="IWP639" s="340"/>
      <c r="IWQ639" s="340"/>
      <c r="IWR639" s="354"/>
      <c r="IWS639" s="313"/>
      <c r="IWT639" s="340"/>
      <c r="IWU639" s="340"/>
      <c r="IWV639" s="354"/>
      <c r="IWW639" s="313"/>
      <c r="IWX639" s="340"/>
      <c r="IWY639" s="340"/>
      <c r="IWZ639" s="354"/>
      <c r="IXA639" s="313"/>
      <c r="IXB639" s="340"/>
      <c r="IXC639" s="340"/>
      <c r="IXD639" s="354"/>
      <c r="IXE639" s="313"/>
      <c r="IXF639" s="340"/>
      <c r="IXG639" s="340"/>
      <c r="IXH639" s="354"/>
      <c r="IXI639" s="313"/>
      <c r="IXJ639" s="340"/>
      <c r="IXK639" s="340"/>
      <c r="IXL639" s="354"/>
      <c r="IXM639" s="313"/>
      <c r="IXN639" s="340"/>
      <c r="IXO639" s="340"/>
      <c r="IXP639" s="354"/>
      <c r="IXQ639" s="313"/>
      <c r="IXR639" s="340"/>
      <c r="IXS639" s="340"/>
      <c r="IXT639" s="354"/>
      <c r="IXU639" s="313"/>
      <c r="IXV639" s="340"/>
      <c r="IXW639" s="340"/>
      <c r="IXX639" s="354"/>
      <c r="IXY639" s="313"/>
      <c r="IXZ639" s="340"/>
      <c r="IYA639" s="340"/>
      <c r="IYB639" s="354"/>
      <c r="IYC639" s="313"/>
      <c r="IYD639" s="340"/>
      <c r="IYE639" s="340"/>
      <c r="IYF639" s="354"/>
      <c r="IYG639" s="313"/>
      <c r="IYH639" s="340"/>
      <c r="IYI639" s="340"/>
      <c r="IYJ639" s="354"/>
      <c r="IYK639" s="313"/>
      <c r="IYL639" s="340"/>
      <c r="IYM639" s="340"/>
      <c r="IYN639" s="354"/>
      <c r="IYO639" s="313"/>
      <c r="IYP639" s="340"/>
      <c r="IYQ639" s="340"/>
      <c r="IYR639" s="354"/>
      <c r="IYS639" s="313"/>
      <c r="IYT639" s="340"/>
      <c r="IYU639" s="340"/>
      <c r="IYV639" s="354"/>
      <c r="IYW639" s="313"/>
      <c r="IYX639" s="340"/>
      <c r="IYY639" s="340"/>
      <c r="IYZ639" s="354"/>
      <c r="IZA639" s="313"/>
      <c r="IZB639" s="340"/>
      <c r="IZC639" s="340"/>
      <c r="IZD639" s="354"/>
      <c r="IZE639" s="313"/>
      <c r="IZF639" s="340"/>
      <c r="IZG639" s="340"/>
      <c r="IZH639" s="354"/>
      <c r="IZI639" s="313"/>
      <c r="IZJ639" s="340"/>
      <c r="IZK639" s="340"/>
      <c r="IZL639" s="354"/>
      <c r="IZM639" s="313"/>
      <c r="IZN639" s="340"/>
      <c r="IZO639" s="340"/>
      <c r="IZP639" s="354"/>
      <c r="IZQ639" s="313"/>
      <c r="IZR639" s="340"/>
      <c r="IZS639" s="340"/>
      <c r="IZT639" s="354"/>
      <c r="IZU639" s="313"/>
      <c r="IZV639" s="340"/>
      <c r="IZW639" s="340"/>
      <c r="IZX639" s="354"/>
      <c r="IZY639" s="313"/>
      <c r="IZZ639" s="340"/>
      <c r="JAA639" s="340"/>
      <c r="JAB639" s="354"/>
      <c r="JAC639" s="313"/>
      <c r="JAD639" s="340"/>
      <c r="JAE639" s="340"/>
      <c r="JAF639" s="354"/>
      <c r="JAG639" s="313"/>
      <c r="JAH639" s="340"/>
      <c r="JAI639" s="340"/>
      <c r="JAJ639" s="354"/>
      <c r="JAK639" s="313"/>
      <c r="JAL639" s="340"/>
      <c r="JAM639" s="340"/>
      <c r="JAN639" s="354"/>
      <c r="JAO639" s="313"/>
      <c r="JAP639" s="340"/>
      <c r="JAQ639" s="340"/>
      <c r="JAR639" s="354"/>
      <c r="JAS639" s="313"/>
      <c r="JAT639" s="340"/>
      <c r="JAU639" s="340"/>
      <c r="JAV639" s="354"/>
      <c r="JAW639" s="313"/>
      <c r="JAX639" s="340"/>
      <c r="JAY639" s="340"/>
      <c r="JAZ639" s="354"/>
      <c r="JBA639" s="313"/>
      <c r="JBB639" s="340"/>
      <c r="JBC639" s="340"/>
      <c r="JBD639" s="354"/>
      <c r="JBE639" s="313"/>
      <c r="JBF639" s="340"/>
      <c r="JBG639" s="340"/>
      <c r="JBH639" s="354"/>
      <c r="JBI639" s="313"/>
      <c r="JBJ639" s="340"/>
      <c r="JBK639" s="340"/>
      <c r="JBL639" s="354"/>
      <c r="JBM639" s="313"/>
      <c r="JBN639" s="340"/>
      <c r="JBO639" s="340"/>
      <c r="JBP639" s="354"/>
      <c r="JBQ639" s="313"/>
      <c r="JBR639" s="340"/>
      <c r="JBS639" s="340"/>
      <c r="JBT639" s="354"/>
      <c r="JBU639" s="313"/>
      <c r="JBV639" s="340"/>
      <c r="JBW639" s="340"/>
      <c r="JBX639" s="354"/>
      <c r="JBY639" s="313"/>
      <c r="JBZ639" s="340"/>
      <c r="JCA639" s="340"/>
      <c r="JCB639" s="354"/>
      <c r="JCC639" s="313"/>
      <c r="JCD639" s="340"/>
      <c r="JCE639" s="340"/>
      <c r="JCF639" s="354"/>
      <c r="JCG639" s="313"/>
      <c r="JCH639" s="340"/>
      <c r="JCI639" s="340"/>
      <c r="JCJ639" s="354"/>
      <c r="JCK639" s="313"/>
      <c r="JCL639" s="340"/>
      <c r="JCM639" s="340"/>
      <c r="JCN639" s="354"/>
      <c r="JCO639" s="313"/>
      <c r="JCP639" s="340"/>
      <c r="JCQ639" s="340"/>
      <c r="JCR639" s="354"/>
      <c r="JCS639" s="313"/>
      <c r="JCT639" s="340"/>
      <c r="JCU639" s="340"/>
      <c r="JCV639" s="354"/>
      <c r="JCW639" s="313"/>
      <c r="JCX639" s="340"/>
      <c r="JCY639" s="340"/>
      <c r="JCZ639" s="354"/>
      <c r="JDA639" s="313"/>
      <c r="JDB639" s="340"/>
      <c r="JDC639" s="340"/>
      <c r="JDD639" s="354"/>
      <c r="JDE639" s="313"/>
      <c r="JDF639" s="340"/>
      <c r="JDG639" s="340"/>
      <c r="JDH639" s="354"/>
      <c r="JDI639" s="313"/>
      <c r="JDJ639" s="340"/>
      <c r="JDK639" s="340"/>
      <c r="JDL639" s="354"/>
      <c r="JDM639" s="313"/>
      <c r="JDN639" s="340"/>
      <c r="JDO639" s="340"/>
      <c r="JDP639" s="354"/>
      <c r="JDQ639" s="313"/>
      <c r="JDR639" s="340"/>
      <c r="JDS639" s="340"/>
      <c r="JDT639" s="354"/>
      <c r="JDU639" s="313"/>
      <c r="JDV639" s="340"/>
      <c r="JDW639" s="340"/>
      <c r="JDX639" s="354"/>
      <c r="JDY639" s="313"/>
      <c r="JDZ639" s="340"/>
      <c r="JEA639" s="340"/>
      <c r="JEB639" s="354"/>
      <c r="JEC639" s="313"/>
      <c r="JED639" s="340"/>
      <c r="JEE639" s="340"/>
      <c r="JEF639" s="354"/>
      <c r="JEG639" s="313"/>
      <c r="JEH639" s="340"/>
      <c r="JEI639" s="340"/>
      <c r="JEJ639" s="354"/>
      <c r="JEK639" s="313"/>
      <c r="JEL639" s="340"/>
      <c r="JEM639" s="340"/>
      <c r="JEN639" s="354"/>
      <c r="JEO639" s="313"/>
      <c r="JEP639" s="340"/>
      <c r="JEQ639" s="340"/>
      <c r="JER639" s="354"/>
      <c r="JES639" s="313"/>
      <c r="JET639" s="340"/>
      <c r="JEU639" s="340"/>
      <c r="JEV639" s="354"/>
      <c r="JEW639" s="313"/>
      <c r="JEX639" s="340"/>
      <c r="JEY639" s="340"/>
      <c r="JEZ639" s="354"/>
      <c r="JFA639" s="313"/>
      <c r="JFB639" s="340"/>
      <c r="JFC639" s="340"/>
      <c r="JFD639" s="354"/>
      <c r="JFE639" s="313"/>
      <c r="JFF639" s="340"/>
      <c r="JFG639" s="340"/>
      <c r="JFH639" s="354"/>
      <c r="JFI639" s="313"/>
      <c r="JFJ639" s="340"/>
      <c r="JFK639" s="340"/>
      <c r="JFL639" s="354"/>
      <c r="JFM639" s="313"/>
      <c r="JFN639" s="340"/>
      <c r="JFO639" s="340"/>
      <c r="JFP639" s="354"/>
      <c r="JFQ639" s="313"/>
      <c r="JFR639" s="340"/>
      <c r="JFS639" s="340"/>
      <c r="JFT639" s="354"/>
      <c r="JFU639" s="313"/>
      <c r="JFV639" s="340"/>
      <c r="JFW639" s="340"/>
      <c r="JFX639" s="354"/>
      <c r="JFY639" s="313"/>
      <c r="JFZ639" s="340"/>
      <c r="JGA639" s="340"/>
      <c r="JGB639" s="354"/>
      <c r="JGC639" s="313"/>
      <c r="JGD639" s="340"/>
      <c r="JGE639" s="340"/>
      <c r="JGF639" s="354"/>
      <c r="JGG639" s="313"/>
      <c r="JGH639" s="340"/>
      <c r="JGI639" s="340"/>
      <c r="JGJ639" s="354"/>
      <c r="JGK639" s="313"/>
      <c r="JGL639" s="340"/>
      <c r="JGM639" s="340"/>
      <c r="JGN639" s="354"/>
      <c r="JGO639" s="313"/>
      <c r="JGP639" s="340"/>
      <c r="JGQ639" s="340"/>
      <c r="JGR639" s="354"/>
      <c r="JGS639" s="313"/>
      <c r="JGT639" s="340"/>
      <c r="JGU639" s="340"/>
      <c r="JGV639" s="354"/>
      <c r="JGW639" s="313"/>
      <c r="JGX639" s="340"/>
      <c r="JGY639" s="340"/>
      <c r="JGZ639" s="354"/>
      <c r="JHA639" s="313"/>
      <c r="JHB639" s="340"/>
      <c r="JHC639" s="340"/>
      <c r="JHD639" s="354"/>
      <c r="JHE639" s="313"/>
      <c r="JHF639" s="340"/>
      <c r="JHG639" s="340"/>
      <c r="JHH639" s="354"/>
      <c r="JHI639" s="313"/>
      <c r="JHJ639" s="340"/>
      <c r="JHK639" s="340"/>
      <c r="JHL639" s="354"/>
      <c r="JHM639" s="313"/>
      <c r="JHN639" s="340"/>
      <c r="JHO639" s="340"/>
      <c r="JHP639" s="354"/>
      <c r="JHQ639" s="313"/>
      <c r="JHR639" s="340"/>
      <c r="JHS639" s="340"/>
      <c r="JHT639" s="354"/>
      <c r="JHU639" s="313"/>
      <c r="JHV639" s="340"/>
      <c r="JHW639" s="340"/>
      <c r="JHX639" s="354"/>
      <c r="JHY639" s="313"/>
      <c r="JHZ639" s="340"/>
      <c r="JIA639" s="340"/>
      <c r="JIB639" s="354"/>
      <c r="JIC639" s="313"/>
      <c r="JID639" s="340"/>
      <c r="JIE639" s="340"/>
      <c r="JIF639" s="354"/>
      <c r="JIG639" s="313"/>
      <c r="JIH639" s="340"/>
      <c r="JII639" s="340"/>
      <c r="JIJ639" s="354"/>
      <c r="JIK639" s="313"/>
      <c r="JIL639" s="340"/>
      <c r="JIM639" s="340"/>
      <c r="JIN639" s="354"/>
      <c r="JIO639" s="313"/>
      <c r="JIP639" s="340"/>
      <c r="JIQ639" s="340"/>
      <c r="JIR639" s="354"/>
      <c r="JIS639" s="313"/>
      <c r="JIT639" s="340"/>
      <c r="JIU639" s="340"/>
      <c r="JIV639" s="354"/>
      <c r="JIW639" s="313"/>
      <c r="JIX639" s="340"/>
      <c r="JIY639" s="340"/>
      <c r="JIZ639" s="354"/>
      <c r="JJA639" s="313"/>
      <c r="JJB639" s="340"/>
      <c r="JJC639" s="340"/>
      <c r="JJD639" s="354"/>
      <c r="JJE639" s="313"/>
      <c r="JJF639" s="340"/>
      <c r="JJG639" s="340"/>
      <c r="JJH639" s="354"/>
      <c r="JJI639" s="313"/>
      <c r="JJJ639" s="340"/>
      <c r="JJK639" s="340"/>
      <c r="JJL639" s="354"/>
      <c r="JJM639" s="313"/>
      <c r="JJN639" s="340"/>
      <c r="JJO639" s="340"/>
      <c r="JJP639" s="354"/>
      <c r="JJQ639" s="313"/>
      <c r="JJR639" s="340"/>
      <c r="JJS639" s="340"/>
      <c r="JJT639" s="354"/>
      <c r="JJU639" s="313"/>
      <c r="JJV639" s="340"/>
      <c r="JJW639" s="340"/>
      <c r="JJX639" s="354"/>
      <c r="JJY639" s="313"/>
      <c r="JJZ639" s="340"/>
      <c r="JKA639" s="340"/>
      <c r="JKB639" s="354"/>
      <c r="JKC639" s="313"/>
      <c r="JKD639" s="340"/>
      <c r="JKE639" s="340"/>
      <c r="JKF639" s="354"/>
      <c r="JKG639" s="313"/>
      <c r="JKH639" s="340"/>
      <c r="JKI639" s="340"/>
      <c r="JKJ639" s="354"/>
      <c r="JKK639" s="313"/>
      <c r="JKL639" s="340"/>
      <c r="JKM639" s="340"/>
      <c r="JKN639" s="354"/>
      <c r="JKO639" s="313"/>
      <c r="JKP639" s="340"/>
      <c r="JKQ639" s="340"/>
      <c r="JKR639" s="354"/>
      <c r="JKS639" s="313"/>
      <c r="JKT639" s="340"/>
      <c r="JKU639" s="340"/>
      <c r="JKV639" s="354"/>
      <c r="JKW639" s="313"/>
      <c r="JKX639" s="340"/>
      <c r="JKY639" s="340"/>
      <c r="JKZ639" s="354"/>
      <c r="JLA639" s="313"/>
      <c r="JLB639" s="340"/>
      <c r="JLC639" s="340"/>
      <c r="JLD639" s="354"/>
      <c r="JLE639" s="313"/>
      <c r="JLF639" s="340"/>
      <c r="JLG639" s="340"/>
      <c r="JLH639" s="354"/>
      <c r="JLI639" s="313"/>
      <c r="JLJ639" s="340"/>
      <c r="JLK639" s="340"/>
      <c r="JLL639" s="354"/>
      <c r="JLM639" s="313"/>
      <c r="JLN639" s="340"/>
      <c r="JLO639" s="340"/>
      <c r="JLP639" s="354"/>
      <c r="JLQ639" s="313"/>
      <c r="JLR639" s="340"/>
      <c r="JLS639" s="340"/>
      <c r="JLT639" s="354"/>
      <c r="JLU639" s="313"/>
      <c r="JLV639" s="340"/>
      <c r="JLW639" s="340"/>
      <c r="JLX639" s="354"/>
      <c r="JLY639" s="313"/>
      <c r="JLZ639" s="340"/>
      <c r="JMA639" s="340"/>
      <c r="JMB639" s="354"/>
      <c r="JMC639" s="313"/>
      <c r="JMD639" s="340"/>
      <c r="JME639" s="340"/>
      <c r="JMF639" s="354"/>
      <c r="JMG639" s="313"/>
      <c r="JMH639" s="340"/>
      <c r="JMI639" s="340"/>
      <c r="JMJ639" s="354"/>
      <c r="JMK639" s="313"/>
      <c r="JML639" s="340"/>
      <c r="JMM639" s="340"/>
      <c r="JMN639" s="354"/>
      <c r="JMO639" s="313"/>
      <c r="JMP639" s="340"/>
      <c r="JMQ639" s="340"/>
      <c r="JMR639" s="354"/>
      <c r="JMS639" s="313"/>
      <c r="JMT639" s="340"/>
      <c r="JMU639" s="340"/>
      <c r="JMV639" s="354"/>
      <c r="JMW639" s="313"/>
      <c r="JMX639" s="340"/>
      <c r="JMY639" s="340"/>
      <c r="JMZ639" s="354"/>
      <c r="JNA639" s="313"/>
      <c r="JNB639" s="340"/>
      <c r="JNC639" s="340"/>
      <c r="JND639" s="354"/>
      <c r="JNE639" s="313"/>
      <c r="JNF639" s="340"/>
      <c r="JNG639" s="340"/>
      <c r="JNH639" s="354"/>
      <c r="JNI639" s="313"/>
      <c r="JNJ639" s="340"/>
      <c r="JNK639" s="340"/>
      <c r="JNL639" s="354"/>
      <c r="JNM639" s="313"/>
      <c r="JNN639" s="340"/>
      <c r="JNO639" s="340"/>
      <c r="JNP639" s="354"/>
      <c r="JNQ639" s="313"/>
      <c r="JNR639" s="340"/>
      <c r="JNS639" s="340"/>
      <c r="JNT639" s="354"/>
      <c r="JNU639" s="313"/>
      <c r="JNV639" s="340"/>
      <c r="JNW639" s="340"/>
      <c r="JNX639" s="354"/>
      <c r="JNY639" s="313"/>
      <c r="JNZ639" s="340"/>
      <c r="JOA639" s="340"/>
      <c r="JOB639" s="354"/>
      <c r="JOC639" s="313"/>
      <c r="JOD639" s="340"/>
      <c r="JOE639" s="340"/>
      <c r="JOF639" s="354"/>
      <c r="JOG639" s="313"/>
      <c r="JOH639" s="340"/>
      <c r="JOI639" s="340"/>
      <c r="JOJ639" s="354"/>
      <c r="JOK639" s="313"/>
      <c r="JOL639" s="340"/>
      <c r="JOM639" s="340"/>
      <c r="JON639" s="354"/>
      <c r="JOO639" s="313"/>
      <c r="JOP639" s="340"/>
      <c r="JOQ639" s="340"/>
      <c r="JOR639" s="354"/>
      <c r="JOS639" s="313"/>
      <c r="JOT639" s="340"/>
      <c r="JOU639" s="340"/>
      <c r="JOV639" s="354"/>
      <c r="JOW639" s="313"/>
      <c r="JOX639" s="340"/>
      <c r="JOY639" s="340"/>
      <c r="JOZ639" s="354"/>
      <c r="JPA639" s="313"/>
      <c r="JPB639" s="340"/>
      <c r="JPC639" s="340"/>
      <c r="JPD639" s="354"/>
      <c r="JPE639" s="313"/>
      <c r="JPF639" s="340"/>
      <c r="JPG639" s="340"/>
      <c r="JPH639" s="354"/>
      <c r="JPI639" s="313"/>
      <c r="JPJ639" s="340"/>
      <c r="JPK639" s="340"/>
      <c r="JPL639" s="354"/>
      <c r="JPM639" s="313"/>
      <c r="JPN639" s="340"/>
      <c r="JPO639" s="340"/>
      <c r="JPP639" s="354"/>
      <c r="JPQ639" s="313"/>
      <c r="JPR639" s="340"/>
      <c r="JPS639" s="340"/>
      <c r="JPT639" s="354"/>
      <c r="JPU639" s="313"/>
      <c r="JPV639" s="340"/>
      <c r="JPW639" s="340"/>
      <c r="JPX639" s="354"/>
      <c r="JPY639" s="313"/>
      <c r="JPZ639" s="340"/>
      <c r="JQA639" s="340"/>
      <c r="JQB639" s="354"/>
      <c r="JQC639" s="313"/>
      <c r="JQD639" s="340"/>
      <c r="JQE639" s="340"/>
      <c r="JQF639" s="354"/>
      <c r="JQG639" s="313"/>
      <c r="JQH639" s="340"/>
      <c r="JQI639" s="340"/>
      <c r="JQJ639" s="354"/>
      <c r="JQK639" s="313"/>
      <c r="JQL639" s="340"/>
      <c r="JQM639" s="340"/>
      <c r="JQN639" s="354"/>
      <c r="JQO639" s="313"/>
      <c r="JQP639" s="340"/>
      <c r="JQQ639" s="340"/>
      <c r="JQR639" s="354"/>
      <c r="JQS639" s="313"/>
      <c r="JQT639" s="340"/>
      <c r="JQU639" s="340"/>
      <c r="JQV639" s="354"/>
      <c r="JQW639" s="313"/>
      <c r="JQX639" s="340"/>
      <c r="JQY639" s="340"/>
      <c r="JQZ639" s="354"/>
      <c r="JRA639" s="313"/>
      <c r="JRB639" s="340"/>
      <c r="JRC639" s="340"/>
      <c r="JRD639" s="354"/>
      <c r="JRE639" s="313"/>
      <c r="JRF639" s="340"/>
      <c r="JRG639" s="340"/>
      <c r="JRH639" s="354"/>
      <c r="JRI639" s="313"/>
      <c r="JRJ639" s="340"/>
      <c r="JRK639" s="340"/>
      <c r="JRL639" s="354"/>
      <c r="JRM639" s="313"/>
      <c r="JRN639" s="340"/>
      <c r="JRO639" s="340"/>
      <c r="JRP639" s="354"/>
      <c r="JRQ639" s="313"/>
      <c r="JRR639" s="340"/>
      <c r="JRS639" s="340"/>
      <c r="JRT639" s="354"/>
      <c r="JRU639" s="313"/>
      <c r="JRV639" s="340"/>
      <c r="JRW639" s="340"/>
      <c r="JRX639" s="354"/>
      <c r="JRY639" s="313"/>
      <c r="JRZ639" s="340"/>
      <c r="JSA639" s="340"/>
      <c r="JSB639" s="354"/>
      <c r="JSC639" s="313"/>
      <c r="JSD639" s="340"/>
      <c r="JSE639" s="340"/>
      <c r="JSF639" s="354"/>
      <c r="JSG639" s="313"/>
      <c r="JSH639" s="340"/>
      <c r="JSI639" s="340"/>
      <c r="JSJ639" s="354"/>
      <c r="JSK639" s="313"/>
      <c r="JSL639" s="340"/>
      <c r="JSM639" s="340"/>
      <c r="JSN639" s="354"/>
      <c r="JSO639" s="313"/>
      <c r="JSP639" s="340"/>
      <c r="JSQ639" s="340"/>
      <c r="JSR639" s="354"/>
      <c r="JSS639" s="313"/>
      <c r="JST639" s="340"/>
      <c r="JSU639" s="340"/>
      <c r="JSV639" s="354"/>
      <c r="JSW639" s="313"/>
      <c r="JSX639" s="340"/>
      <c r="JSY639" s="340"/>
      <c r="JSZ639" s="354"/>
      <c r="JTA639" s="313"/>
      <c r="JTB639" s="340"/>
      <c r="JTC639" s="340"/>
      <c r="JTD639" s="354"/>
      <c r="JTE639" s="313"/>
      <c r="JTF639" s="340"/>
      <c r="JTG639" s="340"/>
      <c r="JTH639" s="354"/>
      <c r="JTI639" s="313"/>
      <c r="JTJ639" s="340"/>
      <c r="JTK639" s="340"/>
      <c r="JTL639" s="354"/>
      <c r="JTM639" s="313"/>
      <c r="JTN639" s="340"/>
      <c r="JTO639" s="340"/>
      <c r="JTP639" s="354"/>
      <c r="JTQ639" s="313"/>
      <c r="JTR639" s="340"/>
      <c r="JTS639" s="340"/>
      <c r="JTT639" s="354"/>
      <c r="JTU639" s="313"/>
      <c r="JTV639" s="340"/>
      <c r="JTW639" s="340"/>
      <c r="JTX639" s="354"/>
      <c r="JTY639" s="313"/>
      <c r="JTZ639" s="340"/>
      <c r="JUA639" s="340"/>
      <c r="JUB639" s="354"/>
      <c r="JUC639" s="313"/>
      <c r="JUD639" s="340"/>
      <c r="JUE639" s="340"/>
      <c r="JUF639" s="354"/>
      <c r="JUG639" s="313"/>
      <c r="JUH639" s="340"/>
      <c r="JUI639" s="340"/>
      <c r="JUJ639" s="354"/>
      <c r="JUK639" s="313"/>
      <c r="JUL639" s="340"/>
      <c r="JUM639" s="340"/>
      <c r="JUN639" s="354"/>
      <c r="JUO639" s="313"/>
      <c r="JUP639" s="340"/>
      <c r="JUQ639" s="340"/>
      <c r="JUR639" s="354"/>
      <c r="JUS639" s="313"/>
      <c r="JUT639" s="340"/>
      <c r="JUU639" s="340"/>
      <c r="JUV639" s="354"/>
      <c r="JUW639" s="313"/>
      <c r="JUX639" s="340"/>
      <c r="JUY639" s="340"/>
      <c r="JUZ639" s="354"/>
      <c r="JVA639" s="313"/>
      <c r="JVB639" s="340"/>
      <c r="JVC639" s="340"/>
      <c r="JVD639" s="354"/>
      <c r="JVE639" s="313"/>
      <c r="JVF639" s="340"/>
      <c r="JVG639" s="340"/>
      <c r="JVH639" s="354"/>
      <c r="JVI639" s="313"/>
      <c r="JVJ639" s="340"/>
      <c r="JVK639" s="340"/>
      <c r="JVL639" s="354"/>
      <c r="JVM639" s="313"/>
      <c r="JVN639" s="340"/>
      <c r="JVO639" s="340"/>
      <c r="JVP639" s="354"/>
      <c r="JVQ639" s="313"/>
      <c r="JVR639" s="340"/>
      <c r="JVS639" s="340"/>
      <c r="JVT639" s="354"/>
      <c r="JVU639" s="313"/>
      <c r="JVV639" s="340"/>
      <c r="JVW639" s="340"/>
      <c r="JVX639" s="354"/>
      <c r="JVY639" s="313"/>
      <c r="JVZ639" s="340"/>
      <c r="JWA639" s="340"/>
      <c r="JWB639" s="354"/>
      <c r="JWC639" s="313"/>
      <c r="JWD639" s="340"/>
      <c r="JWE639" s="340"/>
      <c r="JWF639" s="354"/>
      <c r="JWG639" s="313"/>
      <c r="JWH639" s="340"/>
      <c r="JWI639" s="340"/>
      <c r="JWJ639" s="354"/>
      <c r="JWK639" s="313"/>
      <c r="JWL639" s="340"/>
      <c r="JWM639" s="340"/>
      <c r="JWN639" s="354"/>
      <c r="JWO639" s="313"/>
      <c r="JWP639" s="340"/>
      <c r="JWQ639" s="340"/>
      <c r="JWR639" s="354"/>
      <c r="JWS639" s="313"/>
      <c r="JWT639" s="340"/>
      <c r="JWU639" s="340"/>
      <c r="JWV639" s="354"/>
      <c r="JWW639" s="313"/>
      <c r="JWX639" s="340"/>
      <c r="JWY639" s="340"/>
      <c r="JWZ639" s="354"/>
      <c r="JXA639" s="313"/>
      <c r="JXB639" s="340"/>
      <c r="JXC639" s="340"/>
      <c r="JXD639" s="354"/>
      <c r="JXE639" s="313"/>
      <c r="JXF639" s="340"/>
      <c r="JXG639" s="340"/>
      <c r="JXH639" s="354"/>
      <c r="JXI639" s="313"/>
      <c r="JXJ639" s="340"/>
      <c r="JXK639" s="340"/>
      <c r="JXL639" s="354"/>
      <c r="JXM639" s="313"/>
      <c r="JXN639" s="340"/>
      <c r="JXO639" s="340"/>
      <c r="JXP639" s="354"/>
      <c r="JXQ639" s="313"/>
      <c r="JXR639" s="340"/>
      <c r="JXS639" s="340"/>
      <c r="JXT639" s="354"/>
      <c r="JXU639" s="313"/>
      <c r="JXV639" s="340"/>
      <c r="JXW639" s="340"/>
      <c r="JXX639" s="354"/>
      <c r="JXY639" s="313"/>
      <c r="JXZ639" s="340"/>
      <c r="JYA639" s="340"/>
      <c r="JYB639" s="354"/>
      <c r="JYC639" s="313"/>
      <c r="JYD639" s="340"/>
      <c r="JYE639" s="340"/>
      <c r="JYF639" s="354"/>
      <c r="JYG639" s="313"/>
      <c r="JYH639" s="340"/>
      <c r="JYI639" s="340"/>
      <c r="JYJ639" s="354"/>
      <c r="JYK639" s="313"/>
      <c r="JYL639" s="340"/>
      <c r="JYM639" s="340"/>
      <c r="JYN639" s="354"/>
      <c r="JYO639" s="313"/>
      <c r="JYP639" s="340"/>
      <c r="JYQ639" s="340"/>
      <c r="JYR639" s="354"/>
      <c r="JYS639" s="313"/>
      <c r="JYT639" s="340"/>
      <c r="JYU639" s="340"/>
      <c r="JYV639" s="354"/>
      <c r="JYW639" s="313"/>
      <c r="JYX639" s="340"/>
      <c r="JYY639" s="340"/>
      <c r="JYZ639" s="354"/>
      <c r="JZA639" s="313"/>
      <c r="JZB639" s="340"/>
      <c r="JZC639" s="340"/>
      <c r="JZD639" s="354"/>
      <c r="JZE639" s="313"/>
      <c r="JZF639" s="340"/>
      <c r="JZG639" s="340"/>
      <c r="JZH639" s="354"/>
      <c r="JZI639" s="313"/>
      <c r="JZJ639" s="340"/>
      <c r="JZK639" s="340"/>
      <c r="JZL639" s="354"/>
      <c r="JZM639" s="313"/>
      <c r="JZN639" s="340"/>
      <c r="JZO639" s="340"/>
      <c r="JZP639" s="354"/>
      <c r="JZQ639" s="313"/>
      <c r="JZR639" s="340"/>
      <c r="JZS639" s="340"/>
      <c r="JZT639" s="354"/>
      <c r="JZU639" s="313"/>
      <c r="JZV639" s="340"/>
      <c r="JZW639" s="340"/>
      <c r="JZX639" s="354"/>
      <c r="JZY639" s="313"/>
      <c r="JZZ639" s="340"/>
      <c r="KAA639" s="340"/>
      <c r="KAB639" s="354"/>
      <c r="KAC639" s="313"/>
      <c r="KAD639" s="340"/>
      <c r="KAE639" s="340"/>
      <c r="KAF639" s="354"/>
      <c r="KAG639" s="313"/>
      <c r="KAH639" s="340"/>
      <c r="KAI639" s="340"/>
      <c r="KAJ639" s="354"/>
      <c r="KAK639" s="313"/>
      <c r="KAL639" s="340"/>
      <c r="KAM639" s="340"/>
      <c r="KAN639" s="354"/>
      <c r="KAO639" s="313"/>
      <c r="KAP639" s="340"/>
      <c r="KAQ639" s="340"/>
      <c r="KAR639" s="354"/>
      <c r="KAS639" s="313"/>
      <c r="KAT639" s="340"/>
      <c r="KAU639" s="340"/>
      <c r="KAV639" s="354"/>
      <c r="KAW639" s="313"/>
      <c r="KAX639" s="340"/>
      <c r="KAY639" s="340"/>
      <c r="KAZ639" s="354"/>
      <c r="KBA639" s="313"/>
      <c r="KBB639" s="340"/>
      <c r="KBC639" s="340"/>
      <c r="KBD639" s="354"/>
      <c r="KBE639" s="313"/>
      <c r="KBF639" s="340"/>
      <c r="KBG639" s="340"/>
      <c r="KBH639" s="354"/>
      <c r="KBI639" s="313"/>
      <c r="KBJ639" s="340"/>
      <c r="KBK639" s="340"/>
      <c r="KBL639" s="354"/>
      <c r="KBM639" s="313"/>
      <c r="KBN639" s="340"/>
      <c r="KBO639" s="340"/>
      <c r="KBP639" s="354"/>
      <c r="KBQ639" s="313"/>
      <c r="KBR639" s="340"/>
      <c r="KBS639" s="340"/>
      <c r="KBT639" s="354"/>
      <c r="KBU639" s="313"/>
      <c r="KBV639" s="340"/>
      <c r="KBW639" s="340"/>
      <c r="KBX639" s="354"/>
      <c r="KBY639" s="313"/>
      <c r="KBZ639" s="340"/>
      <c r="KCA639" s="340"/>
      <c r="KCB639" s="354"/>
      <c r="KCC639" s="313"/>
      <c r="KCD639" s="340"/>
      <c r="KCE639" s="340"/>
      <c r="KCF639" s="354"/>
      <c r="KCG639" s="313"/>
      <c r="KCH639" s="340"/>
      <c r="KCI639" s="340"/>
      <c r="KCJ639" s="354"/>
      <c r="KCK639" s="313"/>
      <c r="KCL639" s="340"/>
      <c r="KCM639" s="340"/>
      <c r="KCN639" s="354"/>
      <c r="KCO639" s="313"/>
      <c r="KCP639" s="340"/>
      <c r="KCQ639" s="340"/>
      <c r="KCR639" s="354"/>
      <c r="KCS639" s="313"/>
      <c r="KCT639" s="340"/>
      <c r="KCU639" s="340"/>
      <c r="KCV639" s="354"/>
      <c r="KCW639" s="313"/>
      <c r="KCX639" s="340"/>
      <c r="KCY639" s="340"/>
      <c r="KCZ639" s="354"/>
      <c r="KDA639" s="313"/>
      <c r="KDB639" s="340"/>
      <c r="KDC639" s="340"/>
      <c r="KDD639" s="354"/>
      <c r="KDE639" s="313"/>
      <c r="KDF639" s="340"/>
      <c r="KDG639" s="340"/>
      <c r="KDH639" s="354"/>
      <c r="KDI639" s="313"/>
      <c r="KDJ639" s="340"/>
      <c r="KDK639" s="340"/>
      <c r="KDL639" s="354"/>
      <c r="KDM639" s="313"/>
      <c r="KDN639" s="340"/>
      <c r="KDO639" s="340"/>
      <c r="KDP639" s="354"/>
      <c r="KDQ639" s="313"/>
      <c r="KDR639" s="340"/>
      <c r="KDS639" s="340"/>
      <c r="KDT639" s="354"/>
      <c r="KDU639" s="313"/>
      <c r="KDV639" s="340"/>
      <c r="KDW639" s="340"/>
      <c r="KDX639" s="354"/>
      <c r="KDY639" s="313"/>
      <c r="KDZ639" s="340"/>
      <c r="KEA639" s="340"/>
      <c r="KEB639" s="354"/>
      <c r="KEC639" s="313"/>
      <c r="KED639" s="340"/>
      <c r="KEE639" s="340"/>
      <c r="KEF639" s="354"/>
      <c r="KEG639" s="313"/>
      <c r="KEH639" s="340"/>
      <c r="KEI639" s="340"/>
      <c r="KEJ639" s="354"/>
      <c r="KEK639" s="313"/>
      <c r="KEL639" s="340"/>
      <c r="KEM639" s="340"/>
      <c r="KEN639" s="354"/>
      <c r="KEO639" s="313"/>
      <c r="KEP639" s="340"/>
      <c r="KEQ639" s="340"/>
      <c r="KER639" s="354"/>
      <c r="KES639" s="313"/>
      <c r="KET639" s="340"/>
      <c r="KEU639" s="340"/>
      <c r="KEV639" s="354"/>
      <c r="KEW639" s="313"/>
      <c r="KEX639" s="340"/>
      <c r="KEY639" s="340"/>
      <c r="KEZ639" s="354"/>
      <c r="KFA639" s="313"/>
      <c r="KFB639" s="340"/>
      <c r="KFC639" s="340"/>
      <c r="KFD639" s="354"/>
      <c r="KFE639" s="313"/>
      <c r="KFF639" s="340"/>
      <c r="KFG639" s="340"/>
      <c r="KFH639" s="354"/>
      <c r="KFI639" s="313"/>
      <c r="KFJ639" s="340"/>
      <c r="KFK639" s="340"/>
      <c r="KFL639" s="354"/>
      <c r="KFM639" s="313"/>
      <c r="KFN639" s="340"/>
      <c r="KFO639" s="340"/>
      <c r="KFP639" s="354"/>
      <c r="KFQ639" s="313"/>
      <c r="KFR639" s="340"/>
      <c r="KFS639" s="340"/>
      <c r="KFT639" s="354"/>
      <c r="KFU639" s="313"/>
      <c r="KFV639" s="340"/>
      <c r="KFW639" s="340"/>
      <c r="KFX639" s="354"/>
      <c r="KFY639" s="313"/>
      <c r="KFZ639" s="340"/>
      <c r="KGA639" s="340"/>
      <c r="KGB639" s="354"/>
      <c r="KGC639" s="313"/>
      <c r="KGD639" s="340"/>
      <c r="KGE639" s="340"/>
      <c r="KGF639" s="354"/>
      <c r="KGG639" s="313"/>
      <c r="KGH639" s="340"/>
      <c r="KGI639" s="340"/>
      <c r="KGJ639" s="354"/>
      <c r="KGK639" s="313"/>
      <c r="KGL639" s="340"/>
      <c r="KGM639" s="340"/>
      <c r="KGN639" s="354"/>
      <c r="KGO639" s="313"/>
      <c r="KGP639" s="340"/>
      <c r="KGQ639" s="340"/>
      <c r="KGR639" s="354"/>
      <c r="KGS639" s="313"/>
      <c r="KGT639" s="340"/>
      <c r="KGU639" s="340"/>
      <c r="KGV639" s="354"/>
      <c r="KGW639" s="313"/>
      <c r="KGX639" s="340"/>
      <c r="KGY639" s="340"/>
      <c r="KGZ639" s="354"/>
      <c r="KHA639" s="313"/>
      <c r="KHB639" s="340"/>
      <c r="KHC639" s="340"/>
      <c r="KHD639" s="354"/>
      <c r="KHE639" s="313"/>
      <c r="KHF639" s="340"/>
      <c r="KHG639" s="340"/>
      <c r="KHH639" s="354"/>
      <c r="KHI639" s="313"/>
      <c r="KHJ639" s="340"/>
      <c r="KHK639" s="340"/>
      <c r="KHL639" s="354"/>
      <c r="KHM639" s="313"/>
      <c r="KHN639" s="340"/>
      <c r="KHO639" s="340"/>
      <c r="KHP639" s="354"/>
      <c r="KHQ639" s="313"/>
      <c r="KHR639" s="340"/>
      <c r="KHS639" s="340"/>
      <c r="KHT639" s="354"/>
      <c r="KHU639" s="313"/>
      <c r="KHV639" s="340"/>
      <c r="KHW639" s="340"/>
      <c r="KHX639" s="354"/>
      <c r="KHY639" s="313"/>
      <c r="KHZ639" s="340"/>
      <c r="KIA639" s="340"/>
      <c r="KIB639" s="354"/>
      <c r="KIC639" s="313"/>
      <c r="KID639" s="340"/>
      <c r="KIE639" s="340"/>
      <c r="KIF639" s="354"/>
      <c r="KIG639" s="313"/>
      <c r="KIH639" s="340"/>
      <c r="KII639" s="340"/>
      <c r="KIJ639" s="354"/>
      <c r="KIK639" s="313"/>
      <c r="KIL639" s="340"/>
      <c r="KIM639" s="340"/>
      <c r="KIN639" s="354"/>
      <c r="KIO639" s="313"/>
      <c r="KIP639" s="340"/>
      <c r="KIQ639" s="340"/>
      <c r="KIR639" s="354"/>
      <c r="KIS639" s="313"/>
      <c r="KIT639" s="340"/>
      <c r="KIU639" s="340"/>
      <c r="KIV639" s="354"/>
      <c r="KIW639" s="313"/>
      <c r="KIX639" s="340"/>
      <c r="KIY639" s="340"/>
      <c r="KIZ639" s="354"/>
      <c r="KJA639" s="313"/>
      <c r="KJB639" s="340"/>
      <c r="KJC639" s="340"/>
      <c r="KJD639" s="354"/>
      <c r="KJE639" s="313"/>
      <c r="KJF639" s="340"/>
      <c r="KJG639" s="340"/>
      <c r="KJH639" s="354"/>
      <c r="KJI639" s="313"/>
      <c r="KJJ639" s="340"/>
      <c r="KJK639" s="340"/>
      <c r="KJL639" s="354"/>
      <c r="KJM639" s="313"/>
      <c r="KJN639" s="340"/>
      <c r="KJO639" s="340"/>
      <c r="KJP639" s="354"/>
      <c r="KJQ639" s="313"/>
      <c r="KJR639" s="340"/>
      <c r="KJS639" s="340"/>
      <c r="KJT639" s="354"/>
      <c r="KJU639" s="313"/>
      <c r="KJV639" s="340"/>
      <c r="KJW639" s="340"/>
      <c r="KJX639" s="354"/>
      <c r="KJY639" s="313"/>
      <c r="KJZ639" s="340"/>
      <c r="KKA639" s="340"/>
      <c r="KKB639" s="354"/>
      <c r="KKC639" s="313"/>
      <c r="KKD639" s="340"/>
      <c r="KKE639" s="340"/>
      <c r="KKF639" s="354"/>
      <c r="KKG639" s="313"/>
      <c r="KKH639" s="340"/>
      <c r="KKI639" s="340"/>
      <c r="KKJ639" s="354"/>
      <c r="KKK639" s="313"/>
      <c r="KKL639" s="340"/>
      <c r="KKM639" s="340"/>
      <c r="KKN639" s="354"/>
      <c r="KKO639" s="313"/>
      <c r="KKP639" s="340"/>
      <c r="KKQ639" s="340"/>
      <c r="KKR639" s="354"/>
      <c r="KKS639" s="313"/>
      <c r="KKT639" s="340"/>
      <c r="KKU639" s="340"/>
      <c r="KKV639" s="354"/>
      <c r="KKW639" s="313"/>
      <c r="KKX639" s="340"/>
      <c r="KKY639" s="340"/>
      <c r="KKZ639" s="354"/>
      <c r="KLA639" s="313"/>
      <c r="KLB639" s="340"/>
      <c r="KLC639" s="340"/>
      <c r="KLD639" s="354"/>
      <c r="KLE639" s="313"/>
      <c r="KLF639" s="340"/>
      <c r="KLG639" s="340"/>
      <c r="KLH639" s="354"/>
      <c r="KLI639" s="313"/>
      <c r="KLJ639" s="340"/>
      <c r="KLK639" s="340"/>
      <c r="KLL639" s="354"/>
      <c r="KLM639" s="313"/>
      <c r="KLN639" s="340"/>
      <c r="KLO639" s="340"/>
      <c r="KLP639" s="354"/>
      <c r="KLQ639" s="313"/>
      <c r="KLR639" s="340"/>
      <c r="KLS639" s="340"/>
      <c r="KLT639" s="354"/>
      <c r="KLU639" s="313"/>
      <c r="KLV639" s="340"/>
      <c r="KLW639" s="340"/>
      <c r="KLX639" s="354"/>
      <c r="KLY639" s="313"/>
      <c r="KLZ639" s="340"/>
      <c r="KMA639" s="340"/>
      <c r="KMB639" s="354"/>
      <c r="KMC639" s="313"/>
      <c r="KMD639" s="340"/>
      <c r="KME639" s="340"/>
      <c r="KMF639" s="354"/>
      <c r="KMG639" s="313"/>
      <c r="KMH639" s="340"/>
      <c r="KMI639" s="340"/>
      <c r="KMJ639" s="354"/>
      <c r="KMK639" s="313"/>
      <c r="KML639" s="340"/>
      <c r="KMM639" s="340"/>
      <c r="KMN639" s="354"/>
      <c r="KMO639" s="313"/>
      <c r="KMP639" s="340"/>
      <c r="KMQ639" s="340"/>
      <c r="KMR639" s="354"/>
      <c r="KMS639" s="313"/>
      <c r="KMT639" s="340"/>
      <c r="KMU639" s="340"/>
      <c r="KMV639" s="354"/>
      <c r="KMW639" s="313"/>
      <c r="KMX639" s="340"/>
      <c r="KMY639" s="340"/>
      <c r="KMZ639" s="354"/>
      <c r="KNA639" s="313"/>
      <c r="KNB639" s="340"/>
      <c r="KNC639" s="340"/>
      <c r="KND639" s="354"/>
      <c r="KNE639" s="313"/>
      <c r="KNF639" s="340"/>
      <c r="KNG639" s="340"/>
      <c r="KNH639" s="354"/>
      <c r="KNI639" s="313"/>
      <c r="KNJ639" s="340"/>
      <c r="KNK639" s="340"/>
      <c r="KNL639" s="354"/>
      <c r="KNM639" s="313"/>
      <c r="KNN639" s="340"/>
      <c r="KNO639" s="340"/>
      <c r="KNP639" s="354"/>
      <c r="KNQ639" s="313"/>
      <c r="KNR639" s="340"/>
      <c r="KNS639" s="340"/>
      <c r="KNT639" s="354"/>
      <c r="KNU639" s="313"/>
      <c r="KNV639" s="340"/>
      <c r="KNW639" s="340"/>
      <c r="KNX639" s="354"/>
      <c r="KNY639" s="313"/>
      <c r="KNZ639" s="340"/>
      <c r="KOA639" s="340"/>
      <c r="KOB639" s="354"/>
      <c r="KOC639" s="313"/>
      <c r="KOD639" s="340"/>
      <c r="KOE639" s="340"/>
      <c r="KOF639" s="354"/>
      <c r="KOG639" s="313"/>
      <c r="KOH639" s="340"/>
      <c r="KOI639" s="340"/>
      <c r="KOJ639" s="354"/>
      <c r="KOK639" s="313"/>
      <c r="KOL639" s="340"/>
      <c r="KOM639" s="340"/>
      <c r="KON639" s="354"/>
      <c r="KOO639" s="313"/>
      <c r="KOP639" s="340"/>
      <c r="KOQ639" s="340"/>
      <c r="KOR639" s="354"/>
      <c r="KOS639" s="313"/>
      <c r="KOT639" s="340"/>
      <c r="KOU639" s="340"/>
      <c r="KOV639" s="354"/>
      <c r="KOW639" s="313"/>
      <c r="KOX639" s="340"/>
      <c r="KOY639" s="340"/>
      <c r="KOZ639" s="354"/>
      <c r="KPA639" s="313"/>
      <c r="KPB639" s="340"/>
      <c r="KPC639" s="340"/>
      <c r="KPD639" s="354"/>
      <c r="KPE639" s="313"/>
      <c r="KPF639" s="340"/>
      <c r="KPG639" s="340"/>
      <c r="KPH639" s="354"/>
      <c r="KPI639" s="313"/>
      <c r="KPJ639" s="340"/>
      <c r="KPK639" s="340"/>
      <c r="KPL639" s="354"/>
      <c r="KPM639" s="313"/>
      <c r="KPN639" s="340"/>
      <c r="KPO639" s="340"/>
      <c r="KPP639" s="354"/>
      <c r="KPQ639" s="313"/>
      <c r="KPR639" s="340"/>
      <c r="KPS639" s="340"/>
      <c r="KPT639" s="354"/>
      <c r="KPU639" s="313"/>
      <c r="KPV639" s="340"/>
      <c r="KPW639" s="340"/>
      <c r="KPX639" s="354"/>
      <c r="KPY639" s="313"/>
      <c r="KPZ639" s="340"/>
      <c r="KQA639" s="340"/>
      <c r="KQB639" s="354"/>
      <c r="KQC639" s="313"/>
      <c r="KQD639" s="340"/>
      <c r="KQE639" s="340"/>
      <c r="KQF639" s="354"/>
      <c r="KQG639" s="313"/>
      <c r="KQH639" s="340"/>
      <c r="KQI639" s="340"/>
      <c r="KQJ639" s="354"/>
      <c r="KQK639" s="313"/>
      <c r="KQL639" s="340"/>
      <c r="KQM639" s="340"/>
      <c r="KQN639" s="354"/>
      <c r="KQO639" s="313"/>
      <c r="KQP639" s="340"/>
      <c r="KQQ639" s="340"/>
      <c r="KQR639" s="354"/>
      <c r="KQS639" s="313"/>
      <c r="KQT639" s="340"/>
      <c r="KQU639" s="340"/>
      <c r="KQV639" s="354"/>
      <c r="KQW639" s="313"/>
      <c r="KQX639" s="340"/>
      <c r="KQY639" s="340"/>
      <c r="KQZ639" s="354"/>
      <c r="KRA639" s="313"/>
      <c r="KRB639" s="340"/>
      <c r="KRC639" s="340"/>
      <c r="KRD639" s="354"/>
      <c r="KRE639" s="313"/>
      <c r="KRF639" s="340"/>
      <c r="KRG639" s="340"/>
      <c r="KRH639" s="354"/>
      <c r="KRI639" s="313"/>
      <c r="KRJ639" s="340"/>
      <c r="KRK639" s="340"/>
      <c r="KRL639" s="354"/>
      <c r="KRM639" s="313"/>
      <c r="KRN639" s="340"/>
      <c r="KRO639" s="340"/>
      <c r="KRP639" s="354"/>
      <c r="KRQ639" s="313"/>
      <c r="KRR639" s="340"/>
      <c r="KRS639" s="340"/>
      <c r="KRT639" s="354"/>
      <c r="KRU639" s="313"/>
      <c r="KRV639" s="340"/>
      <c r="KRW639" s="340"/>
      <c r="KRX639" s="354"/>
      <c r="KRY639" s="313"/>
      <c r="KRZ639" s="340"/>
      <c r="KSA639" s="340"/>
      <c r="KSB639" s="354"/>
      <c r="KSC639" s="313"/>
      <c r="KSD639" s="340"/>
      <c r="KSE639" s="340"/>
      <c r="KSF639" s="354"/>
      <c r="KSG639" s="313"/>
      <c r="KSH639" s="340"/>
      <c r="KSI639" s="340"/>
      <c r="KSJ639" s="354"/>
      <c r="KSK639" s="313"/>
      <c r="KSL639" s="340"/>
      <c r="KSM639" s="340"/>
      <c r="KSN639" s="354"/>
      <c r="KSO639" s="313"/>
      <c r="KSP639" s="340"/>
      <c r="KSQ639" s="340"/>
      <c r="KSR639" s="354"/>
      <c r="KSS639" s="313"/>
      <c r="KST639" s="340"/>
      <c r="KSU639" s="340"/>
      <c r="KSV639" s="354"/>
      <c r="KSW639" s="313"/>
      <c r="KSX639" s="340"/>
      <c r="KSY639" s="340"/>
      <c r="KSZ639" s="354"/>
      <c r="KTA639" s="313"/>
      <c r="KTB639" s="340"/>
      <c r="KTC639" s="340"/>
      <c r="KTD639" s="354"/>
      <c r="KTE639" s="313"/>
      <c r="KTF639" s="340"/>
      <c r="KTG639" s="340"/>
      <c r="KTH639" s="354"/>
      <c r="KTI639" s="313"/>
      <c r="KTJ639" s="340"/>
      <c r="KTK639" s="340"/>
      <c r="KTL639" s="354"/>
      <c r="KTM639" s="313"/>
      <c r="KTN639" s="340"/>
      <c r="KTO639" s="340"/>
      <c r="KTP639" s="354"/>
      <c r="KTQ639" s="313"/>
      <c r="KTR639" s="340"/>
      <c r="KTS639" s="340"/>
      <c r="KTT639" s="354"/>
      <c r="KTU639" s="313"/>
      <c r="KTV639" s="340"/>
      <c r="KTW639" s="340"/>
      <c r="KTX639" s="354"/>
      <c r="KTY639" s="313"/>
      <c r="KTZ639" s="340"/>
      <c r="KUA639" s="340"/>
      <c r="KUB639" s="354"/>
      <c r="KUC639" s="313"/>
      <c r="KUD639" s="340"/>
      <c r="KUE639" s="340"/>
      <c r="KUF639" s="354"/>
      <c r="KUG639" s="313"/>
      <c r="KUH639" s="340"/>
      <c r="KUI639" s="340"/>
      <c r="KUJ639" s="354"/>
      <c r="KUK639" s="313"/>
      <c r="KUL639" s="340"/>
      <c r="KUM639" s="340"/>
      <c r="KUN639" s="354"/>
      <c r="KUO639" s="313"/>
      <c r="KUP639" s="340"/>
      <c r="KUQ639" s="340"/>
      <c r="KUR639" s="354"/>
      <c r="KUS639" s="313"/>
      <c r="KUT639" s="340"/>
      <c r="KUU639" s="340"/>
      <c r="KUV639" s="354"/>
      <c r="KUW639" s="313"/>
      <c r="KUX639" s="340"/>
      <c r="KUY639" s="340"/>
      <c r="KUZ639" s="354"/>
      <c r="KVA639" s="313"/>
      <c r="KVB639" s="340"/>
      <c r="KVC639" s="340"/>
      <c r="KVD639" s="354"/>
      <c r="KVE639" s="313"/>
      <c r="KVF639" s="340"/>
      <c r="KVG639" s="340"/>
      <c r="KVH639" s="354"/>
      <c r="KVI639" s="313"/>
      <c r="KVJ639" s="340"/>
      <c r="KVK639" s="340"/>
      <c r="KVL639" s="354"/>
      <c r="KVM639" s="313"/>
      <c r="KVN639" s="340"/>
      <c r="KVO639" s="340"/>
      <c r="KVP639" s="354"/>
      <c r="KVQ639" s="313"/>
      <c r="KVR639" s="340"/>
      <c r="KVS639" s="340"/>
      <c r="KVT639" s="354"/>
      <c r="KVU639" s="313"/>
      <c r="KVV639" s="340"/>
      <c r="KVW639" s="340"/>
      <c r="KVX639" s="354"/>
      <c r="KVY639" s="313"/>
      <c r="KVZ639" s="340"/>
      <c r="KWA639" s="340"/>
      <c r="KWB639" s="354"/>
      <c r="KWC639" s="313"/>
      <c r="KWD639" s="340"/>
      <c r="KWE639" s="340"/>
      <c r="KWF639" s="354"/>
      <c r="KWG639" s="313"/>
      <c r="KWH639" s="340"/>
      <c r="KWI639" s="340"/>
      <c r="KWJ639" s="354"/>
      <c r="KWK639" s="313"/>
      <c r="KWL639" s="340"/>
      <c r="KWM639" s="340"/>
      <c r="KWN639" s="354"/>
      <c r="KWO639" s="313"/>
      <c r="KWP639" s="340"/>
      <c r="KWQ639" s="340"/>
      <c r="KWR639" s="354"/>
      <c r="KWS639" s="313"/>
      <c r="KWT639" s="340"/>
      <c r="KWU639" s="340"/>
      <c r="KWV639" s="354"/>
      <c r="KWW639" s="313"/>
      <c r="KWX639" s="340"/>
      <c r="KWY639" s="340"/>
      <c r="KWZ639" s="354"/>
      <c r="KXA639" s="313"/>
      <c r="KXB639" s="340"/>
      <c r="KXC639" s="340"/>
      <c r="KXD639" s="354"/>
      <c r="KXE639" s="313"/>
      <c r="KXF639" s="340"/>
      <c r="KXG639" s="340"/>
      <c r="KXH639" s="354"/>
      <c r="KXI639" s="313"/>
      <c r="KXJ639" s="340"/>
      <c r="KXK639" s="340"/>
      <c r="KXL639" s="354"/>
      <c r="KXM639" s="313"/>
      <c r="KXN639" s="340"/>
      <c r="KXO639" s="340"/>
      <c r="KXP639" s="354"/>
      <c r="KXQ639" s="313"/>
      <c r="KXR639" s="340"/>
      <c r="KXS639" s="340"/>
      <c r="KXT639" s="354"/>
      <c r="KXU639" s="313"/>
      <c r="KXV639" s="340"/>
      <c r="KXW639" s="340"/>
      <c r="KXX639" s="354"/>
      <c r="KXY639" s="313"/>
      <c r="KXZ639" s="340"/>
      <c r="KYA639" s="340"/>
      <c r="KYB639" s="354"/>
      <c r="KYC639" s="313"/>
      <c r="KYD639" s="340"/>
      <c r="KYE639" s="340"/>
      <c r="KYF639" s="354"/>
      <c r="KYG639" s="313"/>
      <c r="KYH639" s="340"/>
      <c r="KYI639" s="340"/>
      <c r="KYJ639" s="354"/>
      <c r="KYK639" s="313"/>
      <c r="KYL639" s="340"/>
      <c r="KYM639" s="340"/>
      <c r="KYN639" s="354"/>
      <c r="KYO639" s="313"/>
      <c r="KYP639" s="340"/>
      <c r="KYQ639" s="340"/>
      <c r="KYR639" s="354"/>
      <c r="KYS639" s="313"/>
      <c r="KYT639" s="340"/>
      <c r="KYU639" s="340"/>
      <c r="KYV639" s="354"/>
      <c r="KYW639" s="313"/>
      <c r="KYX639" s="340"/>
      <c r="KYY639" s="340"/>
      <c r="KYZ639" s="354"/>
      <c r="KZA639" s="313"/>
      <c r="KZB639" s="340"/>
      <c r="KZC639" s="340"/>
      <c r="KZD639" s="354"/>
      <c r="KZE639" s="313"/>
      <c r="KZF639" s="340"/>
      <c r="KZG639" s="340"/>
      <c r="KZH639" s="354"/>
      <c r="KZI639" s="313"/>
      <c r="KZJ639" s="340"/>
      <c r="KZK639" s="340"/>
      <c r="KZL639" s="354"/>
      <c r="KZM639" s="313"/>
      <c r="KZN639" s="340"/>
      <c r="KZO639" s="340"/>
      <c r="KZP639" s="354"/>
      <c r="KZQ639" s="313"/>
      <c r="KZR639" s="340"/>
      <c r="KZS639" s="340"/>
      <c r="KZT639" s="354"/>
      <c r="KZU639" s="313"/>
      <c r="KZV639" s="340"/>
      <c r="KZW639" s="340"/>
      <c r="KZX639" s="354"/>
      <c r="KZY639" s="313"/>
      <c r="KZZ639" s="340"/>
      <c r="LAA639" s="340"/>
      <c r="LAB639" s="354"/>
      <c r="LAC639" s="313"/>
      <c r="LAD639" s="340"/>
      <c r="LAE639" s="340"/>
      <c r="LAF639" s="354"/>
      <c r="LAG639" s="313"/>
      <c r="LAH639" s="340"/>
      <c r="LAI639" s="340"/>
      <c r="LAJ639" s="354"/>
      <c r="LAK639" s="313"/>
      <c r="LAL639" s="340"/>
      <c r="LAM639" s="340"/>
      <c r="LAN639" s="354"/>
      <c r="LAO639" s="313"/>
      <c r="LAP639" s="340"/>
      <c r="LAQ639" s="340"/>
      <c r="LAR639" s="354"/>
      <c r="LAS639" s="313"/>
      <c r="LAT639" s="340"/>
      <c r="LAU639" s="340"/>
      <c r="LAV639" s="354"/>
      <c r="LAW639" s="313"/>
      <c r="LAX639" s="340"/>
      <c r="LAY639" s="340"/>
      <c r="LAZ639" s="354"/>
      <c r="LBA639" s="313"/>
      <c r="LBB639" s="340"/>
      <c r="LBC639" s="340"/>
      <c r="LBD639" s="354"/>
      <c r="LBE639" s="313"/>
      <c r="LBF639" s="340"/>
      <c r="LBG639" s="340"/>
      <c r="LBH639" s="354"/>
      <c r="LBI639" s="313"/>
      <c r="LBJ639" s="340"/>
      <c r="LBK639" s="340"/>
      <c r="LBL639" s="354"/>
      <c r="LBM639" s="313"/>
      <c r="LBN639" s="340"/>
      <c r="LBO639" s="340"/>
      <c r="LBP639" s="354"/>
      <c r="LBQ639" s="313"/>
      <c r="LBR639" s="340"/>
      <c r="LBS639" s="340"/>
      <c r="LBT639" s="354"/>
      <c r="LBU639" s="313"/>
      <c r="LBV639" s="340"/>
      <c r="LBW639" s="340"/>
      <c r="LBX639" s="354"/>
      <c r="LBY639" s="313"/>
      <c r="LBZ639" s="340"/>
      <c r="LCA639" s="340"/>
      <c r="LCB639" s="354"/>
      <c r="LCC639" s="313"/>
      <c r="LCD639" s="340"/>
      <c r="LCE639" s="340"/>
      <c r="LCF639" s="354"/>
      <c r="LCG639" s="313"/>
      <c r="LCH639" s="340"/>
      <c r="LCI639" s="340"/>
      <c r="LCJ639" s="354"/>
      <c r="LCK639" s="313"/>
      <c r="LCL639" s="340"/>
      <c r="LCM639" s="340"/>
      <c r="LCN639" s="354"/>
      <c r="LCO639" s="313"/>
      <c r="LCP639" s="340"/>
      <c r="LCQ639" s="340"/>
      <c r="LCR639" s="354"/>
      <c r="LCS639" s="313"/>
      <c r="LCT639" s="340"/>
      <c r="LCU639" s="340"/>
      <c r="LCV639" s="354"/>
      <c r="LCW639" s="313"/>
      <c r="LCX639" s="340"/>
      <c r="LCY639" s="340"/>
      <c r="LCZ639" s="354"/>
      <c r="LDA639" s="313"/>
      <c r="LDB639" s="340"/>
      <c r="LDC639" s="340"/>
      <c r="LDD639" s="354"/>
      <c r="LDE639" s="313"/>
      <c r="LDF639" s="340"/>
      <c r="LDG639" s="340"/>
      <c r="LDH639" s="354"/>
      <c r="LDI639" s="313"/>
      <c r="LDJ639" s="340"/>
      <c r="LDK639" s="340"/>
      <c r="LDL639" s="354"/>
      <c r="LDM639" s="313"/>
      <c r="LDN639" s="340"/>
      <c r="LDO639" s="340"/>
      <c r="LDP639" s="354"/>
      <c r="LDQ639" s="313"/>
      <c r="LDR639" s="340"/>
      <c r="LDS639" s="340"/>
      <c r="LDT639" s="354"/>
      <c r="LDU639" s="313"/>
      <c r="LDV639" s="340"/>
      <c r="LDW639" s="340"/>
      <c r="LDX639" s="354"/>
      <c r="LDY639" s="313"/>
      <c r="LDZ639" s="340"/>
      <c r="LEA639" s="340"/>
      <c r="LEB639" s="354"/>
      <c r="LEC639" s="313"/>
      <c r="LED639" s="340"/>
      <c r="LEE639" s="340"/>
      <c r="LEF639" s="354"/>
      <c r="LEG639" s="313"/>
      <c r="LEH639" s="340"/>
      <c r="LEI639" s="340"/>
      <c r="LEJ639" s="354"/>
      <c r="LEK639" s="313"/>
      <c r="LEL639" s="340"/>
      <c r="LEM639" s="340"/>
      <c r="LEN639" s="354"/>
      <c r="LEO639" s="313"/>
      <c r="LEP639" s="340"/>
      <c r="LEQ639" s="340"/>
      <c r="LER639" s="354"/>
      <c r="LES639" s="313"/>
      <c r="LET639" s="340"/>
      <c r="LEU639" s="340"/>
      <c r="LEV639" s="354"/>
      <c r="LEW639" s="313"/>
      <c r="LEX639" s="340"/>
      <c r="LEY639" s="340"/>
      <c r="LEZ639" s="354"/>
      <c r="LFA639" s="313"/>
      <c r="LFB639" s="340"/>
      <c r="LFC639" s="340"/>
      <c r="LFD639" s="354"/>
      <c r="LFE639" s="313"/>
      <c r="LFF639" s="340"/>
      <c r="LFG639" s="340"/>
      <c r="LFH639" s="354"/>
      <c r="LFI639" s="313"/>
      <c r="LFJ639" s="340"/>
      <c r="LFK639" s="340"/>
      <c r="LFL639" s="354"/>
      <c r="LFM639" s="313"/>
      <c r="LFN639" s="340"/>
      <c r="LFO639" s="340"/>
      <c r="LFP639" s="354"/>
      <c r="LFQ639" s="313"/>
      <c r="LFR639" s="340"/>
      <c r="LFS639" s="340"/>
      <c r="LFT639" s="354"/>
      <c r="LFU639" s="313"/>
      <c r="LFV639" s="340"/>
      <c r="LFW639" s="340"/>
      <c r="LFX639" s="354"/>
      <c r="LFY639" s="313"/>
      <c r="LFZ639" s="340"/>
      <c r="LGA639" s="340"/>
      <c r="LGB639" s="354"/>
      <c r="LGC639" s="313"/>
      <c r="LGD639" s="340"/>
      <c r="LGE639" s="340"/>
      <c r="LGF639" s="354"/>
      <c r="LGG639" s="313"/>
      <c r="LGH639" s="340"/>
      <c r="LGI639" s="340"/>
      <c r="LGJ639" s="354"/>
      <c r="LGK639" s="313"/>
      <c r="LGL639" s="340"/>
      <c r="LGM639" s="340"/>
      <c r="LGN639" s="354"/>
      <c r="LGO639" s="313"/>
      <c r="LGP639" s="340"/>
      <c r="LGQ639" s="340"/>
      <c r="LGR639" s="354"/>
      <c r="LGS639" s="313"/>
      <c r="LGT639" s="340"/>
      <c r="LGU639" s="340"/>
      <c r="LGV639" s="354"/>
      <c r="LGW639" s="313"/>
      <c r="LGX639" s="340"/>
      <c r="LGY639" s="340"/>
      <c r="LGZ639" s="354"/>
      <c r="LHA639" s="313"/>
      <c r="LHB639" s="340"/>
      <c r="LHC639" s="340"/>
      <c r="LHD639" s="354"/>
      <c r="LHE639" s="313"/>
      <c r="LHF639" s="340"/>
      <c r="LHG639" s="340"/>
      <c r="LHH639" s="354"/>
      <c r="LHI639" s="313"/>
      <c r="LHJ639" s="340"/>
      <c r="LHK639" s="340"/>
      <c r="LHL639" s="354"/>
      <c r="LHM639" s="313"/>
      <c r="LHN639" s="340"/>
      <c r="LHO639" s="340"/>
      <c r="LHP639" s="354"/>
      <c r="LHQ639" s="313"/>
      <c r="LHR639" s="340"/>
      <c r="LHS639" s="340"/>
      <c r="LHT639" s="354"/>
      <c r="LHU639" s="313"/>
      <c r="LHV639" s="340"/>
      <c r="LHW639" s="340"/>
      <c r="LHX639" s="354"/>
      <c r="LHY639" s="313"/>
      <c r="LHZ639" s="340"/>
      <c r="LIA639" s="340"/>
      <c r="LIB639" s="354"/>
      <c r="LIC639" s="313"/>
      <c r="LID639" s="340"/>
      <c r="LIE639" s="340"/>
      <c r="LIF639" s="354"/>
      <c r="LIG639" s="313"/>
      <c r="LIH639" s="340"/>
      <c r="LII639" s="340"/>
      <c r="LIJ639" s="354"/>
      <c r="LIK639" s="313"/>
      <c r="LIL639" s="340"/>
      <c r="LIM639" s="340"/>
      <c r="LIN639" s="354"/>
      <c r="LIO639" s="313"/>
      <c r="LIP639" s="340"/>
      <c r="LIQ639" s="340"/>
      <c r="LIR639" s="354"/>
      <c r="LIS639" s="313"/>
      <c r="LIT639" s="340"/>
      <c r="LIU639" s="340"/>
      <c r="LIV639" s="354"/>
      <c r="LIW639" s="313"/>
      <c r="LIX639" s="340"/>
      <c r="LIY639" s="340"/>
      <c r="LIZ639" s="354"/>
      <c r="LJA639" s="313"/>
      <c r="LJB639" s="340"/>
      <c r="LJC639" s="340"/>
      <c r="LJD639" s="354"/>
      <c r="LJE639" s="313"/>
      <c r="LJF639" s="340"/>
      <c r="LJG639" s="340"/>
      <c r="LJH639" s="354"/>
      <c r="LJI639" s="313"/>
      <c r="LJJ639" s="340"/>
      <c r="LJK639" s="340"/>
      <c r="LJL639" s="354"/>
      <c r="LJM639" s="313"/>
      <c r="LJN639" s="340"/>
      <c r="LJO639" s="340"/>
      <c r="LJP639" s="354"/>
      <c r="LJQ639" s="313"/>
      <c r="LJR639" s="340"/>
      <c r="LJS639" s="340"/>
      <c r="LJT639" s="354"/>
      <c r="LJU639" s="313"/>
      <c r="LJV639" s="340"/>
      <c r="LJW639" s="340"/>
      <c r="LJX639" s="354"/>
      <c r="LJY639" s="313"/>
      <c r="LJZ639" s="340"/>
      <c r="LKA639" s="340"/>
      <c r="LKB639" s="354"/>
      <c r="LKC639" s="313"/>
      <c r="LKD639" s="340"/>
      <c r="LKE639" s="340"/>
      <c r="LKF639" s="354"/>
      <c r="LKG639" s="313"/>
      <c r="LKH639" s="340"/>
      <c r="LKI639" s="340"/>
      <c r="LKJ639" s="354"/>
      <c r="LKK639" s="313"/>
      <c r="LKL639" s="340"/>
      <c r="LKM639" s="340"/>
      <c r="LKN639" s="354"/>
      <c r="LKO639" s="313"/>
      <c r="LKP639" s="340"/>
      <c r="LKQ639" s="340"/>
      <c r="LKR639" s="354"/>
      <c r="LKS639" s="313"/>
      <c r="LKT639" s="340"/>
      <c r="LKU639" s="340"/>
      <c r="LKV639" s="354"/>
      <c r="LKW639" s="313"/>
      <c r="LKX639" s="340"/>
      <c r="LKY639" s="340"/>
      <c r="LKZ639" s="354"/>
      <c r="LLA639" s="313"/>
      <c r="LLB639" s="340"/>
      <c r="LLC639" s="340"/>
      <c r="LLD639" s="354"/>
      <c r="LLE639" s="313"/>
      <c r="LLF639" s="340"/>
      <c r="LLG639" s="340"/>
      <c r="LLH639" s="354"/>
      <c r="LLI639" s="313"/>
      <c r="LLJ639" s="340"/>
      <c r="LLK639" s="340"/>
      <c r="LLL639" s="354"/>
      <c r="LLM639" s="313"/>
      <c r="LLN639" s="340"/>
      <c r="LLO639" s="340"/>
      <c r="LLP639" s="354"/>
      <c r="LLQ639" s="313"/>
      <c r="LLR639" s="340"/>
      <c r="LLS639" s="340"/>
      <c r="LLT639" s="354"/>
      <c r="LLU639" s="313"/>
      <c r="LLV639" s="340"/>
      <c r="LLW639" s="340"/>
      <c r="LLX639" s="354"/>
      <c r="LLY639" s="313"/>
      <c r="LLZ639" s="340"/>
      <c r="LMA639" s="340"/>
      <c r="LMB639" s="354"/>
      <c r="LMC639" s="313"/>
      <c r="LMD639" s="340"/>
      <c r="LME639" s="340"/>
      <c r="LMF639" s="354"/>
      <c r="LMG639" s="313"/>
      <c r="LMH639" s="340"/>
      <c r="LMI639" s="340"/>
      <c r="LMJ639" s="354"/>
      <c r="LMK639" s="313"/>
      <c r="LML639" s="340"/>
      <c r="LMM639" s="340"/>
      <c r="LMN639" s="354"/>
      <c r="LMO639" s="313"/>
      <c r="LMP639" s="340"/>
      <c r="LMQ639" s="340"/>
      <c r="LMR639" s="354"/>
      <c r="LMS639" s="313"/>
      <c r="LMT639" s="340"/>
      <c r="LMU639" s="340"/>
      <c r="LMV639" s="354"/>
      <c r="LMW639" s="313"/>
      <c r="LMX639" s="340"/>
      <c r="LMY639" s="340"/>
      <c r="LMZ639" s="354"/>
      <c r="LNA639" s="313"/>
      <c r="LNB639" s="340"/>
      <c r="LNC639" s="340"/>
      <c r="LND639" s="354"/>
      <c r="LNE639" s="313"/>
      <c r="LNF639" s="340"/>
      <c r="LNG639" s="340"/>
      <c r="LNH639" s="354"/>
      <c r="LNI639" s="313"/>
      <c r="LNJ639" s="340"/>
      <c r="LNK639" s="340"/>
      <c r="LNL639" s="354"/>
      <c r="LNM639" s="313"/>
      <c r="LNN639" s="340"/>
      <c r="LNO639" s="340"/>
      <c r="LNP639" s="354"/>
      <c r="LNQ639" s="313"/>
      <c r="LNR639" s="340"/>
      <c r="LNS639" s="340"/>
      <c r="LNT639" s="354"/>
      <c r="LNU639" s="313"/>
      <c r="LNV639" s="340"/>
      <c r="LNW639" s="340"/>
      <c r="LNX639" s="354"/>
      <c r="LNY639" s="313"/>
      <c r="LNZ639" s="340"/>
      <c r="LOA639" s="340"/>
      <c r="LOB639" s="354"/>
      <c r="LOC639" s="313"/>
      <c r="LOD639" s="340"/>
      <c r="LOE639" s="340"/>
      <c r="LOF639" s="354"/>
      <c r="LOG639" s="313"/>
      <c r="LOH639" s="340"/>
      <c r="LOI639" s="340"/>
      <c r="LOJ639" s="354"/>
      <c r="LOK639" s="313"/>
      <c r="LOL639" s="340"/>
      <c r="LOM639" s="340"/>
      <c r="LON639" s="354"/>
      <c r="LOO639" s="313"/>
      <c r="LOP639" s="340"/>
      <c r="LOQ639" s="340"/>
      <c r="LOR639" s="354"/>
      <c r="LOS639" s="313"/>
      <c r="LOT639" s="340"/>
      <c r="LOU639" s="340"/>
      <c r="LOV639" s="354"/>
      <c r="LOW639" s="313"/>
      <c r="LOX639" s="340"/>
      <c r="LOY639" s="340"/>
      <c r="LOZ639" s="354"/>
      <c r="LPA639" s="313"/>
      <c r="LPB639" s="340"/>
      <c r="LPC639" s="340"/>
      <c r="LPD639" s="354"/>
      <c r="LPE639" s="313"/>
      <c r="LPF639" s="340"/>
      <c r="LPG639" s="340"/>
      <c r="LPH639" s="354"/>
      <c r="LPI639" s="313"/>
      <c r="LPJ639" s="340"/>
      <c r="LPK639" s="340"/>
      <c r="LPL639" s="354"/>
      <c r="LPM639" s="313"/>
      <c r="LPN639" s="340"/>
      <c r="LPO639" s="340"/>
      <c r="LPP639" s="354"/>
      <c r="LPQ639" s="313"/>
      <c r="LPR639" s="340"/>
      <c r="LPS639" s="340"/>
      <c r="LPT639" s="354"/>
      <c r="LPU639" s="313"/>
      <c r="LPV639" s="340"/>
      <c r="LPW639" s="340"/>
      <c r="LPX639" s="354"/>
      <c r="LPY639" s="313"/>
      <c r="LPZ639" s="340"/>
      <c r="LQA639" s="340"/>
      <c r="LQB639" s="354"/>
      <c r="LQC639" s="313"/>
      <c r="LQD639" s="340"/>
      <c r="LQE639" s="340"/>
      <c r="LQF639" s="354"/>
      <c r="LQG639" s="313"/>
      <c r="LQH639" s="340"/>
      <c r="LQI639" s="340"/>
      <c r="LQJ639" s="354"/>
      <c r="LQK639" s="313"/>
      <c r="LQL639" s="340"/>
      <c r="LQM639" s="340"/>
      <c r="LQN639" s="354"/>
      <c r="LQO639" s="313"/>
      <c r="LQP639" s="340"/>
      <c r="LQQ639" s="340"/>
      <c r="LQR639" s="354"/>
      <c r="LQS639" s="313"/>
      <c r="LQT639" s="340"/>
      <c r="LQU639" s="340"/>
      <c r="LQV639" s="354"/>
      <c r="LQW639" s="313"/>
      <c r="LQX639" s="340"/>
      <c r="LQY639" s="340"/>
      <c r="LQZ639" s="354"/>
      <c r="LRA639" s="313"/>
      <c r="LRB639" s="340"/>
      <c r="LRC639" s="340"/>
      <c r="LRD639" s="354"/>
      <c r="LRE639" s="313"/>
      <c r="LRF639" s="340"/>
      <c r="LRG639" s="340"/>
      <c r="LRH639" s="354"/>
      <c r="LRI639" s="313"/>
      <c r="LRJ639" s="340"/>
      <c r="LRK639" s="340"/>
      <c r="LRL639" s="354"/>
      <c r="LRM639" s="313"/>
      <c r="LRN639" s="340"/>
      <c r="LRO639" s="340"/>
      <c r="LRP639" s="354"/>
      <c r="LRQ639" s="313"/>
      <c r="LRR639" s="340"/>
      <c r="LRS639" s="340"/>
      <c r="LRT639" s="354"/>
      <c r="LRU639" s="313"/>
      <c r="LRV639" s="340"/>
      <c r="LRW639" s="340"/>
      <c r="LRX639" s="354"/>
      <c r="LRY639" s="313"/>
      <c r="LRZ639" s="340"/>
      <c r="LSA639" s="340"/>
      <c r="LSB639" s="354"/>
      <c r="LSC639" s="313"/>
      <c r="LSD639" s="340"/>
      <c r="LSE639" s="340"/>
      <c r="LSF639" s="354"/>
      <c r="LSG639" s="313"/>
      <c r="LSH639" s="340"/>
      <c r="LSI639" s="340"/>
      <c r="LSJ639" s="354"/>
      <c r="LSK639" s="313"/>
      <c r="LSL639" s="340"/>
      <c r="LSM639" s="340"/>
      <c r="LSN639" s="354"/>
      <c r="LSO639" s="313"/>
      <c r="LSP639" s="340"/>
      <c r="LSQ639" s="340"/>
      <c r="LSR639" s="354"/>
      <c r="LSS639" s="313"/>
      <c r="LST639" s="340"/>
      <c r="LSU639" s="340"/>
      <c r="LSV639" s="354"/>
      <c r="LSW639" s="313"/>
      <c r="LSX639" s="340"/>
      <c r="LSY639" s="340"/>
      <c r="LSZ639" s="354"/>
      <c r="LTA639" s="313"/>
      <c r="LTB639" s="340"/>
      <c r="LTC639" s="340"/>
      <c r="LTD639" s="354"/>
      <c r="LTE639" s="313"/>
      <c r="LTF639" s="340"/>
      <c r="LTG639" s="340"/>
      <c r="LTH639" s="354"/>
      <c r="LTI639" s="313"/>
      <c r="LTJ639" s="340"/>
      <c r="LTK639" s="340"/>
      <c r="LTL639" s="354"/>
      <c r="LTM639" s="313"/>
      <c r="LTN639" s="340"/>
      <c r="LTO639" s="340"/>
      <c r="LTP639" s="354"/>
      <c r="LTQ639" s="313"/>
      <c r="LTR639" s="340"/>
      <c r="LTS639" s="340"/>
      <c r="LTT639" s="354"/>
      <c r="LTU639" s="313"/>
      <c r="LTV639" s="340"/>
      <c r="LTW639" s="340"/>
      <c r="LTX639" s="354"/>
      <c r="LTY639" s="313"/>
      <c r="LTZ639" s="340"/>
      <c r="LUA639" s="340"/>
      <c r="LUB639" s="354"/>
      <c r="LUC639" s="313"/>
      <c r="LUD639" s="340"/>
      <c r="LUE639" s="340"/>
      <c r="LUF639" s="354"/>
      <c r="LUG639" s="313"/>
      <c r="LUH639" s="340"/>
      <c r="LUI639" s="340"/>
      <c r="LUJ639" s="354"/>
      <c r="LUK639" s="313"/>
      <c r="LUL639" s="340"/>
      <c r="LUM639" s="340"/>
      <c r="LUN639" s="354"/>
      <c r="LUO639" s="313"/>
      <c r="LUP639" s="340"/>
      <c r="LUQ639" s="340"/>
      <c r="LUR639" s="354"/>
      <c r="LUS639" s="313"/>
      <c r="LUT639" s="340"/>
      <c r="LUU639" s="340"/>
      <c r="LUV639" s="354"/>
      <c r="LUW639" s="313"/>
      <c r="LUX639" s="340"/>
      <c r="LUY639" s="340"/>
      <c r="LUZ639" s="354"/>
      <c r="LVA639" s="313"/>
      <c r="LVB639" s="340"/>
      <c r="LVC639" s="340"/>
      <c r="LVD639" s="354"/>
      <c r="LVE639" s="313"/>
      <c r="LVF639" s="340"/>
      <c r="LVG639" s="340"/>
      <c r="LVH639" s="354"/>
      <c r="LVI639" s="313"/>
      <c r="LVJ639" s="340"/>
      <c r="LVK639" s="340"/>
      <c r="LVL639" s="354"/>
      <c r="LVM639" s="313"/>
      <c r="LVN639" s="340"/>
      <c r="LVO639" s="340"/>
      <c r="LVP639" s="354"/>
      <c r="LVQ639" s="313"/>
      <c r="LVR639" s="340"/>
      <c r="LVS639" s="340"/>
      <c r="LVT639" s="354"/>
      <c r="LVU639" s="313"/>
      <c r="LVV639" s="340"/>
      <c r="LVW639" s="340"/>
      <c r="LVX639" s="354"/>
      <c r="LVY639" s="313"/>
      <c r="LVZ639" s="340"/>
      <c r="LWA639" s="340"/>
      <c r="LWB639" s="354"/>
      <c r="LWC639" s="313"/>
      <c r="LWD639" s="340"/>
      <c r="LWE639" s="340"/>
      <c r="LWF639" s="354"/>
      <c r="LWG639" s="313"/>
      <c r="LWH639" s="340"/>
      <c r="LWI639" s="340"/>
      <c r="LWJ639" s="354"/>
      <c r="LWK639" s="313"/>
      <c r="LWL639" s="340"/>
      <c r="LWM639" s="340"/>
      <c r="LWN639" s="354"/>
      <c r="LWO639" s="313"/>
      <c r="LWP639" s="340"/>
      <c r="LWQ639" s="340"/>
      <c r="LWR639" s="354"/>
      <c r="LWS639" s="313"/>
      <c r="LWT639" s="340"/>
      <c r="LWU639" s="340"/>
      <c r="LWV639" s="354"/>
      <c r="LWW639" s="313"/>
      <c r="LWX639" s="340"/>
      <c r="LWY639" s="340"/>
      <c r="LWZ639" s="354"/>
      <c r="LXA639" s="313"/>
      <c r="LXB639" s="340"/>
      <c r="LXC639" s="340"/>
      <c r="LXD639" s="354"/>
      <c r="LXE639" s="313"/>
      <c r="LXF639" s="340"/>
      <c r="LXG639" s="340"/>
      <c r="LXH639" s="354"/>
      <c r="LXI639" s="313"/>
      <c r="LXJ639" s="340"/>
      <c r="LXK639" s="340"/>
      <c r="LXL639" s="354"/>
      <c r="LXM639" s="313"/>
      <c r="LXN639" s="340"/>
      <c r="LXO639" s="340"/>
      <c r="LXP639" s="354"/>
      <c r="LXQ639" s="313"/>
      <c r="LXR639" s="340"/>
      <c r="LXS639" s="340"/>
      <c r="LXT639" s="354"/>
      <c r="LXU639" s="313"/>
      <c r="LXV639" s="340"/>
      <c r="LXW639" s="340"/>
      <c r="LXX639" s="354"/>
      <c r="LXY639" s="313"/>
      <c r="LXZ639" s="340"/>
      <c r="LYA639" s="340"/>
      <c r="LYB639" s="354"/>
      <c r="LYC639" s="313"/>
      <c r="LYD639" s="340"/>
      <c r="LYE639" s="340"/>
      <c r="LYF639" s="354"/>
      <c r="LYG639" s="313"/>
      <c r="LYH639" s="340"/>
      <c r="LYI639" s="340"/>
      <c r="LYJ639" s="354"/>
      <c r="LYK639" s="313"/>
      <c r="LYL639" s="340"/>
      <c r="LYM639" s="340"/>
      <c r="LYN639" s="354"/>
      <c r="LYO639" s="313"/>
      <c r="LYP639" s="340"/>
      <c r="LYQ639" s="340"/>
      <c r="LYR639" s="354"/>
      <c r="LYS639" s="313"/>
      <c r="LYT639" s="340"/>
      <c r="LYU639" s="340"/>
      <c r="LYV639" s="354"/>
      <c r="LYW639" s="313"/>
      <c r="LYX639" s="340"/>
      <c r="LYY639" s="340"/>
      <c r="LYZ639" s="354"/>
      <c r="LZA639" s="313"/>
      <c r="LZB639" s="340"/>
      <c r="LZC639" s="340"/>
      <c r="LZD639" s="354"/>
      <c r="LZE639" s="313"/>
      <c r="LZF639" s="340"/>
      <c r="LZG639" s="340"/>
      <c r="LZH639" s="354"/>
      <c r="LZI639" s="313"/>
      <c r="LZJ639" s="340"/>
      <c r="LZK639" s="340"/>
      <c r="LZL639" s="354"/>
      <c r="LZM639" s="313"/>
      <c r="LZN639" s="340"/>
      <c r="LZO639" s="340"/>
      <c r="LZP639" s="354"/>
      <c r="LZQ639" s="313"/>
      <c r="LZR639" s="340"/>
      <c r="LZS639" s="340"/>
      <c r="LZT639" s="354"/>
      <c r="LZU639" s="313"/>
      <c r="LZV639" s="340"/>
      <c r="LZW639" s="340"/>
      <c r="LZX639" s="354"/>
      <c r="LZY639" s="313"/>
      <c r="LZZ639" s="340"/>
      <c r="MAA639" s="340"/>
      <c r="MAB639" s="354"/>
      <c r="MAC639" s="313"/>
      <c r="MAD639" s="340"/>
      <c r="MAE639" s="340"/>
      <c r="MAF639" s="354"/>
      <c r="MAG639" s="313"/>
      <c r="MAH639" s="340"/>
      <c r="MAI639" s="340"/>
      <c r="MAJ639" s="354"/>
      <c r="MAK639" s="313"/>
      <c r="MAL639" s="340"/>
      <c r="MAM639" s="340"/>
      <c r="MAN639" s="354"/>
      <c r="MAO639" s="313"/>
      <c r="MAP639" s="340"/>
      <c r="MAQ639" s="340"/>
      <c r="MAR639" s="354"/>
      <c r="MAS639" s="313"/>
      <c r="MAT639" s="340"/>
      <c r="MAU639" s="340"/>
      <c r="MAV639" s="354"/>
      <c r="MAW639" s="313"/>
      <c r="MAX639" s="340"/>
      <c r="MAY639" s="340"/>
      <c r="MAZ639" s="354"/>
      <c r="MBA639" s="313"/>
      <c r="MBB639" s="340"/>
      <c r="MBC639" s="340"/>
      <c r="MBD639" s="354"/>
      <c r="MBE639" s="313"/>
      <c r="MBF639" s="340"/>
      <c r="MBG639" s="340"/>
      <c r="MBH639" s="354"/>
      <c r="MBI639" s="313"/>
      <c r="MBJ639" s="340"/>
      <c r="MBK639" s="340"/>
      <c r="MBL639" s="354"/>
      <c r="MBM639" s="313"/>
      <c r="MBN639" s="340"/>
      <c r="MBO639" s="340"/>
      <c r="MBP639" s="354"/>
      <c r="MBQ639" s="313"/>
      <c r="MBR639" s="340"/>
      <c r="MBS639" s="340"/>
      <c r="MBT639" s="354"/>
      <c r="MBU639" s="313"/>
      <c r="MBV639" s="340"/>
      <c r="MBW639" s="340"/>
      <c r="MBX639" s="354"/>
      <c r="MBY639" s="313"/>
      <c r="MBZ639" s="340"/>
      <c r="MCA639" s="340"/>
      <c r="MCB639" s="354"/>
      <c r="MCC639" s="313"/>
      <c r="MCD639" s="340"/>
      <c r="MCE639" s="340"/>
      <c r="MCF639" s="354"/>
      <c r="MCG639" s="313"/>
      <c r="MCH639" s="340"/>
      <c r="MCI639" s="340"/>
      <c r="MCJ639" s="354"/>
      <c r="MCK639" s="313"/>
      <c r="MCL639" s="340"/>
      <c r="MCM639" s="340"/>
      <c r="MCN639" s="354"/>
      <c r="MCO639" s="313"/>
      <c r="MCP639" s="340"/>
      <c r="MCQ639" s="340"/>
      <c r="MCR639" s="354"/>
      <c r="MCS639" s="313"/>
      <c r="MCT639" s="340"/>
      <c r="MCU639" s="340"/>
      <c r="MCV639" s="354"/>
      <c r="MCW639" s="313"/>
      <c r="MCX639" s="340"/>
      <c r="MCY639" s="340"/>
      <c r="MCZ639" s="354"/>
      <c r="MDA639" s="313"/>
      <c r="MDB639" s="340"/>
      <c r="MDC639" s="340"/>
      <c r="MDD639" s="354"/>
      <c r="MDE639" s="313"/>
      <c r="MDF639" s="340"/>
      <c r="MDG639" s="340"/>
      <c r="MDH639" s="354"/>
      <c r="MDI639" s="313"/>
      <c r="MDJ639" s="340"/>
      <c r="MDK639" s="340"/>
      <c r="MDL639" s="354"/>
      <c r="MDM639" s="313"/>
      <c r="MDN639" s="340"/>
      <c r="MDO639" s="340"/>
      <c r="MDP639" s="354"/>
      <c r="MDQ639" s="313"/>
      <c r="MDR639" s="340"/>
      <c r="MDS639" s="340"/>
      <c r="MDT639" s="354"/>
      <c r="MDU639" s="313"/>
      <c r="MDV639" s="340"/>
      <c r="MDW639" s="340"/>
      <c r="MDX639" s="354"/>
      <c r="MDY639" s="313"/>
      <c r="MDZ639" s="340"/>
      <c r="MEA639" s="340"/>
      <c r="MEB639" s="354"/>
      <c r="MEC639" s="313"/>
      <c r="MED639" s="340"/>
      <c r="MEE639" s="340"/>
      <c r="MEF639" s="354"/>
      <c r="MEG639" s="313"/>
      <c r="MEH639" s="340"/>
      <c r="MEI639" s="340"/>
      <c r="MEJ639" s="354"/>
      <c r="MEK639" s="313"/>
      <c r="MEL639" s="340"/>
      <c r="MEM639" s="340"/>
      <c r="MEN639" s="354"/>
      <c r="MEO639" s="313"/>
      <c r="MEP639" s="340"/>
      <c r="MEQ639" s="340"/>
      <c r="MER639" s="354"/>
      <c r="MES639" s="313"/>
      <c r="MET639" s="340"/>
      <c r="MEU639" s="340"/>
      <c r="MEV639" s="354"/>
      <c r="MEW639" s="313"/>
      <c r="MEX639" s="340"/>
      <c r="MEY639" s="340"/>
      <c r="MEZ639" s="354"/>
      <c r="MFA639" s="313"/>
      <c r="MFB639" s="340"/>
      <c r="MFC639" s="340"/>
      <c r="MFD639" s="354"/>
      <c r="MFE639" s="313"/>
      <c r="MFF639" s="340"/>
      <c r="MFG639" s="340"/>
      <c r="MFH639" s="354"/>
      <c r="MFI639" s="313"/>
      <c r="MFJ639" s="340"/>
      <c r="MFK639" s="340"/>
      <c r="MFL639" s="354"/>
      <c r="MFM639" s="313"/>
      <c r="MFN639" s="340"/>
      <c r="MFO639" s="340"/>
      <c r="MFP639" s="354"/>
      <c r="MFQ639" s="313"/>
      <c r="MFR639" s="340"/>
      <c r="MFS639" s="340"/>
      <c r="MFT639" s="354"/>
      <c r="MFU639" s="313"/>
      <c r="MFV639" s="340"/>
      <c r="MFW639" s="340"/>
      <c r="MFX639" s="354"/>
      <c r="MFY639" s="313"/>
      <c r="MFZ639" s="340"/>
      <c r="MGA639" s="340"/>
      <c r="MGB639" s="354"/>
      <c r="MGC639" s="313"/>
      <c r="MGD639" s="340"/>
      <c r="MGE639" s="340"/>
      <c r="MGF639" s="354"/>
      <c r="MGG639" s="313"/>
      <c r="MGH639" s="340"/>
      <c r="MGI639" s="340"/>
      <c r="MGJ639" s="354"/>
      <c r="MGK639" s="313"/>
      <c r="MGL639" s="340"/>
      <c r="MGM639" s="340"/>
      <c r="MGN639" s="354"/>
      <c r="MGO639" s="313"/>
      <c r="MGP639" s="340"/>
      <c r="MGQ639" s="340"/>
      <c r="MGR639" s="354"/>
      <c r="MGS639" s="313"/>
      <c r="MGT639" s="340"/>
      <c r="MGU639" s="340"/>
      <c r="MGV639" s="354"/>
      <c r="MGW639" s="313"/>
      <c r="MGX639" s="340"/>
      <c r="MGY639" s="340"/>
      <c r="MGZ639" s="354"/>
      <c r="MHA639" s="313"/>
      <c r="MHB639" s="340"/>
      <c r="MHC639" s="340"/>
      <c r="MHD639" s="354"/>
      <c r="MHE639" s="313"/>
      <c r="MHF639" s="340"/>
      <c r="MHG639" s="340"/>
      <c r="MHH639" s="354"/>
      <c r="MHI639" s="313"/>
      <c r="MHJ639" s="340"/>
      <c r="MHK639" s="340"/>
      <c r="MHL639" s="354"/>
      <c r="MHM639" s="313"/>
      <c r="MHN639" s="340"/>
      <c r="MHO639" s="340"/>
      <c r="MHP639" s="354"/>
      <c r="MHQ639" s="313"/>
      <c r="MHR639" s="340"/>
      <c r="MHS639" s="340"/>
      <c r="MHT639" s="354"/>
      <c r="MHU639" s="313"/>
      <c r="MHV639" s="340"/>
      <c r="MHW639" s="340"/>
      <c r="MHX639" s="354"/>
      <c r="MHY639" s="313"/>
      <c r="MHZ639" s="340"/>
      <c r="MIA639" s="340"/>
      <c r="MIB639" s="354"/>
      <c r="MIC639" s="313"/>
      <c r="MID639" s="340"/>
      <c r="MIE639" s="340"/>
      <c r="MIF639" s="354"/>
      <c r="MIG639" s="313"/>
      <c r="MIH639" s="340"/>
      <c r="MII639" s="340"/>
      <c r="MIJ639" s="354"/>
      <c r="MIK639" s="313"/>
      <c r="MIL639" s="340"/>
      <c r="MIM639" s="340"/>
      <c r="MIN639" s="354"/>
      <c r="MIO639" s="313"/>
      <c r="MIP639" s="340"/>
      <c r="MIQ639" s="340"/>
      <c r="MIR639" s="354"/>
      <c r="MIS639" s="313"/>
      <c r="MIT639" s="340"/>
      <c r="MIU639" s="340"/>
      <c r="MIV639" s="354"/>
      <c r="MIW639" s="313"/>
      <c r="MIX639" s="340"/>
      <c r="MIY639" s="340"/>
      <c r="MIZ639" s="354"/>
      <c r="MJA639" s="313"/>
      <c r="MJB639" s="340"/>
      <c r="MJC639" s="340"/>
      <c r="MJD639" s="354"/>
      <c r="MJE639" s="313"/>
      <c r="MJF639" s="340"/>
      <c r="MJG639" s="340"/>
      <c r="MJH639" s="354"/>
      <c r="MJI639" s="313"/>
      <c r="MJJ639" s="340"/>
      <c r="MJK639" s="340"/>
      <c r="MJL639" s="354"/>
      <c r="MJM639" s="313"/>
      <c r="MJN639" s="340"/>
      <c r="MJO639" s="340"/>
      <c r="MJP639" s="354"/>
      <c r="MJQ639" s="313"/>
      <c r="MJR639" s="340"/>
      <c r="MJS639" s="340"/>
      <c r="MJT639" s="354"/>
      <c r="MJU639" s="313"/>
      <c r="MJV639" s="340"/>
      <c r="MJW639" s="340"/>
      <c r="MJX639" s="354"/>
      <c r="MJY639" s="313"/>
      <c r="MJZ639" s="340"/>
      <c r="MKA639" s="340"/>
      <c r="MKB639" s="354"/>
      <c r="MKC639" s="313"/>
      <c r="MKD639" s="340"/>
      <c r="MKE639" s="340"/>
      <c r="MKF639" s="354"/>
      <c r="MKG639" s="313"/>
      <c r="MKH639" s="340"/>
      <c r="MKI639" s="340"/>
      <c r="MKJ639" s="354"/>
      <c r="MKK639" s="313"/>
      <c r="MKL639" s="340"/>
      <c r="MKM639" s="340"/>
      <c r="MKN639" s="354"/>
      <c r="MKO639" s="313"/>
      <c r="MKP639" s="340"/>
      <c r="MKQ639" s="340"/>
      <c r="MKR639" s="354"/>
      <c r="MKS639" s="313"/>
      <c r="MKT639" s="340"/>
      <c r="MKU639" s="340"/>
      <c r="MKV639" s="354"/>
      <c r="MKW639" s="313"/>
      <c r="MKX639" s="340"/>
      <c r="MKY639" s="340"/>
      <c r="MKZ639" s="354"/>
      <c r="MLA639" s="313"/>
      <c r="MLB639" s="340"/>
      <c r="MLC639" s="340"/>
      <c r="MLD639" s="354"/>
      <c r="MLE639" s="313"/>
      <c r="MLF639" s="340"/>
      <c r="MLG639" s="340"/>
      <c r="MLH639" s="354"/>
      <c r="MLI639" s="313"/>
      <c r="MLJ639" s="340"/>
      <c r="MLK639" s="340"/>
      <c r="MLL639" s="354"/>
      <c r="MLM639" s="313"/>
      <c r="MLN639" s="340"/>
      <c r="MLO639" s="340"/>
      <c r="MLP639" s="354"/>
      <c r="MLQ639" s="313"/>
      <c r="MLR639" s="340"/>
      <c r="MLS639" s="340"/>
      <c r="MLT639" s="354"/>
      <c r="MLU639" s="313"/>
      <c r="MLV639" s="340"/>
      <c r="MLW639" s="340"/>
      <c r="MLX639" s="354"/>
      <c r="MLY639" s="313"/>
      <c r="MLZ639" s="340"/>
      <c r="MMA639" s="340"/>
      <c r="MMB639" s="354"/>
      <c r="MMC639" s="313"/>
      <c r="MMD639" s="340"/>
      <c r="MME639" s="340"/>
      <c r="MMF639" s="354"/>
      <c r="MMG639" s="313"/>
      <c r="MMH639" s="340"/>
      <c r="MMI639" s="340"/>
      <c r="MMJ639" s="354"/>
      <c r="MMK639" s="313"/>
      <c r="MML639" s="340"/>
      <c r="MMM639" s="340"/>
      <c r="MMN639" s="354"/>
      <c r="MMO639" s="313"/>
      <c r="MMP639" s="340"/>
      <c r="MMQ639" s="340"/>
      <c r="MMR639" s="354"/>
      <c r="MMS639" s="313"/>
      <c r="MMT639" s="340"/>
      <c r="MMU639" s="340"/>
      <c r="MMV639" s="354"/>
      <c r="MMW639" s="313"/>
      <c r="MMX639" s="340"/>
      <c r="MMY639" s="340"/>
      <c r="MMZ639" s="354"/>
      <c r="MNA639" s="313"/>
      <c r="MNB639" s="340"/>
      <c r="MNC639" s="340"/>
      <c r="MND639" s="354"/>
      <c r="MNE639" s="313"/>
      <c r="MNF639" s="340"/>
      <c r="MNG639" s="340"/>
      <c r="MNH639" s="354"/>
      <c r="MNI639" s="313"/>
      <c r="MNJ639" s="340"/>
      <c r="MNK639" s="340"/>
      <c r="MNL639" s="354"/>
      <c r="MNM639" s="313"/>
      <c r="MNN639" s="340"/>
      <c r="MNO639" s="340"/>
      <c r="MNP639" s="354"/>
      <c r="MNQ639" s="313"/>
      <c r="MNR639" s="340"/>
      <c r="MNS639" s="340"/>
      <c r="MNT639" s="354"/>
      <c r="MNU639" s="313"/>
      <c r="MNV639" s="340"/>
      <c r="MNW639" s="340"/>
      <c r="MNX639" s="354"/>
      <c r="MNY639" s="313"/>
      <c r="MNZ639" s="340"/>
      <c r="MOA639" s="340"/>
      <c r="MOB639" s="354"/>
      <c r="MOC639" s="313"/>
      <c r="MOD639" s="340"/>
      <c r="MOE639" s="340"/>
      <c r="MOF639" s="354"/>
      <c r="MOG639" s="313"/>
      <c r="MOH639" s="340"/>
      <c r="MOI639" s="340"/>
      <c r="MOJ639" s="354"/>
      <c r="MOK639" s="313"/>
      <c r="MOL639" s="340"/>
      <c r="MOM639" s="340"/>
      <c r="MON639" s="354"/>
      <c r="MOO639" s="313"/>
      <c r="MOP639" s="340"/>
      <c r="MOQ639" s="340"/>
      <c r="MOR639" s="354"/>
      <c r="MOS639" s="313"/>
      <c r="MOT639" s="340"/>
      <c r="MOU639" s="340"/>
      <c r="MOV639" s="354"/>
      <c r="MOW639" s="313"/>
      <c r="MOX639" s="340"/>
      <c r="MOY639" s="340"/>
      <c r="MOZ639" s="354"/>
      <c r="MPA639" s="313"/>
      <c r="MPB639" s="340"/>
      <c r="MPC639" s="340"/>
      <c r="MPD639" s="354"/>
      <c r="MPE639" s="313"/>
      <c r="MPF639" s="340"/>
      <c r="MPG639" s="340"/>
      <c r="MPH639" s="354"/>
      <c r="MPI639" s="313"/>
      <c r="MPJ639" s="340"/>
      <c r="MPK639" s="340"/>
      <c r="MPL639" s="354"/>
      <c r="MPM639" s="313"/>
      <c r="MPN639" s="340"/>
      <c r="MPO639" s="340"/>
      <c r="MPP639" s="354"/>
      <c r="MPQ639" s="313"/>
      <c r="MPR639" s="340"/>
      <c r="MPS639" s="340"/>
      <c r="MPT639" s="354"/>
      <c r="MPU639" s="313"/>
      <c r="MPV639" s="340"/>
      <c r="MPW639" s="340"/>
      <c r="MPX639" s="354"/>
      <c r="MPY639" s="313"/>
      <c r="MPZ639" s="340"/>
      <c r="MQA639" s="340"/>
      <c r="MQB639" s="354"/>
      <c r="MQC639" s="313"/>
      <c r="MQD639" s="340"/>
      <c r="MQE639" s="340"/>
      <c r="MQF639" s="354"/>
      <c r="MQG639" s="313"/>
      <c r="MQH639" s="340"/>
      <c r="MQI639" s="340"/>
      <c r="MQJ639" s="354"/>
      <c r="MQK639" s="313"/>
      <c r="MQL639" s="340"/>
      <c r="MQM639" s="340"/>
      <c r="MQN639" s="354"/>
      <c r="MQO639" s="313"/>
      <c r="MQP639" s="340"/>
      <c r="MQQ639" s="340"/>
      <c r="MQR639" s="354"/>
      <c r="MQS639" s="313"/>
      <c r="MQT639" s="340"/>
      <c r="MQU639" s="340"/>
      <c r="MQV639" s="354"/>
      <c r="MQW639" s="313"/>
      <c r="MQX639" s="340"/>
      <c r="MQY639" s="340"/>
      <c r="MQZ639" s="354"/>
      <c r="MRA639" s="313"/>
      <c r="MRB639" s="340"/>
      <c r="MRC639" s="340"/>
      <c r="MRD639" s="354"/>
      <c r="MRE639" s="313"/>
      <c r="MRF639" s="340"/>
      <c r="MRG639" s="340"/>
      <c r="MRH639" s="354"/>
      <c r="MRI639" s="313"/>
      <c r="MRJ639" s="340"/>
      <c r="MRK639" s="340"/>
      <c r="MRL639" s="354"/>
      <c r="MRM639" s="313"/>
      <c r="MRN639" s="340"/>
      <c r="MRO639" s="340"/>
      <c r="MRP639" s="354"/>
      <c r="MRQ639" s="313"/>
      <c r="MRR639" s="340"/>
      <c r="MRS639" s="340"/>
      <c r="MRT639" s="354"/>
      <c r="MRU639" s="313"/>
      <c r="MRV639" s="340"/>
      <c r="MRW639" s="340"/>
      <c r="MRX639" s="354"/>
      <c r="MRY639" s="313"/>
      <c r="MRZ639" s="340"/>
      <c r="MSA639" s="340"/>
      <c r="MSB639" s="354"/>
      <c r="MSC639" s="313"/>
      <c r="MSD639" s="340"/>
      <c r="MSE639" s="340"/>
      <c r="MSF639" s="354"/>
      <c r="MSG639" s="313"/>
      <c r="MSH639" s="340"/>
      <c r="MSI639" s="340"/>
      <c r="MSJ639" s="354"/>
      <c r="MSK639" s="313"/>
      <c r="MSL639" s="340"/>
      <c r="MSM639" s="340"/>
      <c r="MSN639" s="354"/>
      <c r="MSO639" s="313"/>
      <c r="MSP639" s="340"/>
      <c r="MSQ639" s="340"/>
      <c r="MSR639" s="354"/>
      <c r="MSS639" s="313"/>
      <c r="MST639" s="340"/>
      <c r="MSU639" s="340"/>
      <c r="MSV639" s="354"/>
      <c r="MSW639" s="313"/>
      <c r="MSX639" s="340"/>
      <c r="MSY639" s="340"/>
      <c r="MSZ639" s="354"/>
      <c r="MTA639" s="313"/>
      <c r="MTB639" s="340"/>
      <c r="MTC639" s="340"/>
      <c r="MTD639" s="354"/>
      <c r="MTE639" s="313"/>
      <c r="MTF639" s="340"/>
      <c r="MTG639" s="340"/>
      <c r="MTH639" s="354"/>
      <c r="MTI639" s="313"/>
      <c r="MTJ639" s="340"/>
      <c r="MTK639" s="340"/>
      <c r="MTL639" s="354"/>
      <c r="MTM639" s="313"/>
      <c r="MTN639" s="340"/>
      <c r="MTO639" s="340"/>
      <c r="MTP639" s="354"/>
      <c r="MTQ639" s="313"/>
      <c r="MTR639" s="340"/>
      <c r="MTS639" s="340"/>
      <c r="MTT639" s="354"/>
      <c r="MTU639" s="313"/>
      <c r="MTV639" s="340"/>
      <c r="MTW639" s="340"/>
      <c r="MTX639" s="354"/>
      <c r="MTY639" s="313"/>
      <c r="MTZ639" s="340"/>
      <c r="MUA639" s="340"/>
      <c r="MUB639" s="354"/>
      <c r="MUC639" s="313"/>
      <c r="MUD639" s="340"/>
      <c r="MUE639" s="340"/>
      <c r="MUF639" s="354"/>
      <c r="MUG639" s="313"/>
      <c r="MUH639" s="340"/>
      <c r="MUI639" s="340"/>
      <c r="MUJ639" s="354"/>
      <c r="MUK639" s="313"/>
      <c r="MUL639" s="340"/>
      <c r="MUM639" s="340"/>
      <c r="MUN639" s="354"/>
      <c r="MUO639" s="313"/>
      <c r="MUP639" s="340"/>
      <c r="MUQ639" s="340"/>
      <c r="MUR639" s="354"/>
      <c r="MUS639" s="313"/>
      <c r="MUT639" s="340"/>
      <c r="MUU639" s="340"/>
      <c r="MUV639" s="354"/>
      <c r="MUW639" s="313"/>
      <c r="MUX639" s="340"/>
      <c r="MUY639" s="340"/>
      <c r="MUZ639" s="354"/>
      <c r="MVA639" s="313"/>
      <c r="MVB639" s="340"/>
      <c r="MVC639" s="340"/>
      <c r="MVD639" s="354"/>
      <c r="MVE639" s="313"/>
      <c r="MVF639" s="340"/>
      <c r="MVG639" s="340"/>
      <c r="MVH639" s="354"/>
      <c r="MVI639" s="313"/>
      <c r="MVJ639" s="340"/>
      <c r="MVK639" s="340"/>
      <c r="MVL639" s="354"/>
      <c r="MVM639" s="313"/>
      <c r="MVN639" s="340"/>
      <c r="MVO639" s="340"/>
      <c r="MVP639" s="354"/>
      <c r="MVQ639" s="313"/>
      <c r="MVR639" s="340"/>
      <c r="MVS639" s="340"/>
      <c r="MVT639" s="354"/>
      <c r="MVU639" s="313"/>
      <c r="MVV639" s="340"/>
      <c r="MVW639" s="340"/>
      <c r="MVX639" s="354"/>
      <c r="MVY639" s="313"/>
      <c r="MVZ639" s="340"/>
      <c r="MWA639" s="340"/>
      <c r="MWB639" s="354"/>
      <c r="MWC639" s="313"/>
      <c r="MWD639" s="340"/>
      <c r="MWE639" s="340"/>
      <c r="MWF639" s="354"/>
      <c r="MWG639" s="313"/>
      <c r="MWH639" s="340"/>
      <c r="MWI639" s="340"/>
      <c r="MWJ639" s="354"/>
      <c r="MWK639" s="313"/>
      <c r="MWL639" s="340"/>
      <c r="MWM639" s="340"/>
      <c r="MWN639" s="354"/>
      <c r="MWO639" s="313"/>
      <c r="MWP639" s="340"/>
      <c r="MWQ639" s="340"/>
      <c r="MWR639" s="354"/>
      <c r="MWS639" s="313"/>
      <c r="MWT639" s="340"/>
      <c r="MWU639" s="340"/>
      <c r="MWV639" s="354"/>
      <c r="MWW639" s="313"/>
      <c r="MWX639" s="340"/>
      <c r="MWY639" s="340"/>
      <c r="MWZ639" s="354"/>
      <c r="MXA639" s="313"/>
      <c r="MXB639" s="340"/>
      <c r="MXC639" s="340"/>
      <c r="MXD639" s="354"/>
      <c r="MXE639" s="313"/>
      <c r="MXF639" s="340"/>
      <c r="MXG639" s="340"/>
      <c r="MXH639" s="354"/>
      <c r="MXI639" s="313"/>
      <c r="MXJ639" s="340"/>
      <c r="MXK639" s="340"/>
      <c r="MXL639" s="354"/>
      <c r="MXM639" s="313"/>
      <c r="MXN639" s="340"/>
      <c r="MXO639" s="340"/>
      <c r="MXP639" s="354"/>
      <c r="MXQ639" s="313"/>
      <c r="MXR639" s="340"/>
      <c r="MXS639" s="340"/>
      <c r="MXT639" s="354"/>
      <c r="MXU639" s="313"/>
      <c r="MXV639" s="340"/>
      <c r="MXW639" s="340"/>
      <c r="MXX639" s="354"/>
      <c r="MXY639" s="313"/>
      <c r="MXZ639" s="340"/>
      <c r="MYA639" s="340"/>
      <c r="MYB639" s="354"/>
      <c r="MYC639" s="313"/>
      <c r="MYD639" s="340"/>
      <c r="MYE639" s="340"/>
      <c r="MYF639" s="354"/>
      <c r="MYG639" s="313"/>
      <c r="MYH639" s="340"/>
      <c r="MYI639" s="340"/>
      <c r="MYJ639" s="354"/>
      <c r="MYK639" s="313"/>
      <c r="MYL639" s="340"/>
      <c r="MYM639" s="340"/>
      <c r="MYN639" s="354"/>
      <c r="MYO639" s="313"/>
      <c r="MYP639" s="340"/>
      <c r="MYQ639" s="340"/>
      <c r="MYR639" s="354"/>
      <c r="MYS639" s="313"/>
      <c r="MYT639" s="340"/>
      <c r="MYU639" s="340"/>
      <c r="MYV639" s="354"/>
      <c r="MYW639" s="313"/>
      <c r="MYX639" s="340"/>
      <c r="MYY639" s="340"/>
      <c r="MYZ639" s="354"/>
      <c r="MZA639" s="313"/>
      <c r="MZB639" s="340"/>
      <c r="MZC639" s="340"/>
      <c r="MZD639" s="354"/>
      <c r="MZE639" s="313"/>
      <c r="MZF639" s="340"/>
      <c r="MZG639" s="340"/>
      <c r="MZH639" s="354"/>
      <c r="MZI639" s="313"/>
      <c r="MZJ639" s="340"/>
      <c r="MZK639" s="340"/>
      <c r="MZL639" s="354"/>
      <c r="MZM639" s="313"/>
      <c r="MZN639" s="340"/>
      <c r="MZO639" s="340"/>
      <c r="MZP639" s="354"/>
      <c r="MZQ639" s="313"/>
      <c r="MZR639" s="340"/>
      <c r="MZS639" s="340"/>
      <c r="MZT639" s="354"/>
      <c r="MZU639" s="313"/>
      <c r="MZV639" s="340"/>
      <c r="MZW639" s="340"/>
      <c r="MZX639" s="354"/>
      <c r="MZY639" s="313"/>
      <c r="MZZ639" s="340"/>
      <c r="NAA639" s="340"/>
      <c r="NAB639" s="354"/>
      <c r="NAC639" s="313"/>
      <c r="NAD639" s="340"/>
      <c r="NAE639" s="340"/>
      <c r="NAF639" s="354"/>
      <c r="NAG639" s="313"/>
      <c r="NAH639" s="340"/>
      <c r="NAI639" s="340"/>
      <c r="NAJ639" s="354"/>
      <c r="NAK639" s="313"/>
      <c r="NAL639" s="340"/>
      <c r="NAM639" s="340"/>
      <c r="NAN639" s="354"/>
      <c r="NAO639" s="313"/>
      <c r="NAP639" s="340"/>
      <c r="NAQ639" s="340"/>
      <c r="NAR639" s="354"/>
      <c r="NAS639" s="313"/>
      <c r="NAT639" s="340"/>
      <c r="NAU639" s="340"/>
      <c r="NAV639" s="354"/>
      <c r="NAW639" s="313"/>
      <c r="NAX639" s="340"/>
      <c r="NAY639" s="340"/>
      <c r="NAZ639" s="354"/>
      <c r="NBA639" s="313"/>
      <c r="NBB639" s="340"/>
      <c r="NBC639" s="340"/>
      <c r="NBD639" s="354"/>
      <c r="NBE639" s="313"/>
      <c r="NBF639" s="340"/>
      <c r="NBG639" s="340"/>
      <c r="NBH639" s="354"/>
      <c r="NBI639" s="313"/>
      <c r="NBJ639" s="340"/>
      <c r="NBK639" s="340"/>
      <c r="NBL639" s="354"/>
      <c r="NBM639" s="313"/>
      <c r="NBN639" s="340"/>
      <c r="NBO639" s="340"/>
      <c r="NBP639" s="354"/>
      <c r="NBQ639" s="313"/>
      <c r="NBR639" s="340"/>
      <c r="NBS639" s="340"/>
      <c r="NBT639" s="354"/>
      <c r="NBU639" s="313"/>
      <c r="NBV639" s="340"/>
      <c r="NBW639" s="340"/>
      <c r="NBX639" s="354"/>
      <c r="NBY639" s="313"/>
      <c r="NBZ639" s="340"/>
      <c r="NCA639" s="340"/>
      <c r="NCB639" s="354"/>
      <c r="NCC639" s="313"/>
      <c r="NCD639" s="340"/>
      <c r="NCE639" s="340"/>
      <c r="NCF639" s="354"/>
      <c r="NCG639" s="313"/>
      <c r="NCH639" s="340"/>
      <c r="NCI639" s="340"/>
      <c r="NCJ639" s="354"/>
      <c r="NCK639" s="313"/>
      <c r="NCL639" s="340"/>
      <c r="NCM639" s="340"/>
      <c r="NCN639" s="354"/>
      <c r="NCO639" s="313"/>
      <c r="NCP639" s="340"/>
      <c r="NCQ639" s="340"/>
      <c r="NCR639" s="354"/>
      <c r="NCS639" s="313"/>
      <c r="NCT639" s="340"/>
      <c r="NCU639" s="340"/>
      <c r="NCV639" s="354"/>
      <c r="NCW639" s="313"/>
      <c r="NCX639" s="340"/>
      <c r="NCY639" s="340"/>
      <c r="NCZ639" s="354"/>
      <c r="NDA639" s="313"/>
      <c r="NDB639" s="340"/>
      <c r="NDC639" s="340"/>
      <c r="NDD639" s="354"/>
      <c r="NDE639" s="313"/>
      <c r="NDF639" s="340"/>
      <c r="NDG639" s="340"/>
      <c r="NDH639" s="354"/>
      <c r="NDI639" s="313"/>
      <c r="NDJ639" s="340"/>
      <c r="NDK639" s="340"/>
      <c r="NDL639" s="354"/>
      <c r="NDM639" s="313"/>
      <c r="NDN639" s="340"/>
      <c r="NDO639" s="340"/>
      <c r="NDP639" s="354"/>
      <c r="NDQ639" s="313"/>
      <c r="NDR639" s="340"/>
      <c r="NDS639" s="340"/>
      <c r="NDT639" s="354"/>
      <c r="NDU639" s="313"/>
      <c r="NDV639" s="340"/>
      <c r="NDW639" s="340"/>
      <c r="NDX639" s="354"/>
      <c r="NDY639" s="313"/>
      <c r="NDZ639" s="340"/>
      <c r="NEA639" s="340"/>
      <c r="NEB639" s="354"/>
      <c r="NEC639" s="313"/>
      <c r="NED639" s="340"/>
      <c r="NEE639" s="340"/>
      <c r="NEF639" s="354"/>
      <c r="NEG639" s="313"/>
      <c r="NEH639" s="340"/>
      <c r="NEI639" s="340"/>
      <c r="NEJ639" s="354"/>
      <c r="NEK639" s="313"/>
      <c r="NEL639" s="340"/>
      <c r="NEM639" s="340"/>
      <c r="NEN639" s="354"/>
      <c r="NEO639" s="313"/>
      <c r="NEP639" s="340"/>
      <c r="NEQ639" s="340"/>
      <c r="NER639" s="354"/>
      <c r="NES639" s="313"/>
      <c r="NET639" s="340"/>
      <c r="NEU639" s="340"/>
      <c r="NEV639" s="354"/>
      <c r="NEW639" s="313"/>
      <c r="NEX639" s="340"/>
      <c r="NEY639" s="340"/>
      <c r="NEZ639" s="354"/>
      <c r="NFA639" s="313"/>
      <c r="NFB639" s="340"/>
      <c r="NFC639" s="340"/>
      <c r="NFD639" s="354"/>
      <c r="NFE639" s="313"/>
      <c r="NFF639" s="340"/>
      <c r="NFG639" s="340"/>
      <c r="NFH639" s="354"/>
      <c r="NFI639" s="313"/>
      <c r="NFJ639" s="340"/>
      <c r="NFK639" s="340"/>
      <c r="NFL639" s="354"/>
      <c r="NFM639" s="313"/>
      <c r="NFN639" s="340"/>
      <c r="NFO639" s="340"/>
      <c r="NFP639" s="354"/>
      <c r="NFQ639" s="313"/>
      <c r="NFR639" s="340"/>
      <c r="NFS639" s="340"/>
      <c r="NFT639" s="354"/>
      <c r="NFU639" s="313"/>
      <c r="NFV639" s="340"/>
      <c r="NFW639" s="340"/>
      <c r="NFX639" s="354"/>
      <c r="NFY639" s="313"/>
      <c r="NFZ639" s="340"/>
      <c r="NGA639" s="340"/>
      <c r="NGB639" s="354"/>
      <c r="NGC639" s="313"/>
      <c r="NGD639" s="340"/>
      <c r="NGE639" s="340"/>
      <c r="NGF639" s="354"/>
      <c r="NGG639" s="313"/>
      <c r="NGH639" s="340"/>
      <c r="NGI639" s="340"/>
      <c r="NGJ639" s="354"/>
      <c r="NGK639" s="313"/>
      <c r="NGL639" s="340"/>
      <c r="NGM639" s="340"/>
      <c r="NGN639" s="354"/>
      <c r="NGO639" s="313"/>
      <c r="NGP639" s="340"/>
      <c r="NGQ639" s="340"/>
      <c r="NGR639" s="354"/>
      <c r="NGS639" s="313"/>
      <c r="NGT639" s="340"/>
      <c r="NGU639" s="340"/>
      <c r="NGV639" s="354"/>
      <c r="NGW639" s="313"/>
      <c r="NGX639" s="340"/>
      <c r="NGY639" s="340"/>
      <c r="NGZ639" s="354"/>
      <c r="NHA639" s="313"/>
      <c r="NHB639" s="340"/>
      <c r="NHC639" s="340"/>
      <c r="NHD639" s="354"/>
      <c r="NHE639" s="313"/>
      <c r="NHF639" s="340"/>
      <c r="NHG639" s="340"/>
      <c r="NHH639" s="354"/>
      <c r="NHI639" s="313"/>
      <c r="NHJ639" s="340"/>
      <c r="NHK639" s="340"/>
      <c r="NHL639" s="354"/>
      <c r="NHM639" s="313"/>
      <c r="NHN639" s="340"/>
      <c r="NHO639" s="340"/>
      <c r="NHP639" s="354"/>
      <c r="NHQ639" s="313"/>
      <c r="NHR639" s="340"/>
      <c r="NHS639" s="340"/>
      <c r="NHT639" s="354"/>
      <c r="NHU639" s="313"/>
      <c r="NHV639" s="340"/>
      <c r="NHW639" s="340"/>
      <c r="NHX639" s="354"/>
      <c r="NHY639" s="313"/>
      <c r="NHZ639" s="340"/>
      <c r="NIA639" s="340"/>
      <c r="NIB639" s="354"/>
      <c r="NIC639" s="313"/>
      <c r="NID639" s="340"/>
      <c r="NIE639" s="340"/>
      <c r="NIF639" s="354"/>
      <c r="NIG639" s="313"/>
      <c r="NIH639" s="340"/>
      <c r="NII639" s="340"/>
      <c r="NIJ639" s="354"/>
      <c r="NIK639" s="313"/>
      <c r="NIL639" s="340"/>
      <c r="NIM639" s="340"/>
      <c r="NIN639" s="354"/>
      <c r="NIO639" s="313"/>
      <c r="NIP639" s="340"/>
      <c r="NIQ639" s="340"/>
      <c r="NIR639" s="354"/>
      <c r="NIS639" s="313"/>
      <c r="NIT639" s="340"/>
      <c r="NIU639" s="340"/>
      <c r="NIV639" s="354"/>
      <c r="NIW639" s="313"/>
      <c r="NIX639" s="340"/>
      <c r="NIY639" s="340"/>
      <c r="NIZ639" s="354"/>
      <c r="NJA639" s="313"/>
      <c r="NJB639" s="340"/>
      <c r="NJC639" s="340"/>
      <c r="NJD639" s="354"/>
      <c r="NJE639" s="313"/>
      <c r="NJF639" s="340"/>
      <c r="NJG639" s="340"/>
      <c r="NJH639" s="354"/>
      <c r="NJI639" s="313"/>
      <c r="NJJ639" s="340"/>
      <c r="NJK639" s="340"/>
      <c r="NJL639" s="354"/>
      <c r="NJM639" s="313"/>
      <c r="NJN639" s="340"/>
      <c r="NJO639" s="340"/>
      <c r="NJP639" s="354"/>
      <c r="NJQ639" s="313"/>
      <c r="NJR639" s="340"/>
      <c r="NJS639" s="340"/>
      <c r="NJT639" s="354"/>
      <c r="NJU639" s="313"/>
      <c r="NJV639" s="340"/>
      <c r="NJW639" s="340"/>
      <c r="NJX639" s="354"/>
      <c r="NJY639" s="313"/>
      <c r="NJZ639" s="340"/>
      <c r="NKA639" s="340"/>
      <c r="NKB639" s="354"/>
      <c r="NKC639" s="313"/>
      <c r="NKD639" s="340"/>
      <c r="NKE639" s="340"/>
      <c r="NKF639" s="354"/>
      <c r="NKG639" s="313"/>
      <c r="NKH639" s="340"/>
      <c r="NKI639" s="340"/>
      <c r="NKJ639" s="354"/>
      <c r="NKK639" s="313"/>
      <c r="NKL639" s="340"/>
      <c r="NKM639" s="340"/>
      <c r="NKN639" s="354"/>
      <c r="NKO639" s="313"/>
      <c r="NKP639" s="340"/>
      <c r="NKQ639" s="340"/>
      <c r="NKR639" s="354"/>
      <c r="NKS639" s="313"/>
      <c r="NKT639" s="340"/>
      <c r="NKU639" s="340"/>
      <c r="NKV639" s="354"/>
      <c r="NKW639" s="313"/>
      <c r="NKX639" s="340"/>
      <c r="NKY639" s="340"/>
      <c r="NKZ639" s="354"/>
      <c r="NLA639" s="313"/>
      <c r="NLB639" s="340"/>
      <c r="NLC639" s="340"/>
      <c r="NLD639" s="354"/>
      <c r="NLE639" s="313"/>
      <c r="NLF639" s="340"/>
      <c r="NLG639" s="340"/>
      <c r="NLH639" s="354"/>
      <c r="NLI639" s="313"/>
      <c r="NLJ639" s="340"/>
      <c r="NLK639" s="340"/>
      <c r="NLL639" s="354"/>
      <c r="NLM639" s="313"/>
      <c r="NLN639" s="340"/>
      <c r="NLO639" s="340"/>
      <c r="NLP639" s="354"/>
      <c r="NLQ639" s="313"/>
      <c r="NLR639" s="340"/>
      <c r="NLS639" s="340"/>
      <c r="NLT639" s="354"/>
      <c r="NLU639" s="313"/>
      <c r="NLV639" s="340"/>
      <c r="NLW639" s="340"/>
      <c r="NLX639" s="354"/>
      <c r="NLY639" s="313"/>
      <c r="NLZ639" s="340"/>
      <c r="NMA639" s="340"/>
      <c r="NMB639" s="354"/>
      <c r="NMC639" s="313"/>
      <c r="NMD639" s="340"/>
      <c r="NME639" s="340"/>
      <c r="NMF639" s="354"/>
      <c r="NMG639" s="313"/>
      <c r="NMH639" s="340"/>
      <c r="NMI639" s="340"/>
      <c r="NMJ639" s="354"/>
      <c r="NMK639" s="313"/>
      <c r="NML639" s="340"/>
      <c r="NMM639" s="340"/>
      <c r="NMN639" s="354"/>
      <c r="NMO639" s="313"/>
      <c r="NMP639" s="340"/>
      <c r="NMQ639" s="340"/>
      <c r="NMR639" s="354"/>
      <c r="NMS639" s="313"/>
      <c r="NMT639" s="340"/>
      <c r="NMU639" s="340"/>
      <c r="NMV639" s="354"/>
      <c r="NMW639" s="313"/>
      <c r="NMX639" s="340"/>
      <c r="NMY639" s="340"/>
      <c r="NMZ639" s="354"/>
      <c r="NNA639" s="313"/>
      <c r="NNB639" s="340"/>
      <c r="NNC639" s="340"/>
      <c r="NND639" s="354"/>
      <c r="NNE639" s="313"/>
      <c r="NNF639" s="340"/>
      <c r="NNG639" s="340"/>
      <c r="NNH639" s="354"/>
      <c r="NNI639" s="313"/>
      <c r="NNJ639" s="340"/>
      <c r="NNK639" s="340"/>
      <c r="NNL639" s="354"/>
      <c r="NNM639" s="313"/>
      <c r="NNN639" s="340"/>
      <c r="NNO639" s="340"/>
      <c r="NNP639" s="354"/>
      <c r="NNQ639" s="313"/>
      <c r="NNR639" s="340"/>
      <c r="NNS639" s="340"/>
      <c r="NNT639" s="354"/>
      <c r="NNU639" s="313"/>
      <c r="NNV639" s="340"/>
      <c r="NNW639" s="340"/>
      <c r="NNX639" s="354"/>
      <c r="NNY639" s="313"/>
      <c r="NNZ639" s="340"/>
      <c r="NOA639" s="340"/>
      <c r="NOB639" s="354"/>
      <c r="NOC639" s="313"/>
      <c r="NOD639" s="340"/>
      <c r="NOE639" s="340"/>
      <c r="NOF639" s="354"/>
      <c r="NOG639" s="313"/>
      <c r="NOH639" s="340"/>
      <c r="NOI639" s="340"/>
      <c r="NOJ639" s="354"/>
      <c r="NOK639" s="313"/>
      <c r="NOL639" s="340"/>
      <c r="NOM639" s="340"/>
      <c r="NON639" s="354"/>
      <c r="NOO639" s="313"/>
      <c r="NOP639" s="340"/>
      <c r="NOQ639" s="340"/>
      <c r="NOR639" s="354"/>
      <c r="NOS639" s="313"/>
      <c r="NOT639" s="340"/>
      <c r="NOU639" s="340"/>
      <c r="NOV639" s="354"/>
      <c r="NOW639" s="313"/>
      <c r="NOX639" s="340"/>
      <c r="NOY639" s="340"/>
      <c r="NOZ639" s="354"/>
      <c r="NPA639" s="313"/>
      <c r="NPB639" s="340"/>
      <c r="NPC639" s="340"/>
      <c r="NPD639" s="354"/>
      <c r="NPE639" s="313"/>
      <c r="NPF639" s="340"/>
      <c r="NPG639" s="340"/>
      <c r="NPH639" s="354"/>
      <c r="NPI639" s="313"/>
      <c r="NPJ639" s="340"/>
      <c r="NPK639" s="340"/>
      <c r="NPL639" s="354"/>
      <c r="NPM639" s="313"/>
      <c r="NPN639" s="340"/>
      <c r="NPO639" s="340"/>
      <c r="NPP639" s="354"/>
      <c r="NPQ639" s="313"/>
      <c r="NPR639" s="340"/>
      <c r="NPS639" s="340"/>
      <c r="NPT639" s="354"/>
      <c r="NPU639" s="313"/>
      <c r="NPV639" s="340"/>
      <c r="NPW639" s="340"/>
      <c r="NPX639" s="354"/>
      <c r="NPY639" s="313"/>
      <c r="NPZ639" s="340"/>
      <c r="NQA639" s="340"/>
      <c r="NQB639" s="354"/>
      <c r="NQC639" s="313"/>
      <c r="NQD639" s="340"/>
      <c r="NQE639" s="340"/>
      <c r="NQF639" s="354"/>
      <c r="NQG639" s="313"/>
      <c r="NQH639" s="340"/>
      <c r="NQI639" s="340"/>
      <c r="NQJ639" s="354"/>
      <c r="NQK639" s="313"/>
      <c r="NQL639" s="340"/>
      <c r="NQM639" s="340"/>
      <c r="NQN639" s="354"/>
      <c r="NQO639" s="313"/>
      <c r="NQP639" s="340"/>
      <c r="NQQ639" s="340"/>
      <c r="NQR639" s="354"/>
      <c r="NQS639" s="313"/>
      <c r="NQT639" s="340"/>
      <c r="NQU639" s="340"/>
      <c r="NQV639" s="354"/>
      <c r="NQW639" s="313"/>
      <c r="NQX639" s="340"/>
      <c r="NQY639" s="340"/>
      <c r="NQZ639" s="354"/>
      <c r="NRA639" s="313"/>
      <c r="NRB639" s="340"/>
      <c r="NRC639" s="340"/>
      <c r="NRD639" s="354"/>
      <c r="NRE639" s="313"/>
      <c r="NRF639" s="340"/>
      <c r="NRG639" s="340"/>
      <c r="NRH639" s="354"/>
      <c r="NRI639" s="313"/>
      <c r="NRJ639" s="340"/>
      <c r="NRK639" s="340"/>
      <c r="NRL639" s="354"/>
      <c r="NRM639" s="313"/>
      <c r="NRN639" s="340"/>
      <c r="NRO639" s="340"/>
      <c r="NRP639" s="354"/>
      <c r="NRQ639" s="313"/>
      <c r="NRR639" s="340"/>
      <c r="NRS639" s="340"/>
      <c r="NRT639" s="354"/>
      <c r="NRU639" s="313"/>
      <c r="NRV639" s="340"/>
      <c r="NRW639" s="340"/>
      <c r="NRX639" s="354"/>
      <c r="NRY639" s="313"/>
      <c r="NRZ639" s="340"/>
      <c r="NSA639" s="340"/>
      <c r="NSB639" s="354"/>
      <c r="NSC639" s="313"/>
      <c r="NSD639" s="340"/>
      <c r="NSE639" s="340"/>
      <c r="NSF639" s="354"/>
      <c r="NSG639" s="313"/>
      <c r="NSH639" s="340"/>
      <c r="NSI639" s="340"/>
      <c r="NSJ639" s="354"/>
      <c r="NSK639" s="313"/>
      <c r="NSL639" s="340"/>
      <c r="NSM639" s="340"/>
      <c r="NSN639" s="354"/>
      <c r="NSO639" s="313"/>
      <c r="NSP639" s="340"/>
      <c r="NSQ639" s="340"/>
      <c r="NSR639" s="354"/>
      <c r="NSS639" s="313"/>
      <c r="NST639" s="340"/>
      <c r="NSU639" s="340"/>
      <c r="NSV639" s="354"/>
      <c r="NSW639" s="313"/>
      <c r="NSX639" s="340"/>
      <c r="NSY639" s="340"/>
      <c r="NSZ639" s="354"/>
      <c r="NTA639" s="313"/>
      <c r="NTB639" s="340"/>
      <c r="NTC639" s="340"/>
      <c r="NTD639" s="354"/>
      <c r="NTE639" s="313"/>
      <c r="NTF639" s="340"/>
      <c r="NTG639" s="340"/>
      <c r="NTH639" s="354"/>
      <c r="NTI639" s="313"/>
      <c r="NTJ639" s="340"/>
      <c r="NTK639" s="340"/>
      <c r="NTL639" s="354"/>
      <c r="NTM639" s="313"/>
      <c r="NTN639" s="340"/>
      <c r="NTO639" s="340"/>
      <c r="NTP639" s="354"/>
      <c r="NTQ639" s="313"/>
      <c r="NTR639" s="340"/>
      <c r="NTS639" s="340"/>
      <c r="NTT639" s="354"/>
      <c r="NTU639" s="313"/>
      <c r="NTV639" s="340"/>
      <c r="NTW639" s="340"/>
      <c r="NTX639" s="354"/>
      <c r="NTY639" s="313"/>
      <c r="NTZ639" s="340"/>
      <c r="NUA639" s="340"/>
      <c r="NUB639" s="354"/>
      <c r="NUC639" s="313"/>
      <c r="NUD639" s="340"/>
      <c r="NUE639" s="340"/>
      <c r="NUF639" s="354"/>
      <c r="NUG639" s="313"/>
      <c r="NUH639" s="340"/>
      <c r="NUI639" s="340"/>
      <c r="NUJ639" s="354"/>
      <c r="NUK639" s="313"/>
      <c r="NUL639" s="340"/>
      <c r="NUM639" s="340"/>
      <c r="NUN639" s="354"/>
      <c r="NUO639" s="313"/>
      <c r="NUP639" s="340"/>
      <c r="NUQ639" s="340"/>
      <c r="NUR639" s="354"/>
      <c r="NUS639" s="313"/>
      <c r="NUT639" s="340"/>
      <c r="NUU639" s="340"/>
      <c r="NUV639" s="354"/>
      <c r="NUW639" s="313"/>
      <c r="NUX639" s="340"/>
      <c r="NUY639" s="340"/>
      <c r="NUZ639" s="354"/>
      <c r="NVA639" s="313"/>
      <c r="NVB639" s="340"/>
      <c r="NVC639" s="340"/>
      <c r="NVD639" s="354"/>
      <c r="NVE639" s="313"/>
      <c r="NVF639" s="340"/>
      <c r="NVG639" s="340"/>
      <c r="NVH639" s="354"/>
      <c r="NVI639" s="313"/>
      <c r="NVJ639" s="340"/>
      <c r="NVK639" s="340"/>
      <c r="NVL639" s="354"/>
      <c r="NVM639" s="313"/>
      <c r="NVN639" s="340"/>
      <c r="NVO639" s="340"/>
      <c r="NVP639" s="354"/>
      <c r="NVQ639" s="313"/>
      <c r="NVR639" s="340"/>
      <c r="NVS639" s="340"/>
      <c r="NVT639" s="354"/>
      <c r="NVU639" s="313"/>
      <c r="NVV639" s="340"/>
      <c r="NVW639" s="340"/>
      <c r="NVX639" s="354"/>
      <c r="NVY639" s="313"/>
      <c r="NVZ639" s="340"/>
      <c r="NWA639" s="340"/>
      <c r="NWB639" s="354"/>
      <c r="NWC639" s="313"/>
      <c r="NWD639" s="340"/>
      <c r="NWE639" s="340"/>
      <c r="NWF639" s="354"/>
      <c r="NWG639" s="313"/>
      <c r="NWH639" s="340"/>
      <c r="NWI639" s="340"/>
      <c r="NWJ639" s="354"/>
      <c r="NWK639" s="313"/>
      <c r="NWL639" s="340"/>
      <c r="NWM639" s="340"/>
      <c r="NWN639" s="354"/>
      <c r="NWO639" s="313"/>
      <c r="NWP639" s="340"/>
      <c r="NWQ639" s="340"/>
      <c r="NWR639" s="354"/>
      <c r="NWS639" s="313"/>
      <c r="NWT639" s="340"/>
      <c r="NWU639" s="340"/>
      <c r="NWV639" s="354"/>
      <c r="NWW639" s="313"/>
      <c r="NWX639" s="340"/>
      <c r="NWY639" s="340"/>
      <c r="NWZ639" s="354"/>
      <c r="NXA639" s="313"/>
      <c r="NXB639" s="340"/>
      <c r="NXC639" s="340"/>
      <c r="NXD639" s="354"/>
      <c r="NXE639" s="313"/>
      <c r="NXF639" s="340"/>
      <c r="NXG639" s="340"/>
      <c r="NXH639" s="354"/>
      <c r="NXI639" s="313"/>
      <c r="NXJ639" s="340"/>
      <c r="NXK639" s="340"/>
      <c r="NXL639" s="354"/>
      <c r="NXM639" s="313"/>
      <c r="NXN639" s="340"/>
      <c r="NXO639" s="340"/>
      <c r="NXP639" s="354"/>
      <c r="NXQ639" s="313"/>
      <c r="NXR639" s="340"/>
      <c r="NXS639" s="340"/>
      <c r="NXT639" s="354"/>
      <c r="NXU639" s="313"/>
      <c r="NXV639" s="340"/>
      <c r="NXW639" s="340"/>
      <c r="NXX639" s="354"/>
      <c r="NXY639" s="313"/>
      <c r="NXZ639" s="340"/>
      <c r="NYA639" s="340"/>
      <c r="NYB639" s="354"/>
      <c r="NYC639" s="313"/>
      <c r="NYD639" s="340"/>
      <c r="NYE639" s="340"/>
      <c r="NYF639" s="354"/>
      <c r="NYG639" s="313"/>
      <c r="NYH639" s="340"/>
      <c r="NYI639" s="340"/>
      <c r="NYJ639" s="354"/>
      <c r="NYK639" s="313"/>
      <c r="NYL639" s="340"/>
      <c r="NYM639" s="340"/>
      <c r="NYN639" s="354"/>
      <c r="NYO639" s="313"/>
      <c r="NYP639" s="340"/>
      <c r="NYQ639" s="340"/>
      <c r="NYR639" s="354"/>
      <c r="NYS639" s="313"/>
      <c r="NYT639" s="340"/>
      <c r="NYU639" s="340"/>
      <c r="NYV639" s="354"/>
      <c r="NYW639" s="313"/>
      <c r="NYX639" s="340"/>
      <c r="NYY639" s="340"/>
      <c r="NYZ639" s="354"/>
      <c r="NZA639" s="313"/>
      <c r="NZB639" s="340"/>
      <c r="NZC639" s="340"/>
      <c r="NZD639" s="354"/>
      <c r="NZE639" s="313"/>
      <c r="NZF639" s="340"/>
      <c r="NZG639" s="340"/>
      <c r="NZH639" s="354"/>
      <c r="NZI639" s="313"/>
      <c r="NZJ639" s="340"/>
      <c r="NZK639" s="340"/>
      <c r="NZL639" s="354"/>
      <c r="NZM639" s="313"/>
      <c r="NZN639" s="340"/>
      <c r="NZO639" s="340"/>
      <c r="NZP639" s="354"/>
      <c r="NZQ639" s="313"/>
      <c r="NZR639" s="340"/>
      <c r="NZS639" s="340"/>
      <c r="NZT639" s="354"/>
      <c r="NZU639" s="313"/>
      <c r="NZV639" s="340"/>
      <c r="NZW639" s="340"/>
      <c r="NZX639" s="354"/>
      <c r="NZY639" s="313"/>
      <c r="NZZ639" s="340"/>
      <c r="OAA639" s="340"/>
      <c r="OAB639" s="354"/>
      <c r="OAC639" s="313"/>
      <c r="OAD639" s="340"/>
      <c r="OAE639" s="340"/>
      <c r="OAF639" s="354"/>
      <c r="OAG639" s="313"/>
      <c r="OAH639" s="340"/>
      <c r="OAI639" s="340"/>
      <c r="OAJ639" s="354"/>
      <c r="OAK639" s="313"/>
      <c r="OAL639" s="340"/>
      <c r="OAM639" s="340"/>
      <c r="OAN639" s="354"/>
      <c r="OAO639" s="313"/>
      <c r="OAP639" s="340"/>
      <c r="OAQ639" s="340"/>
      <c r="OAR639" s="354"/>
      <c r="OAS639" s="313"/>
      <c r="OAT639" s="340"/>
      <c r="OAU639" s="340"/>
      <c r="OAV639" s="354"/>
      <c r="OAW639" s="313"/>
      <c r="OAX639" s="340"/>
      <c r="OAY639" s="340"/>
      <c r="OAZ639" s="354"/>
      <c r="OBA639" s="313"/>
      <c r="OBB639" s="340"/>
      <c r="OBC639" s="340"/>
      <c r="OBD639" s="354"/>
      <c r="OBE639" s="313"/>
      <c r="OBF639" s="340"/>
      <c r="OBG639" s="340"/>
      <c r="OBH639" s="354"/>
      <c r="OBI639" s="313"/>
      <c r="OBJ639" s="340"/>
      <c r="OBK639" s="340"/>
      <c r="OBL639" s="354"/>
      <c r="OBM639" s="313"/>
      <c r="OBN639" s="340"/>
      <c r="OBO639" s="340"/>
      <c r="OBP639" s="354"/>
      <c r="OBQ639" s="313"/>
      <c r="OBR639" s="340"/>
      <c r="OBS639" s="340"/>
      <c r="OBT639" s="354"/>
      <c r="OBU639" s="313"/>
      <c r="OBV639" s="340"/>
      <c r="OBW639" s="340"/>
      <c r="OBX639" s="354"/>
      <c r="OBY639" s="313"/>
      <c r="OBZ639" s="340"/>
      <c r="OCA639" s="340"/>
      <c r="OCB639" s="354"/>
      <c r="OCC639" s="313"/>
      <c r="OCD639" s="340"/>
      <c r="OCE639" s="340"/>
      <c r="OCF639" s="354"/>
      <c r="OCG639" s="313"/>
      <c r="OCH639" s="340"/>
      <c r="OCI639" s="340"/>
      <c r="OCJ639" s="354"/>
      <c r="OCK639" s="313"/>
      <c r="OCL639" s="340"/>
      <c r="OCM639" s="340"/>
      <c r="OCN639" s="354"/>
      <c r="OCO639" s="313"/>
      <c r="OCP639" s="340"/>
      <c r="OCQ639" s="340"/>
      <c r="OCR639" s="354"/>
      <c r="OCS639" s="313"/>
      <c r="OCT639" s="340"/>
      <c r="OCU639" s="340"/>
      <c r="OCV639" s="354"/>
      <c r="OCW639" s="313"/>
      <c r="OCX639" s="340"/>
      <c r="OCY639" s="340"/>
      <c r="OCZ639" s="354"/>
      <c r="ODA639" s="313"/>
      <c r="ODB639" s="340"/>
      <c r="ODC639" s="340"/>
      <c r="ODD639" s="354"/>
      <c r="ODE639" s="313"/>
      <c r="ODF639" s="340"/>
      <c r="ODG639" s="340"/>
      <c r="ODH639" s="354"/>
      <c r="ODI639" s="313"/>
      <c r="ODJ639" s="340"/>
      <c r="ODK639" s="340"/>
      <c r="ODL639" s="354"/>
      <c r="ODM639" s="313"/>
      <c r="ODN639" s="340"/>
      <c r="ODO639" s="340"/>
      <c r="ODP639" s="354"/>
      <c r="ODQ639" s="313"/>
      <c r="ODR639" s="340"/>
      <c r="ODS639" s="340"/>
      <c r="ODT639" s="354"/>
      <c r="ODU639" s="313"/>
      <c r="ODV639" s="340"/>
      <c r="ODW639" s="340"/>
      <c r="ODX639" s="354"/>
      <c r="ODY639" s="313"/>
      <c r="ODZ639" s="340"/>
      <c r="OEA639" s="340"/>
      <c r="OEB639" s="354"/>
      <c r="OEC639" s="313"/>
      <c r="OED639" s="340"/>
      <c r="OEE639" s="340"/>
      <c r="OEF639" s="354"/>
      <c r="OEG639" s="313"/>
      <c r="OEH639" s="340"/>
      <c r="OEI639" s="340"/>
      <c r="OEJ639" s="354"/>
      <c r="OEK639" s="313"/>
      <c r="OEL639" s="340"/>
      <c r="OEM639" s="340"/>
      <c r="OEN639" s="354"/>
      <c r="OEO639" s="313"/>
      <c r="OEP639" s="340"/>
      <c r="OEQ639" s="340"/>
      <c r="OER639" s="354"/>
      <c r="OES639" s="313"/>
      <c r="OET639" s="340"/>
      <c r="OEU639" s="340"/>
      <c r="OEV639" s="354"/>
      <c r="OEW639" s="313"/>
      <c r="OEX639" s="340"/>
      <c r="OEY639" s="340"/>
      <c r="OEZ639" s="354"/>
      <c r="OFA639" s="313"/>
      <c r="OFB639" s="340"/>
      <c r="OFC639" s="340"/>
      <c r="OFD639" s="354"/>
      <c r="OFE639" s="313"/>
      <c r="OFF639" s="340"/>
      <c r="OFG639" s="340"/>
      <c r="OFH639" s="354"/>
      <c r="OFI639" s="313"/>
      <c r="OFJ639" s="340"/>
      <c r="OFK639" s="340"/>
      <c r="OFL639" s="354"/>
      <c r="OFM639" s="313"/>
      <c r="OFN639" s="340"/>
      <c r="OFO639" s="340"/>
      <c r="OFP639" s="354"/>
      <c r="OFQ639" s="313"/>
      <c r="OFR639" s="340"/>
      <c r="OFS639" s="340"/>
      <c r="OFT639" s="354"/>
      <c r="OFU639" s="313"/>
      <c r="OFV639" s="340"/>
      <c r="OFW639" s="340"/>
      <c r="OFX639" s="354"/>
      <c r="OFY639" s="313"/>
      <c r="OFZ639" s="340"/>
      <c r="OGA639" s="340"/>
      <c r="OGB639" s="354"/>
      <c r="OGC639" s="313"/>
      <c r="OGD639" s="340"/>
      <c r="OGE639" s="340"/>
      <c r="OGF639" s="354"/>
      <c r="OGG639" s="313"/>
      <c r="OGH639" s="340"/>
      <c r="OGI639" s="340"/>
      <c r="OGJ639" s="354"/>
      <c r="OGK639" s="313"/>
      <c r="OGL639" s="340"/>
      <c r="OGM639" s="340"/>
      <c r="OGN639" s="354"/>
      <c r="OGO639" s="313"/>
      <c r="OGP639" s="340"/>
      <c r="OGQ639" s="340"/>
      <c r="OGR639" s="354"/>
      <c r="OGS639" s="313"/>
      <c r="OGT639" s="340"/>
      <c r="OGU639" s="340"/>
      <c r="OGV639" s="354"/>
      <c r="OGW639" s="313"/>
      <c r="OGX639" s="340"/>
      <c r="OGY639" s="340"/>
      <c r="OGZ639" s="354"/>
      <c r="OHA639" s="313"/>
      <c r="OHB639" s="340"/>
      <c r="OHC639" s="340"/>
      <c r="OHD639" s="354"/>
      <c r="OHE639" s="313"/>
      <c r="OHF639" s="340"/>
      <c r="OHG639" s="340"/>
      <c r="OHH639" s="354"/>
      <c r="OHI639" s="313"/>
      <c r="OHJ639" s="340"/>
      <c r="OHK639" s="340"/>
      <c r="OHL639" s="354"/>
      <c r="OHM639" s="313"/>
      <c r="OHN639" s="340"/>
      <c r="OHO639" s="340"/>
      <c r="OHP639" s="354"/>
      <c r="OHQ639" s="313"/>
      <c r="OHR639" s="340"/>
      <c r="OHS639" s="340"/>
      <c r="OHT639" s="354"/>
      <c r="OHU639" s="313"/>
      <c r="OHV639" s="340"/>
      <c r="OHW639" s="340"/>
      <c r="OHX639" s="354"/>
      <c r="OHY639" s="313"/>
      <c r="OHZ639" s="340"/>
      <c r="OIA639" s="340"/>
      <c r="OIB639" s="354"/>
      <c r="OIC639" s="313"/>
      <c r="OID639" s="340"/>
      <c r="OIE639" s="340"/>
      <c r="OIF639" s="354"/>
      <c r="OIG639" s="313"/>
      <c r="OIH639" s="340"/>
      <c r="OII639" s="340"/>
      <c r="OIJ639" s="354"/>
      <c r="OIK639" s="313"/>
      <c r="OIL639" s="340"/>
      <c r="OIM639" s="340"/>
      <c r="OIN639" s="354"/>
      <c r="OIO639" s="313"/>
      <c r="OIP639" s="340"/>
      <c r="OIQ639" s="340"/>
      <c r="OIR639" s="354"/>
      <c r="OIS639" s="313"/>
      <c r="OIT639" s="340"/>
      <c r="OIU639" s="340"/>
      <c r="OIV639" s="354"/>
      <c r="OIW639" s="313"/>
      <c r="OIX639" s="340"/>
      <c r="OIY639" s="340"/>
      <c r="OIZ639" s="354"/>
      <c r="OJA639" s="313"/>
      <c r="OJB639" s="340"/>
      <c r="OJC639" s="340"/>
      <c r="OJD639" s="354"/>
      <c r="OJE639" s="313"/>
      <c r="OJF639" s="340"/>
      <c r="OJG639" s="340"/>
      <c r="OJH639" s="354"/>
      <c r="OJI639" s="313"/>
      <c r="OJJ639" s="340"/>
      <c r="OJK639" s="340"/>
      <c r="OJL639" s="354"/>
      <c r="OJM639" s="313"/>
      <c r="OJN639" s="340"/>
      <c r="OJO639" s="340"/>
      <c r="OJP639" s="354"/>
      <c r="OJQ639" s="313"/>
      <c r="OJR639" s="340"/>
      <c r="OJS639" s="340"/>
      <c r="OJT639" s="354"/>
      <c r="OJU639" s="313"/>
      <c r="OJV639" s="340"/>
      <c r="OJW639" s="340"/>
      <c r="OJX639" s="354"/>
      <c r="OJY639" s="313"/>
      <c r="OJZ639" s="340"/>
      <c r="OKA639" s="340"/>
      <c r="OKB639" s="354"/>
      <c r="OKC639" s="313"/>
      <c r="OKD639" s="340"/>
      <c r="OKE639" s="340"/>
      <c r="OKF639" s="354"/>
      <c r="OKG639" s="313"/>
      <c r="OKH639" s="340"/>
      <c r="OKI639" s="340"/>
      <c r="OKJ639" s="354"/>
      <c r="OKK639" s="313"/>
      <c r="OKL639" s="340"/>
      <c r="OKM639" s="340"/>
      <c r="OKN639" s="354"/>
      <c r="OKO639" s="313"/>
      <c r="OKP639" s="340"/>
      <c r="OKQ639" s="340"/>
      <c r="OKR639" s="354"/>
      <c r="OKS639" s="313"/>
      <c r="OKT639" s="340"/>
      <c r="OKU639" s="340"/>
      <c r="OKV639" s="354"/>
      <c r="OKW639" s="313"/>
      <c r="OKX639" s="340"/>
      <c r="OKY639" s="340"/>
      <c r="OKZ639" s="354"/>
      <c r="OLA639" s="313"/>
      <c r="OLB639" s="340"/>
      <c r="OLC639" s="340"/>
      <c r="OLD639" s="354"/>
      <c r="OLE639" s="313"/>
      <c r="OLF639" s="340"/>
      <c r="OLG639" s="340"/>
      <c r="OLH639" s="354"/>
      <c r="OLI639" s="313"/>
      <c r="OLJ639" s="340"/>
      <c r="OLK639" s="340"/>
      <c r="OLL639" s="354"/>
      <c r="OLM639" s="313"/>
      <c r="OLN639" s="340"/>
      <c r="OLO639" s="340"/>
      <c r="OLP639" s="354"/>
      <c r="OLQ639" s="313"/>
      <c r="OLR639" s="340"/>
      <c r="OLS639" s="340"/>
      <c r="OLT639" s="354"/>
      <c r="OLU639" s="313"/>
      <c r="OLV639" s="340"/>
      <c r="OLW639" s="340"/>
      <c r="OLX639" s="354"/>
      <c r="OLY639" s="313"/>
      <c r="OLZ639" s="340"/>
      <c r="OMA639" s="340"/>
      <c r="OMB639" s="354"/>
      <c r="OMC639" s="313"/>
      <c r="OMD639" s="340"/>
      <c r="OME639" s="340"/>
      <c r="OMF639" s="354"/>
      <c r="OMG639" s="313"/>
      <c r="OMH639" s="340"/>
      <c r="OMI639" s="340"/>
      <c r="OMJ639" s="354"/>
      <c r="OMK639" s="313"/>
      <c r="OML639" s="340"/>
      <c r="OMM639" s="340"/>
      <c r="OMN639" s="354"/>
      <c r="OMO639" s="313"/>
      <c r="OMP639" s="340"/>
      <c r="OMQ639" s="340"/>
      <c r="OMR639" s="354"/>
      <c r="OMS639" s="313"/>
      <c r="OMT639" s="340"/>
      <c r="OMU639" s="340"/>
      <c r="OMV639" s="354"/>
      <c r="OMW639" s="313"/>
      <c r="OMX639" s="340"/>
      <c r="OMY639" s="340"/>
      <c r="OMZ639" s="354"/>
      <c r="ONA639" s="313"/>
      <c r="ONB639" s="340"/>
      <c r="ONC639" s="340"/>
      <c r="OND639" s="354"/>
      <c r="ONE639" s="313"/>
      <c r="ONF639" s="340"/>
      <c r="ONG639" s="340"/>
      <c r="ONH639" s="354"/>
      <c r="ONI639" s="313"/>
      <c r="ONJ639" s="340"/>
      <c r="ONK639" s="340"/>
      <c r="ONL639" s="354"/>
      <c r="ONM639" s="313"/>
      <c r="ONN639" s="340"/>
      <c r="ONO639" s="340"/>
      <c r="ONP639" s="354"/>
      <c r="ONQ639" s="313"/>
      <c r="ONR639" s="340"/>
      <c r="ONS639" s="340"/>
      <c r="ONT639" s="354"/>
      <c r="ONU639" s="313"/>
      <c r="ONV639" s="340"/>
      <c r="ONW639" s="340"/>
      <c r="ONX639" s="354"/>
      <c r="ONY639" s="313"/>
      <c r="ONZ639" s="340"/>
      <c r="OOA639" s="340"/>
      <c r="OOB639" s="354"/>
      <c r="OOC639" s="313"/>
      <c r="OOD639" s="340"/>
      <c r="OOE639" s="340"/>
      <c r="OOF639" s="354"/>
      <c r="OOG639" s="313"/>
      <c r="OOH639" s="340"/>
      <c r="OOI639" s="340"/>
      <c r="OOJ639" s="354"/>
      <c r="OOK639" s="313"/>
      <c r="OOL639" s="340"/>
      <c r="OOM639" s="340"/>
      <c r="OON639" s="354"/>
      <c r="OOO639" s="313"/>
      <c r="OOP639" s="340"/>
      <c r="OOQ639" s="340"/>
      <c r="OOR639" s="354"/>
      <c r="OOS639" s="313"/>
      <c r="OOT639" s="340"/>
      <c r="OOU639" s="340"/>
      <c r="OOV639" s="354"/>
      <c r="OOW639" s="313"/>
      <c r="OOX639" s="340"/>
      <c r="OOY639" s="340"/>
      <c r="OOZ639" s="354"/>
      <c r="OPA639" s="313"/>
      <c r="OPB639" s="340"/>
      <c r="OPC639" s="340"/>
      <c r="OPD639" s="354"/>
      <c r="OPE639" s="313"/>
      <c r="OPF639" s="340"/>
      <c r="OPG639" s="340"/>
      <c r="OPH639" s="354"/>
      <c r="OPI639" s="313"/>
      <c r="OPJ639" s="340"/>
      <c r="OPK639" s="340"/>
      <c r="OPL639" s="354"/>
      <c r="OPM639" s="313"/>
      <c r="OPN639" s="340"/>
      <c r="OPO639" s="340"/>
      <c r="OPP639" s="354"/>
      <c r="OPQ639" s="313"/>
      <c r="OPR639" s="340"/>
      <c r="OPS639" s="340"/>
      <c r="OPT639" s="354"/>
      <c r="OPU639" s="313"/>
      <c r="OPV639" s="340"/>
      <c r="OPW639" s="340"/>
      <c r="OPX639" s="354"/>
      <c r="OPY639" s="313"/>
      <c r="OPZ639" s="340"/>
      <c r="OQA639" s="340"/>
      <c r="OQB639" s="354"/>
      <c r="OQC639" s="313"/>
      <c r="OQD639" s="340"/>
      <c r="OQE639" s="340"/>
      <c r="OQF639" s="354"/>
      <c r="OQG639" s="313"/>
      <c r="OQH639" s="340"/>
      <c r="OQI639" s="340"/>
      <c r="OQJ639" s="354"/>
      <c r="OQK639" s="313"/>
      <c r="OQL639" s="340"/>
      <c r="OQM639" s="340"/>
      <c r="OQN639" s="354"/>
      <c r="OQO639" s="313"/>
      <c r="OQP639" s="340"/>
      <c r="OQQ639" s="340"/>
      <c r="OQR639" s="354"/>
      <c r="OQS639" s="313"/>
      <c r="OQT639" s="340"/>
      <c r="OQU639" s="340"/>
      <c r="OQV639" s="354"/>
      <c r="OQW639" s="313"/>
      <c r="OQX639" s="340"/>
      <c r="OQY639" s="340"/>
      <c r="OQZ639" s="354"/>
      <c r="ORA639" s="313"/>
      <c r="ORB639" s="340"/>
      <c r="ORC639" s="340"/>
      <c r="ORD639" s="354"/>
      <c r="ORE639" s="313"/>
      <c r="ORF639" s="340"/>
      <c r="ORG639" s="340"/>
      <c r="ORH639" s="354"/>
      <c r="ORI639" s="313"/>
      <c r="ORJ639" s="340"/>
      <c r="ORK639" s="340"/>
      <c r="ORL639" s="354"/>
      <c r="ORM639" s="313"/>
      <c r="ORN639" s="340"/>
      <c r="ORO639" s="340"/>
      <c r="ORP639" s="354"/>
      <c r="ORQ639" s="313"/>
      <c r="ORR639" s="340"/>
      <c r="ORS639" s="340"/>
      <c r="ORT639" s="354"/>
      <c r="ORU639" s="313"/>
      <c r="ORV639" s="340"/>
      <c r="ORW639" s="340"/>
      <c r="ORX639" s="354"/>
      <c r="ORY639" s="313"/>
      <c r="ORZ639" s="340"/>
      <c r="OSA639" s="340"/>
      <c r="OSB639" s="354"/>
      <c r="OSC639" s="313"/>
      <c r="OSD639" s="340"/>
      <c r="OSE639" s="340"/>
      <c r="OSF639" s="354"/>
      <c r="OSG639" s="313"/>
      <c r="OSH639" s="340"/>
      <c r="OSI639" s="340"/>
      <c r="OSJ639" s="354"/>
      <c r="OSK639" s="313"/>
      <c r="OSL639" s="340"/>
      <c r="OSM639" s="340"/>
      <c r="OSN639" s="354"/>
      <c r="OSO639" s="313"/>
      <c r="OSP639" s="340"/>
      <c r="OSQ639" s="340"/>
      <c r="OSR639" s="354"/>
      <c r="OSS639" s="313"/>
      <c r="OST639" s="340"/>
      <c r="OSU639" s="340"/>
      <c r="OSV639" s="354"/>
      <c r="OSW639" s="313"/>
      <c r="OSX639" s="340"/>
      <c r="OSY639" s="340"/>
      <c r="OSZ639" s="354"/>
      <c r="OTA639" s="313"/>
      <c r="OTB639" s="340"/>
      <c r="OTC639" s="340"/>
      <c r="OTD639" s="354"/>
      <c r="OTE639" s="313"/>
      <c r="OTF639" s="340"/>
      <c r="OTG639" s="340"/>
      <c r="OTH639" s="354"/>
      <c r="OTI639" s="313"/>
      <c r="OTJ639" s="340"/>
      <c r="OTK639" s="340"/>
      <c r="OTL639" s="354"/>
      <c r="OTM639" s="313"/>
      <c r="OTN639" s="340"/>
      <c r="OTO639" s="340"/>
      <c r="OTP639" s="354"/>
      <c r="OTQ639" s="313"/>
      <c r="OTR639" s="340"/>
      <c r="OTS639" s="340"/>
      <c r="OTT639" s="354"/>
      <c r="OTU639" s="313"/>
      <c r="OTV639" s="340"/>
      <c r="OTW639" s="340"/>
      <c r="OTX639" s="354"/>
      <c r="OTY639" s="313"/>
      <c r="OTZ639" s="340"/>
      <c r="OUA639" s="340"/>
      <c r="OUB639" s="354"/>
      <c r="OUC639" s="313"/>
      <c r="OUD639" s="340"/>
      <c r="OUE639" s="340"/>
      <c r="OUF639" s="354"/>
      <c r="OUG639" s="313"/>
      <c r="OUH639" s="340"/>
      <c r="OUI639" s="340"/>
      <c r="OUJ639" s="354"/>
      <c r="OUK639" s="313"/>
      <c r="OUL639" s="340"/>
      <c r="OUM639" s="340"/>
      <c r="OUN639" s="354"/>
      <c r="OUO639" s="313"/>
      <c r="OUP639" s="340"/>
      <c r="OUQ639" s="340"/>
      <c r="OUR639" s="354"/>
      <c r="OUS639" s="313"/>
      <c r="OUT639" s="340"/>
      <c r="OUU639" s="340"/>
      <c r="OUV639" s="354"/>
      <c r="OUW639" s="313"/>
      <c r="OUX639" s="340"/>
      <c r="OUY639" s="340"/>
      <c r="OUZ639" s="354"/>
      <c r="OVA639" s="313"/>
      <c r="OVB639" s="340"/>
      <c r="OVC639" s="340"/>
      <c r="OVD639" s="354"/>
      <c r="OVE639" s="313"/>
      <c r="OVF639" s="340"/>
      <c r="OVG639" s="340"/>
      <c r="OVH639" s="354"/>
      <c r="OVI639" s="313"/>
      <c r="OVJ639" s="340"/>
      <c r="OVK639" s="340"/>
      <c r="OVL639" s="354"/>
      <c r="OVM639" s="313"/>
      <c r="OVN639" s="340"/>
      <c r="OVO639" s="340"/>
      <c r="OVP639" s="354"/>
      <c r="OVQ639" s="313"/>
      <c r="OVR639" s="340"/>
      <c r="OVS639" s="340"/>
      <c r="OVT639" s="354"/>
      <c r="OVU639" s="313"/>
      <c r="OVV639" s="340"/>
      <c r="OVW639" s="340"/>
      <c r="OVX639" s="354"/>
      <c r="OVY639" s="313"/>
      <c r="OVZ639" s="340"/>
      <c r="OWA639" s="340"/>
      <c r="OWB639" s="354"/>
      <c r="OWC639" s="313"/>
      <c r="OWD639" s="340"/>
      <c r="OWE639" s="340"/>
      <c r="OWF639" s="354"/>
      <c r="OWG639" s="313"/>
      <c r="OWH639" s="340"/>
      <c r="OWI639" s="340"/>
      <c r="OWJ639" s="354"/>
      <c r="OWK639" s="313"/>
      <c r="OWL639" s="340"/>
      <c r="OWM639" s="340"/>
      <c r="OWN639" s="354"/>
      <c r="OWO639" s="313"/>
      <c r="OWP639" s="340"/>
      <c r="OWQ639" s="340"/>
      <c r="OWR639" s="354"/>
      <c r="OWS639" s="313"/>
      <c r="OWT639" s="340"/>
      <c r="OWU639" s="340"/>
      <c r="OWV639" s="354"/>
      <c r="OWW639" s="313"/>
      <c r="OWX639" s="340"/>
      <c r="OWY639" s="340"/>
      <c r="OWZ639" s="354"/>
      <c r="OXA639" s="313"/>
      <c r="OXB639" s="340"/>
      <c r="OXC639" s="340"/>
      <c r="OXD639" s="354"/>
      <c r="OXE639" s="313"/>
      <c r="OXF639" s="340"/>
      <c r="OXG639" s="340"/>
      <c r="OXH639" s="354"/>
      <c r="OXI639" s="313"/>
      <c r="OXJ639" s="340"/>
      <c r="OXK639" s="340"/>
      <c r="OXL639" s="354"/>
      <c r="OXM639" s="313"/>
      <c r="OXN639" s="340"/>
      <c r="OXO639" s="340"/>
      <c r="OXP639" s="354"/>
      <c r="OXQ639" s="313"/>
      <c r="OXR639" s="340"/>
      <c r="OXS639" s="340"/>
      <c r="OXT639" s="354"/>
      <c r="OXU639" s="313"/>
      <c r="OXV639" s="340"/>
      <c r="OXW639" s="340"/>
      <c r="OXX639" s="354"/>
      <c r="OXY639" s="313"/>
      <c r="OXZ639" s="340"/>
      <c r="OYA639" s="340"/>
      <c r="OYB639" s="354"/>
      <c r="OYC639" s="313"/>
      <c r="OYD639" s="340"/>
      <c r="OYE639" s="340"/>
      <c r="OYF639" s="354"/>
      <c r="OYG639" s="313"/>
      <c r="OYH639" s="340"/>
      <c r="OYI639" s="340"/>
      <c r="OYJ639" s="354"/>
      <c r="OYK639" s="313"/>
      <c r="OYL639" s="340"/>
      <c r="OYM639" s="340"/>
      <c r="OYN639" s="354"/>
      <c r="OYO639" s="313"/>
      <c r="OYP639" s="340"/>
      <c r="OYQ639" s="340"/>
      <c r="OYR639" s="354"/>
      <c r="OYS639" s="313"/>
      <c r="OYT639" s="340"/>
      <c r="OYU639" s="340"/>
      <c r="OYV639" s="354"/>
      <c r="OYW639" s="313"/>
      <c r="OYX639" s="340"/>
      <c r="OYY639" s="340"/>
      <c r="OYZ639" s="354"/>
      <c r="OZA639" s="313"/>
      <c r="OZB639" s="340"/>
      <c r="OZC639" s="340"/>
      <c r="OZD639" s="354"/>
      <c r="OZE639" s="313"/>
      <c r="OZF639" s="340"/>
      <c r="OZG639" s="340"/>
      <c r="OZH639" s="354"/>
      <c r="OZI639" s="313"/>
      <c r="OZJ639" s="340"/>
      <c r="OZK639" s="340"/>
      <c r="OZL639" s="354"/>
      <c r="OZM639" s="313"/>
      <c r="OZN639" s="340"/>
      <c r="OZO639" s="340"/>
      <c r="OZP639" s="354"/>
      <c r="OZQ639" s="313"/>
      <c r="OZR639" s="340"/>
      <c r="OZS639" s="340"/>
      <c r="OZT639" s="354"/>
      <c r="OZU639" s="313"/>
      <c r="OZV639" s="340"/>
      <c r="OZW639" s="340"/>
      <c r="OZX639" s="354"/>
      <c r="OZY639" s="313"/>
      <c r="OZZ639" s="340"/>
      <c r="PAA639" s="340"/>
      <c r="PAB639" s="354"/>
      <c r="PAC639" s="313"/>
      <c r="PAD639" s="340"/>
      <c r="PAE639" s="340"/>
      <c r="PAF639" s="354"/>
      <c r="PAG639" s="313"/>
      <c r="PAH639" s="340"/>
      <c r="PAI639" s="340"/>
      <c r="PAJ639" s="354"/>
      <c r="PAK639" s="313"/>
      <c r="PAL639" s="340"/>
      <c r="PAM639" s="340"/>
      <c r="PAN639" s="354"/>
      <c r="PAO639" s="313"/>
      <c r="PAP639" s="340"/>
      <c r="PAQ639" s="340"/>
      <c r="PAR639" s="354"/>
      <c r="PAS639" s="313"/>
      <c r="PAT639" s="340"/>
      <c r="PAU639" s="340"/>
      <c r="PAV639" s="354"/>
      <c r="PAW639" s="313"/>
      <c r="PAX639" s="340"/>
      <c r="PAY639" s="340"/>
      <c r="PAZ639" s="354"/>
      <c r="PBA639" s="313"/>
      <c r="PBB639" s="340"/>
      <c r="PBC639" s="340"/>
      <c r="PBD639" s="354"/>
      <c r="PBE639" s="313"/>
      <c r="PBF639" s="340"/>
      <c r="PBG639" s="340"/>
      <c r="PBH639" s="354"/>
      <c r="PBI639" s="313"/>
      <c r="PBJ639" s="340"/>
      <c r="PBK639" s="340"/>
      <c r="PBL639" s="354"/>
      <c r="PBM639" s="313"/>
      <c r="PBN639" s="340"/>
      <c r="PBO639" s="340"/>
      <c r="PBP639" s="354"/>
      <c r="PBQ639" s="313"/>
      <c r="PBR639" s="340"/>
      <c r="PBS639" s="340"/>
      <c r="PBT639" s="354"/>
      <c r="PBU639" s="313"/>
      <c r="PBV639" s="340"/>
      <c r="PBW639" s="340"/>
      <c r="PBX639" s="354"/>
      <c r="PBY639" s="313"/>
      <c r="PBZ639" s="340"/>
      <c r="PCA639" s="340"/>
      <c r="PCB639" s="354"/>
      <c r="PCC639" s="313"/>
      <c r="PCD639" s="340"/>
      <c r="PCE639" s="340"/>
      <c r="PCF639" s="354"/>
      <c r="PCG639" s="313"/>
      <c r="PCH639" s="340"/>
      <c r="PCI639" s="340"/>
      <c r="PCJ639" s="354"/>
      <c r="PCK639" s="313"/>
      <c r="PCL639" s="340"/>
      <c r="PCM639" s="340"/>
      <c r="PCN639" s="354"/>
      <c r="PCO639" s="313"/>
      <c r="PCP639" s="340"/>
      <c r="PCQ639" s="340"/>
      <c r="PCR639" s="354"/>
      <c r="PCS639" s="313"/>
      <c r="PCT639" s="340"/>
      <c r="PCU639" s="340"/>
      <c r="PCV639" s="354"/>
      <c r="PCW639" s="313"/>
      <c r="PCX639" s="340"/>
      <c r="PCY639" s="340"/>
      <c r="PCZ639" s="354"/>
      <c r="PDA639" s="313"/>
      <c r="PDB639" s="340"/>
      <c r="PDC639" s="340"/>
      <c r="PDD639" s="354"/>
      <c r="PDE639" s="313"/>
      <c r="PDF639" s="340"/>
      <c r="PDG639" s="340"/>
      <c r="PDH639" s="354"/>
      <c r="PDI639" s="313"/>
      <c r="PDJ639" s="340"/>
      <c r="PDK639" s="340"/>
      <c r="PDL639" s="354"/>
      <c r="PDM639" s="313"/>
      <c r="PDN639" s="340"/>
      <c r="PDO639" s="340"/>
      <c r="PDP639" s="354"/>
      <c r="PDQ639" s="313"/>
      <c r="PDR639" s="340"/>
      <c r="PDS639" s="340"/>
      <c r="PDT639" s="354"/>
      <c r="PDU639" s="313"/>
      <c r="PDV639" s="340"/>
      <c r="PDW639" s="340"/>
      <c r="PDX639" s="354"/>
      <c r="PDY639" s="313"/>
      <c r="PDZ639" s="340"/>
      <c r="PEA639" s="340"/>
      <c r="PEB639" s="354"/>
      <c r="PEC639" s="313"/>
      <c r="PED639" s="340"/>
      <c r="PEE639" s="340"/>
      <c r="PEF639" s="354"/>
      <c r="PEG639" s="313"/>
      <c r="PEH639" s="340"/>
      <c r="PEI639" s="340"/>
      <c r="PEJ639" s="354"/>
      <c r="PEK639" s="313"/>
      <c r="PEL639" s="340"/>
      <c r="PEM639" s="340"/>
      <c r="PEN639" s="354"/>
      <c r="PEO639" s="313"/>
      <c r="PEP639" s="340"/>
      <c r="PEQ639" s="340"/>
      <c r="PER639" s="354"/>
      <c r="PES639" s="313"/>
      <c r="PET639" s="340"/>
      <c r="PEU639" s="340"/>
      <c r="PEV639" s="354"/>
      <c r="PEW639" s="313"/>
      <c r="PEX639" s="340"/>
      <c r="PEY639" s="340"/>
      <c r="PEZ639" s="354"/>
      <c r="PFA639" s="313"/>
      <c r="PFB639" s="340"/>
      <c r="PFC639" s="340"/>
      <c r="PFD639" s="354"/>
      <c r="PFE639" s="313"/>
      <c r="PFF639" s="340"/>
      <c r="PFG639" s="340"/>
      <c r="PFH639" s="354"/>
      <c r="PFI639" s="313"/>
      <c r="PFJ639" s="340"/>
      <c r="PFK639" s="340"/>
      <c r="PFL639" s="354"/>
      <c r="PFM639" s="313"/>
      <c r="PFN639" s="340"/>
      <c r="PFO639" s="340"/>
      <c r="PFP639" s="354"/>
      <c r="PFQ639" s="313"/>
      <c r="PFR639" s="340"/>
      <c r="PFS639" s="340"/>
      <c r="PFT639" s="354"/>
      <c r="PFU639" s="313"/>
      <c r="PFV639" s="340"/>
      <c r="PFW639" s="340"/>
      <c r="PFX639" s="354"/>
      <c r="PFY639" s="313"/>
      <c r="PFZ639" s="340"/>
      <c r="PGA639" s="340"/>
      <c r="PGB639" s="354"/>
      <c r="PGC639" s="313"/>
      <c r="PGD639" s="340"/>
      <c r="PGE639" s="340"/>
      <c r="PGF639" s="354"/>
      <c r="PGG639" s="313"/>
      <c r="PGH639" s="340"/>
      <c r="PGI639" s="340"/>
      <c r="PGJ639" s="354"/>
      <c r="PGK639" s="313"/>
      <c r="PGL639" s="340"/>
      <c r="PGM639" s="340"/>
      <c r="PGN639" s="354"/>
      <c r="PGO639" s="313"/>
      <c r="PGP639" s="340"/>
      <c r="PGQ639" s="340"/>
      <c r="PGR639" s="354"/>
      <c r="PGS639" s="313"/>
      <c r="PGT639" s="340"/>
      <c r="PGU639" s="340"/>
      <c r="PGV639" s="354"/>
      <c r="PGW639" s="313"/>
      <c r="PGX639" s="340"/>
      <c r="PGY639" s="340"/>
      <c r="PGZ639" s="354"/>
      <c r="PHA639" s="313"/>
      <c r="PHB639" s="340"/>
      <c r="PHC639" s="340"/>
      <c r="PHD639" s="354"/>
      <c r="PHE639" s="313"/>
      <c r="PHF639" s="340"/>
      <c r="PHG639" s="340"/>
      <c r="PHH639" s="354"/>
      <c r="PHI639" s="313"/>
      <c r="PHJ639" s="340"/>
      <c r="PHK639" s="340"/>
      <c r="PHL639" s="354"/>
      <c r="PHM639" s="313"/>
      <c r="PHN639" s="340"/>
      <c r="PHO639" s="340"/>
      <c r="PHP639" s="354"/>
      <c r="PHQ639" s="313"/>
      <c r="PHR639" s="340"/>
      <c r="PHS639" s="340"/>
      <c r="PHT639" s="354"/>
      <c r="PHU639" s="313"/>
      <c r="PHV639" s="340"/>
      <c r="PHW639" s="340"/>
      <c r="PHX639" s="354"/>
      <c r="PHY639" s="313"/>
      <c r="PHZ639" s="340"/>
      <c r="PIA639" s="340"/>
      <c r="PIB639" s="354"/>
      <c r="PIC639" s="313"/>
      <c r="PID639" s="340"/>
      <c r="PIE639" s="340"/>
      <c r="PIF639" s="354"/>
      <c r="PIG639" s="313"/>
      <c r="PIH639" s="340"/>
      <c r="PII639" s="340"/>
      <c r="PIJ639" s="354"/>
      <c r="PIK639" s="313"/>
      <c r="PIL639" s="340"/>
      <c r="PIM639" s="340"/>
      <c r="PIN639" s="354"/>
      <c r="PIO639" s="313"/>
      <c r="PIP639" s="340"/>
      <c r="PIQ639" s="340"/>
      <c r="PIR639" s="354"/>
      <c r="PIS639" s="313"/>
      <c r="PIT639" s="340"/>
      <c r="PIU639" s="340"/>
      <c r="PIV639" s="354"/>
      <c r="PIW639" s="313"/>
      <c r="PIX639" s="340"/>
      <c r="PIY639" s="340"/>
      <c r="PIZ639" s="354"/>
      <c r="PJA639" s="313"/>
      <c r="PJB639" s="340"/>
      <c r="PJC639" s="340"/>
      <c r="PJD639" s="354"/>
      <c r="PJE639" s="313"/>
      <c r="PJF639" s="340"/>
      <c r="PJG639" s="340"/>
      <c r="PJH639" s="354"/>
      <c r="PJI639" s="313"/>
      <c r="PJJ639" s="340"/>
      <c r="PJK639" s="340"/>
      <c r="PJL639" s="354"/>
      <c r="PJM639" s="313"/>
      <c r="PJN639" s="340"/>
      <c r="PJO639" s="340"/>
      <c r="PJP639" s="354"/>
      <c r="PJQ639" s="313"/>
      <c r="PJR639" s="340"/>
      <c r="PJS639" s="340"/>
      <c r="PJT639" s="354"/>
      <c r="PJU639" s="313"/>
      <c r="PJV639" s="340"/>
      <c r="PJW639" s="340"/>
      <c r="PJX639" s="354"/>
      <c r="PJY639" s="313"/>
      <c r="PJZ639" s="340"/>
      <c r="PKA639" s="340"/>
      <c r="PKB639" s="354"/>
      <c r="PKC639" s="313"/>
      <c r="PKD639" s="340"/>
      <c r="PKE639" s="340"/>
      <c r="PKF639" s="354"/>
      <c r="PKG639" s="313"/>
      <c r="PKH639" s="340"/>
      <c r="PKI639" s="340"/>
      <c r="PKJ639" s="354"/>
      <c r="PKK639" s="313"/>
      <c r="PKL639" s="340"/>
      <c r="PKM639" s="340"/>
      <c r="PKN639" s="354"/>
      <c r="PKO639" s="313"/>
      <c r="PKP639" s="340"/>
      <c r="PKQ639" s="340"/>
      <c r="PKR639" s="354"/>
      <c r="PKS639" s="313"/>
      <c r="PKT639" s="340"/>
      <c r="PKU639" s="340"/>
      <c r="PKV639" s="354"/>
      <c r="PKW639" s="313"/>
      <c r="PKX639" s="340"/>
      <c r="PKY639" s="340"/>
      <c r="PKZ639" s="354"/>
      <c r="PLA639" s="313"/>
      <c r="PLB639" s="340"/>
      <c r="PLC639" s="340"/>
      <c r="PLD639" s="354"/>
      <c r="PLE639" s="313"/>
      <c r="PLF639" s="340"/>
      <c r="PLG639" s="340"/>
      <c r="PLH639" s="354"/>
      <c r="PLI639" s="313"/>
      <c r="PLJ639" s="340"/>
      <c r="PLK639" s="340"/>
      <c r="PLL639" s="354"/>
      <c r="PLM639" s="313"/>
      <c r="PLN639" s="340"/>
      <c r="PLO639" s="340"/>
      <c r="PLP639" s="354"/>
      <c r="PLQ639" s="313"/>
      <c r="PLR639" s="340"/>
      <c r="PLS639" s="340"/>
      <c r="PLT639" s="354"/>
      <c r="PLU639" s="313"/>
      <c r="PLV639" s="340"/>
      <c r="PLW639" s="340"/>
      <c r="PLX639" s="354"/>
      <c r="PLY639" s="313"/>
      <c r="PLZ639" s="340"/>
      <c r="PMA639" s="340"/>
      <c r="PMB639" s="354"/>
      <c r="PMC639" s="313"/>
      <c r="PMD639" s="340"/>
      <c r="PME639" s="340"/>
      <c r="PMF639" s="354"/>
      <c r="PMG639" s="313"/>
      <c r="PMH639" s="340"/>
      <c r="PMI639" s="340"/>
      <c r="PMJ639" s="354"/>
      <c r="PMK639" s="313"/>
      <c r="PML639" s="340"/>
      <c r="PMM639" s="340"/>
      <c r="PMN639" s="354"/>
      <c r="PMO639" s="313"/>
      <c r="PMP639" s="340"/>
      <c r="PMQ639" s="340"/>
      <c r="PMR639" s="354"/>
      <c r="PMS639" s="313"/>
      <c r="PMT639" s="340"/>
      <c r="PMU639" s="340"/>
      <c r="PMV639" s="354"/>
      <c r="PMW639" s="313"/>
      <c r="PMX639" s="340"/>
      <c r="PMY639" s="340"/>
      <c r="PMZ639" s="354"/>
      <c r="PNA639" s="313"/>
      <c r="PNB639" s="340"/>
      <c r="PNC639" s="340"/>
      <c r="PND639" s="354"/>
      <c r="PNE639" s="313"/>
      <c r="PNF639" s="340"/>
      <c r="PNG639" s="340"/>
      <c r="PNH639" s="354"/>
      <c r="PNI639" s="313"/>
      <c r="PNJ639" s="340"/>
      <c r="PNK639" s="340"/>
      <c r="PNL639" s="354"/>
      <c r="PNM639" s="313"/>
      <c r="PNN639" s="340"/>
      <c r="PNO639" s="340"/>
      <c r="PNP639" s="354"/>
      <c r="PNQ639" s="313"/>
      <c r="PNR639" s="340"/>
      <c r="PNS639" s="340"/>
      <c r="PNT639" s="354"/>
      <c r="PNU639" s="313"/>
      <c r="PNV639" s="340"/>
      <c r="PNW639" s="340"/>
      <c r="PNX639" s="354"/>
      <c r="PNY639" s="313"/>
      <c r="PNZ639" s="340"/>
      <c r="POA639" s="340"/>
      <c r="POB639" s="354"/>
      <c r="POC639" s="313"/>
      <c r="POD639" s="340"/>
      <c r="POE639" s="340"/>
      <c r="POF639" s="354"/>
      <c r="POG639" s="313"/>
      <c r="POH639" s="340"/>
      <c r="POI639" s="340"/>
      <c r="POJ639" s="354"/>
      <c r="POK639" s="313"/>
      <c r="POL639" s="340"/>
      <c r="POM639" s="340"/>
      <c r="PON639" s="354"/>
      <c r="POO639" s="313"/>
      <c r="POP639" s="340"/>
      <c r="POQ639" s="340"/>
      <c r="POR639" s="354"/>
      <c r="POS639" s="313"/>
      <c r="POT639" s="340"/>
      <c r="POU639" s="340"/>
      <c r="POV639" s="354"/>
      <c r="POW639" s="313"/>
      <c r="POX639" s="340"/>
      <c r="POY639" s="340"/>
      <c r="POZ639" s="354"/>
      <c r="PPA639" s="313"/>
      <c r="PPB639" s="340"/>
      <c r="PPC639" s="340"/>
      <c r="PPD639" s="354"/>
      <c r="PPE639" s="313"/>
      <c r="PPF639" s="340"/>
      <c r="PPG639" s="340"/>
      <c r="PPH639" s="354"/>
      <c r="PPI639" s="313"/>
      <c r="PPJ639" s="340"/>
      <c r="PPK639" s="340"/>
      <c r="PPL639" s="354"/>
      <c r="PPM639" s="313"/>
      <c r="PPN639" s="340"/>
      <c r="PPO639" s="340"/>
      <c r="PPP639" s="354"/>
      <c r="PPQ639" s="313"/>
      <c r="PPR639" s="340"/>
      <c r="PPS639" s="340"/>
      <c r="PPT639" s="354"/>
      <c r="PPU639" s="313"/>
      <c r="PPV639" s="340"/>
      <c r="PPW639" s="340"/>
      <c r="PPX639" s="354"/>
      <c r="PPY639" s="313"/>
      <c r="PPZ639" s="340"/>
      <c r="PQA639" s="340"/>
      <c r="PQB639" s="354"/>
      <c r="PQC639" s="313"/>
      <c r="PQD639" s="340"/>
      <c r="PQE639" s="340"/>
      <c r="PQF639" s="354"/>
      <c r="PQG639" s="313"/>
      <c r="PQH639" s="340"/>
      <c r="PQI639" s="340"/>
      <c r="PQJ639" s="354"/>
      <c r="PQK639" s="313"/>
      <c r="PQL639" s="340"/>
      <c r="PQM639" s="340"/>
      <c r="PQN639" s="354"/>
      <c r="PQO639" s="313"/>
      <c r="PQP639" s="340"/>
      <c r="PQQ639" s="340"/>
      <c r="PQR639" s="354"/>
      <c r="PQS639" s="313"/>
      <c r="PQT639" s="340"/>
      <c r="PQU639" s="340"/>
      <c r="PQV639" s="354"/>
      <c r="PQW639" s="313"/>
      <c r="PQX639" s="340"/>
      <c r="PQY639" s="340"/>
      <c r="PQZ639" s="354"/>
      <c r="PRA639" s="313"/>
      <c r="PRB639" s="340"/>
      <c r="PRC639" s="340"/>
      <c r="PRD639" s="354"/>
      <c r="PRE639" s="313"/>
      <c r="PRF639" s="340"/>
      <c r="PRG639" s="340"/>
      <c r="PRH639" s="354"/>
      <c r="PRI639" s="313"/>
      <c r="PRJ639" s="340"/>
      <c r="PRK639" s="340"/>
      <c r="PRL639" s="354"/>
      <c r="PRM639" s="313"/>
      <c r="PRN639" s="340"/>
      <c r="PRO639" s="340"/>
      <c r="PRP639" s="354"/>
      <c r="PRQ639" s="313"/>
      <c r="PRR639" s="340"/>
      <c r="PRS639" s="340"/>
      <c r="PRT639" s="354"/>
      <c r="PRU639" s="313"/>
      <c r="PRV639" s="340"/>
      <c r="PRW639" s="340"/>
      <c r="PRX639" s="354"/>
      <c r="PRY639" s="313"/>
      <c r="PRZ639" s="340"/>
      <c r="PSA639" s="340"/>
      <c r="PSB639" s="354"/>
      <c r="PSC639" s="313"/>
      <c r="PSD639" s="340"/>
      <c r="PSE639" s="340"/>
      <c r="PSF639" s="354"/>
      <c r="PSG639" s="313"/>
      <c r="PSH639" s="340"/>
      <c r="PSI639" s="340"/>
      <c r="PSJ639" s="354"/>
      <c r="PSK639" s="313"/>
      <c r="PSL639" s="340"/>
      <c r="PSM639" s="340"/>
      <c r="PSN639" s="354"/>
      <c r="PSO639" s="313"/>
      <c r="PSP639" s="340"/>
      <c r="PSQ639" s="340"/>
      <c r="PSR639" s="354"/>
      <c r="PSS639" s="313"/>
      <c r="PST639" s="340"/>
      <c r="PSU639" s="340"/>
      <c r="PSV639" s="354"/>
      <c r="PSW639" s="313"/>
      <c r="PSX639" s="340"/>
      <c r="PSY639" s="340"/>
      <c r="PSZ639" s="354"/>
      <c r="PTA639" s="313"/>
      <c r="PTB639" s="340"/>
      <c r="PTC639" s="340"/>
      <c r="PTD639" s="354"/>
      <c r="PTE639" s="313"/>
      <c r="PTF639" s="340"/>
      <c r="PTG639" s="340"/>
      <c r="PTH639" s="354"/>
      <c r="PTI639" s="313"/>
      <c r="PTJ639" s="340"/>
      <c r="PTK639" s="340"/>
      <c r="PTL639" s="354"/>
      <c r="PTM639" s="313"/>
      <c r="PTN639" s="340"/>
      <c r="PTO639" s="340"/>
      <c r="PTP639" s="354"/>
      <c r="PTQ639" s="313"/>
      <c r="PTR639" s="340"/>
      <c r="PTS639" s="340"/>
      <c r="PTT639" s="354"/>
      <c r="PTU639" s="313"/>
      <c r="PTV639" s="340"/>
      <c r="PTW639" s="340"/>
      <c r="PTX639" s="354"/>
      <c r="PTY639" s="313"/>
      <c r="PTZ639" s="340"/>
      <c r="PUA639" s="340"/>
      <c r="PUB639" s="354"/>
      <c r="PUC639" s="313"/>
      <c r="PUD639" s="340"/>
      <c r="PUE639" s="340"/>
      <c r="PUF639" s="354"/>
      <c r="PUG639" s="313"/>
      <c r="PUH639" s="340"/>
      <c r="PUI639" s="340"/>
      <c r="PUJ639" s="354"/>
      <c r="PUK639" s="313"/>
      <c r="PUL639" s="340"/>
      <c r="PUM639" s="340"/>
      <c r="PUN639" s="354"/>
      <c r="PUO639" s="313"/>
      <c r="PUP639" s="340"/>
      <c r="PUQ639" s="340"/>
      <c r="PUR639" s="354"/>
      <c r="PUS639" s="313"/>
      <c r="PUT639" s="340"/>
      <c r="PUU639" s="340"/>
      <c r="PUV639" s="354"/>
      <c r="PUW639" s="313"/>
      <c r="PUX639" s="340"/>
      <c r="PUY639" s="340"/>
      <c r="PUZ639" s="354"/>
      <c r="PVA639" s="313"/>
      <c r="PVB639" s="340"/>
      <c r="PVC639" s="340"/>
      <c r="PVD639" s="354"/>
      <c r="PVE639" s="313"/>
      <c r="PVF639" s="340"/>
      <c r="PVG639" s="340"/>
      <c r="PVH639" s="354"/>
      <c r="PVI639" s="313"/>
      <c r="PVJ639" s="340"/>
      <c r="PVK639" s="340"/>
      <c r="PVL639" s="354"/>
      <c r="PVM639" s="313"/>
      <c r="PVN639" s="340"/>
      <c r="PVO639" s="340"/>
      <c r="PVP639" s="354"/>
      <c r="PVQ639" s="313"/>
      <c r="PVR639" s="340"/>
      <c r="PVS639" s="340"/>
      <c r="PVT639" s="354"/>
      <c r="PVU639" s="313"/>
      <c r="PVV639" s="340"/>
      <c r="PVW639" s="340"/>
      <c r="PVX639" s="354"/>
      <c r="PVY639" s="313"/>
      <c r="PVZ639" s="340"/>
      <c r="PWA639" s="340"/>
      <c r="PWB639" s="354"/>
      <c r="PWC639" s="313"/>
      <c r="PWD639" s="340"/>
      <c r="PWE639" s="340"/>
      <c r="PWF639" s="354"/>
      <c r="PWG639" s="313"/>
      <c r="PWH639" s="340"/>
      <c r="PWI639" s="340"/>
      <c r="PWJ639" s="354"/>
      <c r="PWK639" s="313"/>
      <c r="PWL639" s="340"/>
      <c r="PWM639" s="340"/>
      <c r="PWN639" s="354"/>
      <c r="PWO639" s="313"/>
      <c r="PWP639" s="340"/>
      <c r="PWQ639" s="340"/>
      <c r="PWR639" s="354"/>
      <c r="PWS639" s="313"/>
      <c r="PWT639" s="340"/>
      <c r="PWU639" s="340"/>
      <c r="PWV639" s="354"/>
      <c r="PWW639" s="313"/>
      <c r="PWX639" s="340"/>
      <c r="PWY639" s="340"/>
      <c r="PWZ639" s="354"/>
      <c r="PXA639" s="313"/>
      <c r="PXB639" s="340"/>
      <c r="PXC639" s="340"/>
      <c r="PXD639" s="354"/>
      <c r="PXE639" s="313"/>
      <c r="PXF639" s="340"/>
      <c r="PXG639" s="340"/>
      <c r="PXH639" s="354"/>
      <c r="PXI639" s="313"/>
      <c r="PXJ639" s="340"/>
      <c r="PXK639" s="340"/>
      <c r="PXL639" s="354"/>
      <c r="PXM639" s="313"/>
      <c r="PXN639" s="340"/>
      <c r="PXO639" s="340"/>
      <c r="PXP639" s="354"/>
      <c r="PXQ639" s="313"/>
      <c r="PXR639" s="340"/>
      <c r="PXS639" s="340"/>
      <c r="PXT639" s="354"/>
      <c r="PXU639" s="313"/>
      <c r="PXV639" s="340"/>
      <c r="PXW639" s="340"/>
      <c r="PXX639" s="354"/>
      <c r="PXY639" s="313"/>
      <c r="PXZ639" s="340"/>
      <c r="PYA639" s="340"/>
      <c r="PYB639" s="354"/>
      <c r="PYC639" s="313"/>
      <c r="PYD639" s="340"/>
      <c r="PYE639" s="340"/>
      <c r="PYF639" s="354"/>
      <c r="PYG639" s="313"/>
      <c r="PYH639" s="340"/>
      <c r="PYI639" s="340"/>
      <c r="PYJ639" s="354"/>
      <c r="PYK639" s="313"/>
      <c r="PYL639" s="340"/>
      <c r="PYM639" s="340"/>
      <c r="PYN639" s="354"/>
      <c r="PYO639" s="313"/>
      <c r="PYP639" s="340"/>
      <c r="PYQ639" s="340"/>
      <c r="PYR639" s="354"/>
      <c r="PYS639" s="313"/>
      <c r="PYT639" s="340"/>
      <c r="PYU639" s="340"/>
      <c r="PYV639" s="354"/>
      <c r="PYW639" s="313"/>
      <c r="PYX639" s="340"/>
      <c r="PYY639" s="340"/>
      <c r="PYZ639" s="354"/>
      <c r="PZA639" s="313"/>
      <c r="PZB639" s="340"/>
      <c r="PZC639" s="340"/>
      <c r="PZD639" s="354"/>
      <c r="PZE639" s="313"/>
      <c r="PZF639" s="340"/>
      <c r="PZG639" s="340"/>
      <c r="PZH639" s="354"/>
      <c r="PZI639" s="313"/>
      <c r="PZJ639" s="340"/>
      <c r="PZK639" s="340"/>
      <c r="PZL639" s="354"/>
      <c r="PZM639" s="313"/>
      <c r="PZN639" s="340"/>
      <c r="PZO639" s="340"/>
      <c r="PZP639" s="354"/>
      <c r="PZQ639" s="313"/>
      <c r="PZR639" s="340"/>
      <c r="PZS639" s="340"/>
      <c r="PZT639" s="354"/>
      <c r="PZU639" s="313"/>
      <c r="PZV639" s="340"/>
      <c r="PZW639" s="340"/>
      <c r="PZX639" s="354"/>
      <c r="PZY639" s="313"/>
      <c r="PZZ639" s="340"/>
      <c r="QAA639" s="340"/>
      <c r="QAB639" s="354"/>
      <c r="QAC639" s="313"/>
      <c r="QAD639" s="340"/>
      <c r="QAE639" s="340"/>
      <c r="QAF639" s="354"/>
      <c r="QAG639" s="313"/>
      <c r="QAH639" s="340"/>
      <c r="QAI639" s="340"/>
      <c r="QAJ639" s="354"/>
      <c r="QAK639" s="313"/>
      <c r="QAL639" s="340"/>
      <c r="QAM639" s="340"/>
      <c r="QAN639" s="354"/>
      <c r="QAO639" s="313"/>
      <c r="QAP639" s="340"/>
      <c r="QAQ639" s="340"/>
      <c r="QAR639" s="354"/>
      <c r="QAS639" s="313"/>
      <c r="QAT639" s="340"/>
      <c r="QAU639" s="340"/>
      <c r="QAV639" s="354"/>
      <c r="QAW639" s="313"/>
      <c r="QAX639" s="340"/>
      <c r="QAY639" s="340"/>
      <c r="QAZ639" s="354"/>
      <c r="QBA639" s="313"/>
      <c r="QBB639" s="340"/>
      <c r="QBC639" s="340"/>
      <c r="QBD639" s="354"/>
      <c r="QBE639" s="313"/>
      <c r="QBF639" s="340"/>
      <c r="QBG639" s="340"/>
      <c r="QBH639" s="354"/>
      <c r="QBI639" s="313"/>
      <c r="QBJ639" s="340"/>
      <c r="QBK639" s="340"/>
      <c r="QBL639" s="354"/>
      <c r="QBM639" s="313"/>
      <c r="QBN639" s="340"/>
      <c r="QBO639" s="340"/>
      <c r="QBP639" s="354"/>
      <c r="QBQ639" s="313"/>
      <c r="QBR639" s="340"/>
      <c r="QBS639" s="340"/>
      <c r="QBT639" s="354"/>
      <c r="QBU639" s="313"/>
      <c r="QBV639" s="340"/>
      <c r="QBW639" s="340"/>
      <c r="QBX639" s="354"/>
      <c r="QBY639" s="313"/>
      <c r="QBZ639" s="340"/>
      <c r="QCA639" s="340"/>
      <c r="QCB639" s="354"/>
      <c r="QCC639" s="313"/>
      <c r="QCD639" s="340"/>
      <c r="QCE639" s="340"/>
      <c r="QCF639" s="354"/>
      <c r="QCG639" s="313"/>
      <c r="QCH639" s="340"/>
      <c r="QCI639" s="340"/>
      <c r="QCJ639" s="354"/>
      <c r="QCK639" s="313"/>
      <c r="QCL639" s="340"/>
      <c r="QCM639" s="340"/>
      <c r="QCN639" s="354"/>
      <c r="QCO639" s="313"/>
      <c r="QCP639" s="340"/>
      <c r="QCQ639" s="340"/>
      <c r="QCR639" s="354"/>
      <c r="QCS639" s="313"/>
      <c r="QCT639" s="340"/>
      <c r="QCU639" s="340"/>
      <c r="QCV639" s="354"/>
      <c r="QCW639" s="313"/>
      <c r="QCX639" s="340"/>
      <c r="QCY639" s="340"/>
      <c r="QCZ639" s="354"/>
      <c r="QDA639" s="313"/>
      <c r="QDB639" s="340"/>
      <c r="QDC639" s="340"/>
      <c r="QDD639" s="354"/>
      <c r="QDE639" s="313"/>
      <c r="QDF639" s="340"/>
      <c r="QDG639" s="340"/>
      <c r="QDH639" s="354"/>
      <c r="QDI639" s="313"/>
      <c r="QDJ639" s="340"/>
      <c r="QDK639" s="340"/>
      <c r="QDL639" s="354"/>
      <c r="QDM639" s="313"/>
      <c r="QDN639" s="340"/>
      <c r="QDO639" s="340"/>
      <c r="QDP639" s="354"/>
      <c r="QDQ639" s="313"/>
      <c r="QDR639" s="340"/>
      <c r="QDS639" s="340"/>
      <c r="QDT639" s="354"/>
      <c r="QDU639" s="313"/>
      <c r="QDV639" s="340"/>
      <c r="QDW639" s="340"/>
      <c r="QDX639" s="354"/>
      <c r="QDY639" s="313"/>
      <c r="QDZ639" s="340"/>
      <c r="QEA639" s="340"/>
      <c r="QEB639" s="354"/>
      <c r="QEC639" s="313"/>
      <c r="QED639" s="340"/>
      <c r="QEE639" s="340"/>
      <c r="QEF639" s="354"/>
      <c r="QEG639" s="313"/>
      <c r="QEH639" s="340"/>
      <c r="QEI639" s="340"/>
      <c r="QEJ639" s="354"/>
      <c r="QEK639" s="313"/>
      <c r="QEL639" s="340"/>
      <c r="QEM639" s="340"/>
      <c r="QEN639" s="354"/>
      <c r="QEO639" s="313"/>
      <c r="QEP639" s="340"/>
      <c r="QEQ639" s="340"/>
      <c r="QER639" s="354"/>
      <c r="QES639" s="313"/>
      <c r="QET639" s="340"/>
      <c r="QEU639" s="340"/>
      <c r="QEV639" s="354"/>
      <c r="QEW639" s="313"/>
      <c r="QEX639" s="340"/>
      <c r="QEY639" s="340"/>
      <c r="QEZ639" s="354"/>
      <c r="QFA639" s="313"/>
      <c r="QFB639" s="340"/>
      <c r="QFC639" s="340"/>
      <c r="QFD639" s="354"/>
      <c r="QFE639" s="313"/>
      <c r="QFF639" s="340"/>
      <c r="QFG639" s="340"/>
      <c r="QFH639" s="354"/>
      <c r="QFI639" s="313"/>
      <c r="QFJ639" s="340"/>
      <c r="QFK639" s="340"/>
      <c r="QFL639" s="354"/>
      <c r="QFM639" s="313"/>
      <c r="QFN639" s="340"/>
      <c r="QFO639" s="340"/>
      <c r="QFP639" s="354"/>
      <c r="QFQ639" s="313"/>
      <c r="QFR639" s="340"/>
      <c r="QFS639" s="340"/>
      <c r="QFT639" s="354"/>
      <c r="QFU639" s="313"/>
      <c r="QFV639" s="340"/>
      <c r="QFW639" s="340"/>
      <c r="QFX639" s="354"/>
      <c r="QFY639" s="313"/>
      <c r="QFZ639" s="340"/>
      <c r="QGA639" s="340"/>
      <c r="QGB639" s="354"/>
      <c r="QGC639" s="313"/>
      <c r="QGD639" s="340"/>
      <c r="QGE639" s="340"/>
      <c r="QGF639" s="354"/>
      <c r="QGG639" s="313"/>
      <c r="QGH639" s="340"/>
      <c r="QGI639" s="340"/>
      <c r="QGJ639" s="354"/>
      <c r="QGK639" s="313"/>
      <c r="QGL639" s="340"/>
      <c r="QGM639" s="340"/>
      <c r="QGN639" s="354"/>
      <c r="QGO639" s="313"/>
      <c r="QGP639" s="340"/>
      <c r="QGQ639" s="340"/>
      <c r="QGR639" s="354"/>
      <c r="QGS639" s="313"/>
      <c r="QGT639" s="340"/>
      <c r="QGU639" s="340"/>
      <c r="QGV639" s="354"/>
      <c r="QGW639" s="313"/>
      <c r="QGX639" s="340"/>
      <c r="QGY639" s="340"/>
      <c r="QGZ639" s="354"/>
      <c r="QHA639" s="313"/>
      <c r="QHB639" s="340"/>
      <c r="QHC639" s="340"/>
      <c r="QHD639" s="354"/>
      <c r="QHE639" s="313"/>
      <c r="QHF639" s="340"/>
      <c r="QHG639" s="340"/>
      <c r="QHH639" s="354"/>
      <c r="QHI639" s="313"/>
      <c r="QHJ639" s="340"/>
      <c r="QHK639" s="340"/>
      <c r="QHL639" s="354"/>
      <c r="QHM639" s="313"/>
      <c r="QHN639" s="340"/>
      <c r="QHO639" s="340"/>
      <c r="QHP639" s="354"/>
      <c r="QHQ639" s="313"/>
      <c r="QHR639" s="340"/>
      <c r="QHS639" s="340"/>
      <c r="QHT639" s="354"/>
      <c r="QHU639" s="313"/>
      <c r="QHV639" s="340"/>
      <c r="QHW639" s="340"/>
      <c r="QHX639" s="354"/>
      <c r="QHY639" s="313"/>
      <c r="QHZ639" s="340"/>
      <c r="QIA639" s="340"/>
      <c r="QIB639" s="354"/>
      <c r="QIC639" s="313"/>
      <c r="QID639" s="340"/>
      <c r="QIE639" s="340"/>
      <c r="QIF639" s="354"/>
      <c r="QIG639" s="313"/>
      <c r="QIH639" s="340"/>
      <c r="QII639" s="340"/>
      <c r="QIJ639" s="354"/>
      <c r="QIK639" s="313"/>
      <c r="QIL639" s="340"/>
      <c r="QIM639" s="340"/>
      <c r="QIN639" s="354"/>
      <c r="QIO639" s="313"/>
      <c r="QIP639" s="340"/>
      <c r="QIQ639" s="340"/>
      <c r="QIR639" s="354"/>
      <c r="QIS639" s="313"/>
      <c r="QIT639" s="340"/>
      <c r="QIU639" s="340"/>
      <c r="QIV639" s="354"/>
      <c r="QIW639" s="313"/>
      <c r="QIX639" s="340"/>
      <c r="QIY639" s="340"/>
      <c r="QIZ639" s="354"/>
      <c r="QJA639" s="313"/>
      <c r="QJB639" s="340"/>
      <c r="QJC639" s="340"/>
      <c r="QJD639" s="354"/>
      <c r="QJE639" s="313"/>
      <c r="QJF639" s="340"/>
      <c r="QJG639" s="340"/>
      <c r="QJH639" s="354"/>
      <c r="QJI639" s="313"/>
      <c r="QJJ639" s="340"/>
      <c r="QJK639" s="340"/>
      <c r="QJL639" s="354"/>
      <c r="QJM639" s="313"/>
      <c r="QJN639" s="340"/>
      <c r="QJO639" s="340"/>
      <c r="QJP639" s="354"/>
      <c r="QJQ639" s="313"/>
      <c r="QJR639" s="340"/>
      <c r="QJS639" s="340"/>
      <c r="QJT639" s="354"/>
      <c r="QJU639" s="313"/>
      <c r="QJV639" s="340"/>
      <c r="QJW639" s="340"/>
      <c r="QJX639" s="354"/>
      <c r="QJY639" s="313"/>
      <c r="QJZ639" s="340"/>
      <c r="QKA639" s="340"/>
      <c r="QKB639" s="354"/>
      <c r="QKC639" s="313"/>
      <c r="QKD639" s="340"/>
      <c r="QKE639" s="340"/>
      <c r="QKF639" s="354"/>
      <c r="QKG639" s="313"/>
      <c r="QKH639" s="340"/>
      <c r="QKI639" s="340"/>
      <c r="QKJ639" s="354"/>
      <c r="QKK639" s="313"/>
      <c r="QKL639" s="340"/>
      <c r="QKM639" s="340"/>
      <c r="QKN639" s="354"/>
      <c r="QKO639" s="313"/>
      <c r="QKP639" s="340"/>
      <c r="QKQ639" s="340"/>
      <c r="QKR639" s="354"/>
      <c r="QKS639" s="313"/>
      <c r="QKT639" s="340"/>
      <c r="QKU639" s="340"/>
      <c r="QKV639" s="354"/>
      <c r="QKW639" s="313"/>
      <c r="QKX639" s="340"/>
      <c r="QKY639" s="340"/>
      <c r="QKZ639" s="354"/>
      <c r="QLA639" s="313"/>
      <c r="QLB639" s="340"/>
      <c r="QLC639" s="340"/>
      <c r="QLD639" s="354"/>
      <c r="QLE639" s="313"/>
      <c r="QLF639" s="340"/>
      <c r="QLG639" s="340"/>
      <c r="QLH639" s="354"/>
      <c r="QLI639" s="313"/>
      <c r="QLJ639" s="340"/>
      <c r="QLK639" s="340"/>
      <c r="QLL639" s="354"/>
      <c r="QLM639" s="313"/>
      <c r="QLN639" s="340"/>
      <c r="QLO639" s="340"/>
      <c r="QLP639" s="354"/>
      <c r="QLQ639" s="313"/>
      <c r="QLR639" s="340"/>
      <c r="QLS639" s="340"/>
      <c r="QLT639" s="354"/>
      <c r="QLU639" s="313"/>
      <c r="QLV639" s="340"/>
      <c r="QLW639" s="340"/>
      <c r="QLX639" s="354"/>
      <c r="QLY639" s="313"/>
      <c r="QLZ639" s="340"/>
      <c r="QMA639" s="340"/>
      <c r="QMB639" s="354"/>
      <c r="QMC639" s="313"/>
      <c r="QMD639" s="340"/>
      <c r="QME639" s="340"/>
      <c r="QMF639" s="354"/>
      <c r="QMG639" s="313"/>
      <c r="QMH639" s="340"/>
      <c r="QMI639" s="340"/>
      <c r="QMJ639" s="354"/>
      <c r="QMK639" s="313"/>
      <c r="QML639" s="340"/>
      <c r="QMM639" s="340"/>
      <c r="QMN639" s="354"/>
      <c r="QMO639" s="313"/>
      <c r="QMP639" s="340"/>
      <c r="QMQ639" s="340"/>
      <c r="QMR639" s="354"/>
      <c r="QMS639" s="313"/>
      <c r="QMT639" s="340"/>
      <c r="QMU639" s="340"/>
      <c r="QMV639" s="354"/>
      <c r="QMW639" s="313"/>
      <c r="QMX639" s="340"/>
      <c r="QMY639" s="340"/>
      <c r="QMZ639" s="354"/>
      <c r="QNA639" s="313"/>
      <c r="QNB639" s="340"/>
      <c r="QNC639" s="340"/>
      <c r="QND639" s="354"/>
      <c r="QNE639" s="313"/>
      <c r="QNF639" s="340"/>
      <c r="QNG639" s="340"/>
      <c r="QNH639" s="354"/>
      <c r="QNI639" s="313"/>
      <c r="QNJ639" s="340"/>
      <c r="QNK639" s="340"/>
      <c r="QNL639" s="354"/>
      <c r="QNM639" s="313"/>
      <c r="QNN639" s="340"/>
      <c r="QNO639" s="340"/>
      <c r="QNP639" s="354"/>
      <c r="QNQ639" s="313"/>
      <c r="QNR639" s="340"/>
      <c r="QNS639" s="340"/>
      <c r="QNT639" s="354"/>
      <c r="QNU639" s="313"/>
      <c r="QNV639" s="340"/>
      <c r="QNW639" s="340"/>
      <c r="QNX639" s="354"/>
      <c r="QNY639" s="313"/>
      <c r="QNZ639" s="340"/>
      <c r="QOA639" s="340"/>
      <c r="QOB639" s="354"/>
      <c r="QOC639" s="313"/>
      <c r="QOD639" s="340"/>
      <c r="QOE639" s="340"/>
      <c r="QOF639" s="354"/>
      <c r="QOG639" s="313"/>
      <c r="QOH639" s="340"/>
      <c r="QOI639" s="340"/>
      <c r="QOJ639" s="354"/>
      <c r="QOK639" s="313"/>
      <c r="QOL639" s="340"/>
      <c r="QOM639" s="340"/>
      <c r="QON639" s="354"/>
      <c r="QOO639" s="313"/>
      <c r="QOP639" s="340"/>
      <c r="QOQ639" s="340"/>
      <c r="QOR639" s="354"/>
      <c r="QOS639" s="313"/>
      <c r="QOT639" s="340"/>
      <c r="QOU639" s="340"/>
      <c r="QOV639" s="354"/>
      <c r="QOW639" s="313"/>
      <c r="QOX639" s="340"/>
      <c r="QOY639" s="340"/>
      <c r="QOZ639" s="354"/>
      <c r="QPA639" s="313"/>
      <c r="QPB639" s="340"/>
      <c r="QPC639" s="340"/>
      <c r="QPD639" s="354"/>
      <c r="QPE639" s="313"/>
      <c r="QPF639" s="340"/>
      <c r="QPG639" s="340"/>
      <c r="QPH639" s="354"/>
      <c r="QPI639" s="313"/>
      <c r="QPJ639" s="340"/>
      <c r="QPK639" s="340"/>
      <c r="QPL639" s="354"/>
      <c r="QPM639" s="313"/>
      <c r="QPN639" s="340"/>
      <c r="QPO639" s="340"/>
      <c r="QPP639" s="354"/>
      <c r="QPQ639" s="313"/>
      <c r="QPR639" s="340"/>
      <c r="QPS639" s="340"/>
      <c r="QPT639" s="354"/>
      <c r="QPU639" s="313"/>
      <c r="QPV639" s="340"/>
      <c r="QPW639" s="340"/>
      <c r="QPX639" s="354"/>
      <c r="QPY639" s="313"/>
      <c r="QPZ639" s="340"/>
      <c r="QQA639" s="340"/>
      <c r="QQB639" s="354"/>
      <c r="QQC639" s="313"/>
      <c r="QQD639" s="340"/>
      <c r="QQE639" s="340"/>
      <c r="QQF639" s="354"/>
      <c r="QQG639" s="313"/>
      <c r="QQH639" s="340"/>
      <c r="QQI639" s="340"/>
      <c r="QQJ639" s="354"/>
      <c r="QQK639" s="313"/>
      <c r="QQL639" s="340"/>
      <c r="QQM639" s="340"/>
      <c r="QQN639" s="354"/>
      <c r="QQO639" s="313"/>
      <c r="QQP639" s="340"/>
      <c r="QQQ639" s="340"/>
      <c r="QQR639" s="354"/>
      <c r="QQS639" s="313"/>
      <c r="QQT639" s="340"/>
      <c r="QQU639" s="340"/>
      <c r="QQV639" s="354"/>
      <c r="QQW639" s="313"/>
      <c r="QQX639" s="340"/>
      <c r="QQY639" s="340"/>
      <c r="QQZ639" s="354"/>
      <c r="QRA639" s="313"/>
      <c r="QRB639" s="340"/>
      <c r="QRC639" s="340"/>
      <c r="QRD639" s="354"/>
      <c r="QRE639" s="313"/>
      <c r="QRF639" s="340"/>
      <c r="QRG639" s="340"/>
      <c r="QRH639" s="354"/>
      <c r="QRI639" s="313"/>
      <c r="QRJ639" s="340"/>
      <c r="QRK639" s="340"/>
      <c r="QRL639" s="354"/>
      <c r="QRM639" s="313"/>
      <c r="QRN639" s="340"/>
      <c r="QRO639" s="340"/>
      <c r="QRP639" s="354"/>
      <c r="QRQ639" s="313"/>
      <c r="QRR639" s="340"/>
      <c r="QRS639" s="340"/>
      <c r="QRT639" s="354"/>
      <c r="QRU639" s="313"/>
      <c r="QRV639" s="340"/>
      <c r="QRW639" s="340"/>
      <c r="QRX639" s="354"/>
      <c r="QRY639" s="313"/>
      <c r="QRZ639" s="340"/>
      <c r="QSA639" s="340"/>
      <c r="QSB639" s="354"/>
      <c r="QSC639" s="313"/>
      <c r="QSD639" s="340"/>
      <c r="QSE639" s="340"/>
      <c r="QSF639" s="354"/>
      <c r="QSG639" s="313"/>
      <c r="QSH639" s="340"/>
      <c r="QSI639" s="340"/>
      <c r="QSJ639" s="354"/>
      <c r="QSK639" s="313"/>
      <c r="QSL639" s="340"/>
      <c r="QSM639" s="340"/>
      <c r="QSN639" s="354"/>
      <c r="QSO639" s="313"/>
      <c r="QSP639" s="340"/>
      <c r="QSQ639" s="340"/>
      <c r="QSR639" s="354"/>
      <c r="QSS639" s="313"/>
      <c r="QST639" s="340"/>
      <c r="QSU639" s="340"/>
      <c r="QSV639" s="354"/>
      <c r="QSW639" s="313"/>
      <c r="QSX639" s="340"/>
      <c r="QSY639" s="340"/>
      <c r="QSZ639" s="354"/>
      <c r="QTA639" s="313"/>
      <c r="QTB639" s="340"/>
      <c r="QTC639" s="340"/>
      <c r="QTD639" s="354"/>
      <c r="QTE639" s="313"/>
      <c r="QTF639" s="340"/>
      <c r="QTG639" s="340"/>
      <c r="QTH639" s="354"/>
      <c r="QTI639" s="313"/>
      <c r="QTJ639" s="340"/>
      <c r="QTK639" s="340"/>
      <c r="QTL639" s="354"/>
      <c r="QTM639" s="313"/>
      <c r="QTN639" s="340"/>
      <c r="QTO639" s="340"/>
      <c r="QTP639" s="354"/>
      <c r="QTQ639" s="313"/>
      <c r="QTR639" s="340"/>
      <c r="QTS639" s="340"/>
      <c r="QTT639" s="354"/>
      <c r="QTU639" s="313"/>
      <c r="QTV639" s="340"/>
      <c r="QTW639" s="340"/>
      <c r="QTX639" s="354"/>
      <c r="QTY639" s="313"/>
      <c r="QTZ639" s="340"/>
      <c r="QUA639" s="340"/>
      <c r="QUB639" s="354"/>
      <c r="QUC639" s="313"/>
      <c r="QUD639" s="340"/>
      <c r="QUE639" s="340"/>
      <c r="QUF639" s="354"/>
      <c r="QUG639" s="313"/>
      <c r="QUH639" s="340"/>
      <c r="QUI639" s="340"/>
      <c r="QUJ639" s="354"/>
      <c r="QUK639" s="313"/>
      <c r="QUL639" s="340"/>
      <c r="QUM639" s="340"/>
      <c r="QUN639" s="354"/>
      <c r="QUO639" s="313"/>
      <c r="QUP639" s="340"/>
      <c r="QUQ639" s="340"/>
      <c r="QUR639" s="354"/>
      <c r="QUS639" s="313"/>
      <c r="QUT639" s="340"/>
      <c r="QUU639" s="340"/>
      <c r="QUV639" s="354"/>
      <c r="QUW639" s="313"/>
      <c r="QUX639" s="340"/>
      <c r="QUY639" s="340"/>
      <c r="QUZ639" s="354"/>
      <c r="QVA639" s="313"/>
      <c r="QVB639" s="340"/>
      <c r="QVC639" s="340"/>
      <c r="QVD639" s="354"/>
      <c r="QVE639" s="313"/>
      <c r="QVF639" s="340"/>
      <c r="QVG639" s="340"/>
      <c r="QVH639" s="354"/>
      <c r="QVI639" s="313"/>
      <c r="QVJ639" s="340"/>
      <c r="QVK639" s="340"/>
      <c r="QVL639" s="354"/>
      <c r="QVM639" s="313"/>
      <c r="QVN639" s="340"/>
      <c r="QVO639" s="340"/>
      <c r="QVP639" s="354"/>
      <c r="QVQ639" s="313"/>
      <c r="QVR639" s="340"/>
      <c r="QVS639" s="340"/>
      <c r="QVT639" s="354"/>
      <c r="QVU639" s="313"/>
      <c r="QVV639" s="340"/>
      <c r="QVW639" s="340"/>
      <c r="QVX639" s="354"/>
      <c r="QVY639" s="313"/>
      <c r="QVZ639" s="340"/>
      <c r="QWA639" s="340"/>
      <c r="QWB639" s="354"/>
      <c r="QWC639" s="313"/>
      <c r="QWD639" s="340"/>
      <c r="QWE639" s="340"/>
      <c r="QWF639" s="354"/>
      <c r="QWG639" s="313"/>
      <c r="QWH639" s="340"/>
      <c r="QWI639" s="340"/>
      <c r="QWJ639" s="354"/>
      <c r="QWK639" s="313"/>
      <c r="QWL639" s="340"/>
      <c r="QWM639" s="340"/>
      <c r="QWN639" s="354"/>
      <c r="QWO639" s="313"/>
      <c r="QWP639" s="340"/>
      <c r="QWQ639" s="340"/>
      <c r="QWR639" s="354"/>
      <c r="QWS639" s="313"/>
      <c r="QWT639" s="340"/>
      <c r="QWU639" s="340"/>
      <c r="QWV639" s="354"/>
      <c r="QWW639" s="313"/>
      <c r="QWX639" s="340"/>
      <c r="QWY639" s="340"/>
      <c r="QWZ639" s="354"/>
      <c r="QXA639" s="313"/>
      <c r="QXB639" s="340"/>
      <c r="QXC639" s="340"/>
      <c r="QXD639" s="354"/>
      <c r="QXE639" s="313"/>
      <c r="QXF639" s="340"/>
      <c r="QXG639" s="340"/>
      <c r="QXH639" s="354"/>
      <c r="QXI639" s="313"/>
      <c r="QXJ639" s="340"/>
      <c r="QXK639" s="340"/>
      <c r="QXL639" s="354"/>
      <c r="QXM639" s="313"/>
      <c r="QXN639" s="340"/>
      <c r="QXO639" s="340"/>
      <c r="QXP639" s="354"/>
      <c r="QXQ639" s="313"/>
      <c r="QXR639" s="340"/>
      <c r="QXS639" s="340"/>
      <c r="QXT639" s="354"/>
      <c r="QXU639" s="313"/>
      <c r="QXV639" s="340"/>
      <c r="QXW639" s="340"/>
      <c r="QXX639" s="354"/>
      <c r="QXY639" s="313"/>
      <c r="QXZ639" s="340"/>
      <c r="QYA639" s="340"/>
      <c r="QYB639" s="354"/>
      <c r="QYC639" s="313"/>
      <c r="QYD639" s="340"/>
      <c r="QYE639" s="340"/>
      <c r="QYF639" s="354"/>
      <c r="QYG639" s="313"/>
      <c r="QYH639" s="340"/>
      <c r="QYI639" s="340"/>
      <c r="QYJ639" s="354"/>
      <c r="QYK639" s="313"/>
      <c r="QYL639" s="340"/>
      <c r="QYM639" s="340"/>
      <c r="QYN639" s="354"/>
      <c r="QYO639" s="313"/>
      <c r="QYP639" s="340"/>
      <c r="QYQ639" s="340"/>
      <c r="QYR639" s="354"/>
      <c r="QYS639" s="313"/>
      <c r="QYT639" s="340"/>
      <c r="QYU639" s="340"/>
      <c r="QYV639" s="354"/>
      <c r="QYW639" s="313"/>
      <c r="QYX639" s="340"/>
      <c r="QYY639" s="340"/>
      <c r="QYZ639" s="354"/>
      <c r="QZA639" s="313"/>
      <c r="QZB639" s="340"/>
      <c r="QZC639" s="340"/>
      <c r="QZD639" s="354"/>
      <c r="QZE639" s="313"/>
      <c r="QZF639" s="340"/>
      <c r="QZG639" s="340"/>
      <c r="QZH639" s="354"/>
      <c r="QZI639" s="313"/>
      <c r="QZJ639" s="340"/>
      <c r="QZK639" s="340"/>
      <c r="QZL639" s="354"/>
      <c r="QZM639" s="313"/>
      <c r="QZN639" s="340"/>
      <c r="QZO639" s="340"/>
      <c r="QZP639" s="354"/>
      <c r="QZQ639" s="313"/>
      <c r="QZR639" s="340"/>
      <c r="QZS639" s="340"/>
      <c r="QZT639" s="354"/>
      <c r="QZU639" s="313"/>
      <c r="QZV639" s="340"/>
      <c r="QZW639" s="340"/>
      <c r="QZX639" s="354"/>
      <c r="QZY639" s="313"/>
      <c r="QZZ639" s="340"/>
      <c r="RAA639" s="340"/>
      <c r="RAB639" s="354"/>
      <c r="RAC639" s="313"/>
      <c r="RAD639" s="340"/>
      <c r="RAE639" s="340"/>
      <c r="RAF639" s="354"/>
      <c r="RAG639" s="313"/>
      <c r="RAH639" s="340"/>
      <c r="RAI639" s="340"/>
      <c r="RAJ639" s="354"/>
      <c r="RAK639" s="313"/>
      <c r="RAL639" s="340"/>
      <c r="RAM639" s="340"/>
      <c r="RAN639" s="354"/>
      <c r="RAO639" s="313"/>
      <c r="RAP639" s="340"/>
      <c r="RAQ639" s="340"/>
      <c r="RAR639" s="354"/>
      <c r="RAS639" s="313"/>
      <c r="RAT639" s="340"/>
      <c r="RAU639" s="340"/>
      <c r="RAV639" s="354"/>
      <c r="RAW639" s="313"/>
      <c r="RAX639" s="340"/>
      <c r="RAY639" s="340"/>
      <c r="RAZ639" s="354"/>
      <c r="RBA639" s="313"/>
      <c r="RBB639" s="340"/>
      <c r="RBC639" s="340"/>
      <c r="RBD639" s="354"/>
      <c r="RBE639" s="313"/>
      <c r="RBF639" s="340"/>
      <c r="RBG639" s="340"/>
      <c r="RBH639" s="354"/>
      <c r="RBI639" s="313"/>
      <c r="RBJ639" s="340"/>
      <c r="RBK639" s="340"/>
      <c r="RBL639" s="354"/>
      <c r="RBM639" s="313"/>
      <c r="RBN639" s="340"/>
      <c r="RBO639" s="340"/>
      <c r="RBP639" s="354"/>
      <c r="RBQ639" s="313"/>
      <c r="RBR639" s="340"/>
      <c r="RBS639" s="340"/>
      <c r="RBT639" s="354"/>
      <c r="RBU639" s="313"/>
      <c r="RBV639" s="340"/>
      <c r="RBW639" s="340"/>
      <c r="RBX639" s="354"/>
      <c r="RBY639" s="313"/>
      <c r="RBZ639" s="340"/>
      <c r="RCA639" s="340"/>
      <c r="RCB639" s="354"/>
      <c r="RCC639" s="313"/>
      <c r="RCD639" s="340"/>
      <c r="RCE639" s="340"/>
      <c r="RCF639" s="354"/>
      <c r="RCG639" s="313"/>
      <c r="RCH639" s="340"/>
      <c r="RCI639" s="340"/>
      <c r="RCJ639" s="354"/>
      <c r="RCK639" s="313"/>
      <c r="RCL639" s="340"/>
      <c r="RCM639" s="340"/>
      <c r="RCN639" s="354"/>
      <c r="RCO639" s="313"/>
      <c r="RCP639" s="340"/>
      <c r="RCQ639" s="340"/>
      <c r="RCR639" s="354"/>
      <c r="RCS639" s="313"/>
      <c r="RCT639" s="340"/>
      <c r="RCU639" s="340"/>
      <c r="RCV639" s="354"/>
      <c r="RCW639" s="313"/>
      <c r="RCX639" s="340"/>
      <c r="RCY639" s="340"/>
      <c r="RCZ639" s="354"/>
      <c r="RDA639" s="313"/>
      <c r="RDB639" s="340"/>
      <c r="RDC639" s="340"/>
      <c r="RDD639" s="354"/>
      <c r="RDE639" s="313"/>
      <c r="RDF639" s="340"/>
      <c r="RDG639" s="340"/>
      <c r="RDH639" s="354"/>
      <c r="RDI639" s="313"/>
      <c r="RDJ639" s="340"/>
      <c r="RDK639" s="340"/>
      <c r="RDL639" s="354"/>
      <c r="RDM639" s="313"/>
      <c r="RDN639" s="340"/>
      <c r="RDO639" s="340"/>
      <c r="RDP639" s="354"/>
      <c r="RDQ639" s="313"/>
      <c r="RDR639" s="340"/>
      <c r="RDS639" s="340"/>
      <c r="RDT639" s="354"/>
      <c r="RDU639" s="313"/>
      <c r="RDV639" s="340"/>
      <c r="RDW639" s="340"/>
      <c r="RDX639" s="354"/>
      <c r="RDY639" s="313"/>
      <c r="RDZ639" s="340"/>
      <c r="REA639" s="340"/>
      <c r="REB639" s="354"/>
      <c r="REC639" s="313"/>
      <c r="RED639" s="340"/>
      <c r="REE639" s="340"/>
      <c r="REF639" s="354"/>
      <c r="REG639" s="313"/>
      <c r="REH639" s="340"/>
      <c r="REI639" s="340"/>
      <c r="REJ639" s="354"/>
      <c r="REK639" s="313"/>
      <c r="REL639" s="340"/>
      <c r="REM639" s="340"/>
      <c r="REN639" s="354"/>
      <c r="REO639" s="313"/>
      <c r="REP639" s="340"/>
      <c r="REQ639" s="340"/>
      <c r="RER639" s="354"/>
      <c r="RES639" s="313"/>
      <c r="RET639" s="340"/>
      <c r="REU639" s="340"/>
      <c r="REV639" s="354"/>
      <c r="REW639" s="313"/>
      <c r="REX639" s="340"/>
      <c r="REY639" s="340"/>
      <c r="REZ639" s="354"/>
      <c r="RFA639" s="313"/>
      <c r="RFB639" s="340"/>
      <c r="RFC639" s="340"/>
      <c r="RFD639" s="354"/>
      <c r="RFE639" s="313"/>
      <c r="RFF639" s="340"/>
      <c r="RFG639" s="340"/>
      <c r="RFH639" s="354"/>
      <c r="RFI639" s="313"/>
      <c r="RFJ639" s="340"/>
      <c r="RFK639" s="340"/>
      <c r="RFL639" s="354"/>
      <c r="RFM639" s="313"/>
      <c r="RFN639" s="340"/>
      <c r="RFO639" s="340"/>
      <c r="RFP639" s="354"/>
      <c r="RFQ639" s="313"/>
      <c r="RFR639" s="340"/>
      <c r="RFS639" s="340"/>
      <c r="RFT639" s="354"/>
      <c r="RFU639" s="313"/>
      <c r="RFV639" s="340"/>
      <c r="RFW639" s="340"/>
      <c r="RFX639" s="354"/>
      <c r="RFY639" s="313"/>
      <c r="RFZ639" s="340"/>
      <c r="RGA639" s="340"/>
      <c r="RGB639" s="354"/>
      <c r="RGC639" s="313"/>
      <c r="RGD639" s="340"/>
      <c r="RGE639" s="340"/>
      <c r="RGF639" s="354"/>
      <c r="RGG639" s="313"/>
      <c r="RGH639" s="340"/>
      <c r="RGI639" s="340"/>
      <c r="RGJ639" s="354"/>
      <c r="RGK639" s="313"/>
      <c r="RGL639" s="340"/>
      <c r="RGM639" s="340"/>
      <c r="RGN639" s="354"/>
      <c r="RGO639" s="313"/>
      <c r="RGP639" s="340"/>
      <c r="RGQ639" s="340"/>
      <c r="RGR639" s="354"/>
      <c r="RGS639" s="313"/>
      <c r="RGT639" s="340"/>
      <c r="RGU639" s="340"/>
      <c r="RGV639" s="354"/>
      <c r="RGW639" s="313"/>
      <c r="RGX639" s="340"/>
      <c r="RGY639" s="340"/>
      <c r="RGZ639" s="354"/>
      <c r="RHA639" s="313"/>
      <c r="RHB639" s="340"/>
      <c r="RHC639" s="340"/>
      <c r="RHD639" s="354"/>
      <c r="RHE639" s="313"/>
      <c r="RHF639" s="340"/>
      <c r="RHG639" s="340"/>
      <c r="RHH639" s="354"/>
      <c r="RHI639" s="313"/>
      <c r="RHJ639" s="340"/>
      <c r="RHK639" s="340"/>
      <c r="RHL639" s="354"/>
      <c r="RHM639" s="313"/>
      <c r="RHN639" s="340"/>
      <c r="RHO639" s="340"/>
      <c r="RHP639" s="354"/>
      <c r="RHQ639" s="313"/>
      <c r="RHR639" s="340"/>
      <c r="RHS639" s="340"/>
      <c r="RHT639" s="354"/>
      <c r="RHU639" s="313"/>
      <c r="RHV639" s="340"/>
      <c r="RHW639" s="340"/>
      <c r="RHX639" s="354"/>
      <c r="RHY639" s="313"/>
      <c r="RHZ639" s="340"/>
      <c r="RIA639" s="340"/>
      <c r="RIB639" s="354"/>
      <c r="RIC639" s="313"/>
      <c r="RID639" s="340"/>
      <c r="RIE639" s="340"/>
      <c r="RIF639" s="354"/>
      <c r="RIG639" s="313"/>
      <c r="RIH639" s="340"/>
      <c r="RII639" s="340"/>
      <c r="RIJ639" s="354"/>
      <c r="RIK639" s="313"/>
      <c r="RIL639" s="340"/>
      <c r="RIM639" s="340"/>
      <c r="RIN639" s="354"/>
      <c r="RIO639" s="313"/>
      <c r="RIP639" s="340"/>
      <c r="RIQ639" s="340"/>
      <c r="RIR639" s="354"/>
      <c r="RIS639" s="313"/>
      <c r="RIT639" s="340"/>
      <c r="RIU639" s="340"/>
      <c r="RIV639" s="354"/>
      <c r="RIW639" s="313"/>
      <c r="RIX639" s="340"/>
      <c r="RIY639" s="340"/>
      <c r="RIZ639" s="354"/>
      <c r="RJA639" s="313"/>
      <c r="RJB639" s="340"/>
      <c r="RJC639" s="340"/>
      <c r="RJD639" s="354"/>
      <c r="RJE639" s="313"/>
      <c r="RJF639" s="340"/>
      <c r="RJG639" s="340"/>
      <c r="RJH639" s="354"/>
      <c r="RJI639" s="313"/>
      <c r="RJJ639" s="340"/>
      <c r="RJK639" s="340"/>
      <c r="RJL639" s="354"/>
      <c r="RJM639" s="313"/>
      <c r="RJN639" s="340"/>
      <c r="RJO639" s="340"/>
      <c r="RJP639" s="354"/>
      <c r="RJQ639" s="313"/>
      <c r="RJR639" s="340"/>
      <c r="RJS639" s="340"/>
      <c r="RJT639" s="354"/>
      <c r="RJU639" s="313"/>
      <c r="RJV639" s="340"/>
      <c r="RJW639" s="340"/>
      <c r="RJX639" s="354"/>
      <c r="RJY639" s="313"/>
      <c r="RJZ639" s="340"/>
      <c r="RKA639" s="340"/>
      <c r="RKB639" s="354"/>
      <c r="RKC639" s="313"/>
      <c r="RKD639" s="340"/>
      <c r="RKE639" s="340"/>
      <c r="RKF639" s="354"/>
      <c r="RKG639" s="313"/>
      <c r="RKH639" s="340"/>
      <c r="RKI639" s="340"/>
      <c r="RKJ639" s="354"/>
      <c r="RKK639" s="313"/>
      <c r="RKL639" s="340"/>
      <c r="RKM639" s="340"/>
      <c r="RKN639" s="354"/>
      <c r="RKO639" s="313"/>
      <c r="RKP639" s="340"/>
      <c r="RKQ639" s="340"/>
      <c r="RKR639" s="354"/>
      <c r="RKS639" s="313"/>
      <c r="RKT639" s="340"/>
      <c r="RKU639" s="340"/>
      <c r="RKV639" s="354"/>
      <c r="RKW639" s="313"/>
      <c r="RKX639" s="340"/>
      <c r="RKY639" s="340"/>
      <c r="RKZ639" s="354"/>
      <c r="RLA639" s="313"/>
      <c r="RLB639" s="340"/>
      <c r="RLC639" s="340"/>
      <c r="RLD639" s="354"/>
      <c r="RLE639" s="313"/>
      <c r="RLF639" s="340"/>
      <c r="RLG639" s="340"/>
      <c r="RLH639" s="354"/>
      <c r="RLI639" s="313"/>
      <c r="RLJ639" s="340"/>
      <c r="RLK639" s="340"/>
      <c r="RLL639" s="354"/>
      <c r="RLM639" s="313"/>
      <c r="RLN639" s="340"/>
      <c r="RLO639" s="340"/>
      <c r="RLP639" s="354"/>
      <c r="RLQ639" s="313"/>
      <c r="RLR639" s="340"/>
      <c r="RLS639" s="340"/>
      <c r="RLT639" s="354"/>
      <c r="RLU639" s="313"/>
      <c r="RLV639" s="340"/>
      <c r="RLW639" s="340"/>
      <c r="RLX639" s="354"/>
      <c r="RLY639" s="313"/>
      <c r="RLZ639" s="340"/>
      <c r="RMA639" s="340"/>
      <c r="RMB639" s="354"/>
      <c r="RMC639" s="313"/>
      <c r="RMD639" s="340"/>
      <c r="RME639" s="340"/>
      <c r="RMF639" s="354"/>
      <c r="RMG639" s="313"/>
      <c r="RMH639" s="340"/>
      <c r="RMI639" s="340"/>
      <c r="RMJ639" s="354"/>
      <c r="RMK639" s="313"/>
      <c r="RML639" s="340"/>
      <c r="RMM639" s="340"/>
      <c r="RMN639" s="354"/>
      <c r="RMO639" s="313"/>
      <c r="RMP639" s="340"/>
      <c r="RMQ639" s="340"/>
      <c r="RMR639" s="354"/>
      <c r="RMS639" s="313"/>
      <c r="RMT639" s="340"/>
      <c r="RMU639" s="340"/>
      <c r="RMV639" s="354"/>
      <c r="RMW639" s="313"/>
      <c r="RMX639" s="340"/>
      <c r="RMY639" s="340"/>
      <c r="RMZ639" s="354"/>
      <c r="RNA639" s="313"/>
      <c r="RNB639" s="340"/>
      <c r="RNC639" s="340"/>
      <c r="RND639" s="354"/>
      <c r="RNE639" s="313"/>
      <c r="RNF639" s="340"/>
      <c r="RNG639" s="340"/>
      <c r="RNH639" s="354"/>
      <c r="RNI639" s="313"/>
      <c r="RNJ639" s="340"/>
      <c r="RNK639" s="340"/>
      <c r="RNL639" s="354"/>
      <c r="RNM639" s="313"/>
      <c r="RNN639" s="340"/>
      <c r="RNO639" s="340"/>
      <c r="RNP639" s="354"/>
      <c r="RNQ639" s="313"/>
      <c r="RNR639" s="340"/>
      <c r="RNS639" s="340"/>
      <c r="RNT639" s="354"/>
      <c r="RNU639" s="313"/>
      <c r="RNV639" s="340"/>
      <c r="RNW639" s="340"/>
      <c r="RNX639" s="354"/>
      <c r="RNY639" s="313"/>
      <c r="RNZ639" s="340"/>
      <c r="ROA639" s="340"/>
      <c r="ROB639" s="354"/>
      <c r="ROC639" s="313"/>
      <c r="ROD639" s="340"/>
      <c r="ROE639" s="340"/>
      <c r="ROF639" s="354"/>
      <c r="ROG639" s="313"/>
      <c r="ROH639" s="340"/>
      <c r="ROI639" s="340"/>
      <c r="ROJ639" s="354"/>
      <c r="ROK639" s="313"/>
      <c r="ROL639" s="340"/>
      <c r="ROM639" s="340"/>
      <c r="RON639" s="354"/>
      <c r="ROO639" s="313"/>
      <c r="ROP639" s="340"/>
      <c r="ROQ639" s="340"/>
      <c r="ROR639" s="354"/>
      <c r="ROS639" s="313"/>
      <c r="ROT639" s="340"/>
      <c r="ROU639" s="340"/>
      <c r="ROV639" s="354"/>
      <c r="ROW639" s="313"/>
      <c r="ROX639" s="340"/>
      <c r="ROY639" s="340"/>
      <c r="ROZ639" s="354"/>
      <c r="RPA639" s="313"/>
      <c r="RPB639" s="340"/>
      <c r="RPC639" s="340"/>
      <c r="RPD639" s="354"/>
      <c r="RPE639" s="313"/>
      <c r="RPF639" s="340"/>
      <c r="RPG639" s="340"/>
      <c r="RPH639" s="354"/>
      <c r="RPI639" s="313"/>
      <c r="RPJ639" s="340"/>
      <c r="RPK639" s="340"/>
      <c r="RPL639" s="354"/>
      <c r="RPM639" s="313"/>
      <c r="RPN639" s="340"/>
      <c r="RPO639" s="340"/>
      <c r="RPP639" s="354"/>
      <c r="RPQ639" s="313"/>
      <c r="RPR639" s="340"/>
      <c r="RPS639" s="340"/>
      <c r="RPT639" s="354"/>
      <c r="RPU639" s="313"/>
      <c r="RPV639" s="340"/>
      <c r="RPW639" s="340"/>
      <c r="RPX639" s="354"/>
      <c r="RPY639" s="313"/>
      <c r="RPZ639" s="340"/>
      <c r="RQA639" s="340"/>
      <c r="RQB639" s="354"/>
      <c r="RQC639" s="313"/>
      <c r="RQD639" s="340"/>
      <c r="RQE639" s="340"/>
      <c r="RQF639" s="354"/>
      <c r="RQG639" s="313"/>
      <c r="RQH639" s="340"/>
      <c r="RQI639" s="340"/>
      <c r="RQJ639" s="354"/>
      <c r="RQK639" s="313"/>
      <c r="RQL639" s="340"/>
      <c r="RQM639" s="340"/>
      <c r="RQN639" s="354"/>
      <c r="RQO639" s="313"/>
      <c r="RQP639" s="340"/>
      <c r="RQQ639" s="340"/>
      <c r="RQR639" s="354"/>
      <c r="RQS639" s="313"/>
      <c r="RQT639" s="340"/>
      <c r="RQU639" s="340"/>
      <c r="RQV639" s="354"/>
      <c r="RQW639" s="313"/>
      <c r="RQX639" s="340"/>
      <c r="RQY639" s="340"/>
      <c r="RQZ639" s="354"/>
      <c r="RRA639" s="313"/>
      <c r="RRB639" s="340"/>
      <c r="RRC639" s="340"/>
      <c r="RRD639" s="354"/>
      <c r="RRE639" s="313"/>
      <c r="RRF639" s="340"/>
      <c r="RRG639" s="340"/>
      <c r="RRH639" s="354"/>
      <c r="RRI639" s="313"/>
      <c r="RRJ639" s="340"/>
      <c r="RRK639" s="340"/>
      <c r="RRL639" s="354"/>
      <c r="RRM639" s="313"/>
      <c r="RRN639" s="340"/>
      <c r="RRO639" s="340"/>
      <c r="RRP639" s="354"/>
      <c r="RRQ639" s="313"/>
      <c r="RRR639" s="340"/>
      <c r="RRS639" s="340"/>
      <c r="RRT639" s="354"/>
      <c r="RRU639" s="313"/>
      <c r="RRV639" s="340"/>
      <c r="RRW639" s="340"/>
      <c r="RRX639" s="354"/>
      <c r="RRY639" s="313"/>
      <c r="RRZ639" s="340"/>
      <c r="RSA639" s="340"/>
      <c r="RSB639" s="354"/>
      <c r="RSC639" s="313"/>
      <c r="RSD639" s="340"/>
      <c r="RSE639" s="340"/>
      <c r="RSF639" s="354"/>
      <c r="RSG639" s="313"/>
      <c r="RSH639" s="340"/>
      <c r="RSI639" s="340"/>
      <c r="RSJ639" s="354"/>
      <c r="RSK639" s="313"/>
      <c r="RSL639" s="340"/>
      <c r="RSM639" s="340"/>
      <c r="RSN639" s="354"/>
      <c r="RSO639" s="313"/>
      <c r="RSP639" s="340"/>
      <c r="RSQ639" s="340"/>
      <c r="RSR639" s="354"/>
      <c r="RSS639" s="313"/>
      <c r="RST639" s="340"/>
      <c r="RSU639" s="340"/>
      <c r="RSV639" s="354"/>
      <c r="RSW639" s="313"/>
      <c r="RSX639" s="340"/>
      <c r="RSY639" s="340"/>
      <c r="RSZ639" s="354"/>
      <c r="RTA639" s="313"/>
      <c r="RTB639" s="340"/>
      <c r="RTC639" s="340"/>
      <c r="RTD639" s="354"/>
      <c r="RTE639" s="313"/>
      <c r="RTF639" s="340"/>
      <c r="RTG639" s="340"/>
      <c r="RTH639" s="354"/>
      <c r="RTI639" s="313"/>
      <c r="RTJ639" s="340"/>
      <c r="RTK639" s="340"/>
      <c r="RTL639" s="354"/>
      <c r="RTM639" s="313"/>
      <c r="RTN639" s="340"/>
      <c r="RTO639" s="340"/>
      <c r="RTP639" s="354"/>
      <c r="RTQ639" s="313"/>
      <c r="RTR639" s="340"/>
      <c r="RTS639" s="340"/>
      <c r="RTT639" s="354"/>
      <c r="RTU639" s="313"/>
      <c r="RTV639" s="340"/>
      <c r="RTW639" s="340"/>
      <c r="RTX639" s="354"/>
      <c r="RTY639" s="313"/>
      <c r="RTZ639" s="340"/>
      <c r="RUA639" s="340"/>
      <c r="RUB639" s="354"/>
      <c r="RUC639" s="313"/>
      <c r="RUD639" s="340"/>
      <c r="RUE639" s="340"/>
      <c r="RUF639" s="354"/>
      <c r="RUG639" s="313"/>
      <c r="RUH639" s="340"/>
      <c r="RUI639" s="340"/>
      <c r="RUJ639" s="354"/>
      <c r="RUK639" s="313"/>
      <c r="RUL639" s="340"/>
      <c r="RUM639" s="340"/>
      <c r="RUN639" s="354"/>
      <c r="RUO639" s="313"/>
      <c r="RUP639" s="340"/>
      <c r="RUQ639" s="340"/>
      <c r="RUR639" s="354"/>
      <c r="RUS639" s="313"/>
      <c r="RUT639" s="340"/>
      <c r="RUU639" s="340"/>
      <c r="RUV639" s="354"/>
      <c r="RUW639" s="313"/>
      <c r="RUX639" s="340"/>
      <c r="RUY639" s="340"/>
      <c r="RUZ639" s="354"/>
      <c r="RVA639" s="313"/>
      <c r="RVB639" s="340"/>
      <c r="RVC639" s="340"/>
      <c r="RVD639" s="354"/>
      <c r="RVE639" s="313"/>
      <c r="RVF639" s="340"/>
      <c r="RVG639" s="340"/>
      <c r="RVH639" s="354"/>
      <c r="RVI639" s="313"/>
      <c r="RVJ639" s="340"/>
      <c r="RVK639" s="340"/>
      <c r="RVL639" s="354"/>
      <c r="RVM639" s="313"/>
      <c r="RVN639" s="340"/>
      <c r="RVO639" s="340"/>
      <c r="RVP639" s="354"/>
      <c r="RVQ639" s="313"/>
      <c r="RVR639" s="340"/>
      <c r="RVS639" s="340"/>
      <c r="RVT639" s="354"/>
      <c r="RVU639" s="313"/>
      <c r="RVV639" s="340"/>
      <c r="RVW639" s="340"/>
      <c r="RVX639" s="354"/>
      <c r="RVY639" s="313"/>
      <c r="RVZ639" s="340"/>
      <c r="RWA639" s="340"/>
      <c r="RWB639" s="354"/>
      <c r="RWC639" s="313"/>
      <c r="RWD639" s="340"/>
      <c r="RWE639" s="340"/>
      <c r="RWF639" s="354"/>
      <c r="RWG639" s="313"/>
      <c r="RWH639" s="340"/>
      <c r="RWI639" s="340"/>
      <c r="RWJ639" s="354"/>
      <c r="RWK639" s="313"/>
      <c r="RWL639" s="340"/>
      <c r="RWM639" s="340"/>
      <c r="RWN639" s="354"/>
      <c r="RWO639" s="313"/>
      <c r="RWP639" s="340"/>
      <c r="RWQ639" s="340"/>
      <c r="RWR639" s="354"/>
      <c r="RWS639" s="313"/>
      <c r="RWT639" s="340"/>
      <c r="RWU639" s="340"/>
      <c r="RWV639" s="354"/>
      <c r="RWW639" s="313"/>
      <c r="RWX639" s="340"/>
      <c r="RWY639" s="340"/>
      <c r="RWZ639" s="354"/>
      <c r="RXA639" s="313"/>
      <c r="RXB639" s="340"/>
      <c r="RXC639" s="340"/>
      <c r="RXD639" s="354"/>
      <c r="RXE639" s="313"/>
      <c r="RXF639" s="340"/>
      <c r="RXG639" s="340"/>
      <c r="RXH639" s="354"/>
      <c r="RXI639" s="313"/>
      <c r="RXJ639" s="340"/>
      <c r="RXK639" s="340"/>
      <c r="RXL639" s="354"/>
      <c r="RXM639" s="313"/>
      <c r="RXN639" s="340"/>
      <c r="RXO639" s="340"/>
      <c r="RXP639" s="354"/>
      <c r="RXQ639" s="313"/>
      <c r="RXR639" s="340"/>
      <c r="RXS639" s="340"/>
      <c r="RXT639" s="354"/>
      <c r="RXU639" s="313"/>
      <c r="RXV639" s="340"/>
      <c r="RXW639" s="340"/>
      <c r="RXX639" s="354"/>
      <c r="RXY639" s="313"/>
      <c r="RXZ639" s="340"/>
      <c r="RYA639" s="340"/>
      <c r="RYB639" s="354"/>
      <c r="RYC639" s="313"/>
      <c r="RYD639" s="340"/>
      <c r="RYE639" s="340"/>
      <c r="RYF639" s="354"/>
      <c r="RYG639" s="313"/>
      <c r="RYH639" s="340"/>
      <c r="RYI639" s="340"/>
      <c r="RYJ639" s="354"/>
      <c r="RYK639" s="313"/>
      <c r="RYL639" s="340"/>
      <c r="RYM639" s="340"/>
      <c r="RYN639" s="354"/>
      <c r="RYO639" s="313"/>
      <c r="RYP639" s="340"/>
      <c r="RYQ639" s="340"/>
      <c r="RYR639" s="354"/>
      <c r="RYS639" s="313"/>
      <c r="RYT639" s="340"/>
      <c r="RYU639" s="340"/>
      <c r="RYV639" s="354"/>
      <c r="RYW639" s="313"/>
      <c r="RYX639" s="340"/>
      <c r="RYY639" s="340"/>
      <c r="RYZ639" s="354"/>
      <c r="RZA639" s="313"/>
      <c r="RZB639" s="340"/>
      <c r="RZC639" s="340"/>
      <c r="RZD639" s="354"/>
      <c r="RZE639" s="313"/>
      <c r="RZF639" s="340"/>
      <c r="RZG639" s="340"/>
      <c r="RZH639" s="354"/>
      <c r="RZI639" s="313"/>
      <c r="RZJ639" s="340"/>
      <c r="RZK639" s="340"/>
      <c r="RZL639" s="354"/>
      <c r="RZM639" s="313"/>
      <c r="RZN639" s="340"/>
      <c r="RZO639" s="340"/>
      <c r="RZP639" s="354"/>
      <c r="RZQ639" s="313"/>
      <c r="RZR639" s="340"/>
      <c r="RZS639" s="340"/>
      <c r="RZT639" s="354"/>
      <c r="RZU639" s="313"/>
      <c r="RZV639" s="340"/>
      <c r="RZW639" s="340"/>
      <c r="RZX639" s="354"/>
      <c r="RZY639" s="313"/>
      <c r="RZZ639" s="340"/>
      <c r="SAA639" s="340"/>
      <c r="SAB639" s="354"/>
      <c r="SAC639" s="313"/>
      <c r="SAD639" s="340"/>
      <c r="SAE639" s="340"/>
      <c r="SAF639" s="354"/>
      <c r="SAG639" s="313"/>
      <c r="SAH639" s="340"/>
      <c r="SAI639" s="340"/>
      <c r="SAJ639" s="354"/>
      <c r="SAK639" s="313"/>
      <c r="SAL639" s="340"/>
      <c r="SAM639" s="340"/>
      <c r="SAN639" s="354"/>
      <c r="SAO639" s="313"/>
      <c r="SAP639" s="340"/>
      <c r="SAQ639" s="340"/>
      <c r="SAR639" s="354"/>
      <c r="SAS639" s="313"/>
      <c r="SAT639" s="340"/>
      <c r="SAU639" s="340"/>
      <c r="SAV639" s="354"/>
      <c r="SAW639" s="313"/>
      <c r="SAX639" s="340"/>
      <c r="SAY639" s="340"/>
      <c r="SAZ639" s="354"/>
      <c r="SBA639" s="313"/>
      <c r="SBB639" s="340"/>
      <c r="SBC639" s="340"/>
      <c r="SBD639" s="354"/>
      <c r="SBE639" s="313"/>
      <c r="SBF639" s="340"/>
      <c r="SBG639" s="340"/>
      <c r="SBH639" s="354"/>
      <c r="SBI639" s="313"/>
      <c r="SBJ639" s="340"/>
      <c r="SBK639" s="340"/>
      <c r="SBL639" s="354"/>
      <c r="SBM639" s="313"/>
      <c r="SBN639" s="340"/>
      <c r="SBO639" s="340"/>
      <c r="SBP639" s="354"/>
      <c r="SBQ639" s="313"/>
      <c r="SBR639" s="340"/>
      <c r="SBS639" s="340"/>
      <c r="SBT639" s="354"/>
      <c r="SBU639" s="313"/>
      <c r="SBV639" s="340"/>
      <c r="SBW639" s="340"/>
      <c r="SBX639" s="354"/>
      <c r="SBY639" s="313"/>
      <c r="SBZ639" s="340"/>
      <c r="SCA639" s="340"/>
      <c r="SCB639" s="354"/>
      <c r="SCC639" s="313"/>
      <c r="SCD639" s="340"/>
      <c r="SCE639" s="340"/>
      <c r="SCF639" s="354"/>
      <c r="SCG639" s="313"/>
      <c r="SCH639" s="340"/>
      <c r="SCI639" s="340"/>
      <c r="SCJ639" s="354"/>
      <c r="SCK639" s="313"/>
      <c r="SCL639" s="340"/>
      <c r="SCM639" s="340"/>
      <c r="SCN639" s="354"/>
      <c r="SCO639" s="313"/>
      <c r="SCP639" s="340"/>
      <c r="SCQ639" s="340"/>
      <c r="SCR639" s="354"/>
      <c r="SCS639" s="313"/>
      <c r="SCT639" s="340"/>
      <c r="SCU639" s="340"/>
      <c r="SCV639" s="354"/>
      <c r="SCW639" s="313"/>
      <c r="SCX639" s="340"/>
      <c r="SCY639" s="340"/>
      <c r="SCZ639" s="354"/>
      <c r="SDA639" s="313"/>
      <c r="SDB639" s="340"/>
      <c r="SDC639" s="340"/>
      <c r="SDD639" s="354"/>
      <c r="SDE639" s="313"/>
      <c r="SDF639" s="340"/>
      <c r="SDG639" s="340"/>
      <c r="SDH639" s="354"/>
      <c r="SDI639" s="313"/>
      <c r="SDJ639" s="340"/>
      <c r="SDK639" s="340"/>
      <c r="SDL639" s="354"/>
      <c r="SDM639" s="313"/>
      <c r="SDN639" s="340"/>
      <c r="SDO639" s="340"/>
      <c r="SDP639" s="354"/>
      <c r="SDQ639" s="313"/>
      <c r="SDR639" s="340"/>
      <c r="SDS639" s="340"/>
      <c r="SDT639" s="354"/>
      <c r="SDU639" s="313"/>
      <c r="SDV639" s="340"/>
      <c r="SDW639" s="340"/>
      <c r="SDX639" s="354"/>
      <c r="SDY639" s="313"/>
      <c r="SDZ639" s="340"/>
      <c r="SEA639" s="340"/>
      <c r="SEB639" s="354"/>
      <c r="SEC639" s="313"/>
      <c r="SED639" s="340"/>
      <c r="SEE639" s="340"/>
      <c r="SEF639" s="354"/>
      <c r="SEG639" s="313"/>
      <c r="SEH639" s="340"/>
      <c r="SEI639" s="340"/>
      <c r="SEJ639" s="354"/>
      <c r="SEK639" s="313"/>
      <c r="SEL639" s="340"/>
      <c r="SEM639" s="340"/>
      <c r="SEN639" s="354"/>
      <c r="SEO639" s="313"/>
      <c r="SEP639" s="340"/>
      <c r="SEQ639" s="340"/>
      <c r="SER639" s="354"/>
      <c r="SES639" s="313"/>
      <c r="SET639" s="340"/>
      <c r="SEU639" s="340"/>
      <c r="SEV639" s="354"/>
      <c r="SEW639" s="313"/>
      <c r="SEX639" s="340"/>
      <c r="SEY639" s="340"/>
      <c r="SEZ639" s="354"/>
      <c r="SFA639" s="313"/>
      <c r="SFB639" s="340"/>
      <c r="SFC639" s="340"/>
      <c r="SFD639" s="354"/>
      <c r="SFE639" s="313"/>
      <c r="SFF639" s="340"/>
      <c r="SFG639" s="340"/>
      <c r="SFH639" s="354"/>
      <c r="SFI639" s="313"/>
      <c r="SFJ639" s="340"/>
      <c r="SFK639" s="340"/>
      <c r="SFL639" s="354"/>
      <c r="SFM639" s="313"/>
      <c r="SFN639" s="340"/>
      <c r="SFO639" s="340"/>
      <c r="SFP639" s="354"/>
      <c r="SFQ639" s="313"/>
      <c r="SFR639" s="340"/>
      <c r="SFS639" s="340"/>
      <c r="SFT639" s="354"/>
      <c r="SFU639" s="313"/>
      <c r="SFV639" s="340"/>
      <c r="SFW639" s="340"/>
      <c r="SFX639" s="354"/>
      <c r="SFY639" s="313"/>
      <c r="SFZ639" s="340"/>
      <c r="SGA639" s="340"/>
      <c r="SGB639" s="354"/>
      <c r="SGC639" s="313"/>
      <c r="SGD639" s="340"/>
      <c r="SGE639" s="340"/>
      <c r="SGF639" s="354"/>
      <c r="SGG639" s="313"/>
      <c r="SGH639" s="340"/>
      <c r="SGI639" s="340"/>
      <c r="SGJ639" s="354"/>
      <c r="SGK639" s="313"/>
      <c r="SGL639" s="340"/>
      <c r="SGM639" s="340"/>
      <c r="SGN639" s="354"/>
      <c r="SGO639" s="313"/>
      <c r="SGP639" s="340"/>
      <c r="SGQ639" s="340"/>
      <c r="SGR639" s="354"/>
      <c r="SGS639" s="313"/>
      <c r="SGT639" s="340"/>
      <c r="SGU639" s="340"/>
      <c r="SGV639" s="354"/>
      <c r="SGW639" s="313"/>
      <c r="SGX639" s="340"/>
      <c r="SGY639" s="340"/>
      <c r="SGZ639" s="354"/>
      <c r="SHA639" s="313"/>
      <c r="SHB639" s="340"/>
      <c r="SHC639" s="340"/>
      <c r="SHD639" s="354"/>
      <c r="SHE639" s="313"/>
      <c r="SHF639" s="340"/>
      <c r="SHG639" s="340"/>
      <c r="SHH639" s="354"/>
      <c r="SHI639" s="313"/>
      <c r="SHJ639" s="340"/>
      <c r="SHK639" s="340"/>
      <c r="SHL639" s="354"/>
      <c r="SHM639" s="313"/>
      <c r="SHN639" s="340"/>
      <c r="SHO639" s="340"/>
      <c r="SHP639" s="354"/>
      <c r="SHQ639" s="313"/>
      <c r="SHR639" s="340"/>
      <c r="SHS639" s="340"/>
      <c r="SHT639" s="354"/>
      <c r="SHU639" s="313"/>
      <c r="SHV639" s="340"/>
      <c r="SHW639" s="340"/>
      <c r="SHX639" s="354"/>
      <c r="SHY639" s="313"/>
      <c r="SHZ639" s="340"/>
      <c r="SIA639" s="340"/>
      <c r="SIB639" s="354"/>
      <c r="SIC639" s="313"/>
      <c r="SID639" s="340"/>
      <c r="SIE639" s="340"/>
      <c r="SIF639" s="354"/>
      <c r="SIG639" s="313"/>
      <c r="SIH639" s="340"/>
      <c r="SII639" s="340"/>
      <c r="SIJ639" s="354"/>
      <c r="SIK639" s="313"/>
      <c r="SIL639" s="340"/>
      <c r="SIM639" s="340"/>
      <c r="SIN639" s="354"/>
      <c r="SIO639" s="313"/>
      <c r="SIP639" s="340"/>
      <c r="SIQ639" s="340"/>
      <c r="SIR639" s="354"/>
      <c r="SIS639" s="313"/>
      <c r="SIT639" s="340"/>
      <c r="SIU639" s="340"/>
      <c r="SIV639" s="354"/>
      <c r="SIW639" s="313"/>
      <c r="SIX639" s="340"/>
      <c r="SIY639" s="340"/>
      <c r="SIZ639" s="354"/>
      <c r="SJA639" s="313"/>
      <c r="SJB639" s="340"/>
      <c r="SJC639" s="340"/>
      <c r="SJD639" s="354"/>
      <c r="SJE639" s="313"/>
      <c r="SJF639" s="340"/>
      <c r="SJG639" s="340"/>
      <c r="SJH639" s="354"/>
      <c r="SJI639" s="313"/>
      <c r="SJJ639" s="340"/>
      <c r="SJK639" s="340"/>
      <c r="SJL639" s="354"/>
      <c r="SJM639" s="313"/>
      <c r="SJN639" s="340"/>
      <c r="SJO639" s="340"/>
      <c r="SJP639" s="354"/>
      <c r="SJQ639" s="313"/>
      <c r="SJR639" s="340"/>
      <c r="SJS639" s="340"/>
      <c r="SJT639" s="354"/>
      <c r="SJU639" s="313"/>
      <c r="SJV639" s="340"/>
      <c r="SJW639" s="340"/>
      <c r="SJX639" s="354"/>
      <c r="SJY639" s="313"/>
      <c r="SJZ639" s="340"/>
      <c r="SKA639" s="340"/>
      <c r="SKB639" s="354"/>
      <c r="SKC639" s="313"/>
      <c r="SKD639" s="340"/>
      <c r="SKE639" s="340"/>
      <c r="SKF639" s="354"/>
      <c r="SKG639" s="313"/>
      <c r="SKH639" s="340"/>
      <c r="SKI639" s="340"/>
      <c r="SKJ639" s="354"/>
      <c r="SKK639" s="313"/>
      <c r="SKL639" s="340"/>
      <c r="SKM639" s="340"/>
      <c r="SKN639" s="354"/>
      <c r="SKO639" s="313"/>
      <c r="SKP639" s="340"/>
      <c r="SKQ639" s="340"/>
      <c r="SKR639" s="354"/>
      <c r="SKS639" s="313"/>
      <c r="SKT639" s="340"/>
      <c r="SKU639" s="340"/>
      <c r="SKV639" s="354"/>
      <c r="SKW639" s="313"/>
      <c r="SKX639" s="340"/>
      <c r="SKY639" s="340"/>
      <c r="SKZ639" s="354"/>
      <c r="SLA639" s="313"/>
      <c r="SLB639" s="340"/>
      <c r="SLC639" s="340"/>
      <c r="SLD639" s="354"/>
      <c r="SLE639" s="313"/>
      <c r="SLF639" s="340"/>
      <c r="SLG639" s="340"/>
      <c r="SLH639" s="354"/>
      <c r="SLI639" s="313"/>
      <c r="SLJ639" s="340"/>
      <c r="SLK639" s="340"/>
      <c r="SLL639" s="354"/>
      <c r="SLM639" s="313"/>
      <c r="SLN639" s="340"/>
      <c r="SLO639" s="340"/>
      <c r="SLP639" s="354"/>
      <c r="SLQ639" s="313"/>
      <c r="SLR639" s="340"/>
      <c r="SLS639" s="340"/>
      <c r="SLT639" s="354"/>
      <c r="SLU639" s="313"/>
      <c r="SLV639" s="340"/>
      <c r="SLW639" s="340"/>
      <c r="SLX639" s="354"/>
      <c r="SLY639" s="313"/>
      <c r="SLZ639" s="340"/>
      <c r="SMA639" s="340"/>
      <c r="SMB639" s="354"/>
      <c r="SMC639" s="313"/>
      <c r="SMD639" s="340"/>
      <c r="SME639" s="340"/>
      <c r="SMF639" s="354"/>
      <c r="SMG639" s="313"/>
      <c r="SMH639" s="340"/>
      <c r="SMI639" s="340"/>
      <c r="SMJ639" s="354"/>
      <c r="SMK639" s="313"/>
      <c r="SML639" s="340"/>
      <c r="SMM639" s="340"/>
      <c r="SMN639" s="354"/>
      <c r="SMO639" s="313"/>
      <c r="SMP639" s="340"/>
      <c r="SMQ639" s="340"/>
      <c r="SMR639" s="354"/>
      <c r="SMS639" s="313"/>
      <c r="SMT639" s="340"/>
      <c r="SMU639" s="340"/>
      <c r="SMV639" s="354"/>
      <c r="SMW639" s="313"/>
      <c r="SMX639" s="340"/>
      <c r="SMY639" s="340"/>
      <c r="SMZ639" s="354"/>
      <c r="SNA639" s="313"/>
      <c r="SNB639" s="340"/>
      <c r="SNC639" s="340"/>
      <c r="SND639" s="354"/>
      <c r="SNE639" s="313"/>
      <c r="SNF639" s="340"/>
      <c r="SNG639" s="340"/>
      <c r="SNH639" s="354"/>
      <c r="SNI639" s="313"/>
      <c r="SNJ639" s="340"/>
      <c r="SNK639" s="340"/>
      <c r="SNL639" s="354"/>
      <c r="SNM639" s="313"/>
      <c r="SNN639" s="340"/>
      <c r="SNO639" s="340"/>
      <c r="SNP639" s="354"/>
      <c r="SNQ639" s="313"/>
      <c r="SNR639" s="340"/>
      <c r="SNS639" s="340"/>
      <c r="SNT639" s="354"/>
      <c r="SNU639" s="313"/>
      <c r="SNV639" s="340"/>
      <c r="SNW639" s="340"/>
      <c r="SNX639" s="354"/>
      <c r="SNY639" s="313"/>
      <c r="SNZ639" s="340"/>
      <c r="SOA639" s="340"/>
      <c r="SOB639" s="354"/>
      <c r="SOC639" s="313"/>
      <c r="SOD639" s="340"/>
      <c r="SOE639" s="340"/>
      <c r="SOF639" s="354"/>
      <c r="SOG639" s="313"/>
      <c r="SOH639" s="340"/>
      <c r="SOI639" s="340"/>
      <c r="SOJ639" s="354"/>
      <c r="SOK639" s="313"/>
      <c r="SOL639" s="340"/>
      <c r="SOM639" s="340"/>
      <c r="SON639" s="354"/>
      <c r="SOO639" s="313"/>
      <c r="SOP639" s="340"/>
      <c r="SOQ639" s="340"/>
      <c r="SOR639" s="354"/>
      <c r="SOS639" s="313"/>
      <c r="SOT639" s="340"/>
      <c r="SOU639" s="340"/>
      <c r="SOV639" s="354"/>
      <c r="SOW639" s="313"/>
      <c r="SOX639" s="340"/>
      <c r="SOY639" s="340"/>
      <c r="SOZ639" s="354"/>
      <c r="SPA639" s="313"/>
      <c r="SPB639" s="340"/>
      <c r="SPC639" s="340"/>
      <c r="SPD639" s="354"/>
      <c r="SPE639" s="313"/>
      <c r="SPF639" s="340"/>
      <c r="SPG639" s="340"/>
      <c r="SPH639" s="354"/>
      <c r="SPI639" s="313"/>
      <c r="SPJ639" s="340"/>
      <c r="SPK639" s="340"/>
      <c r="SPL639" s="354"/>
      <c r="SPM639" s="313"/>
      <c r="SPN639" s="340"/>
      <c r="SPO639" s="340"/>
      <c r="SPP639" s="354"/>
      <c r="SPQ639" s="313"/>
      <c r="SPR639" s="340"/>
      <c r="SPS639" s="340"/>
      <c r="SPT639" s="354"/>
      <c r="SPU639" s="313"/>
      <c r="SPV639" s="340"/>
      <c r="SPW639" s="340"/>
      <c r="SPX639" s="354"/>
      <c r="SPY639" s="313"/>
      <c r="SPZ639" s="340"/>
      <c r="SQA639" s="340"/>
      <c r="SQB639" s="354"/>
      <c r="SQC639" s="313"/>
      <c r="SQD639" s="340"/>
      <c r="SQE639" s="340"/>
      <c r="SQF639" s="354"/>
      <c r="SQG639" s="313"/>
      <c r="SQH639" s="340"/>
      <c r="SQI639" s="340"/>
      <c r="SQJ639" s="354"/>
      <c r="SQK639" s="313"/>
      <c r="SQL639" s="340"/>
      <c r="SQM639" s="340"/>
      <c r="SQN639" s="354"/>
      <c r="SQO639" s="313"/>
      <c r="SQP639" s="340"/>
      <c r="SQQ639" s="340"/>
      <c r="SQR639" s="354"/>
      <c r="SQS639" s="313"/>
      <c r="SQT639" s="340"/>
      <c r="SQU639" s="340"/>
      <c r="SQV639" s="354"/>
      <c r="SQW639" s="313"/>
      <c r="SQX639" s="340"/>
      <c r="SQY639" s="340"/>
      <c r="SQZ639" s="354"/>
      <c r="SRA639" s="313"/>
      <c r="SRB639" s="340"/>
      <c r="SRC639" s="340"/>
      <c r="SRD639" s="354"/>
      <c r="SRE639" s="313"/>
      <c r="SRF639" s="340"/>
      <c r="SRG639" s="340"/>
      <c r="SRH639" s="354"/>
      <c r="SRI639" s="313"/>
      <c r="SRJ639" s="340"/>
      <c r="SRK639" s="340"/>
      <c r="SRL639" s="354"/>
      <c r="SRM639" s="313"/>
      <c r="SRN639" s="340"/>
      <c r="SRO639" s="340"/>
      <c r="SRP639" s="354"/>
      <c r="SRQ639" s="313"/>
      <c r="SRR639" s="340"/>
      <c r="SRS639" s="340"/>
      <c r="SRT639" s="354"/>
      <c r="SRU639" s="313"/>
      <c r="SRV639" s="340"/>
      <c r="SRW639" s="340"/>
      <c r="SRX639" s="354"/>
      <c r="SRY639" s="313"/>
      <c r="SRZ639" s="340"/>
      <c r="SSA639" s="340"/>
      <c r="SSB639" s="354"/>
      <c r="SSC639" s="313"/>
      <c r="SSD639" s="340"/>
      <c r="SSE639" s="340"/>
      <c r="SSF639" s="354"/>
      <c r="SSG639" s="313"/>
      <c r="SSH639" s="340"/>
      <c r="SSI639" s="340"/>
      <c r="SSJ639" s="354"/>
      <c r="SSK639" s="313"/>
      <c r="SSL639" s="340"/>
      <c r="SSM639" s="340"/>
      <c r="SSN639" s="354"/>
      <c r="SSO639" s="313"/>
      <c r="SSP639" s="340"/>
      <c r="SSQ639" s="340"/>
      <c r="SSR639" s="354"/>
      <c r="SSS639" s="313"/>
      <c r="SST639" s="340"/>
      <c r="SSU639" s="340"/>
      <c r="SSV639" s="354"/>
      <c r="SSW639" s="313"/>
      <c r="SSX639" s="340"/>
      <c r="SSY639" s="340"/>
      <c r="SSZ639" s="354"/>
      <c r="STA639" s="313"/>
      <c r="STB639" s="340"/>
      <c r="STC639" s="340"/>
      <c r="STD639" s="354"/>
      <c r="STE639" s="313"/>
      <c r="STF639" s="340"/>
      <c r="STG639" s="340"/>
      <c r="STH639" s="354"/>
      <c r="STI639" s="313"/>
      <c r="STJ639" s="340"/>
      <c r="STK639" s="340"/>
      <c r="STL639" s="354"/>
      <c r="STM639" s="313"/>
      <c r="STN639" s="340"/>
      <c r="STO639" s="340"/>
      <c r="STP639" s="354"/>
      <c r="STQ639" s="313"/>
      <c r="STR639" s="340"/>
      <c r="STS639" s="340"/>
      <c r="STT639" s="354"/>
      <c r="STU639" s="313"/>
      <c r="STV639" s="340"/>
      <c r="STW639" s="340"/>
      <c r="STX639" s="354"/>
      <c r="STY639" s="313"/>
      <c r="STZ639" s="340"/>
      <c r="SUA639" s="340"/>
      <c r="SUB639" s="354"/>
      <c r="SUC639" s="313"/>
      <c r="SUD639" s="340"/>
      <c r="SUE639" s="340"/>
      <c r="SUF639" s="354"/>
      <c r="SUG639" s="313"/>
      <c r="SUH639" s="340"/>
      <c r="SUI639" s="340"/>
      <c r="SUJ639" s="354"/>
      <c r="SUK639" s="313"/>
      <c r="SUL639" s="340"/>
      <c r="SUM639" s="340"/>
      <c r="SUN639" s="354"/>
      <c r="SUO639" s="313"/>
      <c r="SUP639" s="340"/>
      <c r="SUQ639" s="340"/>
      <c r="SUR639" s="354"/>
      <c r="SUS639" s="313"/>
      <c r="SUT639" s="340"/>
      <c r="SUU639" s="340"/>
      <c r="SUV639" s="354"/>
      <c r="SUW639" s="313"/>
      <c r="SUX639" s="340"/>
      <c r="SUY639" s="340"/>
      <c r="SUZ639" s="354"/>
      <c r="SVA639" s="313"/>
      <c r="SVB639" s="340"/>
      <c r="SVC639" s="340"/>
      <c r="SVD639" s="354"/>
      <c r="SVE639" s="313"/>
      <c r="SVF639" s="340"/>
      <c r="SVG639" s="340"/>
      <c r="SVH639" s="354"/>
      <c r="SVI639" s="313"/>
      <c r="SVJ639" s="340"/>
      <c r="SVK639" s="340"/>
      <c r="SVL639" s="354"/>
      <c r="SVM639" s="313"/>
      <c r="SVN639" s="340"/>
      <c r="SVO639" s="340"/>
      <c r="SVP639" s="354"/>
      <c r="SVQ639" s="313"/>
      <c r="SVR639" s="340"/>
      <c r="SVS639" s="340"/>
      <c r="SVT639" s="354"/>
      <c r="SVU639" s="313"/>
      <c r="SVV639" s="340"/>
      <c r="SVW639" s="340"/>
      <c r="SVX639" s="354"/>
      <c r="SVY639" s="313"/>
      <c r="SVZ639" s="340"/>
      <c r="SWA639" s="340"/>
      <c r="SWB639" s="354"/>
      <c r="SWC639" s="313"/>
      <c r="SWD639" s="340"/>
      <c r="SWE639" s="340"/>
      <c r="SWF639" s="354"/>
      <c r="SWG639" s="313"/>
      <c r="SWH639" s="340"/>
      <c r="SWI639" s="340"/>
      <c r="SWJ639" s="354"/>
      <c r="SWK639" s="313"/>
      <c r="SWL639" s="340"/>
      <c r="SWM639" s="340"/>
      <c r="SWN639" s="354"/>
      <c r="SWO639" s="313"/>
      <c r="SWP639" s="340"/>
      <c r="SWQ639" s="340"/>
      <c r="SWR639" s="354"/>
      <c r="SWS639" s="313"/>
      <c r="SWT639" s="340"/>
      <c r="SWU639" s="340"/>
      <c r="SWV639" s="354"/>
      <c r="SWW639" s="313"/>
      <c r="SWX639" s="340"/>
      <c r="SWY639" s="340"/>
      <c r="SWZ639" s="354"/>
      <c r="SXA639" s="313"/>
      <c r="SXB639" s="340"/>
      <c r="SXC639" s="340"/>
      <c r="SXD639" s="354"/>
      <c r="SXE639" s="313"/>
      <c r="SXF639" s="340"/>
      <c r="SXG639" s="340"/>
      <c r="SXH639" s="354"/>
      <c r="SXI639" s="313"/>
      <c r="SXJ639" s="340"/>
      <c r="SXK639" s="340"/>
      <c r="SXL639" s="354"/>
      <c r="SXM639" s="313"/>
      <c r="SXN639" s="340"/>
      <c r="SXO639" s="340"/>
      <c r="SXP639" s="354"/>
      <c r="SXQ639" s="313"/>
      <c r="SXR639" s="340"/>
      <c r="SXS639" s="340"/>
      <c r="SXT639" s="354"/>
      <c r="SXU639" s="313"/>
      <c r="SXV639" s="340"/>
      <c r="SXW639" s="340"/>
      <c r="SXX639" s="354"/>
      <c r="SXY639" s="313"/>
      <c r="SXZ639" s="340"/>
      <c r="SYA639" s="340"/>
      <c r="SYB639" s="354"/>
      <c r="SYC639" s="313"/>
      <c r="SYD639" s="340"/>
      <c r="SYE639" s="340"/>
      <c r="SYF639" s="354"/>
      <c r="SYG639" s="313"/>
      <c r="SYH639" s="340"/>
      <c r="SYI639" s="340"/>
      <c r="SYJ639" s="354"/>
      <c r="SYK639" s="313"/>
      <c r="SYL639" s="340"/>
      <c r="SYM639" s="340"/>
      <c r="SYN639" s="354"/>
      <c r="SYO639" s="313"/>
      <c r="SYP639" s="340"/>
      <c r="SYQ639" s="340"/>
      <c r="SYR639" s="354"/>
      <c r="SYS639" s="313"/>
      <c r="SYT639" s="340"/>
      <c r="SYU639" s="340"/>
      <c r="SYV639" s="354"/>
      <c r="SYW639" s="313"/>
      <c r="SYX639" s="340"/>
      <c r="SYY639" s="340"/>
      <c r="SYZ639" s="354"/>
      <c r="SZA639" s="313"/>
      <c r="SZB639" s="340"/>
      <c r="SZC639" s="340"/>
      <c r="SZD639" s="354"/>
      <c r="SZE639" s="313"/>
      <c r="SZF639" s="340"/>
      <c r="SZG639" s="340"/>
      <c r="SZH639" s="354"/>
      <c r="SZI639" s="313"/>
      <c r="SZJ639" s="340"/>
      <c r="SZK639" s="340"/>
      <c r="SZL639" s="354"/>
      <c r="SZM639" s="313"/>
      <c r="SZN639" s="340"/>
      <c r="SZO639" s="340"/>
      <c r="SZP639" s="354"/>
      <c r="SZQ639" s="313"/>
      <c r="SZR639" s="340"/>
      <c r="SZS639" s="340"/>
      <c r="SZT639" s="354"/>
      <c r="SZU639" s="313"/>
      <c r="SZV639" s="340"/>
      <c r="SZW639" s="340"/>
      <c r="SZX639" s="354"/>
      <c r="SZY639" s="313"/>
      <c r="SZZ639" s="340"/>
      <c r="TAA639" s="340"/>
      <c r="TAB639" s="354"/>
      <c r="TAC639" s="313"/>
      <c r="TAD639" s="340"/>
      <c r="TAE639" s="340"/>
      <c r="TAF639" s="354"/>
      <c r="TAG639" s="313"/>
      <c r="TAH639" s="340"/>
      <c r="TAI639" s="340"/>
      <c r="TAJ639" s="354"/>
      <c r="TAK639" s="313"/>
      <c r="TAL639" s="340"/>
      <c r="TAM639" s="340"/>
      <c r="TAN639" s="354"/>
      <c r="TAO639" s="313"/>
      <c r="TAP639" s="340"/>
      <c r="TAQ639" s="340"/>
      <c r="TAR639" s="354"/>
      <c r="TAS639" s="313"/>
      <c r="TAT639" s="340"/>
      <c r="TAU639" s="340"/>
      <c r="TAV639" s="354"/>
      <c r="TAW639" s="313"/>
      <c r="TAX639" s="340"/>
      <c r="TAY639" s="340"/>
      <c r="TAZ639" s="354"/>
      <c r="TBA639" s="313"/>
      <c r="TBB639" s="340"/>
      <c r="TBC639" s="340"/>
      <c r="TBD639" s="354"/>
      <c r="TBE639" s="313"/>
      <c r="TBF639" s="340"/>
      <c r="TBG639" s="340"/>
      <c r="TBH639" s="354"/>
      <c r="TBI639" s="313"/>
      <c r="TBJ639" s="340"/>
      <c r="TBK639" s="340"/>
      <c r="TBL639" s="354"/>
      <c r="TBM639" s="313"/>
      <c r="TBN639" s="340"/>
      <c r="TBO639" s="340"/>
      <c r="TBP639" s="354"/>
      <c r="TBQ639" s="313"/>
      <c r="TBR639" s="340"/>
      <c r="TBS639" s="340"/>
      <c r="TBT639" s="354"/>
      <c r="TBU639" s="313"/>
      <c r="TBV639" s="340"/>
      <c r="TBW639" s="340"/>
      <c r="TBX639" s="354"/>
      <c r="TBY639" s="313"/>
      <c r="TBZ639" s="340"/>
      <c r="TCA639" s="340"/>
      <c r="TCB639" s="354"/>
      <c r="TCC639" s="313"/>
      <c r="TCD639" s="340"/>
      <c r="TCE639" s="340"/>
      <c r="TCF639" s="354"/>
      <c r="TCG639" s="313"/>
      <c r="TCH639" s="340"/>
      <c r="TCI639" s="340"/>
      <c r="TCJ639" s="354"/>
      <c r="TCK639" s="313"/>
      <c r="TCL639" s="340"/>
      <c r="TCM639" s="340"/>
      <c r="TCN639" s="354"/>
      <c r="TCO639" s="313"/>
      <c r="TCP639" s="340"/>
      <c r="TCQ639" s="340"/>
      <c r="TCR639" s="354"/>
      <c r="TCS639" s="313"/>
      <c r="TCT639" s="340"/>
      <c r="TCU639" s="340"/>
      <c r="TCV639" s="354"/>
      <c r="TCW639" s="313"/>
      <c r="TCX639" s="340"/>
      <c r="TCY639" s="340"/>
      <c r="TCZ639" s="354"/>
      <c r="TDA639" s="313"/>
      <c r="TDB639" s="340"/>
      <c r="TDC639" s="340"/>
      <c r="TDD639" s="354"/>
      <c r="TDE639" s="313"/>
      <c r="TDF639" s="340"/>
      <c r="TDG639" s="340"/>
      <c r="TDH639" s="354"/>
      <c r="TDI639" s="313"/>
      <c r="TDJ639" s="340"/>
      <c r="TDK639" s="340"/>
      <c r="TDL639" s="354"/>
      <c r="TDM639" s="313"/>
      <c r="TDN639" s="340"/>
      <c r="TDO639" s="340"/>
      <c r="TDP639" s="354"/>
      <c r="TDQ639" s="313"/>
      <c r="TDR639" s="340"/>
      <c r="TDS639" s="340"/>
      <c r="TDT639" s="354"/>
      <c r="TDU639" s="313"/>
      <c r="TDV639" s="340"/>
      <c r="TDW639" s="340"/>
      <c r="TDX639" s="354"/>
      <c r="TDY639" s="313"/>
      <c r="TDZ639" s="340"/>
      <c r="TEA639" s="340"/>
      <c r="TEB639" s="354"/>
      <c r="TEC639" s="313"/>
      <c r="TED639" s="340"/>
      <c r="TEE639" s="340"/>
      <c r="TEF639" s="354"/>
      <c r="TEG639" s="313"/>
      <c r="TEH639" s="340"/>
      <c r="TEI639" s="340"/>
      <c r="TEJ639" s="354"/>
      <c r="TEK639" s="313"/>
      <c r="TEL639" s="340"/>
      <c r="TEM639" s="340"/>
      <c r="TEN639" s="354"/>
      <c r="TEO639" s="313"/>
      <c r="TEP639" s="340"/>
      <c r="TEQ639" s="340"/>
      <c r="TER639" s="354"/>
      <c r="TES639" s="313"/>
      <c r="TET639" s="340"/>
      <c r="TEU639" s="340"/>
      <c r="TEV639" s="354"/>
      <c r="TEW639" s="313"/>
      <c r="TEX639" s="340"/>
      <c r="TEY639" s="340"/>
      <c r="TEZ639" s="354"/>
      <c r="TFA639" s="313"/>
      <c r="TFB639" s="340"/>
      <c r="TFC639" s="340"/>
      <c r="TFD639" s="354"/>
      <c r="TFE639" s="313"/>
      <c r="TFF639" s="340"/>
      <c r="TFG639" s="340"/>
      <c r="TFH639" s="354"/>
      <c r="TFI639" s="313"/>
      <c r="TFJ639" s="340"/>
      <c r="TFK639" s="340"/>
      <c r="TFL639" s="354"/>
      <c r="TFM639" s="313"/>
      <c r="TFN639" s="340"/>
      <c r="TFO639" s="340"/>
      <c r="TFP639" s="354"/>
      <c r="TFQ639" s="313"/>
      <c r="TFR639" s="340"/>
      <c r="TFS639" s="340"/>
      <c r="TFT639" s="354"/>
      <c r="TFU639" s="313"/>
      <c r="TFV639" s="340"/>
      <c r="TFW639" s="340"/>
      <c r="TFX639" s="354"/>
      <c r="TFY639" s="313"/>
      <c r="TFZ639" s="340"/>
      <c r="TGA639" s="340"/>
      <c r="TGB639" s="354"/>
      <c r="TGC639" s="313"/>
      <c r="TGD639" s="340"/>
      <c r="TGE639" s="340"/>
      <c r="TGF639" s="354"/>
      <c r="TGG639" s="313"/>
      <c r="TGH639" s="340"/>
      <c r="TGI639" s="340"/>
      <c r="TGJ639" s="354"/>
      <c r="TGK639" s="313"/>
      <c r="TGL639" s="340"/>
      <c r="TGM639" s="340"/>
      <c r="TGN639" s="354"/>
      <c r="TGO639" s="313"/>
      <c r="TGP639" s="340"/>
      <c r="TGQ639" s="340"/>
      <c r="TGR639" s="354"/>
      <c r="TGS639" s="313"/>
      <c r="TGT639" s="340"/>
      <c r="TGU639" s="340"/>
      <c r="TGV639" s="354"/>
      <c r="TGW639" s="313"/>
      <c r="TGX639" s="340"/>
      <c r="TGY639" s="340"/>
      <c r="TGZ639" s="354"/>
      <c r="THA639" s="313"/>
      <c r="THB639" s="340"/>
      <c r="THC639" s="340"/>
      <c r="THD639" s="354"/>
      <c r="THE639" s="313"/>
      <c r="THF639" s="340"/>
      <c r="THG639" s="340"/>
      <c r="THH639" s="354"/>
      <c r="THI639" s="313"/>
      <c r="THJ639" s="340"/>
      <c r="THK639" s="340"/>
      <c r="THL639" s="354"/>
      <c r="THM639" s="313"/>
      <c r="THN639" s="340"/>
      <c r="THO639" s="340"/>
      <c r="THP639" s="354"/>
      <c r="THQ639" s="313"/>
      <c r="THR639" s="340"/>
      <c r="THS639" s="340"/>
      <c r="THT639" s="354"/>
      <c r="THU639" s="313"/>
      <c r="THV639" s="340"/>
      <c r="THW639" s="340"/>
      <c r="THX639" s="354"/>
      <c r="THY639" s="313"/>
      <c r="THZ639" s="340"/>
      <c r="TIA639" s="340"/>
      <c r="TIB639" s="354"/>
      <c r="TIC639" s="313"/>
      <c r="TID639" s="340"/>
      <c r="TIE639" s="340"/>
      <c r="TIF639" s="354"/>
      <c r="TIG639" s="313"/>
      <c r="TIH639" s="340"/>
      <c r="TII639" s="340"/>
      <c r="TIJ639" s="354"/>
      <c r="TIK639" s="313"/>
      <c r="TIL639" s="340"/>
      <c r="TIM639" s="340"/>
      <c r="TIN639" s="354"/>
      <c r="TIO639" s="313"/>
      <c r="TIP639" s="340"/>
      <c r="TIQ639" s="340"/>
      <c r="TIR639" s="354"/>
      <c r="TIS639" s="313"/>
      <c r="TIT639" s="340"/>
      <c r="TIU639" s="340"/>
      <c r="TIV639" s="354"/>
      <c r="TIW639" s="313"/>
      <c r="TIX639" s="340"/>
      <c r="TIY639" s="340"/>
      <c r="TIZ639" s="354"/>
      <c r="TJA639" s="313"/>
      <c r="TJB639" s="340"/>
      <c r="TJC639" s="340"/>
      <c r="TJD639" s="354"/>
      <c r="TJE639" s="313"/>
      <c r="TJF639" s="340"/>
      <c r="TJG639" s="340"/>
      <c r="TJH639" s="354"/>
      <c r="TJI639" s="313"/>
      <c r="TJJ639" s="340"/>
      <c r="TJK639" s="340"/>
      <c r="TJL639" s="354"/>
      <c r="TJM639" s="313"/>
      <c r="TJN639" s="340"/>
      <c r="TJO639" s="340"/>
      <c r="TJP639" s="354"/>
      <c r="TJQ639" s="313"/>
      <c r="TJR639" s="340"/>
      <c r="TJS639" s="340"/>
      <c r="TJT639" s="354"/>
      <c r="TJU639" s="313"/>
      <c r="TJV639" s="340"/>
      <c r="TJW639" s="340"/>
      <c r="TJX639" s="354"/>
      <c r="TJY639" s="313"/>
      <c r="TJZ639" s="340"/>
      <c r="TKA639" s="340"/>
      <c r="TKB639" s="354"/>
      <c r="TKC639" s="313"/>
      <c r="TKD639" s="340"/>
      <c r="TKE639" s="340"/>
      <c r="TKF639" s="354"/>
      <c r="TKG639" s="313"/>
      <c r="TKH639" s="340"/>
      <c r="TKI639" s="340"/>
      <c r="TKJ639" s="354"/>
      <c r="TKK639" s="313"/>
      <c r="TKL639" s="340"/>
      <c r="TKM639" s="340"/>
      <c r="TKN639" s="354"/>
      <c r="TKO639" s="313"/>
      <c r="TKP639" s="340"/>
      <c r="TKQ639" s="340"/>
      <c r="TKR639" s="354"/>
      <c r="TKS639" s="313"/>
      <c r="TKT639" s="340"/>
      <c r="TKU639" s="340"/>
      <c r="TKV639" s="354"/>
      <c r="TKW639" s="313"/>
      <c r="TKX639" s="340"/>
      <c r="TKY639" s="340"/>
      <c r="TKZ639" s="354"/>
      <c r="TLA639" s="313"/>
      <c r="TLB639" s="340"/>
      <c r="TLC639" s="340"/>
      <c r="TLD639" s="354"/>
      <c r="TLE639" s="313"/>
      <c r="TLF639" s="340"/>
      <c r="TLG639" s="340"/>
      <c r="TLH639" s="354"/>
      <c r="TLI639" s="313"/>
      <c r="TLJ639" s="340"/>
      <c r="TLK639" s="340"/>
      <c r="TLL639" s="354"/>
      <c r="TLM639" s="313"/>
      <c r="TLN639" s="340"/>
      <c r="TLO639" s="340"/>
      <c r="TLP639" s="354"/>
      <c r="TLQ639" s="313"/>
      <c r="TLR639" s="340"/>
      <c r="TLS639" s="340"/>
      <c r="TLT639" s="354"/>
      <c r="TLU639" s="313"/>
      <c r="TLV639" s="340"/>
      <c r="TLW639" s="340"/>
      <c r="TLX639" s="354"/>
      <c r="TLY639" s="313"/>
      <c r="TLZ639" s="340"/>
      <c r="TMA639" s="340"/>
      <c r="TMB639" s="354"/>
      <c r="TMC639" s="313"/>
      <c r="TMD639" s="340"/>
      <c r="TME639" s="340"/>
      <c r="TMF639" s="354"/>
      <c r="TMG639" s="313"/>
      <c r="TMH639" s="340"/>
      <c r="TMI639" s="340"/>
      <c r="TMJ639" s="354"/>
      <c r="TMK639" s="313"/>
      <c r="TML639" s="340"/>
      <c r="TMM639" s="340"/>
      <c r="TMN639" s="354"/>
      <c r="TMO639" s="313"/>
      <c r="TMP639" s="340"/>
      <c r="TMQ639" s="340"/>
      <c r="TMR639" s="354"/>
      <c r="TMS639" s="313"/>
      <c r="TMT639" s="340"/>
      <c r="TMU639" s="340"/>
      <c r="TMV639" s="354"/>
      <c r="TMW639" s="313"/>
      <c r="TMX639" s="340"/>
      <c r="TMY639" s="340"/>
      <c r="TMZ639" s="354"/>
      <c r="TNA639" s="313"/>
      <c r="TNB639" s="340"/>
      <c r="TNC639" s="340"/>
      <c r="TND639" s="354"/>
      <c r="TNE639" s="313"/>
      <c r="TNF639" s="340"/>
      <c r="TNG639" s="340"/>
      <c r="TNH639" s="354"/>
      <c r="TNI639" s="313"/>
      <c r="TNJ639" s="340"/>
      <c r="TNK639" s="340"/>
      <c r="TNL639" s="354"/>
      <c r="TNM639" s="313"/>
      <c r="TNN639" s="340"/>
      <c r="TNO639" s="340"/>
      <c r="TNP639" s="354"/>
      <c r="TNQ639" s="313"/>
      <c r="TNR639" s="340"/>
      <c r="TNS639" s="340"/>
      <c r="TNT639" s="354"/>
      <c r="TNU639" s="313"/>
      <c r="TNV639" s="340"/>
      <c r="TNW639" s="340"/>
      <c r="TNX639" s="354"/>
      <c r="TNY639" s="313"/>
      <c r="TNZ639" s="340"/>
      <c r="TOA639" s="340"/>
      <c r="TOB639" s="354"/>
      <c r="TOC639" s="313"/>
      <c r="TOD639" s="340"/>
      <c r="TOE639" s="340"/>
      <c r="TOF639" s="354"/>
      <c r="TOG639" s="313"/>
      <c r="TOH639" s="340"/>
      <c r="TOI639" s="340"/>
      <c r="TOJ639" s="354"/>
      <c r="TOK639" s="313"/>
      <c r="TOL639" s="340"/>
      <c r="TOM639" s="340"/>
      <c r="TON639" s="354"/>
      <c r="TOO639" s="313"/>
      <c r="TOP639" s="340"/>
      <c r="TOQ639" s="340"/>
      <c r="TOR639" s="354"/>
      <c r="TOS639" s="313"/>
      <c r="TOT639" s="340"/>
      <c r="TOU639" s="340"/>
      <c r="TOV639" s="354"/>
      <c r="TOW639" s="313"/>
      <c r="TOX639" s="340"/>
      <c r="TOY639" s="340"/>
      <c r="TOZ639" s="354"/>
      <c r="TPA639" s="313"/>
      <c r="TPB639" s="340"/>
      <c r="TPC639" s="340"/>
      <c r="TPD639" s="354"/>
      <c r="TPE639" s="313"/>
      <c r="TPF639" s="340"/>
      <c r="TPG639" s="340"/>
      <c r="TPH639" s="354"/>
      <c r="TPI639" s="313"/>
      <c r="TPJ639" s="340"/>
      <c r="TPK639" s="340"/>
      <c r="TPL639" s="354"/>
      <c r="TPM639" s="313"/>
      <c r="TPN639" s="340"/>
      <c r="TPO639" s="340"/>
      <c r="TPP639" s="354"/>
      <c r="TPQ639" s="313"/>
      <c r="TPR639" s="340"/>
      <c r="TPS639" s="340"/>
      <c r="TPT639" s="354"/>
      <c r="TPU639" s="313"/>
      <c r="TPV639" s="340"/>
      <c r="TPW639" s="340"/>
      <c r="TPX639" s="354"/>
      <c r="TPY639" s="313"/>
      <c r="TPZ639" s="340"/>
      <c r="TQA639" s="340"/>
      <c r="TQB639" s="354"/>
      <c r="TQC639" s="313"/>
      <c r="TQD639" s="340"/>
      <c r="TQE639" s="340"/>
      <c r="TQF639" s="354"/>
      <c r="TQG639" s="313"/>
      <c r="TQH639" s="340"/>
      <c r="TQI639" s="340"/>
      <c r="TQJ639" s="354"/>
      <c r="TQK639" s="313"/>
      <c r="TQL639" s="340"/>
      <c r="TQM639" s="340"/>
      <c r="TQN639" s="354"/>
      <c r="TQO639" s="313"/>
      <c r="TQP639" s="340"/>
      <c r="TQQ639" s="340"/>
      <c r="TQR639" s="354"/>
      <c r="TQS639" s="313"/>
      <c r="TQT639" s="340"/>
      <c r="TQU639" s="340"/>
      <c r="TQV639" s="354"/>
      <c r="TQW639" s="313"/>
      <c r="TQX639" s="340"/>
      <c r="TQY639" s="340"/>
      <c r="TQZ639" s="354"/>
      <c r="TRA639" s="313"/>
      <c r="TRB639" s="340"/>
      <c r="TRC639" s="340"/>
      <c r="TRD639" s="354"/>
      <c r="TRE639" s="313"/>
      <c r="TRF639" s="340"/>
      <c r="TRG639" s="340"/>
      <c r="TRH639" s="354"/>
      <c r="TRI639" s="313"/>
      <c r="TRJ639" s="340"/>
      <c r="TRK639" s="340"/>
      <c r="TRL639" s="354"/>
      <c r="TRM639" s="313"/>
      <c r="TRN639" s="340"/>
      <c r="TRO639" s="340"/>
      <c r="TRP639" s="354"/>
      <c r="TRQ639" s="313"/>
      <c r="TRR639" s="340"/>
      <c r="TRS639" s="340"/>
      <c r="TRT639" s="354"/>
      <c r="TRU639" s="313"/>
      <c r="TRV639" s="340"/>
      <c r="TRW639" s="340"/>
      <c r="TRX639" s="354"/>
      <c r="TRY639" s="313"/>
      <c r="TRZ639" s="340"/>
      <c r="TSA639" s="340"/>
      <c r="TSB639" s="354"/>
      <c r="TSC639" s="313"/>
      <c r="TSD639" s="340"/>
      <c r="TSE639" s="340"/>
      <c r="TSF639" s="354"/>
      <c r="TSG639" s="313"/>
      <c r="TSH639" s="340"/>
      <c r="TSI639" s="340"/>
      <c r="TSJ639" s="354"/>
      <c r="TSK639" s="313"/>
      <c r="TSL639" s="340"/>
      <c r="TSM639" s="340"/>
      <c r="TSN639" s="354"/>
      <c r="TSO639" s="313"/>
      <c r="TSP639" s="340"/>
      <c r="TSQ639" s="340"/>
      <c r="TSR639" s="354"/>
      <c r="TSS639" s="313"/>
      <c r="TST639" s="340"/>
      <c r="TSU639" s="340"/>
      <c r="TSV639" s="354"/>
      <c r="TSW639" s="313"/>
      <c r="TSX639" s="340"/>
      <c r="TSY639" s="340"/>
      <c r="TSZ639" s="354"/>
      <c r="TTA639" s="313"/>
      <c r="TTB639" s="340"/>
      <c r="TTC639" s="340"/>
      <c r="TTD639" s="354"/>
      <c r="TTE639" s="313"/>
      <c r="TTF639" s="340"/>
      <c r="TTG639" s="340"/>
      <c r="TTH639" s="354"/>
      <c r="TTI639" s="313"/>
      <c r="TTJ639" s="340"/>
      <c r="TTK639" s="340"/>
      <c r="TTL639" s="354"/>
      <c r="TTM639" s="313"/>
      <c r="TTN639" s="340"/>
      <c r="TTO639" s="340"/>
      <c r="TTP639" s="354"/>
      <c r="TTQ639" s="313"/>
      <c r="TTR639" s="340"/>
      <c r="TTS639" s="340"/>
      <c r="TTT639" s="354"/>
      <c r="TTU639" s="313"/>
      <c r="TTV639" s="340"/>
      <c r="TTW639" s="340"/>
      <c r="TTX639" s="354"/>
      <c r="TTY639" s="313"/>
      <c r="TTZ639" s="340"/>
      <c r="TUA639" s="340"/>
      <c r="TUB639" s="354"/>
      <c r="TUC639" s="313"/>
      <c r="TUD639" s="340"/>
      <c r="TUE639" s="340"/>
      <c r="TUF639" s="354"/>
      <c r="TUG639" s="313"/>
      <c r="TUH639" s="340"/>
      <c r="TUI639" s="340"/>
      <c r="TUJ639" s="354"/>
      <c r="TUK639" s="313"/>
      <c r="TUL639" s="340"/>
      <c r="TUM639" s="340"/>
      <c r="TUN639" s="354"/>
      <c r="TUO639" s="313"/>
      <c r="TUP639" s="340"/>
      <c r="TUQ639" s="340"/>
      <c r="TUR639" s="354"/>
      <c r="TUS639" s="313"/>
      <c r="TUT639" s="340"/>
      <c r="TUU639" s="340"/>
      <c r="TUV639" s="354"/>
      <c r="TUW639" s="313"/>
      <c r="TUX639" s="340"/>
      <c r="TUY639" s="340"/>
      <c r="TUZ639" s="354"/>
      <c r="TVA639" s="313"/>
      <c r="TVB639" s="340"/>
      <c r="TVC639" s="340"/>
      <c r="TVD639" s="354"/>
      <c r="TVE639" s="313"/>
      <c r="TVF639" s="340"/>
      <c r="TVG639" s="340"/>
      <c r="TVH639" s="354"/>
      <c r="TVI639" s="313"/>
      <c r="TVJ639" s="340"/>
      <c r="TVK639" s="340"/>
      <c r="TVL639" s="354"/>
      <c r="TVM639" s="313"/>
      <c r="TVN639" s="340"/>
      <c r="TVO639" s="340"/>
      <c r="TVP639" s="354"/>
      <c r="TVQ639" s="313"/>
      <c r="TVR639" s="340"/>
      <c r="TVS639" s="340"/>
      <c r="TVT639" s="354"/>
      <c r="TVU639" s="313"/>
      <c r="TVV639" s="340"/>
      <c r="TVW639" s="340"/>
      <c r="TVX639" s="354"/>
      <c r="TVY639" s="313"/>
      <c r="TVZ639" s="340"/>
      <c r="TWA639" s="340"/>
      <c r="TWB639" s="354"/>
      <c r="TWC639" s="313"/>
      <c r="TWD639" s="340"/>
      <c r="TWE639" s="340"/>
      <c r="TWF639" s="354"/>
      <c r="TWG639" s="313"/>
      <c r="TWH639" s="340"/>
      <c r="TWI639" s="340"/>
      <c r="TWJ639" s="354"/>
      <c r="TWK639" s="313"/>
      <c r="TWL639" s="340"/>
      <c r="TWM639" s="340"/>
      <c r="TWN639" s="354"/>
      <c r="TWO639" s="313"/>
      <c r="TWP639" s="340"/>
      <c r="TWQ639" s="340"/>
      <c r="TWR639" s="354"/>
      <c r="TWS639" s="313"/>
      <c r="TWT639" s="340"/>
      <c r="TWU639" s="340"/>
      <c r="TWV639" s="354"/>
      <c r="TWW639" s="313"/>
      <c r="TWX639" s="340"/>
      <c r="TWY639" s="340"/>
      <c r="TWZ639" s="354"/>
      <c r="TXA639" s="313"/>
      <c r="TXB639" s="340"/>
      <c r="TXC639" s="340"/>
      <c r="TXD639" s="354"/>
      <c r="TXE639" s="313"/>
      <c r="TXF639" s="340"/>
      <c r="TXG639" s="340"/>
      <c r="TXH639" s="354"/>
      <c r="TXI639" s="313"/>
      <c r="TXJ639" s="340"/>
      <c r="TXK639" s="340"/>
      <c r="TXL639" s="354"/>
      <c r="TXM639" s="313"/>
      <c r="TXN639" s="340"/>
      <c r="TXO639" s="340"/>
      <c r="TXP639" s="354"/>
      <c r="TXQ639" s="313"/>
      <c r="TXR639" s="340"/>
      <c r="TXS639" s="340"/>
      <c r="TXT639" s="354"/>
      <c r="TXU639" s="313"/>
      <c r="TXV639" s="340"/>
      <c r="TXW639" s="340"/>
      <c r="TXX639" s="354"/>
      <c r="TXY639" s="313"/>
      <c r="TXZ639" s="340"/>
      <c r="TYA639" s="340"/>
      <c r="TYB639" s="354"/>
      <c r="TYC639" s="313"/>
      <c r="TYD639" s="340"/>
      <c r="TYE639" s="340"/>
      <c r="TYF639" s="354"/>
      <c r="TYG639" s="313"/>
      <c r="TYH639" s="340"/>
      <c r="TYI639" s="340"/>
      <c r="TYJ639" s="354"/>
      <c r="TYK639" s="313"/>
      <c r="TYL639" s="340"/>
      <c r="TYM639" s="340"/>
      <c r="TYN639" s="354"/>
      <c r="TYO639" s="313"/>
      <c r="TYP639" s="340"/>
      <c r="TYQ639" s="340"/>
      <c r="TYR639" s="354"/>
      <c r="TYS639" s="313"/>
      <c r="TYT639" s="340"/>
      <c r="TYU639" s="340"/>
      <c r="TYV639" s="354"/>
      <c r="TYW639" s="313"/>
      <c r="TYX639" s="340"/>
      <c r="TYY639" s="340"/>
      <c r="TYZ639" s="354"/>
      <c r="TZA639" s="313"/>
      <c r="TZB639" s="340"/>
      <c r="TZC639" s="340"/>
      <c r="TZD639" s="354"/>
      <c r="TZE639" s="313"/>
      <c r="TZF639" s="340"/>
      <c r="TZG639" s="340"/>
      <c r="TZH639" s="354"/>
      <c r="TZI639" s="313"/>
      <c r="TZJ639" s="340"/>
      <c r="TZK639" s="340"/>
      <c r="TZL639" s="354"/>
      <c r="TZM639" s="313"/>
      <c r="TZN639" s="340"/>
      <c r="TZO639" s="340"/>
      <c r="TZP639" s="354"/>
      <c r="TZQ639" s="313"/>
      <c r="TZR639" s="340"/>
      <c r="TZS639" s="340"/>
      <c r="TZT639" s="354"/>
      <c r="TZU639" s="313"/>
      <c r="TZV639" s="340"/>
      <c r="TZW639" s="340"/>
      <c r="TZX639" s="354"/>
      <c r="TZY639" s="313"/>
      <c r="TZZ639" s="340"/>
      <c r="UAA639" s="340"/>
      <c r="UAB639" s="354"/>
      <c r="UAC639" s="313"/>
      <c r="UAD639" s="340"/>
      <c r="UAE639" s="340"/>
      <c r="UAF639" s="354"/>
      <c r="UAG639" s="313"/>
      <c r="UAH639" s="340"/>
      <c r="UAI639" s="340"/>
      <c r="UAJ639" s="354"/>
      <c r="UAK639" s="313"/>
      <c r="UAL639" s="340"/>
      <c r="UAM639" s="340"/>
      <c r="UAN639" s="354"/>
      <c r="UAO639" s="313"/>
      <c r="UAP639" s="340"/>
      <c r="UAQ639" s="340"/>
      <c r="UAR639" s="354"/>
      <c r="UAS639" s="313"/>
      <c r="UAT639" s="340"/>
      <c r="UAU639" s="340"/>
      <c r="UAV639" s="354"/>
      <c r="UAW639" s="313"/>
      <c r="UAX639" s="340"/>
      <c r="UAY639" s="340"/>
      <c r="UAZ639" s="354"/>
      <c r="UBA639" s="313"/>
      <c r="UBB639" s="340"/>
      <c r="UBC639" s="340"/>
      <c r="UBD639" s="354"/>
      <c r="UBE639" s="313"/>
      <c r="UBF639" s="340"/>
      <c r="UBG639" s="340"/>
      <c r="UBH639" s="354"/>
      <c r="UBI639" s="313"/>
      <c r="UBJ639" s="340"/>
      <c r="UBK639" s="340"/>
      <c r="UBL639" s="354"/>
      <c r="UBM639" s="313"/>
      <c r="UBN639" s="340"/>
      <c r="UBO639" s="340"/>
      <c r="UBP639" s="354"/>
      <c r="UBQ639" s="313"/>
      <c r="UBR639" s="340"/>
      <c r="UBS639" s="340"/>
      <c r="UBT639" s="354"/>
      <c r="UBU639" s="313"/>
      <c r="UBV639" s="340"/>
      <c r="UBW639" s="340"/>
      <c r="UBX639" s="354"/>
      <c r="UBY639" s="313"/>
      <c r="UBZ639" s="340"/>
      <c r="UCA639" s="340"/>
      <c r="UCB639" s="354"/>
      <c r="UCC639" s="313"/>
      <c r="UCD639" s="340"/>
      <c r="UCE639" s="340"/>
      <c r="UCF639" s="354"/>
      <c r="UCG639" s="313"/>
      <c r="UCH639" s="340"/>
      <c r="UCI639" s="340"/>
      <c r="UCJ639" s="354"/>
      <c r="UCK639" s="313"/>
      <c r="UCL639" s="340"/>
      <c r="UCM639" s="340"/>
      <c r="UCN639" s="354"/>
      <c r="UCO639" s="313"/>
      <c r="UCP639" s="340"/>
      <c r="UCQ639" s="340"/>
      <c r="UCR639" s="354"/>
      <c r="UCS639" s="313"/>
      <c r="UCT639" s="340"/>
      <c r="UCU639" s="340"/>
      <c r="UCV639" s="354"/>
      <c r="UCW639" s="313"/>
      <c r="UCX639" s="340"/>
      <c r="UCY639" s="340"/>
      <c r="UCZ639" s="354"/>
      <c r="UDA639" s="313"/>
      <c r="UDB639" s="340"/>
      <c r="UDC639" s="340"/>
      <c r="UDD639" s="354"/>
      <c r="UDE639" s="313"/>
      <c r="UDF639" s="340"/>
      <c r="UDG639" s="340"/>
      <c r="UDH639" s="354"/>
      <c r="UDI639" s="313"/>
      <c r="UDJ639" s="340"/>
      <c r="UDK639" s="340"/>
      <c r="UDL639" s="354"/>
      <c r="UDM639" s="313"/>
      <c r="UDN639" s="340"/>
      <c r="UDO639" s="340"/>
      <c r="UDP639" s="354"/>
      <c r="UDQ639" s="313"/>
      <c r="UDR639" s="340"/>
      <c r="UDS639" s="340"/>
      <c r="UDT639" s="354"/>
      <c r="UDU639" s="313"/>
      <c r="UDV639" s="340"/>
      <c r="UDW639" s="340"/>
      <c r="UDX639" s="354"/>
      <c r="UDY639" s="313"/>
      <c r="UDZ639" s="340"/>
      <c r="UEA639" s="340"/>
      <c r="UEB639" s="354"/>
      <c r="UEC639" s="313"/>
      <c r="UED639" s="340"/>
      <c r="UEE639" s="340"/>
      <c r="UEF639" s="354"/>
      <c r="UEG639" s="313"/>
      <c r="UEH639" s="340"/>
      <c r="UEI639" s="340"/>
      <c r="UEJ639" s="354"/>
      <c r="UEK639" s="313"/>
      <c r="UEL639" s="340"/>
      <c r="UEM639" s="340"/>
      <c r="UEN639" s="354"/>
      <c r="UEO639" s="313"/>
      <c r="UEP639" s="340"/>
      <c r="UEQ639" s="340"/>
      <c r="UER639" s="354"/>
      <c r="UES639" s="313"/>
      <c r="UET639" s="340"/>
      <c r="UEU639" s="340"/>
      <c r="UEV639" s="354"/>
      <c r="UEW639" s="313"/>
      <c r="UEX639" s="340"/>
      <c r="UEY639" s="340"/>
      <c r="UEZ639" s="354"/>
      <c r="UFA639" s="313"/>
      <c r="UFB639" s="340"/>
      <c r="UFC639" s="340"/>
      <c r="UFD639" s="354"/>
      <c r="UFE639" s="313"/>
      <c r="UFF639" s="340"/>
      <c r="UFG639" s="340"/>
      <c r="UFH639" s="354"/>
      <c r="UFI639" s="313"/>
      <c r="UFJ639" s="340"/>
      <c r="UFK639" s="340"/>
      <c r="UFL639" s="354"/>
      <c r="UFM639" s="313"/>
      <c r="UFN639" s="340"/>
      <c r="UFO639" s="340"/>
      <c r="UFP639" s="354"/>
      <c r="UFQ639" s="313"/>
      <c r="UFR639" s="340"/>
      <c r="UFS639" s="340"/>
      <c r="UFT639" s="354"/>
      <c r="UFU639" s="313"/>
      <c r="UFV639" s="340"/>
      <c r="UFW639" s="340"/>
      <c r="UFX639" s="354"/>
      <c r="UFY639" s="313"/>
      <c r="UFZ639" s="340"/>
      <c r="UGA639" s="340"/>
      <c r="UGB639" s="354"/>
      <c r="UGC639" s="313"/>
      <c r="UGD639" s="340"/>
      <c r="UGE639" s="340"/>
      <c r="UGF639" s="354"/>
      <c r="UGG639" s="313"/>
      <c r="UGH639" s="340"/>
      <c r="UGI639" s="340"/>
      <c r="UGJ639" s="354"/>
      <c r="UGK639" s="313"/>
      <c r="UGL639" s="340"/>
      <c r="UGM639" s="340"/>
      <c r="UGN639" s="354"/>
      <c r="UGO639" s="313"/>
      <c r="UGP639" s="340"/>
      <c r="UGQ639" s="340"/>
      <c r="UGR639" s="354"/>
      <c r="UGS639" s="313"/>
      <c r="UGT639" s="340"/>
      <c r="UGU639" s="340"/>
      <c r="UGV639" s="354"/>
      <c r="UGW639" s="313"/>
      <c r="UGX639" s="340"/>
      <c r="UGY639" s="340"/>
      <c r="UGZ639" s="354"/>
      <c r="UHA639" s="313"/>
      <c r="UHB639" s="340"/>
      <c r="UHC639" s="340"/>
      <c r="UHD639" s="354"/>
      <c r="UHE639" s="313"/>
      <c r="UHF639" s="340"/>
      <c r="UHG639" s="340"/>
      <c r="UHH639" s="354"/>
      <c r="UHI639" s="313"/>
      <c r="UHJ639" s="340"/>
      <c r="UHK639" s="340"/>
      <c r="UHL639" s="354"/>
      <c r="UHM639" s="313"/>
      <c r="UHN639" s="340"/>
      <c r="UHO639" s="340"/>
      <c r="UHP639" s="354"/>
      <c r="UHQ639" s="313"/>
      <c r="UHR639" s="340"/>
      <c r="UHS639" s="340"/>
      <c r="UHT639" s="354"/>
      <c r="UHU639" s="313"/>
      <c r="UHV639" s="340"/>
      <c r="UHW639" s="340"/>
      <c r="UHX639" s="354"/>
      <c r="UHY639" s="313"/>
      <c r="UHZ639" s="340"/>
      <c r="UIA639" s="340"/>
      <c r="UIB639" s="354"/>
      <c r="UIC639" s="313"/>
      <c r="UID639" s="340"/>
      <c r="UIE639" s="340"/>
      <c r="UIF639" s="354"/>
      <c r="UIG639" s="313"/>
      <c r="UIH639" s="340"/>
      <c r="UII639" s="340"/>
      <c r="UIJ639" s="354"/>
      <c r="UIK639" s="313"/>
      <c r="UIL639" s="340"/>
      <c r="UIM639" s="340"/>
      <c r="UIN639" s="354"/>
      <c r="UIO639" s="313"/>
      <c r="UIP639" s="340"/>
      <c r="UIQ639" s="340"/>
      <c r="UIR639" s="354"/>
      <c r="UIS639" s="313"/>
      <c r="UIT639" s="340"/>
      <c r="UIU639" s="340"/>
      <c r="UIV639" s="354"/>
      <c r="UIW639" s="313"/>
      <c r="UIX639" s="340"/>
      <c r="UIY639" s="340"/>
      <c r="UIZ639" s="354"/>
      <c r="UJA639" s="313"/>
      <c r="UJB639" s="340"/>
      <c r="UJC639" s="340"/>
      <c r="UJD639" s="354"/>
      <c r="UJE639" s="313"/>
      <c r="UJF639" s="340"/>
      <c r="UJG639" s="340"/>
      <c r="UJH639" s="354"/>
      <c r="UJI639" s="313"/>
      <c r="UJJ639" s="340"/>
      <c r="UJK639" s="340"/>
      <c r="UJL639" s="354"/>
      <c r="UJM639" s="313"/>
      <c r="UJN639" s="340"/>
      <c r="UJO639" s="340"/>
      <c r="UJP639" s="354"/>
      <c r="UJQ639" s="313"/>
      <c r="UJR639" s="340"/>
      <c r="UJS639" s="340"/>
      <c r="UJT639" s="354"/>
      <c r="UJU639" s="313"/>
      <c r="UJV639" s="340"/>
      <c r="UJW639" s="340"/>
      <c r="UJX639" s="354"/>
      <c r="UJY639" s="313"/>
      <c r="UJZ639" s="340"/>
      <c r="UKA639" s="340"/>
      <c r="UKB639" s="354"/>
      <c r="UKC639" s="313"/>
      <c r="UKD639" s="340"/>
      <c r="UKE639" s="340"/>
      <c r="UKF639" s="354"/>
      <c r="UKG639" s="313"/>
      <c r="UKH639" s="340"/>
      <c r="UKI639" s="340"/>
      <c r="UKJ639" s="354"/>
      <c r="UKK639" s="313"/>
      <c r="UKL639" s="340"/>
      <c r="UKM639" s="340"/>
      <c r="UKN639" s="354"/>
      <c r="UKO639" s="313"/>
      <c r="UKP639" s="340"/>
      <c r="UKQ639" s="340"/>
      <c r="UKR639" s="354"/>
      <c r="UKS639" s="313"/>
      <c r="UKT639" s="340"/>
      <c r="UKU639" s="340"/>
      <c r="UKV639" s="354"/>
      <c r="UKW639" s="313"/>
      <c r="UKX639" s="340"/>
      <c r="UKY639" s="340"/>
      <c r="UKZ639" s="354"/>
      <c r="ULA639" s="313"/>
      <c r="ULB639" s="340"/>
      <c r="ULC639" s="340"/>
      <c r="ULD639" s="354"/>
      <c r="ULE639" s="313"/>
      <c r="ULF639" s="340"/>
      <c r="ULG639" s="340"/>
      <c r="ULH639" s="354"/>
      <c r="ULI639" s="313"/>
      <c r="ULJ639" s="340"/>
      <c r="ULK639" s="340"/>
      <c r="ULL639" s="354"/>
      <c r="ULM639" s="313"/>
      <c r="ULN639" s="340"/>
      <c r="ULO639" s="340"/>
      <c r="ULP639" s="354"/>
      <c r="ULQ639" s="313"/>
      <c r="ULR639" s="340"/>
      <c r="ULS639" s="340"/>
      <c r="ULT639" s="354"/>
      <c r="ULU639" s="313"/>
      <c r="ULV639" s="340"/>
      <c r="ULW639" s="340"/>
      <c r="ULX639" s="354"/>
      <c r="ULY639" s="313"/>
      <c r="ULZ639" s="340"/>
      <c r="UMA639" s="340"/>
      <c r="UMB639" s="354"/>
      <c r="UMC639" s="313"/>
      <c r="UMD639" s="340"/>
      <c r="UME639" s="340"/>
      <c r="UMF639" s="354"/>
      <c r="UMG639" s="313"/>
      <c r="UMH639" s="340"/>
      <c r="UMI639" s="340"/>
      <c r="UMJ639" s="354"/>
      <c r="UMK639" s="313"/>
      <c r="UML639" s="340"/>
      <c r="UMM639" s="340"/>
      <c r="UMN639" s="354"/>
      <c r="UMO639" s="313"/>
      <c r="UMP639" s="340"/>
      <c r="UMQ639" s="340"/>
      <c r="UMR639" s="354"/>
      <c r="UMS639" s="313"/>
      <c r="UMT639" s="340"/>
      <c r="UMU639" s="340"/>
      <c r="UMV639" s="354"/>
      <c r="UMW639" s="313"/>
      <c r="UMX639" s="340"/>
      <c r="UMY639" s="340"/>
      <c r="UMZ639" s="354"/>
      <c r="UNA639" s="313"/>
      <c r="UNB639" s="340"/>
      <c r="UNC639" s="340"/>
      <c r="UND639" s="354"/>
      <c r="UNE639" s="313"/>
      <c r="UNF639" s="340"/>
      <c r="UNG639" s="340"/>
      <c r="UNH639" s="354"/>
      <c r="UNI639" s="313"/>
      <c r="UNJ639" s="340"/>
      <c r="UNK639" s="340"/>
      <c r="UNL639" s="354"/>
      <c r="UNM639" s="313"/>
      <c r="UNN639" s="340"/>
      <c r="UNO639" s="340"/>
      <c r="UNP639" s="354"/>
      <c r="UNQ639" s="313"/>
      <c r="UNR639" s="340"/>
      <c r="UNS639" s="340"/>
      <c r="UNT639" s="354"/>
      <c r="UNU639" s="313"/>
      <c r="UNV639" s="340"/>
      <c r="UNW639" s="340"/>
      <c r="UNX639" s="354"/>
      <c r="UNY639" s="313"/>
      <c r="UNZ639" s="340"/>
      <c r="UOA639" s="340"/>
      <c r="UOB639" s="354"/>
      <c r="UOC639" s="313"/>
      <c r="UOD639" s="340"/>
      <c r="UOE639" s="340"/>
      <c r="UOF639" s="354"/>
      <c r="UOG639" s="313"/>
      <c r="UOH639" s="340"/>
      <c r="UOI639" s="340"/>
      <c r="UOJ639" s="354"/>
      <c r="UOK639" s="313"/>
      <c r="UOL639" s="340"/>
      <c r="UOM639" s="340"/>
      <c r="UON639" s="354"/>
      <c r="UOO639" s="313"/>
      <c r="UOP639" s="340"/>
      <c r="UOQ639" s="340"/>
      <c r="UOR639" s="354"/>
      <c r="UOS639" s="313"/>
      <c r="UOT639" s="340"/>
      <c r="UOU639" s="340"/>
      <c r="UOV639" s="354"/>
      <c r="UOW639" s="313"/>
      <c r="UOX639" s="340"/>
      <c r="UOY639" s="340"/>
      <c r="UOZ639" s="354"/>
      <c r="UPA639" s="313"/>
      <c r="UPB639" s="340"/>
      <c r="UPC639" s="340"/>
      <c r="UPD639" s="354"/>
      <c r="UPE639" s="313"/>
      <c r="UPF639" s="340"/>
      <c r="UPG639" s="340"/>
      <c r="UPH639" s="354"/>
      <c r="UPI639" s="313"/>
      <c r="UPJ639" s="340"/>
      <c r="UPK639" s="340"/>
      <c r="UPL639" s="354"/>
      <c r="UPM639" s="313"/>
      <c r="UPN639" s="340"/>
      <c r="UPO639" s="340"/>
      <c r="UPP639" s="354"/>
      <c r="UPQ639" s="313"/>
      <c r="UPR639" s="340"/>
      <c r="UPS639" s="340"/>
      <c r="UPT639" s="354"/>
      <c r="UPU639" s="313"/>
      <c r="UPV639" s="340"/>
      <c r="UPW639" s="340"/>
      <c r="UPX639" s="354"/>
      <c r="UPY639" s="313"/>
      <c r="UPZ639" s="340"/>
      <c r="UQA639" s="340"/>
      <c r="UQB639" s="354"/>
      <c r="UQC639" s="313"/>
      <c r="UQD639" s="340"/>
      <c r="UQE639" s="340"/>
      <c r="UQF639" s="354"/>
      <c r="UQG639" s="313"/>
      <c r="UQH639" s="340"/>
      <c r="UQI639" s="340"/>
      <c r="UQJ639" s="354"/>
      <c r="UQK639" s="313"/>
      <c r="UQL639" s="340"/>
      <c r="UQM639" s="340"/>
      <c r="UQN639" s="354"/>
      <c r="UQO639" s="313"/>
      <c r="UQP639" s="340"/>
      <c r="UQQ639" s="340"/>
      <c r="UQR639" s="354"/>
      <c r="UQS639" s="313"/>
      <c r="UQT639" s="340"/>
      <c r="UQU639" s="340"/>
      <c r="UQV639" s="354"/>
      <c r="UQW639" s="313"/>
      <c r="UQX639" s="340"/>
      <c r="UQY639" s="340"/>
      <c r="UQZ639" s="354"/>
      <c r="URA639" s="313"/>
      <c r="URB639" s="340"/>
      <c r="URC639" s="340"/>
      <c r="URD639" s="354"/>
      <c r="URE639" s="313"/>
      <c r="URF639" s="340"/>
      <c r="URG639" s="340"/>
      <c r="URH639" s="354"/>
      <c r="URI639" s="313"/>
      <c r="URJ639" s="340"/>
      <c r="URK639" s="340"/>
      <c r="URL639" s="354"/>
      <c r="URM639" s="313"/>
      <c r="URN639" s="340"/>
      <c r="URO639" s="340"/>
      <c r="URP639" s="354"/>
      <c r="URQ639" s="313"/>
      <c r="URR639" s="340"/>
      <c r="URS639" s="340"/>
      <c r="URT639" s="354"/>
      <c r="URU639" s="313"/>
      <c r="URV639" s="340"/>
      <c r="URW639" s="340"/>
      <c r="URX639" s="354"/>
      <c r="URY639" s="313"/>
      <c r="URZ639" s="340"/>
      <c r="USA639" s="340"/>
      <c r="USB639" s="354"/>
      <c r="USC639" s="313"/>
      <c r="USD639" s="340"/>
      <c r="USE639" s="340"/>
      <c r="USF639" s="354"/>
      <c r="USG639" s="313"/>
      <c r="USH639" s="340"/>
      <c r="USI639" s="340"/>
      <c r="USJ639" s="354"/>
      <c r="USK639" s="313"/>
      <c r="USL639" s="340"/>
      <c r="USM639" s="340"/>
      <c r="USN639" s="354"/>
      <c r="USO639" s="313"/>
      <c r="USP639" s="340"/>
      <c r="USQ639" s="340"/>
      <c r="USR639" s="354"/>
      <c r="USS639" s="313"/>
      <c r="UST639" s="340"/>
      <c r="USU639" s="340"/>
      <c r="USV639" s="354"/>
      <c r="USW639" s="313"/>
      <c r="USX639" s="340"/>
      <c r="USY639" s="340"/>
      <c r="USZ639" s="354"/>
      <c r="UTA639" s="313"/>
      <c r="UTB639" s="340"/>
      <c r="UTC639" s="340"/>
      <c r="UTD639" s="354"/>
      <c r="UTE639" s="313"/>
      <c r="UTF639" s="340"/>
      <c r="UTG639" s="340"/>
      <c r="UTH639" s="354"/>
      <c r="UTI639" s="313"/>
      <c r="UTJ639" s="340"/>
      <c r="UTK639" s="340"/>
      <c r="UTL639" s="354"/>
      <c r="UTM639" s="313"/>
      <c r="UTN639" s="340"/>
      <c r="UTO639" s="340"/>
      <c r="UTP639" s="354"/>
      <c r="UTQ639" s="313"/>
      <c r="UTR639" s="340"/>
      <c r="UTS639" s="340"/>
      <c r="UTT639" s="354"/>
      <c r="UTU639" s="313"/>
      <c r="UTV639" s="340"/>
      <c r="UTW639" s="340"/>
      <c r="UTX639" s="354"/>
      <c r="UTY639" s="313"/>
      <c r="UTZ639" s="340"/>
      <c r="UUA639" s="340"/>
      <c r="UUB639" s="354"/>
      <c r="UUC639" s="313"/>
      <c r="UUD639" s="340"/>
      <c r="UUE639" s="340"/>
      <c r="UUF639" s="354"/>
      <c r="UUG639" s="313"/>
      <c r="UUH639" s="340"/>
      <c r="UUI639" s="340"/>
      <c r="UUJ639" s="354"/>
      <c r="UUK639" s="313"/>
      <c r="UUL639" s="340"/>
      <c r="UUM639" s="340"/>
      <c r="UUN639" s="354"/>
      <c r="UUO639" s="313"/>
      <c r="UUP639" s="340"/>
      <c r="UUQ639" s="340"/>
      <c r="UUR639" s="354"/>
      <c r="UUS639" s="313"/>
      <c r="UUT639" s="340"/>
      <c r="UUU639" s="340"/>
      <c r="UUV639" s="354"/>
      <c r="UUW639" s="313"/>
      <c r="UUX639" s="340"/>
      <c r="UUY639" s="340"/>
      <c r="UUZ639" s="354"/>
      <c r="UVA639" s="313"/>
      <c r="UVB639" s="340"/>
      <c r="UVC639" s="340"/>
      <c r="UVD639" s="354"/>
      <c r="UVE639" s="313"/>
      <c r="UVF639" s="340"/>
      <c r="UVG639" s="340"/>
      <c r="UVH639" s="354"/>
      <c r="UVI639" s="313"/>
      <c r="UVJ639" s="340"/>
      <c r="UVK639" s="340"/>
      <c r="UVL639" s="354"/>
      <c r="UVM639" s="313"/>
      <c r="UVN639" s="340"/>
      <c r="UVO639" s="340"/>
      <c r="UVP639" s="354"/>
      <c r="UVQ639" s="313"/>
      <c r="UVR639" s="340"/>
      <c r="UVS639" s="340"/>
      <c r="UVT639" s="354"/>
      <c r="UVU639" s="313"/>
      <c r="UVV639" s="340"/>
      <c r="UVW639" s="340"/>
      <c r="UVX639" s="354"/>
      <c r="UVY639" s="313"/>
      <c r="UVZ639" s="340"/>
      <c r="UWA639" s="340"/>
      <c r="UWB639" s="354"/>
      <c r="UWC639" s="313"/>
      <c r="UWD639" s="340"/>
      <c r="UWE639" s="340"/>
      <c r="UWF639" s="354"/>
      <c r="UWG639" s="313"/>
      <c r="UWH639" s="340"/>
      <c r="UWI639" s="340"/>
      <c r="UWJ639" s="354"/>
      <c r="UWK639" s="313"/>
      <c r="UWL639" s="340"/>
      <c r="UWM639" s="340"/>
      <c r="UWN639" s="354"/>
      <c r="UWO639" s="313"/>
      <c r="UWP639" s="340"/>
      <c r="UWQ639" s="340"/>
      <c r="UWR639" s="354"/>
      <c r="UWS639" s="313"/>
      <c r="UWT639" s="340"/>
      <c r="UWU639" s="340"/>
      <c r="UWV639" s="354"/>
      <c r="UWW639" s="313"/>
      <c r="UWX639" s="340"/>
      <c r="UWY639" s="340"/>
      <c r="UWZ639" s="354"/>
      <c r="UXA639" s="313"/>
      <c r="UXB639" s="340"/>
      <c r="UXC639" s="340"/>
      <c r="UXD639" s="354"/>
      <c r="UXE639" s="313"/>
      <c r="UXF639" s="340"/>
      <c r="UXG639" s="340"/>
      <c r="UXH639" s="354"/>
      <c r="UXI639" s="313"/>
      <c r="UXJ639" s="340"/>
      <c r="UXK639" s="340"/>
      <c r="UXL639" s="354"/>
      <c r="UXM639" s="313"/>
      <c r="UXN639" s="340"/>
      <c r="UXO639" s="340"/>
      <c r="UXP639" s="354"/>
      <c r="UXQ639" s="313"/>
      <c r="UXR639" s="340"/>
      <c r="UXS639" s="340"/>
      <c r="UXT639" s="354"/>
      <c r="UXU639" s="313"/>
      <c r="UXV639" s="340"/>
      <c r="UXW639" s="340"/>
      <c r="UXX639" s="354"/>
      <c r="UXY639" s="313"/>
      <c r="UXZ639" s="340"/>
      <c r="UYA639" s="340"/>
      <c r="UYB639" s="354"/>
      <c r="UYC639" s="313"/>
      <c r="UYD639" s="340"/>
      <c r="UYE639" s="340"/>
      <c r="UYF639" s="354"/>
      <c r="UYG639" s="313"/>
      <c r="UYH639" s="340"/>
      <c r="UYI639" s="340"/>
      <c r="UYJ639" s="354"/>
      <c r="UYK639" s="313"/>
      <c r="UYL639" s="340"/>
      <c r="UYM639" s="340"/>
      <c r="UYN639" s="354"/>
      <c r="UYO639" s="313"/>
      <c r="UYP639" s="340"/>
      <c r="UYQ639" s="340"/>
      <c r="UYR639" s="354"/>
      <c r="UYS639" s="313"/>
      <c r="UYT639" s="340"/>
      <c r="UYU639" s="340"/>
      <c r="UYV639" s="354"/>
      <c r="UYW639" s="313"/>
      <c r="UYX639" s="340"/>
      <c r="UYY639" s="340"/>
      <c r="UYZ639" s="354"/>
      <c r="UZA639" s="313"/>
      <c r="UZB639" s="340"/>
      <c r="UZC639" s="340"/>
      <c r="UZD639" s="354"/>
      <c r="UZE639" s="313"/>
      <c r="UZF639" s="340"/>
      <c r="UZG639" s="340"/>
      <c r="UZH639" s="354"/>
      <c r="UZI639" s="313"/>
      <c r="UZJ639" s="340"/>
      <c r="UZK639" s="340"/>
      <c r="UZL639" s="354"/>
      <c r="UZM639" s="313"/>
      <c r="UZN639" s="340"/>
      <c r="UZO639" s="340"/>
      <c r="UZP639" s="354"/>
      <c r="UZQ639" s="313"/>
      <c r="UZR639" s="340"/>
      <c r="UZS639" s="340"/>
      <c r="UZT639" s="354"/>
      <c r="UZU639" s="313"/>
      <c r="UZV639" s="340"/>
      <c r="UZW639" s="340"/>
      <c r="UZX639" s="354"/>
      <c r="UZY639" s="313"/>
      <c r="UZZ639" s="340"/>
      <c r="VAA639" s="340"/>
      <c r="VAB639" s="354"/>
      <c r="VAC639" s="313"/>
      <c r="VAD639" s="340"/>
      <c r="VAE639" s="340"/>
      <c r="VAF639" s="354"/>
      <c r="VAG639" s="313"/>
      <c r="VAH639" s="340"/>
      <c r="VAI639" s="340"/>
      <c r="VAJ639" s="354"/>
      <c r="VAK639" s="313"/>
      <c r="VAL639" s="340"/>
      <c r="VAM639" s="340"/>
      <c r="VAN639" s="354"/>
      <c r="VAO639" s="313"/>
      <c r="VAP639" s="340"/>
      <c r="VAQ639" s="340"/>
      <c r="VAR639" s="354"/>
      <c r="VAS639" s="313"/>
      <c r="VAT639" s="340"/>
      <c r="VAU639" s="340"/>
      <c r="VAV639" s="354"/>
      <c r="VAW639" s="313"/>
      <c r="VAX639" s="340"/>
      <c r="VAY639" s="340"/>
      <c r="VAZ639" s="354"/>
      <c r="VBA639" s="313"/>
      <c r="VBB639" s="340"/>
      <c r="VBC639" s="340"/>
      <c r="VBD639" s="354"/>
      <c r="VBE639" s="313"/>
      <c r="VBF639" s="340"/>
      <c r="VBG639" s="340"/>
      <c r="VBH639" s="354"/>
      <c r="VBI639" s="313"/>
      <c r="VBJ639" s="340"/>
      <c r="VBK639" s="340"/>
      <c r="VBL639" s="354"/>
      <c r="VBM639" s="313"/>
      <c r="VBN639" s="340"/>
      <c r="VBO639" s="340"/>
      <c r="VBP639" s="354"/>
      <c r="VBQ639" s="313"/>
      <c r="VBR639" s="340"/>
      <c r="VBS639" s="340"/>
      <c r="VBT639" s="354"/>
      <c r="VBU639" s="313"/>
      <c r="VBV639" s="340"/>
      <c r="VBW639" s="340"/>
      <c r="VBX639" s="354"/>
      <c r="VBY639" s="313"/>
      <c r="VBZ639" s="340"/>
      <c r="VCA639" s="340"/>
      <c r="VCB639" s="354"/>
      <c r="VCC639" s="313"/>
      <c r="VCD639" s="340"/>
      <c r="VCE639" s="340"/>
      <c r="VCF639" s="354"/>
      <c r="VCG639" s="313"/>
      <c r="VCH639" s="340"/>
      <c r="VCI639" s="340"/>
      <c r="VCJ639" s="354"/>
      <c r="VCK639" s="313"/>
      <c r="VCL639" s="340"/>
      <c r="VCM639" s="340"/>
      <c r="VCN639" s="354"/>
      <c r="VCO639" s="313"/>
      <c r="VCP639" s="340"/>
      <c r="VCQ639" s="340"/>
      <c r="VCR639" s="354"/>
      <c r="VCS639" s="313"/>
      <c r="VCT639" s="340"/>
      <c r="VCU639" s="340"/>
      <c r="VCV639" s="354"/>
      <c r="VCW639" s="313"/>
      <c r="VCX639" s="340"/>
      <c r="VCY639" s="340"/>
      <c r="VCZ639" s="354"/>
      <c r="VDA639" s="313"/>
      <c r="VDB639" s="340"/>
      <c r="VDC639" s="340"/>
      <c r="VDD639" s="354"/>
      <c r="VDE639" s="313"/>
      <c r="VDF639" s="340"/>
      <c r="VDG639" s="340"/>
      <c r="VDH639" s="354"/>
      <c r="VDI639" s="313"/>
      <c r="VDJ639" s="340"/>
      <c r="VDK639" s="340"/>
      <c r="VDL639" s="354"/>
      <c r="VDM639" s="313"/>
      <c r="VDN639" s="340"/>
      <c r="VDO639" s="340"/>
      <c r="VDP639" s="354"/>
      <c r="VDQ639" s="313"/>
      <c r="VDR639" s="340"/>
      <c r="VDS639" s="340"/>
      <c r="VDT639" s="354"/>
      <c r="VDU639" s="313"/>
      <c r="VDV639" s="340"/>
      <c r="VDW639" s="340"/>
      <c r="VDX639" s="354"/>
      <c r="VDY639" s="313"/>
      <c r="VDZ639" s="340"/>
      <c r="VEA639" s="340"/>
      <c r="VEB639" s="354"/>
      <c r="VEC639" s="313"/>
      <c r="VED639" s="340"/>
      <c r="VEE639" s="340"/>
      <c r="VEF639" s="354"/>
      <c r="VEG639" s="313"/>
      <c r="VEH639" s="340"/>
      <c r="VEI639" s="340"/>
      <c r="VEJ639" s="354"/>
      <c r="VEK639" s="313"/>
      <c r="VEL639" s="340"/>
      <c r="VEM639" s="340"/>
      <c r="VEN639" s="354"/>
      <c r="VEO639" s="313"/>
      <c r="VEP639" s="340"/>
      <c r="VEQ639" s="340"/>
      <c r="VER639" s="354"/>
      <c r="VES639" s="313"/>
      <c r="VET639" s="340"/>
      <c r="VEU639" s="340"/>
      <c r="VEV639" s="354"/>
      <c r="VEW639" s="313"/>
      <c r="VEX639" s="340"/>
      <c r="VEY639" s="340"/>
      <c r="VEZ639" s="354"/>
      <c r="VFA639" s="313"/>
      <c r="VFB639" s="340"/>
      <c r="VFC639" s="340"/>
      <c r="VFD639" s="354"/>
      <c r="VFE639" s="313"/>
      <c r="VFF639" s="340"/>
      <c r="VFG639" s="340"/>
      <c r="VFH639" s="354"/>
      <c r="VFI639" s="313"/>
      <c r="VFJ639" s="340"/>
      <c r="VFK639" s="340"/>
      <c r="VFL639" s="354"/>
      <c r="VFM639" s="313"/>
      <c r="VFN639" s="340"/>
      <c r="VFO639" s="340"/>
      <c r="VFP639" s="354"/>
      <c r="VFQ639" s="313"/>
      <c r="VFR639" s="340"/>
      <c r="VFS639" s="340"/>
      <c r="VFT639" s="354"/>
      <c r="VFU639" s="313"/>
      <c r="VFV639" s="340"/>
      <c r="VFW639" s="340"/>
      <c r="VFX639" s="354"/>
      <c r="VFY639" s="313"/>
      <c r="VFZ639" s="340"/>
      <c r="VGA639" s="340"/>
      <c r="VGB639" s="354"/>
      <c r="VGC639" s="313"/>
      <c r="VGD639" s="340"/>
      <c r="VGE639" s="340"/>
      <c r="VGF639" s="354"/>
      <c r="VGG639" s="313"/>
      <c r="VGH639" s="340"/>
      <c r="VGI639" s="340"/>
      <c r="VGJ639" s="354"/>
      <c r="VGK639" s="313"/>
      <c r="VGL639" s="340"/>
      <c r="VGM639" s="340"/>
      <c r="VGN639" s="354"/>
      <c r="VGO639" s="313"/>
      <c r="VGP639" s="340"/>
      <c r="VGQ639" s="340"/>
      <c r="VGR639" s="354"/>
      <c r="VGS639" s="313"/>
      <c r="VGT639" s="340"/>
      <c r="VGU639" s="340"/>
      <c r="VGV639" s="354"/>
      <c r="VGW639" s="313"/>
      <c r="VGX639" s="340"/>
      <c r="VGY639" s="340"/>
      <c r="VGZ639" s="354"/>
      <c r="VHA639" s="313"/>
      <c r="VHB639" s="340"/>
      <c r="VHC639" s="340"/>
      <c r="VHD639" s="354"/>
      <c r="VHE639" s="313"/>
      <c r="VHF639" s="340"/>
      <c r="VHG639" s="340"/>
      <c r="VHH639" s="354"/>
      <c r="VHI639" s="313"/>
      <c r="VHJ639" s="340"/>
      <c r="VHK639" s="340"/>
      <c r="VHL639" s="354"/>
      <c r="VHM639" s="313"/>
      <c r="VHN639" s="340"/>
      <c r="VHO639" s="340"/>
      <c r="VHP639" s="354"/>
      <c r="VHQ639" s="313"/>
      <c r="VHR639" s="340"/>
      <c r="VHS639" s="340"/>
      <c r="VHT639" s="354"/>
      <c r="VHU639" s="313"/>
      <c r="VHV639" s="340"/>
      <c r="VHW639" s="340"/>
      <c r="VHX639" s="354"/>
      <c r="VHY639" s="313"/>
      <c r="VHZ639" s="340"/>
      <c r="VIA639" s="340"/>
      <c r="VIB639" s="354"/>
      <c r="VIC639" s="313"/>
      <c r="VID639" s="340"/>
      <c r="VIE639" s="340"/>
      <c r="VIF639" s="354"/>
      <c r="VIG639" s="313"/>
      <c r="VIH639" s="340"/>
      <c r="VII639" s="340"/>
      <c r="VIJ639" s="354"/>
      <c r="VIK639" s="313"/>
      <c r="VIL639" s="340"/>
      <c r="VIM639" s="340"/>
      <c r="VIN639" s="354"/>
      <c r="VIO639" s="313"/>
      <c r="VIP639" s="340"/>
      <c r="VIQ639" s="340"/>
      <c r="VIR639" s="354"/>
      <c r="VIS639" s="313"/>
      <c r="VIT639" s="340"/>
      <c r="VIU639" s="340"/>
      <c r="VIV639" s="354"/>
      <c r="VIW639" s="313"/>
      <c r="VIX639" s="340"/>
      <c r="VIY639" s="340"/>
      <c r="VIZ639" s="354"/>
      <c r="VJA639" s="313"/>
      <c r="VJB639" s="340"/>
      <c r="VJC639" s="340"/>
      <c r="VJD639" s="354"/>
      <c r="VJE639" s="313"/>
      <c r="VJF639" s="340"/>
      <c r="VJG639" s="340"/>
      <c r="VJH639" s="354"/>
      <c r="VJI639" s="313"/>
      <c r="VJJ639" s="340"/>
      <c r="VJK639" s="340"/>
      <c r="VJL639" s="354"/>
      <c r="VJM639" s="313"/>
      <c r="VJN639" s="340"/>
      <c r="VJO639" s="340"/>
      <c r="VJP639" s="354"/>
      <c r="VJQ639" s="313"/>
      <c r="VJR639" s="340"/>
      <c r="VJS639" s="340"/>
      <c r="VJT639" s="354"/>
      <c r="VJU639" s="313"/>
      <c r="VJV639" s="340"/>
      <c r="VJW639" s="340"/>
      <c r="VJX639" s="354"/>
      <c r="VJY639" s="313"/>
      <c r="VJZ639" s="340"/>
      <c r="VKA639" s="340"/>
      <c r="VKB639" s="354"/>
      <c r="VKC639" s="313"/>
      <c r="VKD639" s="340"/>
      <c r="VKE639" s="340"/>
      <c r="VKF639" s="354"/>
      <c r="VKG639" s="313"/>
      <c r="VKH639" s="340"/>
      <c r="VKI639" s="340"/>
      <c r="VKJ639" s="354"/>
      <c r="VKK639" s="313"/>
      <c r="VKL639" s="340"/>
      <c r="VKM639" s="340"/>
      <c r="VKN639" s="354"/>
      <c r="VKO639" s="313"/>
      <c r="VKP639" s="340"/>
      <c r="VKQ639" s="340"/>
      <c r="VKR639" s="354"/>
      <c r="VKS639" s="313"/>
      <c r="VKT639" s="340"/>
      <c r="VKU639" s="340"/>
      <c r="VKV639" s="354"/>
      <c r="VKW639" s="313"/>
      <c r="VKX639" s="340"/>
      <c r="VKY639" s="340"/>
      <c r="VKZ639" s="354"/>
      <c r="VLA639" s="313"/>
      <c r="VLB639" s="340"/>
      <c r="VLC639" s="340"/>
      <c r="VLD639" s="354"/>
      <c r="VLE639" s="313"/>
      <c r="VLF639" s="340"/>
      <c r="VLG639" s="340"/>
      <c r="VLH639" s="354"/>
      <c r="VLI639" s="313"/>
      <c r="VLJ639" s="340"/>
      <c r="VLK639" s="340"/>
      <c r="VLL639" s="354"/>
      <c r="VLM639" s="313"/>
      <c r="VLN639" s="340"/>
      <c r="VLO639" s="340"/>
      <c r="VLP639" s="354"/>
      <c r="VLQ639" s="313"/>
      <c r="VLR639" s="340"/>
      <c r="VLS639" s="340"/>
      <c r="VLT639" s="354"/>
      <c r="VLU639" s="313"/>
      <c r="VLV639" s="340"/>
      <c r="VLW639" s="340"/>
      <c r="VLX639" s="354"/>
      <c r="VLY639" s="313"/>
      <c r="VLZ639" s="340"/>
      <c r="VMA639" s="340"/>
      <c r="VMB639" s="354"/>
      <c r="VMC639" s="313"/>
      <c r="VMD639" s="340"/>
      <c r="VME639" s="340"/>
      <c r="VMF639" s="354"/>
      <c r="VMG639" s="313"/>
      <c r="VMH639" s="340"/>
      <c r="VMI639" s="340"/>
      <c r="VMJ639" s="354"/>
      <c r="VMK639" s="313"/>
      <c r="VML639" s="340"/>
      <c r="VMM639" s="340"/>
      <c r="VMN639" s="354"/>
      <c r="VMO639" s="313"/>
      <c r="VMP639" s="340"/>
      <c r="VMQ639" s="340"/>
      <c r="VMR639" s="354"/>
      <c r="VMS639" s="313"/>
      <c r="VMT639" s="340"/>
      <c r="VMU639" s="340"/>
      <c r="VMV639" s="354"/>
      <c r="VMW639" s="313"/>
      <c r="VMX639" s="340"/>
      <c r="VMY639" s="340"/>
      <c r="VMZ639" s="354"/>
      <c r="VNA639" s="313"/>
      <c r="VNB639" s="340"/>
      <c r="VNC639" s="340"/>
      <c r="VND639" s="354"/>
      <c r="VNE639" s="313"/>
      <c r="VNF639" s="340"/>
      <c r="VNG639" s="340"/>
      <c r="VNH639" s="354"/>
      <c r="VNI639" s="313"/>
      <c r="VNJ639" s="340"/>
      <c r="VNK639" s="340"/>
      <c r="VNL639" s="354"/>
      <c r="VNM639" s="313"/>
      <c r="VNN639" s="340"/>
      <c r="VNO639" s="340"/>
      <c r="VNP639" s="354"/>
      <c r="VNQ639" s="313"/>
      <c r="VNR639" s="340"/>
      <c r="VNS639" s="340"/>
      <c r="VNT639" s="354"/>
      <c r="VNU639" s="313"/>
      <c r="VNV639" s="340"/>
      <c r="VNW639" s="340"/>
      <c r="VNX639" s="354"/>
      <c r="VNY639" s="313"/>
      <c r="VNZ639" s="340"/>
      <c r="VOA639" s="340"/>
      <c r="VOB639" s="354"/>
      <c r="VOC639" s="313"/>
      <c r="VOD639" s="340"/>
      <c r="VOE639" s="340"/>
      <c r="VOF639" s="354"/>
      <c r="VOG639" s="313"/>
      <c r="VOH639" s="340"/>
      <c r="VOI639" s="340"/>
      <c r="VOJ639" s="354"/>
      <c r="VOK639" s="313"/>
      <c r="VOL639" s="340"/>
      <c r="VOM639" s="340"/>
      <c r="VON639" s="354"/>
      <c r="VOO639" s="313"/>
      <c r="VOP639" s="340"/>
      <c r="VOQ639" s="340"/>
      <c r="VOR639" s="354"/>
      <c r="VOS639" s="313"/>
      <c r="VOT639" s="340"/>
      <c r="VOU639" s="340"/>
      <c r="VOV639" s="354"/>
      <c r="VOW639" s="313"/>
      <c r="VOX639" s="340"/>
      <c r="VOY639" s="340"/>
      <c r="VOZ639" s="354"/>
      <c r="VPA639" s="313"/>
      <c r="VPB639" s="340"/>
      <c r="VPC639" s="340"/>
      <c r="VPD639" s="354"/>
      <c r="VPE639" s="313"/>
      <c r="VPF639" s="340"/>
      <c r="VPG639" s="340"/>
      <c r="VPH639" s="354"/>
      <c r="VPI639" s="313"/>
      <c r="VPJ639" s="340"/>
      <c r="VPK639" s="340"/>
      <c r="VPL639" s="354"/>
      <c r="VPM639" s="313"/>
      <c r="VPN639" s="340"/>
      <c r="VPO639" s="340"/>
      <c r="VPP639" s="354"/>
      <c r="VPQ639" s="313"/>
      <c r="VPR639" s="340"/>
      <c r="VPS639" s="340"/>
      <c r="VPT639" s="354"/>
      <c r="VPU639" s="313"/>
      <c r="VPV639" s="340"/>
      <c r="VPW639" s="340"/>
      <c r="VPX639" s="354"/>
      <c r="VPY639" s="313"/>
      <c r="VPZ639" s="340"/>
      <c r="VQA639" s="340"/>
      <c r="VQB639" s="354"/>
      <c r="VQC639" s="313"/>
      <c r="VQD639" s="340"/>
      <c r="VQE639" s="340"/>
      <c r="VQF639" s="354"/>
      <c r="VQG639" s="313"/>
      <c r="VQH639" s="340"/>
      <c r="VQI639" s="340"/>
      <c r="VQJ639" s="354"/>
      <c r="VQK639" s="313"/>
      <c r="VQL639" s="340"/>
      <c r="VQM639" s="340"/>
      <c r="VQN639" s="354"/>
      <c r="VQO639" s="313"/>
      <c r="VQP639" s="340"/>
      <c r="VQQ639" s="340"/>
      <c r="VQR639" s="354"/>
      <c r="VQS639" s="313"/>
      <c r="VQT639" s="340"/>
      <c r="VQU639" s="340"/>
      <c r="VQV639" s="354"/>
      <c r="VQW639" s="313"/>
      <c r="VQX639" s="340"/>
      <c r="VQY639" s="340"/>
      <c r="VQZ639" s="354"/>
      <c r="VRA639" s="313"/>
      <c r="VRB639" s="340"/>
      <c r="VRC639" s="340"/>
      <c r="VRD639" s="354"/>
      <c r="VRE639" s="313"/>
      <c r="VRF639" s="340"/>
      <c r="VRG639" s="340"/>
      <c r="VRH639" s="354"/>
      <c r="VRI639" s="313"/>
      <c r="VRJ639" s="340"/>
      <c r="VRK639" s="340"/>
      <c r="VRL639" s="354"/>
      <c r="VRM639" s="313"/>
      <c r="VRN639" s="340"/>
      <c r="VRO639" s="340"/>
      <c r="VRP639" s="354"/>
      <c r="VRQ639" s="313"/>
      <c r="VRR639" s="340"/>
      <c r="VRS639" s="340"/>
      <c r="VRT639" s="354"/>
      <c r="VRU639" s="313"/>
      <c r="VRV639" s="340"/>
      <c r="VRW639" s="340"/>
      <c r="VRX639" s="354"/>
      <c r="VRY639" s="313"/>
      <c r="VRZ639" s="340"/>
      <c r="VSA639" s="340"/>
      <c r="VSB639" s="354"/>
      <c r="VSC639" s="313"/>
      <c r="VSD639" s="340"/>
      <c r="VSE639" s="340"/>
      <c r="VSF639" s="354"/>
      <c r="VSG639" s="313"/>
      <c r="VSH639" s="340"/>
      <c r="VSI639" s="340"/>
      <c r="VSJ639" s="354"/>
      <c r="VSK639" s="313"/>
      <c r="VSL639" s="340"/>
      <c r="VSM639" s="340"/>
      <c r="VSN639" s="354"/>
      <c r="VSO639" s="313"/>
      <c r="VSP639" s="340"/>
      <c r="VSQ639" s="340"/>
      <c r="VSR639" s="354"/>
      <c r="VSS639" s="313"/>
      <c r="VST639" s="340"/>
      <c r="VSU639" s="340"/>
      <c r="VSV639" s="354"/>
      <c r="VSW639" s="313"/>
      <c r="VSX639" s="340"/>
      <c r="VSY639" s="340"/>
      <c r="VSZ639" s="354"/>
      <c r="VTA639" s="313"/>
      <c r="VTB639" s="340"/>
      <c r="VTC639" s="340"/>
      <c r="VTD639" s="354"/>
      <c r="VTE639" s="313"/>
      <c r="VTF639" s="340"/>
      <c r="VTG639" s="340"/>
      <c r="VTH639" s="354"/>
      <c r="VTI639" s="313"/>
      <c r="VTJ639" s="340"/>
      <c r="VTK639" s="340"/>
      <c r="VTL639" s="354"/>
      <c r="VTM639" s="313"/>
      <c r="VTN639" s="340"/>
      <c r="VTO639" s="340"/>
      <c r="VTP639" s="354"/>
      <c r="VTQ639" s="313"/>
      <c r="VTR639" s="340"/>
      <c r="VTS639" s="340"/>
      <c r="VTT639" s="354"/>
      <c r="VTU639" s="313"/>
      <c r="VTV639" s="340"/>
      <c r="VTW639" s="340"/>
      <c r="VTX639" s="354"/>
      <c r="VTY639" s="313"/>
      <c r="VTZ639" s="340"/>
      <c r="VUA639" s="340"/>
      <c r="VUB639" s="354"/>
      <c r="VUC639" s="313"/>
      <c r="VUD639" s="340"/>
      <c r="VUE639" s="340"/>
      <c r="VUF639" s="354"/>
      <c r="VUG639" s="313"/>
      <c r="VUH639" s="340"/>
      <c r="VUI639" s="340"/>
      <c r="VUJ639" s="354"/>
      <c r="VUK639" s="313"/>
      <c r="VUL639" s="340"/>
      <c r="VUM639" s="340"/>
      <c r="VUN639" s="354"/>
      <c r="VUO639" s="313"/>
      <c r="VUP639" s="340"/>
      <c r="VUQ639" s="340"/>
      <c r="VUR639" s="354"/>
      <c r="VUS639" s="313"/>
      <c r="VUT639" s="340"/>
      <c r="VUU639" s="340"/>
      <c r="VUV639" s="354"/>
      <c r="VUW639" s="313"/>
      <c r="VUX639" s="340"/>
      <c r="VUY639" s="340"/>
      <c r="VUZ639" s="354"/>
      <c r="VVA639" s="313"/>
      <c r="VVB639" s="340"/>
      <c r="VVC639" s="340"/>
      <c r="VVD639" s="354"/>
      <c r="VVE639" s="313"/>
      <c r="VVF639" s="340"/>
      <c r="VVG639" s="340"/>
      <c r="VVH639" s="354"/>
      <c r="VVI639" s="313"/>
      <c r="VVJ639" s="340"/>
      <c r="VVK639" s="340"/>
      <c r="VVL639" s="354"/>
      <c r="VVM639" s="313"/>
      <c r="VVN639" s="340"/>
      <c r="VVO639" s="340"/>
      <c r="VVP639" s="354"/>
      <c r="VVQ639" s="313"/>
      <c r="VVR639" s="340"/>
      <c r="VVS639" s="340"/>
      <c r="VVT639" s="354"/>
      <c r="VVU639" s="313"/>
      <c r="VVV639" s="340"/>
      <c r="VVW639" s="340"/>
      <c r="VVX639" s="354"/>
      <c r="VVY639" s="313"/>
      <c r="VVZ639" s="340"/>
      <c r="VWA639" s="340"/>
      <c r="VWB639" s="354"/>
      <c r="VWC639" s="313"/>
      <c r="VWD639" s="340"/>
      <c r="VWE639" s="340"/>
      <c r="VWF639" s="354"/>
      <c r="VWG639" s="313"/>
      <c r="VWH639" s="340"/>
      <c r="VWI639" s="340"/>
      <c r="VWJ639" s="354"/>
      <c r="VWK639" s="313"/>
      <c r="VWL639" s="340"/>
      <c r="VWM639" s="340"/>
      <c r="VWN639" s="354"/>
      <c r="VWO639" s="313"/>
      <c r="VWP639" s="340"/>
      <c r="VWQ639" s="340"/>
      <c r="VWR639" s="354"/>
      <c r="VWS639" s="313"/>
      <c r="VWT639" s="340"/>
      <c r="VWU639" s="340"/>
      <c r="VWV639" s="354"/>
      <c r="VWW639" s="313"/>
      <c r="VWX639" s="340"/>
      <c r="VWY639" s="340"/>
      <c r="VWZ639" s="354"/>
      <c r="VXA639" s="313"/>
      <c r="VXB639" s="340"/>
      <c r="VXC639" s="340"/>
      <c r="VXD639" s="354"/>
      <c r="VXE639" s="313"/>
      <c r="VXF639" s="340"/>
      <c r="VXG639" s="340"/>
      <c r="VXH639" s="354"/>
      <c r="VXI639" s="313"/>
      <c r="VXJ639" s="340"/>
      <c r="VXK639" s="340"/>
      <c r="VXL639" s="354"/>
      <c r="VXM639" s="313"/>
      <c r="VXN639" s="340"/>
      <c r="VXO639" s="340"/>
      <c r="VXP639" s="354"/>
      <c r="VXQ639" s="313"/>
      <c r="VXR639" s="340"/>
      <c r="VXS639" s="340"/>
      <c r="VXT639" s="354"/>
      <c r="VXU639" s="313"/>
      <c r="VXV639" s="340"/>
      <c r="VXW639" s="340"/>
      <c r="VXX639" s="354"/>
      <c r="VXY639" s="313"/>
      <c r="VXZ639" s="340"/>
      <c r="VYA639" s="340"/>
      <c r="VYB639" s="354"/>
      <c r="VYC639" s="313"/>
      <c r="VYD639" s="340"/>
      <c r="VYE639" s="340"/>
      <c r="VYF639" s="354"/>
      <c r="VYG639" s="313"/>
      <c r="VYH639" s="340"/>
      <c r="VYI639" s="340"/>
      <c r="VYJ639" s="354"/>
      <c r="VYK639" s="313"/>
      <c r="VYL639" s="340"/>
      <c r="VYM639" s="340"/>
      <c r="VYN639" s="354"/>
      <c r="VYO639" s="313"/>
      <c r="VYP639" s="340"/>
      <c r="VYQ639" s="340"/>
      <c r="VYR639" s="354"/>
      <c r="VYS639" s="313"/>
      <c r="VYT639" s="340"/>
      <c r="VYU639" s="340"/>
      <c r="VYV639" s="354"/>
      <c r="VYW639" s="313"/>
      <c r="VYX639" s="340"/>
      <c r="VYY639" s="340"/>
      <c r="VYZ639" s="354"/>
      <c r="VZA639" s="313"/>
      <c r="VZB639" s="340"/>
      <c r="VZC639" s="340"/>
      <c r="VZD639" s="354"/>
      <c r="VZE639" s="313"/>
      <c r="VZF639" s="340"/>
      <c r="VZG639" s="340"/>
      <c r="VZH639" s="354"/>
      <c r="VZI639" s="313"/>
      <c r="VZJ639" s="340"/>
      <c r="VZK639" s="340"/>
      <c r="VZL639" s="354"/>
      <c r="VZM639" s="313"/>
      <c r="VZN639" s="340"/>
      <c r="VZO639" s="340"/>
      <c r="VZP639" s="354"/>
      <c r="VZQ639" s="313"/>
      <c r="VZR639" s="340"/>
      <c r="VZS639" s="340"/>
      <c r="VZT639" s="354"/>
      <c r="VZU639" s="313"/>
      <c r="VZV639" s="340"/>
      <c r="VZW639" s="340"/>
      <c r="VZX639" s="354"/>
      <c r="VZY639" s="313"/>
      <c r="VZZ639" s="340"/>
      <c r="WAA639" s="340"/>
      <c r="WAB639" s="354"/>
      <c r="WAC639" s="313"/>
      <c r="WAD639" s="340"/>
      <c r="WAE639" s="340"/>
      <c r="WAF639" s="354"/>
      <c r="WAG639" s="313"/>
      <c r="WAH639" s="340"/>
      <c r="WAI639" s="340"/>
      <c r="WAJ639" s="354"/>
      <c r="WAK639" s="313"/>
      <c r="WAL639" s="340"/>
      <c r="WAM639" s="340"/>
      <c r="WAN639" s="354"/>
      <c r="WAO639" s="313"/>
      <c r="WAP639" s="340"/>
      <c r="WAQ639" s="340"/>
      <c r="WAR639" s="354"/>
      <c r="WAS639" s="313"/>
      <c r="WAT639" s="340"/>
      <c r="WAU639" s="340"/>
      <c r="WAV639" s="354"/>
      <c r="WAW639" s="313"/>
      <c r="WAX639" s="340"/>
      <c r="WAY639" s="340"/>
      <c r="WAZ639" s="354"/>
      <c r="WBA639" s="313"/>
      <c r="WBB639" s="340"/>
      <c r="WBC639" s="340"/>
      <c r="WBD639" s="354"/>
      <c r="WBE639" s="313"/>
      <c r="WBF639" s="340"/>
      <c r="WBG639" s="340"/>
      <c r="WBH639" s="354"/>
      <c r="WBI639" s="313"/>
      <c r="WBJ639" s="340"/>
      <c r="WBK639" s="340"/>
      <c r="WBL639" s="354"/>
      <c r="WBM639" s="313"/>
      <c r="WBN639" s="340"/>
      <c r="WBO639" s="340"/>
      <c r="WBP639" s="354"/>
      <c r="WBQ639" s="313"/>
      <c r="WBR639" s="340"/>
      <c r="WBS639" s="340"/>
      <c r="WBT639" s="354"/>
      <c r="WBU639" s="313"/>
      <c r="WBV639" s="340"/>
      <c r="WBW639" s="340"/>
      <c r="WBX639" s="354"/>
      <c r="WBY639" s="313"/>
      <c r="WBZ639" s="340"/>
      <c r="WCA639" s="340"/>
      <c r="WCB639" s="354"/>
      <c r="WCC639" s="313"/>
      <c r="WCD639" s="340"/>
      <c r="WCE639" s="340"/>
      <c r="WCF639" s="354"/>
      <c r="WCG639" s="313"/>
      <c r="WCH639" s="340"/>
      <c r="WCI639" s="340"/>
      <c r="WCJ639" s="354"/>
      <c r="WCK639" s="313"/>
      <c r="WCL639" s="340"/>
      <c r="WCM639" s="340"/>
      <c r="WCN639" s="354"/>
      <c r="WCO639" s="313"/>
      <c r="WCP639" s="340"/>
      <c r="WCQ639" s="340"/>
      <c r="WCR639" s="354"/>
      <c r="WCS639" s="313"/>
      <c r="WCT639" s="340"/>
      <c r="WCU639" s="340"/>
      <c r="WCV639" s="354"/>
      <c r="WCW639" s="313"/>
      <c r="WCX639" s="340"/>
      <c r="WCY639" s="340"/>
      <c r="WCZ639" s="354"/>
      <c r="WDA639" s="313"/>
      <c r="WDB639" s="340"/>
      <c r="WDC639" s="340"/>
      <c r="WDD639" s="354"/>
      <c r="WDE639" s="313"/>
      <c r="WDF639" s="340"/>
      <c r="WDG639" s="340"/>
      <c r="WDH639" s="354"/>
      <c r="WDI639" s="313"/>
      <c r="WDJ639" s="340"/>
      <c r="WDK639" s="340"/>
      <c r="WDL639" s="354"/>
      <c r="WDM639" s="313"/>
      <c r="WDN639" s="340"/>
      <c r="WDO639" s="340"/>
      <c r="WDP639" s="354"/>
      <c r="WDQ639" s="313"/>
      <c r="WDR639" s="340"/>
      <c r="WDS639" s="340"/>
      <c r="WDT639" s="354"/>
      <c r="WDU639" s="313"/>
      <c r="WDV639" s="340"/>
      <c r="WDW639" s="340"/>
      <c r="WDX639" s="354"/>
      <c r="WDY639" s="313"/>
      <c r="WDZ639" s="340"/>
      <c r="WEA639" s="340"/>
      <c r="WEB639" s="354"/>
      <c r="WEC639" s="313"/>
      <c r="WED639" s="340"/>
      <c r="WEE639" s="340"/>
      <c r="WEF639" s="354"/>
      <c r="WEG639" s="313"/>
      <c r="WEH639" s="340"/>
      <c r="WEI639" s="340"/>
      <c r="WEJ639" s="354"/>
      <c r="WEK639" s="313"/>
      <c r="WEL639" s="340"/>
      <c r="WEM639" s="340"/>
      <c r="WEN639" s="354"/>
      <c r="WEO639" s="313"/>
      <c r="WEP639" s="340"/>
      <c r="WEQ639" s="340"/>
      <c r="WER639" s="354"/>
      <c r="WES639" s="313"/>
      <c r="WET639" s="340"/>
      <c r="WEU639" s="340"/>
      <c r="WEV639" s="354"/>
      <c r="WEW639" s="313"/>
      <c r="WEX639" s="340"/>
      <c r="WEY639" s="340"/>
      <c r="WEZ639" s="354"/>
      <c r="WFA639" s="313"/>
      <c r="WFB639" s="340"/>
      <c r="WFC639" s="340"/>
      <c r="WFD639" s="354"/>
      <c r="WFE639" s="313"/>
      <c r="WFF639" s="340"/>
      <c r="WFG639" s="340"/>
      <c r="WFH639" s="354"/>
      <c r="WFI639" s="313"/>
      <c r="WFJ639" s="340"/>
      <c r="WFK639" s="340"/>
      <c r="WFL639" s="354"/>
      <c r="WFM639" s="313"/>
      <c r="WFN639" s="340"/>
      <c r="WFO639" s="340"/>
      <c r="WFP639" s="354"/>
      <c r="WFQ639" s="313"/>
      <c r="WFR639" s="340"/>
      <c r="WFS639" s="340"/>
      <c r="WFT639" s="354"/>
      <c r="WFU639" s="313"/>
      <c r="WFV639" s="340"/>
      <c r="WFW639" s="340"/>
      <c r="WFX639" s="354"/>
      <c r="WFY639" s="313"/>
      <c r="WFZ639" s="340"/>
      <c r="WGA639" s="340"/>
      <c r="WGB639" s="354"/>
      <c r="WGC639" s="313"/>
      <c r="WGD639" s="340"/>
      <c r="WGE639" s="340"/>
      <c r="WGF639" s="354"/>
      <c r="WGG639" s="313"/>
      <c r="WGH639" s="340"/>
      <c r="WGI639" s="340"/>
      <c r="WGJ639" s="354"/>
      <c r="WGK639" s="313"/>
      <c r="WGL639" s="340"/>
      <c r="WGM639" s="340"/>
      <c r="WGN639" s="354"/>
      <c r="WGO639" s="313"/>
      <c r="WGP639" s="340"/>
      <c r="WGQ639" s="340"/>
      <c r="WGR639" s="354"/>
      <c r="WGS639" s="313"/>
      <c r="WGT639" s="340"/>
      <c r="WGU639" s="340"/>
      <c r="WGV639" s="354"/>
      <c r="WGW639" s="313"/>
      <c r="WGX639" s="340"/>
      <c r="WGY639" s="340"/>
      <c r="WGZ639" s="354"/>
      <c r="WHA639" s="313"/>
      <c r="WHB639" s="340"/>
      <c r="WHC639" s="340"/>
      <c r="WHD639" s="354"/>
      <c r="WHE639" s="313"/>
      <c r="WHF639" s="340"/>
      <c r="WHG639" s="340"/>
      <c r="WHH639" s="354"/>
      <c r="WHI639" s="313"/>
      <c r="WHJ639" s="340"/>
      <c r="WHK639" s="340"/>
      <c r="WHL639" s="354"/>
      <c r="WHM639" s="313"/>
      <c r="WHN639" s="340"/>
      <c r="WHO639" s="340"/>
      <c r="WHP639" s="354"/>
      <c r="WHQ639" s="313"/>
      <c r="WHR639" s="340"/>
      <c r="WHS639" s="340"/>
      <c r="WHT639" s="354"/>
      <c r="WHU639" s="313"/>
      <c r="WHV639" s="340"/>
      <c r="WHW639" s="340"/>
      <c r="WHX639" s="354"/>
      <c r="WHY639" s="313"/>
      <c r="WHZ639" s="340"/>
      <c r="WIA639" s="340"/>
      <c r="WIB639" s="354"/>
      <c r="WIC639" s="313"/>
      <c r="WID639" s="340"/>
      <c r="WIE639" s="340"/>
      <c r="WIF639" s="354"/>
      <c r="WIG639" s="313"/>
      <c r="WIH639" s="340"/>
      <c r="WII639" s="340"/>
      <c r="WIJ639" s="354"/>
      <c r="WIK639" s="313"/>
      <c r="WIL639" s="340"/>
      <c r="WIM639" s="340"/>
      <c r="WIN639" s="354"/>
      <c r="WIO639" s="313"/>
      <c r="WIP639" s="340"/>
      <c r="WIQ639" s="340"/>
      <c r="WIR639" s="354"/>
      <c r="WIS639" s="313"/>
      <c r="WIT639" s="340"/>
      <c r="WIU639" s="340"/>
      <c r="WIV639" s="354"/>
      <c r="WIW639" s="313"/>
      <c r="WIX639" s="340"/>
      <c r="WIY639" s="340"/>
      <c r="WIZ639" s="354"/>
      <c r="WJA639" s="313"/>
      <c r="WJB639" s="340"/>
      <c r="WJC639" s="340"/>
      <c r="WJD639" s="354"/>
      <c r="WJE639" s="313"/>
      <c r="WJF639" s="340"/>
      <c r="WJG639" s="340"/>
      <c r="WJH639" s="354"/>
      <c r="WJI639" s="313"/>
      <c r="WJJ639" s="340"/>
      <c r="WJK639" s="340"/>
      <c r="WJL639" s="354"/>
      <c r="WJM639" s="313"/>
      <c r="WJN639" s="340"/>
      <c r="WJO639" s="340"/>
      <c r="WJP639" s="354"/>
      <c r="WJQ639" s="313"/>
      <c r="WJR639" s="340"/>
      <c r="WJS639" s="340"/>
      <c r="WJT639" s="354"/>
      <c r="WJU639" s="313"/>
      <c r="WJV639" s="340"/>
      <c r="WJW639" s="340"/>
      <c r="WJX639" s="354"/>
      <c r="WJY639" s="313"/>
      <c r="WJZ639" s="340"/>
      <c r="WKA639" s="340"/>
      <c r="WKB639" s="354"/>
      <c r="WKC639" s="313"/>
      <c r="WKD639" s="340"/>
      <c r="WKE639" s="340"/>
      <c r="WKF639" s="354"/>
      <c r="WKG639" s="313"/>
      <c r="WKH639" s="340"/>
      <c r="WKI639" s="340"/>
      <c r="WKJ639" s="354"/>
      <c r="WKK639" s="313"/>
      <c r="WKL639" s="340"/>
      <c r="WKM639" s="340"/>
      <c r="WKN639" s="354"/>
      <c r="WKO639" s="313"/>
      <c r="WKP639" s="340"/>
      <c r="WKQ639" s="340"/>
      <c r="WKR639" s="354"/>
      <c r="WKS639" s="313"/>
      <c r="WKT639" s="340"/>
      <c r="WKU639" s="340"/>
      <c r="WKV639" s="354"/>
      <c r="WKW639" s="313"/>
      <c r="WKX639" s="340"/>
      <c r="WKY639" s="340"/>
      <c r="WKZ639" s="354"/>
      <c r="WLA639" s="313"/>
      <c r="WLB639" s="340"/>
      <c r="WLC639" s="340"/>
      <c r="WLD639" s="354"/>
      <c r="WLE639" s="313"/>
      <c r="WLF639" s="340"/>
      <c r="WLG639" s="340"/>
      <c r="WLH639" s="354"/>
      <c r="WLI639" s="313"/>
      <c r="WLJ639" s="340"/>
      <c r="WLK639" s="340"/>
      <c r="WLL639" s="354"/>
      <c r="WLM639" s="313"/>
      <c r="WLN639" s="340"/>
      <c r="WLO639" s="340"/>
      <c r="WLP639" s="354"/>
      <c r="WLQ639" s="313"/>
      <c r="WLR639" s="340"/>
      <c r="WLS639" s="340"/>
      <c r="WLT639" s="354"/>
      <c r="WLU639" s="313"/>
      <c r="WLV639" s="340"/>
      <c r="WLW639" s="340"/>
      <c r="WLX639" s="354"/>
      <c r="WLY639" s="313"/>
      <c r="WLZ639" s="340"/>
      <c r="WMA639" s="340"/>
      <c r="WMB639" s="354"/>
      <c r="WMC639" s="313"/>
      <c r="WMD639" s="340"/>
      <c r="WME639" s="340"/>
      <c r="WMF639" s="354"/>
      <c r="WMG639" s="313"/>
      <c r="WMH639" s="340"/>
      <c r="WMI639" s="340"/>
      <c r="WMJ639" s="354"/>
      <c r="WMK639" s="313"/>
      <c r="WML639" s="340"/>
      <c r="WMM639" s="340"/>
      <c r="WMN639" s="354"/>
      <c r="WMO639" s="313"/>
      <c r="WMP639" s="340"/>
      <c r="WMQ639" s="340"/>
      <c r="WMR639" s="354"/>
      <c r="WMS639" s="313"/>
      <c r="WMT639" s="340"/>
      <c r="WMU639" s="340"/>
      <c r="WMV639" s="354"/>
      <c r="WMW639" s="313"/>
      <c r="WMX639" s="340"/>
      <c r="WMY639" s="340"/>
      <c r="WMZ639" s="354"/>
      <c r="WNA639" s="313"/>
      <c r="WNB639" s="340"/>
      <c r="WNC639" s="340"/>
      <c r="WND639" s="354"/>
      <c r="WNE639" s="313"/>
      <c r="WNF639" s="340"/>
      <c r="WNG639" s="340"/>
      <c r="WNH639" s="354"/>
      <c r="WNI639" s="313"/>
      <c r="WNJ639" s="340"/>
      <c r="WNK639" s="340"/>
      <c r="WNL639" s="354"/>
      <c r="WNM639" s="313"/>
      <c r="WNN639" s="340"/>
      <c r="WNO639" s="340"/>
      <c r="WNP639" s="354"/>
      <c r="WNQ639" s="313"/>
      <c r="WNR639" s="340"/>
      <c r="WNS639" s="340"/>
      <c r="WNT639" s="354"/>
      <c r="WNU639" s="313"/>
      <c r="WNV639" s="340"/>
      <c r="WNW639" s="340"/>
      <c r="WNX639" s="354"/>
      <c r="WNY639" s="313"/>
      <c r="WNZ639" s="340"/>
      <c r="WOA639" s="340"/>
      <c r="WOB639" s="354"/>
      <c r="WOC639" s="313"/>
      <c r="WOD639" s="340"/>
      <c r="WOE639" s="340"/>
      <c r="WOF639" s="354"/>
      <c r="WOG639" s="313"/>
      <c r="WOH639" s="340"/>
      <c r="WOI639" s="340"/>
      <c r="WOJ639" s="354"/>
      <c r="WOK639" s="313"/>
      <c r="WOL639" s="340"/>
      <c r="WOM639" s="340"/>
      <c r="WON639" s="354"/>
      <c r="WOO639" s="313"/>
      <c r="WOP639" s="340"/>
      <c r="WOQ639" s="340"/>
      <c r="WOR639" s="354"/>
      <c r="WOS639" s="313"/>
      <c r="WOT639" s="340"/>
      <c r="WOU639" s="340"/>
      <c r="WOV639" s="354"/>
      <c r="WOW639" s="313"/>
      <c r="WOX639" s="340"/>
      <c r="WOY639" s="340"/>
      <c r="WOZ639" s="354"/>
      <c r="WPA639" s="313"/>
      <c r="WPB639" s="340"/>
      <c r="WPC639" s="340"/>
      <c r="WPD639" s="354"/>
      <c r="WPE639" s="313"/>
      <c r="WPF639" s="340"/>
      <c r="WPG639" s="340"/>
      <c r="WPH639" s="354"/>
      <c r="WPI639" s="313"/>
      <c r="WPJ639" s="340"/>
      <c r="WPK639" s="340"/>
      <c r="WPL639" s="354"/>
      <c r="WPM639" s="313"/>
      <c r="WPN639" s="340"/>
      <c r="WPO639" s="340"/>
      <c r="WPP639" s="354"/>
      <c r="WPQ639" s="313"/>
      <c r="WPR639" s="340"/>
      <c r="WPS639" s="340"/>
      <c r="WPT639" s="354"/>
      <c r="WPU639" s="313"/>
      <c r="WPV639" s="340"/>
      <c r="WPW639" s="340"/>
      <c r="WPX639" s="354"/>
      <c r="WPY639" s="313"/>
      <c r="WPZ639" s="340"/>
      <c r="WQA639" s="340"/>
      <c r="WQB639" s="354"/>
      <c r="WQC639" s="313"/>
      <c r="WQD639" s="340"/>
      <c r="WQE639" s="340"/>
      <c r="WQF639" s="354"/>
      <c r="WQG639" s="313"/>
      <c r="WQH639" s="340"/>
      <c r="WQI639" s="340"/>
      <c r="WQJ639" s="354"/>
      <c r="WQK639" s="313"/>
      <c r="WQL639" s="340"/>
      <c r="WQM639" s="340"/>
      <c r="WQN639" s="354"/>
      <c r="WQO639" s="313"/>
      <c r="WQP639" s="340"/>
      <c r="WQQ639" s="340"/>
      <c r="WQR639" s="354"/>
      <c r="WQS639" s="313"/>
      <c r="WQT639" s="340"/>
      <c r="WQU639" s="340"/>
      <c r="WQV639" s="354"/>
      <c r="WQW639" s="313"/>
      <c r="WQX639" s="340"/>
      <c r="WQY639" s="340"/>
      <c r="WQZ639" s="354"/>
      <c r="WRA639" s="313"/>
      <c r="WRB639" s="340"/>
      <c r="WRC639" s="340"/>
      <c r="WRD639" s="354"/>
      <c r="WRE639" s="313"/>
      <c r="WRF639" s="340"/>
      <c r="WRG639" s="340"/>
      <c r="WRH639" s="354"/>
      <c r="WRI639" s="313"/>
      <c r="WRJ639" s="340"/>
      <c r="WRK639" s="340"/>
      <c r="WRL639" s="354"/>
      <c r="WRM639" s="313"/>
      <c r="WRN639" s="340"/>
      <c r="WRO639" s="340"/>
      <c r="WRP639" s="354"/>
      <c r="WRQ639" s="313"/>
      <c r="WRR639" s="340"/>
      <c r="WRS639" s="340"/>
      <c r="WRT639" s="354"/>
      <c r="WRU639" s="313"/>
      <c r="WRV639" s="340"/>
      <c r="WRW639" s="340"/>
      <c r="WRX639" s="354"/>
      <c r="WRY639" s="313"/>
      <c r="WRZ639" s="340"/>
      <c r="WSA639" s="340"/>
      <c r="WSB639" s="354"/>
      <c r="WSC639" s="313"/>
      <c r="WSD639" s="340"/>
      <c r="WSE639" s="340"/>
      <c r="WSF639" s="354"/>
      <c r="WSG639" s="313"/>
      <c r="WSH639" s="340"/>
      <c r="WSI639" s="340"/>
      <c r="WSJ639" s="354"/>
      <c r="WSK639" s="313"/>
      <c r="WSL639" s="340"/>
      <c r="WSM639" s="340"/>
      <c r="WSN639" s="354"/>
      <c r="WSO639" s="313"/>
      <c r="WSP639" s="340"/>
      <c r="WSQ639" s="340"/>
      <c r="WSR639" s="354"/>
      <c r="WSS639" s="313"/>
      <c r="WST639" s="340"/>
      <c r="WSU639" s="340"/>
      <c r="WSV639" s="354"/>
      <c r="WSW639" s="313"/>
      <c r="WSX639" s="340"/>
      <c r="WSY639" s="340"/>
      <c r="WSZ639" s="354"/>
      <c r="WTA639" s="313"/>
      <c r="WTB639" s="340"/>
      <c r="WTC639" s="340"/>
      <c r="WTD639" s="354"/>
      <c r="WTE639" s="313"/>
      <c r="WTF639" s="340"/>
      <c r="WTG639" s="340"/>
      <c r="WTH639" s="354"/>
      <c r="WTI639" s="313"/>
      <c r="WTJ639" s="340"/>
      <c r="WTK639" s="340"/>
      <c r="WTL639" s="354"/>
      <c r="WTM639" s="313"/>
      <c r="WTN639" s="340"/>
      <c r="WTO639" s="340"/>
      <c r="WTP639" s="354"/>
      <c r="WTQ639" s="313"/>
      <c r="WTR639" s="340"/>
      <c r="WTS639" s="340"/>
      <c r="WTT639" s="354"/>
      <c r="WTU639" s="313"/>
      <c r="WTV639" s="340"/>
      <c r="WTW639" s="340"/>
      <c r="WTX639" s="354"/>
      <c r="WTY639" s="313"/>
      <c r="WTZ639" s="340"/>
      <c r="WUA639" s="340"/>
      <c r="WUB639" s="354"/>
      <c r="WUC639" s="313"/>
      <c r="WUD639" s="340"/>
      <c r="WUE639" s="340"/>
      <c r="WUF639" s="354"/>
      <c r="WUG639" s="313"/>
      <c r="WUH639" s="340"/>
      <c r="WUI639" s="340"/>
      <c r="WUJ639" s="354"/>
      <c r="WUK639" s="313"/>
      <c r="WUL639" s="340"/>
      <c r="WUM639" s="340"/>
      <c r="WUN639" s="354"/>
      <c r="WUO639" s="313"/>
      <c r="WUP639" s="340"/>
      <c r="WUQ639" s="340"/>
      <c r="WUR639" s="354"/>
      <c r="WUS639" s="313"/>
      <c r="WUT639" s="340"/>
      <c r="WUU639" s="340"/>
      <c r="WUV639" s="354"/>
      <c r="WUW639" s="313"/>
      <c r="WUX639" s="340"/>
      <c r="WUY639" s="340"/>
      <c r="WUZ639" s="354"/>
      <c r="WVA639" s="313"/>
      <c r="WVB639" s="340"/>
      <c r="WVC639" s="340"/>
      <c r="WVD639" s="354"/>
      <c r="WVE639" s="313"/>
      <c r="WVF639" s="340"/>
      <c r="WVG639" s="340"/>
      <c r="WVH639" s="354"/>
      <c r="WVI639" s="313"/>
      <c r="WVJ639" s="340"/>
      <c r="WVK639" s="340"/>
      <c r="WVL639" s="354"/>
      <c r="WVM639" s="313"/>
      <c r="WVN639" s="340"/>
      <c r="WVO639" s="340"/>
      <c r="WVP639" s="354"/>
      <c r="WVQ639" s="313"/>
      <c r="WVR639" s="340"/>
      <c r="WVS639" s="340"/>
      <c r="WVT639" s="354"/>
      <c r="WVU639" s="313"/>
      <c r="WVV639" s="340"/>
      <c r="WVW639" s="340"/>
      <c r="WVX639" s="354"/>
      <c r="WVY639" s="313"/>
      <c r="WVZ639" s="340"/>
      <c r="WWA639" s="340"/>
      <c r="WWB639" s="354"/>
      <c r="WWC639" s="313"/>
      <c r="WWD639" s="340"/>
      <c r="WWE639" s="340"/>
      <c r="WWF639" s="354"/>
      <c r="WWG639" s="313"/>
      <c r="WWH639" s="340"/>
      <c r="WWI639" s="340"/>
      <c r="WWJ639" s="354"/>
      <c r="WWK639" s="313"/>
      <c r="WWL639" s="340"/>
      <c r="WWM639" s="340"/>
      <c r="WWN639" s="354"/>
      <c r="WWO639" s="313"/>
      <c r="WWP639" s="340"/>
      <c r="WWQ639" s="340"/>
      <c r="WWR639" s="354"/>
      <c r="WWS639" s="313"/>
      <c r="WWT639" s="340"/>
      <c r="WWU639" s="340"/>
      <c r="WWV639" s="354"/>
      <c r="WWW639" s="313"/>
      <c r="WWX639" s="340"/>
      <c r="WWY639" s="340"/>
      <c r="WWZ639" s="354"/>
      <c r="WXA639" s="313"/>
      <c r="WXB639" s="340"/>
      <c r="WXC639" s="340"/>
      <c r="WXD639" s="354"/>
      <c r="WXE639" s="313"/>
      <c r="WXF639" s="340"/>
      <c r="WXG639" s="340"/>
      <c r="WXH639" s="354"/>
      <c r="WXI639" s="313"/>
      <c r="WXJ639" s="340"/>
      <c r="WXK639" s="340"/>
      <c r="WXL639" s="354"/>
      <c r="WXM639" s="313"/>
      <c r="WXN639" s="340"/>
      <c r="WXO639" s="340"/>
      <c r="WXP639" s="354"/>
      <c r="WXQ639" s="313"/>
      <c r="WXR639" s="340"/>
      <c r="WXS639" s="340"/>
      <c r="WXT639" s="354"/>
      <c r="WXU639" s="313"/>
      <c r="WXV639" s="340"/>
      <c r="WXW639" s="340"/>
      <c r="WXX639" s="354"/>
      <c r="WXY639" s="313"/>
      <c r="WXZ639" s="340"/>
      <c r="WYA639" s="340"/>
      <c r="WYB639" s="354"/>
      <c r="WYC639" s="313"/>
      <c r="WYD639" s="340"/>
      <c r="WYE639" s="340"/>
      <c r="WYF639" s="354"/>
      <c r="WYG639" s="313"/>
      <c r="WYH639" s="340"/>
      <c r="WYI639" s="340"/>
      <c r="WYJ639" s="354"/>
      <c r="WYK639" s="313"/>
      <c r="WYL639" s="340"/>
      <c r="WYM639" s="340"/>
      <c r="WYN639" s="354"/>
      <c r="WYO639" s="313"/>
      <c r="WYP639" s="340"/>
      <c r="WYQ639" s="340"/>
      <c r="WYR639" s="354"/>
      <c r="WYS639" s="313"/>
      <c r="WYT639" s="340"/>
      <c r="WYU639" s="340"/>
      <c r="WYV639" s="354"/>
      <c r="WYW639" s="313"/>
      <c r="WYX639" s="340"/>
      <c r="WYY639" s="340"/>
      <c r="WYZ639" s="354"/>
      <c r="WZA639" s="313"/>
      <c r="WZB639" s="340"/>
      <c r="WZC639" s="340"/>
      <c r="WZD639" s="354"/>
      <c r="WZE639" s="313"/>
      <c r="WZF639" s="340"/>
      <c r="WZG639" s="340"/>
      <c r="WZH639" s="354"/>
      <c r="WZI639" s="313"/>
      <c r="WZJ639" s="340"/>
      <c r="WZK639" s="340"/>
      <c r="WZL639" s="354"/>
      <c r="WZM639" s="313"/>
      <c r="WZN639" s="340"/>
      <c r="WZO639" s="340"/>
      <c r="WZP639" s="354"/>
      <c r="WZQ639" s="313"/>
      <c r="WZR639" s="340"/>
      <c r="WZS639" s="340"/>
      <c r="WZT639" s="354"/>
      <c r="WZU639" s="313"/>
      <c r="WZV639" s="340"/>
      <c r="WZW639" s="340"/>
      <c r="WZX639" s="354"/>
      <c r="WZY639" s="313"/>
      <c r="WZZ639" s="340"/>
      <c r="XAA639" s="340"/>
      <c r="XAB639" s="354"/>
      <c r="XAC639" s="313"/>
      <c r="XAD639" s="340"/>
      <c r="XAE639" s="340"/>
      <c r="XAF639" s="354"/>
      <c r="XAG639" s="313"/>
      <c r="XAH639" s="340"/>
      <c r="XAI639" s="340"/>
      <c r="XAJ639" s="354"/>
      <c r="XAK639" s="313"/>
      <c r="XAL639" s="340"/>
      <c r="XAM639" s="340"/>
      <c r="XAN639" s="354"/>
      <c r="XAO639" s="313"/>
      <c r="XAP639" s="340"/>
      <c r="XAQ639" s="340"/>
      <c r="XAR639" s="354"/>
      <c r="XAS639" s="313"/>
      <c r="XAT639" s="340"/>
      <c r="XAU639" s="340"/>
      <c r="XAV639" s="354"/>
      <c r="XAW639" s="313"/>
      <c r="XAX639" s="340"/>
      <c r="XAY639" s="340"/>
      <c r="XAZ639" s="354"/>
      <c r="XBA639" s="313"/>
      <c r="XBB639" s="340"/>
      <c r="XBC639" s="340"/>
      <c r="XBD639" s="354"/>
      <c r="XBE639" s="313"/>
      <c r="XBF639" s="340"/>
      <c r="XBG639" s="340"/>
      <c r="XBH639" s="354"/>
      <c r="XBI639" s="313"/>
      <c r="XBJ639" s="340"/>
      <c r="XBK639" s="340"/>
      <c r="XBL639" s="354"/>
      <c r="XBM639" s="313"/>
      <c r="XBN639" s="340"/>
      <c r="XBO639" s="340"/>
      <c r="XBP639" s="354"/>
      <c r="XBQ639" s="313"/>
      <c r="XBR639" s="340"/>
      <c r="XBS639" s="340"/>
      <c r="XBT639" s="354"/>
      <c r="XBU639" s="313"/>
      <c r="XBV639" s="340"/>
      <c r="XBW639" s="340"/>
      <c r="XBX639" s="354"/>
      <c r="XBY639" s="313"/>
      <c r="XBZ639" s="340"/>
      <c r="XCA639" s="340"/>
      <c r="XCB639" s="354"/>
      <c r="XCC639" s="313"/>
      <c r="XCD639" s="340"/>
      <c r="XCE639" s="340"/>
      <c r="XCF639" s="354"/>
      <c r="XCG639" s="313"/>
      <c r="XCH639" s="340"/>
      <c r="XCI639" s="340"/>
      <c r="XCJ639" s="354"/>
      <c r="XCK639" s="313"/>
      <c r="XCL639" s="340"/>
      <c r="XCM639" s="340"/>
      <c r="XCN639" s="354"/>
      <c r="XCO639" s="313"/>
      <c r="XCP639" s="340"/>
      <c r="XCQ639" s="340"/>
      <c r="XCR639" s="354"/>
      <c r="XCS639" s="313"/>
      <c r="XCT639" s="340"/>
      <c r="XCU639" s="340"/>
      <c r="XCV639" s="354"/>
      <c r="XCW639" s="313"/>
      <c r="XCX639" s="340"/>
      <c r="XCY639" s="340"/>
      <c r="XCZ639" s="354"/>
      <c r="XDA639" s="313"/>
      <c r="XDB639" s="340"/>
      <c r="XDC639" s="340"/>
      <c r="XDD639" s="354"/>
      <c r="XDE639" s="313"/>
      <c r="XDF639" s="340"/>
      <c r="XDG639" s="340"/>
      <c r="XDH639" s="354"/>
      <c r="XDI639" s="313"/>
      <c r="XDJ639" s="340"/>
      <c r="XDK639" s="340"/>
      <c r="XDL639" s="354"/>
      <c r="XDM639" s="313"/>
      <c r="XDN639" s="340"/>
      <c r="XDO639" s="340"/>
      <c r="XDP639" s="354"/>
      <c r="XDQ639" s="313"/>
      <c r="XDR639" s="340"/>
      <c r="XDS639" s="340"/>
      <c r="XDT639" s="354"/>
      <c r="XDU639" s="313"/>
      <c r="XDV639" s="340"/>
      <c r="XDW639" s="340"/>
      <c r="XDX639" s="354"/>
      <c r="XDY639" s="313"/>
      <c r="XDZ639" s="340"/>
      <c r="XEA639" s="340"/>
      <c r="XEB639" s="354"/>
      <c r="XEC639" s="313"/>
      <c r="XED639" s="340"/>
      <c r="XEE639" s="340"/>
      <c r="XEF639" s="354"/>
      <c r="XEG639" s="313"/>
      <c r="XEH639" s="340"/>
      <c r="XEI639" s="340"/>
      <c r="XEJ639" s="354"/>
      <c r="XEK639" s="313"/>
      <c r="XEL639" s="340"/>
      <c r="XEM639" s="340"/>
      <c r="XEN639" s="354"/>
      <c r="XEO639" s="313"/>
      <c r="XEP639" s="340"/>
      <c r="XEQ639" s="340"/>
      <c r="XER639" s="354"/>
      <c r="XES639" s="313"/>
      <c r="XET639" s="340"/>
      <c r="XEU639" s="340"/>
      <c r="XEV639" s="354"/>
      <c r="XEW639" s="313"/>
      <c r="XEX639" s="340"/>
      <c r="XEY639" s="340"/>
      <c r="XEZ639" s="354"/>
      <c r="XFA639" s="313"/>
      <c r="XFB639" s="340"/>
      <c r="XFC639" s="340"/>
      <c r="XFD639" s="354"/>
    </row>
    <row r="640" spans="1:16384" ht="2.1" hidden="1" customHeight="1" x14ac:dyDescent="0.25">
      <c r="A640" s="1572" t="s">
        <v>885</v>
      </c>
      <c r="B640" s="1572"/>
      <c r="C640" s="1572"/>
      <c r="D640" s="1572"/>
      <c r="E640" s="1572"/>
      <c r="F640" s="1572"/>
      <c r="G640" s="1572"/>
      <c r="H640" s="1572"/>
      <c r="I640" s="1572" t="s">
        <v>885</v>
      </c>
      <c r="J640" s="1572"/>
      <c r="K640" s="1572"/>
      <c r="L640" s="1572"/>
      <c r="M640" s="1572"/>
      <c r="N640" s="1572"/>
      <c r="O640" s="1572"/>
      <c r="P640" s="1572"/>
      <c r="Q640" s="1572" t="s">
        <v>885</v>
      </c>
      <c r="R640" s="1572"/>
      <c r="S640" s="1572"/>
      <c r="T640" s="1572"/>
      <c r="U640" s="1572"/>
      <c r="V640" s="1572"/>
      <c r="W640" s="1572"/>
      <c r="X640" s="1572"/>
      <c r="Y640" s="1572" t="s">
        <v>885</v>
      </c>
      <c r="Z640" s="1572"/>
      <c r="AA640" s="1572"/>
      <c r="AB640" s="1572"/>
      <c r="AC640" s="1572"/>
      <c r="AD640" s="1572"/>
      <c r="AE640" s="1572"/>
      <c r="AF640" s="1572"/>
      <c r="AG640" s="1572" t="s">
        <v>885</v>
      </c>
      <c r="AH640" s="1572"/>
      <c r="AI640" s="1572"/>
      <c r="AJ640" s="1572"/>
      <c r="AK640" s="1572"/>
      <c r="AL640" s="1572"/>
      <c r="AM640" s="1572"/>
      <c r="AN640" s="1572"/>
      <c r="AO640" s="1572" t="s">
        <v>885</v>
      </c>
      <c r="AP640" s="1572"/>
      <c r="AQ640" s="1572"/>
      <c r="AR640" s="1572"/>
      <c r="AS640" s="1572"/>
      <c r="AT640" s="1572"/>
      <c r="AU640" s="1572"/>
      <c r="AV640" s="1572"/>
      <c r="AW640" s="1572" t="s">
        <v>885</v>
      </c>
      <c r="AX640" s="1572"/>
      <c r="AY640" s="1572"/>
      <c r="AZ640" s="1572"/>
      <c r="BA640" s="1572"/>
      <c r="BB640" s="1572"/>
      <c r="BC640" s="1572"/>
      <c r="BD640" s="1572"/>
      <c r="BE640" s="1572" t="s">
        <v>885</v>
      </c>
      <c r="BF640" s="1572"/>
      <c r="BG640" s="1572"/>
      <c r="BH640" s="1572"/>
      <c r="BI640" s="1572"/>
      <c r="BJ640" s="1572"/>
      <c r="BK640" s="1572"/>
      <c r="BL640" s="1572"/>
      <c r="BM640" s="1572" t="s">
        <v>885</v>
      </c>
      <c r="BN640" s="1572"/>
      <c r="BO640" s="1572"/>
      <c r="BP640" s="1572"/>
      <c r="BQ640" s="1572"/>
      <c r="BR640" s="1572"/>
      <c r="BS640" s="1572"/>
      <c r="BT640" s="1572"/>
      <c r="BU640" s="1572" t="s">
        <v>885</v>
      </c>
      <c r="BV640" s="1572"/>
      <c r="BW640" s="1572"/>
      <c r="BX640" s="1572"/>
      <c r="BY640" s="1572"/>
      <c r="BZ640" s="1572"/>
      <c r="CA640" s="1572"/>
      <c r="CB640" s="1572"/>
      <c r="CC640" s="1572" t="s">
        <v>885</v>
      </c>
      <c r="CD640" s="1572"/>
      <c r="CE640" s="1572"/>
      <c r="CF640" s="1572"/>
      <c r="CG640" s="1572"/>
      <c r="CH640" s="1572"/>
      <c r="CI640" s="1572"/>
      <c r="CJ640" s="1572"/>
      <c r="CK640" s="1572" t="s">
        <v>885</v>
      </c>
      <c r="CL640" s="1572"/>
      <c r="CM640" s="1572"/>
      <c r="CN640" s="1572"/>
      <c r="CO640" s="1572"/>
      <c r="CP640" s="1572"/>
      <c r="CQ640" s="1572"/>
      <c r="CR640" s="1572"/>
      <c r="CS640" s="1572" t="s">
        <v>885</v>
      </c>
      <c r="CT640" s="1572"/>
      <c r="CU640" s="1572"/>
      <c r="CV640" s="1572"/>
      <c r="CW640" s="1572"/>
      <c r="CX640" s="1572"/>
      <c r="CY640" s="1572"/>
      <c r="CZ640" s="1572"/>
      <c r="DA640" s="1572" t="s">
        <v>885</v>
      </c>
      <c r="DB640" s="1572"/>
      <c r="DC640" s="1572"/>
      <c r="DD640" s="1572"/>
      <c r="DE640" s="1572"/>
      <c r="DF640" s="1572"/>
      <c r="DG640" s="1572"/>
      <c r="DH640" s="1572"/>
      <c r="DI640" s="1572" t="s">
        <v>885</v>
      </c>
      <c r="DJ640" s="1572"/>
      <c r="DK640" s="1572"/>
      <c r="DL640" s="1572"/>
      <c r="DM640" s="1572"/>
      <c r="DN640" s="1572"/>
      <c r="DO640" s="1572"/>
      <c r="DP640" s="1572"/>
      <c r="DQ640" s="1572" t="s">
        <v>885</v>
      </c>
      <c r="DR640" s="1572"/>
      <c r="DS640" s="1572"/>
      <c r="DT640" s="1572"/>
      <c r="DU640" s="1572"/>
      <c r="DV640" s="1572"/>
      <c r="DW640" s="1572"/>
      <c r="DX640" s="1572"/>
      <c r="DY640" s="1572" t="s">
        <v>885</v>
      </c>
      <c r="DZ640" s="1572"/>
      <c r="EA640" s="1572"/>
      <c r="EB640" s="1572"/>
      <c r="EC640" s="1572"/>
      <c r="ED640" s="1572"/>
      <c r="EE640" s="1572"/>
      <c r="EF640" s="1572"/>
      <c r="EG640" s="1572" t="s">
        <v>885</v>
      </c>
      <c r="EH640" s="1572"/>
      <c r="EI640" s="1572"/>
      <c r="EJ640" s="1572"/>
      <c r="EK640" s="1572"/>
      <c r="EL640" s="1572"/>
      <c r="EM640" s="1572"/>
      <c r="EN640" s="1572"/>
      <c r="EO640" s="1572" t="s">
        <v>885</v>
      </c>
      <c r="EP640" s="1572"/>
      <c r="EQ640" s="1572"/>
      <c r="ER640" s="1572"/>
      <c r="ES640" s="1572"/>
      <c r="ET640" s="1572"/>
      <c r="EU640" s="1572"/>
      <c r="EV640" s="1572"/>
      <c r="EW640" s="1572" t="s">
        <v>885</v>
      </c>
      <c r="EX640" s="1572"/>
      <c r="EY640" s="1572"/>
      <c r="EZ640" s="1572"/>
      <c r="FA640" s="1572"/>
      <c r="FB640" s="1572"/>
      <c r="FC640" s="1572"/>
      <c r="FD640" s="1572"/>
      <c r="FE640" s="1572" t="s">
        <v>885</v>
      </c>
      <c r="FF640" s="1572"/>
      <c r="FG640" s="1572"/>
      <c r="FH640" s="1572"/>
      <c r="FI640" s="1572"/>
      <c r="FJ640" s="1572"/>
      <c r="FK640" s="1572"/>
      <c r="FL640" s="1572"/>
      <c r="FM640" s="1572" t="s">
        <v>885</v>
      </c>
      <c r="FN640" s="1572"/>
      <c r="FO640" s="1572"/>
      <c r="FP640" s="1572"/>
      <c r="FQ640" s="1572"/>
      <c r="FR640" s="1572"/>
      <c r="FS640" s="1572"/>
      <c r="FT640" s="1572"/>
      <c r="FU640" s="1572" t="s">
        <v>885</v>
      </c>
      <c r="FV640" s="1572"/>
      <c r="FW640" s="1572"/>
      <c r="FX640" s="1572"/>
      <c r="FY640" s="1572"/>
      <c r="FZ640" s="1572"/>
      <c r="GA640" s="1572"/>
      <c r="GB640" s="1572"/>
      <c r="GC640" s="1572" t="s">
        <v>885</v>
      </c>
      <c r="GD640" s="1572"/>
      <c r="GE640" s="1572"/>
      <c r="GF640" s="1572"/>
      <c r="GG640" s="1572"/>
      <c r="GH640" s="1572"/>
      <c r="GI640" s="1572"/>
      <c r="GJ640" s="1572"/>
      <c r="GK640" s="1572" t="s">
        <v>885</v>
      </c>
      <c r="GL640" s="1572"/>
      <c r="GM640" s="1572"/>
      <c r="GN640" s="1572"/>
      <c r="GO640" s="1572"/>
      <c r="GP640" s="1572"/>
      <c r="GQ640" s="1572"/>
      <c r="GR640" s="1572"/>
      <c r="GS640" s="1572" t="s">
        <v>885</v>
      </c>
      <c r="GT640" s="1572"/>
      <c r="GU640" s="1572"/>
      <c r="GV640" s="1572"/>
      <c r="GW640" s="1572"/>
      <c r="GX640" s="1572"/>
      <c r="GY640" s="1572"/>
      <c r="GZ640" s="1572"/>
      <c r="HA640" s="1572" t="s">
        <v>885</v>
      </c>
      <c r="HB640" s="1572"/>
      <c r="HC640" s="1572"/>
      <c r="HD640" s="1572"/>
      <c r="HE640" s="1572"/>
      <c r="HF640" s="1572"/>
      <c r="HG640" s="1572"/>
      <c r="HH640" s="1572"/>
      <c r="HI640" s="1572" t="s">
        <v>885</v>
      </c>
      <c r="HJ640" s="1572"/>
      <c r="HK640" s="1572"/>
      <c r="HL640" s="1572"/>
      <c r="HM640" s="1572"/>
      <c r="HN640" s="1572"/>
      <c r="HO640" s="1572"/>
      <c r="HP640" s="1572"/>
      <c r="HQ640" s="1572" t="s">
        <v>885</v>
      </c>
      <c r="HR640" s="1572"/>
      <c r="HS640" s="1572"/>
      <c r="HT640" s="1572"/>
      <c r="HU640" s="1572"/>
      <c r="HV640" s="1572"/>
      <c r="HW640" s="1572"/>
      <c r="HX640" s="1572"/>
      <c r="HY640" s="1572" t="s">
        <v>885</v>
      </c>
      <c r="HZ640" s="1572"/>
      <c r="IA640" s="1572"/>
      <c r="IB640" s="1572"/>
      <c r="IC640" s="1572"/>
      <c r="ID640" s="1572"/>
      <c r="IE640" s="1572"/>
      <c r="IF640" s="1572"/>
      <c r="IG640" s="1572" t="s">
        <v>885</v>
      </c>
      <c r="IH640" s="1572"/>
      <c r="II640" s="1572"/>
      <c r="IJ640" s="1572"/>
      <c r="IK640" s="1572"/>
      <c r="IL640" s="1572"/>
      <c r="IM640" s="1572"/>
      <c r="IN640" s="1572"/>
      <c r="IO640" s="1572" t="s">
        <v>885</v>
      </c>
      <c r="IP640" s="1572"/>
      <c r="IQ640" s="1572"/>
      <c r="IR640" s="1572"/>
      <c r="IS640" s="1572"/>
      <c r="IT640" s="1572"/>
      <c r="IU640" s="1572"/>
      <c r="IV640" s="1572"/>
      <c r="IW640" s="1572" t="s">
        <v>885</v>
      </c>
      <c r="IX640" s="1572"/>
      <c r="IY640" s="1572"/>
      <c r="IZ640" s="1572"/>
      <c r="JA640" s="1572"/>
      <c r="JB640" s="1572"/>
      <c r="JC640" s="1572"/>
      <c r="JD640" s="1572"/>
      <c r="JE640" s="1572" t="s">
        <v>885</v>
      </c>
      <c r="JF640" s="1572"/>
      <c r="JG640" s="1572"/>
      <c r="JH640" s="1572"/>
      <c r="JI640" s="1572"/>
      <c r="JJ640" s="1572"/>
      <c r="JK640" s="1572"/>
      <c r="JL640" s="1572"/>
      <c r="JM640" s="1572" t="s">
        <v>885</v>
      </c>
      <c r="JN640" s="1572"/>
      <c r="JO640" s="1572"/>
      <c r="JP640" s="1572"/>
      <c r="JQ640" s="1572"/>
      <c r="JR640" s="1572"/>
      <c r="JS640" s="1572"/>
      <c r="JT640" s="1572"/>
      <c r="JU640" s="1572" t="s">
        <v>885</v>
      </c>
      <c r="JV640" s="1572"/>
      <c r="JW640" s="1572"/>
      <c r="JX640" s="1572"/>
      <c r="JY640" s="1572"/>
      <c r="JZ640" s="1572"/>
      <c r="KA640" s="1572"/>
      <c r="KB640" s="1572"/>
      <c r="KC640" s="1572" t="s">
        <v>885</v>
      </c>
      <c r="KD640" s="1572"/>
      <c r="KE640" s="1572"/>
      <c r="KF640" s="1572"/>
      <c r="KG640" s="1572"/>
      <c r="KH640" s="1572"/>
      <c r="KI640" s="1572"/>
      <c r="KJ640" s="1572"/>
      <c r="KK640" s="1572" t="s">
        <v>885</v>
      </c>
      <c r="KL640" s="1572"/>
      <c r="KM640" s="1572"/>
      <c r="KN640" s="1572"/>
      <c r="KO640" s="1572"/>
      <c r="KP640" s="1572"/>
      <c r="KQ640" s="1572"/>
      <c r="KR640" s="1572"/>
      <c r="KS640" s="1572" t="s">
        <v>885</v>
      </c>
      <c r="KT640" s="1572"/>
      <c r="KU640" s="1572"/>
      <c r="KV640" s="1572"/>
      <c r="KW640" s="1572"/>
      <c r="KX640" s="1572"/>
      <c r="KY640" s="1572"/>
      <c r="KZ640" s="1572"/>
      <c r="LA640" s="1572" t="s">
        <v>885</v>
      </c>
      <c r="LB640" s="1572"/>
      <c r="LC640" s="1572"/>
      <c r="LD640" s="1572"/>
      <c r="LE640" s="1572"/>
      <c r="LF640" s="1572"/>
      <c r="LG640" s="1572"/>
      <c r="LH640" s="1572"/>
      <c r="LI640" s="1572" t="s">
        <v>885</v>
      </c>
      <c r="LJ640" s="1572"/>
      <c r="LK640" s="1572"/>
      <c r="LL640" s="1572"/>
      <c r="LM640" s="1572"/>
      <c r="LN640" s="1572"/>
      <c r="LO640" s="1572"/>
      <c r="LP640" s="1572"/>
      <c r="LQ640" s="1572" t="s">
        <v>885</v>
      </c>
      <c r="LR640" s="1572"/>
      <c r="LS640" s="1572"/>
      <c r="LT640" s="1572"/>
      <c r="LU640" s="1572"/>
      <c r="LV640" s="1572"/>
      <c r="LW640" s="1572"/>
      <c r="LX640" s="1572"/>
      <c r="LY640" s="1572" t="s">
        <v>885</v>
      </c>
      <c r="LZ640" s="1572"/>
      <c r="MA640" s="1572"/>
      <c r="MB640" s="1572"/>
      <c r="MC640" s="1572"/>
      <c r="MD640" s="1572"/>
      <c r="ME640" s="1572"/>
      <c r="MF640" s="1572"/>
      <c r="MG640" s="1572" t="s">
        <v>885</v>
      </c>
      <c r="MH640" s="1572"/>
      <c r="MI640" s="1572"/>
      <c r="MJ640" s="1572"/>
      <c r="MK640" s="1572"/>
      <c r="ML640" s="1572"/>
      <c r="MM640" s="1572"/>
      <c r="MN640" s="1572"/>
      <c r="MO640" s="1572" t="s">
        <v>885</v>
      </c>
      <c r="MP640" s="1572"/>
      <c r="MQ640" s="1572"/>
      <c r="MR640" s="1572"/>
      <c r="MS640" s="1572"/>
      <c r="MT640" s="1572"/>
      <c r="MU640" s="1572"/>
      <c r="MV640" s="1572"/>
      <c r="MW640" s="1572" t="s">
        <v>885</v>
      </c>
      <c r="MX640" s="1572"/>
      <c r="MY640" s="1572"/>
      <c r="MZ640" s="1572"/>
      <c r="NA640" s="1572"/>
      <c r="NB640" s="1572"/>
      <c r="NC640" s="1572"/>
      <c r="ND640" s="1572"/>
      <c r="NE640" s="1572" t="s">
        <v>885</v>
      </c>
      <c r="NF640" s="1572"/>
      <c r="NG640" s="1572"/>
      <c r="NH640" s="1572"/>
      <c r="NI640" s="1572"/>
      <c r="NJ640" s="1572"/>
      <c r="NK640" s="1572"/>
      <c r="NL640" s="1572"/>
      <c r="NM640" s="1572" t="s">
        <v>885</v>
      </c>
      <c r="NN640" s="1572"/>
      <c r="NO640" s="1572"/>
      <c r="NP640" s="1572"/>
      <c r="NQ640" s="1572"/>
      <c r="NR640" s="1572"/>
      <c r="NS640" s="1572"/>
      <c r="NT640" s="1572"/>
      <c r="NU640" s="1572" t="s">
        <v>885</v>
      </c>
      <c r="NV640" s="1572"/>
      <c r="NW640" s="1572"/>
      <c r="NX640" s="1572"/>
      <c r="NY640" s="1572"/>
      <c r="NZ640" s="1572"/>
      <c r="OA640" s="1572"/>
      <c r="OB640" s="1572"/>
      <c r="OC640" s="1572" t="s">
        <v>885</v>
      </c>
      <c r="OD640" s="1572"/>
      <c r="OE640" s="1572"/>
      <c r="OF640" s="1572"/>
      <c r="OG640" s="1572"/>
      <c r="OH640" s="1572"/>
      <c r="OI640" s="1572"/>
      <c r="OJ640" s="1572"/>
      <c r="OK640" s="1572" t="s">
        <v>885</v>
      </c>
      <c r="OL640" s="1572"/>
      <c r="OM640" s="1572"/>
      <c r="ON640" s="1572"/>
      <c r="OO640" s="1572"/>
      <c r="OP640" s="1572"/>
      <c r="OQ640" s="1572"/>
      <c r="OR640" s="1572"/>
      <c r="OS640" s="1572" t="s">
        <v>885</v>
      </c>
      <c r="OT640" s="1572"/>
      <c r="OU640" s="1572"/>
      <c r="OV640" s="1572"/>
      <c r="OW640" s="1572"/>
      <c r="OX640" s="1572"/>
      <c r="OY640" s="1572"/>
      <c r="OZ640" s="1572"/>
      <c r="PA640" s="1572" t="s">
        <v>885</v>
      </c>
      <c r="PB640" s="1572"/>
      <c r="PC640" s="1572"/>
      <c r="PD640" s="1572"/>
      <c r="PE640" s="1572"/>
      <c r="PF640" s="1572"/>
      <c r="PG640" s="1572"/>
      <c r="PH640" s="1572"/>
      <c r="PI640" s="1572" t="s">
        <v>885</v>
      </c>
      <c r="PJ640" s="1572"/>
      <c r="PK640" s="1572"/>
      <c r="PL640" s="1572"/>
      <c r="PM640" s="1572"/>
      <c r="PN640" s="1572"/>
      <c r="PO640" s="1572"/>
      <c r="PP640" s="1572"/>
      <c r="PQ640" s="1572" t="s">
        <v>885</v>
      </c>
      <c r="PR640" s="1572"/>
      <c r="PS640" s="1572"/>
      <c r="PT640" s="1572"/>
      <c r="PU640" s="1572"/>
      <c r="PV640" s="1572"/>
      <c r="PW640" s="1572"/>
      <c r="PX640" s="1572"/>
      <c r="PY640" s="1572" t="s">
        <v>885</v>
      </c>
      <c r="PZ640" s="1572"/>
      <c r="QA640" s="1572"/>
      <c r="QB640" s="1572"/>
      <c r="QC640" s="1572"/>
      <c r="QD640" s="1572"/>
      <c r="QE640" s="1572"/>
      <c r="QF640" s="1572"/>
      <c r="QG640" s="1572" t="s">
        <v>885</v>
      </c>
      <c r="QH640" s="1572"/>
      <c r="QI640" s="1572"/>
      <c r="QJ640" s="1572"/>
      <c r="QK640" s="1572"/>
      <c r="QL640" s="1572"/>
      <c r="QM640" s="1572"/>
      <c r="QN640" s="1572"/>
      <c r="QO640" s="1572" t="s">
        <v>885</v>
      </c>
      <c r="QP640" s="1572"/>
      <c r="QQ640" s="1572"/>
      <c r="QR640" s="1572"/>
      <c r="QS640" s="1572"/>
      <c r="QT640" s="1572"/>
      <c r="QU640" s="1572"/>
      <c r="QV640" s="1572"/>
      <c r="QW640" s="1572" t="s">
        <v>885</v>
      </c>
      <c r="QX640" s="1572"/>
      <c r="QY640" s="1572"/>
      <c r="QZ640" s="1572"/>
      <c r="RA640" s="1572"/>
      <c r="RB640" s="1572"/>
      <c r="RC640" s="1572"/>
      <c r="RD640" s="1572"/>
      <c r="RE640" s="1572" t="s">
        <v>885</v>
      </c>
      <c r="RF640" s="1572"/>
      <c r="RG640" s="1572"/>
      <c r="RH640" s="1572"/>
      <c r="RI640" s="1572"/>
      <c r="RJ640" s="1572"/>
      <c r="RK640" s="1572"/>
      <c r="RL640" s="1572"/>
      <c r="RM640" s="1572" t="s">
        <v>885</v>
      </c>
      <c r="RN640" s="1572"/>
      <c r="RO640" s="1572"/>
      <c r="RP640" s="1572"/>
      <c r="RQ640" s="1572"/>
      <c r="RR640" s="1572"/>
      <c r="RS640" s="1572"/>
      <c r="RT640" s="1572"/>
      <c r="RU640" s="1572" t="s">
        <v>885</v>
      </c>
      <c r="RV640" s="1572"/>
      <c r="RW640" s="1572"/>
      <c r="RX640" s="1572"/>
      <c r="RY640" s="1572"/>
      <c r="RZ640" s="1572"/>
      <c r="SA640" s="1572"/>
      <c r="SB640" s="1572"/>
      <c r="SC640" s="1572" t="s">
        <v>885</v>
      </c>
      <c r="SD640" s="1572"/>
      <c r="SE640" s="1572"/>
      <c r="SF640" s="1572"/>
      <c r="SG640" s="1572"/>
      <c r="SH640" s="1572"/>
      <c r="SI640" s="1572"/>
      <c r="SJ640" s="1572"/>
      <c r="SK640" s="1572" t="s">
        <v>885</v>
      </c>
      <c r="SL640" s="1572"/>
      <c r="SM640" s="1572"/>
      <c r="SN640" s="1572"/>
      <c r="SO640" s="1572"/>
      <c r="SP640" s="1572"/>
      <c r="SQ640" s="1572"/>
      <c r="SR640" s="1572"/>
      <c r="SS640" s="1572" t="s">
        <v>885</v>
      </c>
      <c r="ST640" s="1572"/>
      <c r="SU640" s="1572"/>
      <c r="SV640" s="1572"/>
      <c r="SW640" s="1572"/>
      <c r="SX640" s="1572"/>
      <c r="SY640" s="1572"/>
      <c r="SZ640" s="1572"/>
      <c r="TA640" s="1572" t="s">
        <v>885</v>
      </c>
      <c r="TB640" s="1572"/>
      <c r="TC640" s="1572"/>
      <c r="TD640" s="1572"/>
      <c r="TE640" s="1572"/>
      <c r="TF640" s="1572"/>
      <c r="TG640" s="1572"/>
      <c r="TH640" s="1572"/>
      <c r="TI640" s="1572" t="s">
        <v>885</v>
      </c>
      <c r="TJ640" s="1572"/>
      <c r="TK640" s="1572"/>
      <c r="TL640" s="1572"/>
      <c r="TM640" s="1572"/>
      <c r="TN640" s="1572"/>
      <c r="TO640" s="1572"/>
      <c r="TP640" s="1572"/>
      <c r="TQ640" s="1572" t="s">
        <v>885</v>
      </c>
      <c r="TR640" s="1572"/>
      <c r="TS640" s="1572"/>
      <c r="TT640" s="1572"/>
      <c r="TU640" s="1572"/>
      <c r="TV640" s="1572"/>
      <c r="TW640" s="1572"/>
      <c r="TX640" s="1572"/>
      <c r="TY640" s="1572" t="s">
        <v>885</v>
      </c>
      <c r="TZ640" s="1572"/>
      <c r="UA640" s="1572"/>
      <c r="UB640" s="1572"/>
      <c r="UC640" s="1572"/>
      <c r="UD640" s="1572"/>
      <c r="UE640" s="1572"/>
      <c r="UF640" s="1572"/>
      <c r="UG640" s="1572" t="s">
        <v>885</v>
      </c>
      <c r="UH640" s="1572"/>
      <c r="UI640" s="1572"/>
      <c r="UJ640" s="1572"/>
      <c r="UK640" s="1572"/>
      <c r="UL640" s="1572"/>
      <c r="UM640" s="1572"/>
      <c r="UN640" s="1572"/>
      <c r="UO640" s="1572" t="s">
        <v>885</v>
      </c>
      <c r="UP640" s="1572"/>
      <c r="UQ640" s="1572"/>
      <c r="UR640" s="1572"/>
      <c r="US640" s="1572"/>
      <c r="UT640" s="1572"/>
      <c r="UU640" s="1572"/>
      <c r="UV640" s="1572"/>
      <c r="UW640" s="1572" t="s">
        <v>885</v>
      </c>
      <c r="UX640" s="1572"/>
      <c r="UY640" s="1572"/>
      <c r="UZ640" s="1572"/>
      <c r="VA640" s="1572"/>
      <c r="VB640" s="1572"/>
      <c r="VC640" s="1572"/>
      <c r="VD640" s="1572"/>
      <c r="VE640" s="1572" t="s">
        <v>885</v>
      </c>
      <c r="VF640" s="1572"/>
      <c r="VG640" s="1572"/>
      <c r="VH640" s="1572"/>
      <c r="VI640" s="1572"/>
      <c r="VJ640" s="1572"/>
      <c r="VK640" s="1572"/>
      <c r="VL640" s="1572"/>
      <c r="VM640" s="1572" t="s">
        <v>885</v>
      </c>
      <c r="VN640" s="1572"/>
      <c r="VO640" s="1572"/>
      <c r="VP640" s="1572"/>
      <c r="VQ640" s="1572"/>
      <c r="VR640" s="1572"/>
      <c r="VS640" s="1572"/>
      <c r="VT640" s="1572"/>
      <c r="VU640" s="1572" t="s">
        <v>885</v>
      </c>
      <c r="VV640" s="1572"/>
      <c r="VW640" s="1572"/>
      <c r="VX640" s="1572"/>
      <c r="VY640" s="1572"/>
      <c r="VZ640" s="1572"/>
      <c r="WA640" s="1572"/>
      <c r="WB640" s="1572"/>
      <c r="WC640" s="1572" t="s">
        <v>885</v>
      </c>
      <c r="WD640" s="1572"/>
      <c r="WE640" s="1572"/>
      <c r="WF640" s="1572"/>
      <c r="WG640" s="1572"/>
      <c r="WH640" s="1572"/>
      <c r="WI640" s="1572"/>
      <c r="WJ640" s="1572"/>
      <c r="WK640" s="1572" t="s">
        <v>885</v>
      </c>
      <c r="WL640" s="1572"/>
      <c r="WM640" s="1572"/>
      <c r="WN640" s="1572"/>
      <c r="WO640" s="1572"/>
      <c r="WP640" s="1572"/>
      <c r="WQ640" s="1572"/>
      <c r="WR640" s="1572"/>
      <c r="WS640" s="1572" t="s">
        <v>885</v>
      </c>
      <c r="WT640" s="1572"/>
      <c r="WU640" s="1572"/>
      <c r="WV640" s="1572"/>
      <c r="WW640" s="1572"/>
      <c r="WX640" s="1572"/>
      <c r="WY640" s="1572"/>
      <c r="WZ640" s="1572"/>
      <c r="XA640" s="1572" t="s">
        <v>885</v>
      </c>
      <c r="XB640" s="1572"/>
      <c r="XC640" s="1572"/>
      <c r="XD640" s="1572"/>
      <c r="XE640" s="1572"/>
      <c r="XF640" s="1572"/>
      <c r="XG640" s="1572"/>
      <c r="XH640" s="1572"/>
      <c r="XI640" s="1572" t="s">
        <v>885</v>
      </c>
      <c r="XJ640" s="1572"/>
      <c r="XK640" s="1572"/>
      <c r="XL640" s="1572"/>
      <c r="XM640" s="1572"/>
      <c r="XN640" s="1572"/>
      <c r="XO640" s="1572"/>
      <c r="XP640" s="1572"/>
      <c r="XQ640" s="1572" t="s">
        <v>885</v>
      </c>
      <c r="XR640" s="1572"/>
      <c r="XS640" s="1572"/>
      <c r="XT640" s="1572"/>
      <c r="XU640" s="1572"/>
      <c r="XV640" s="1572"/>
      <c r="XW640" s="1572"/>
      <c r="XX640" s="1572"/>
      <c r="XY640" s="1572" t="s">
        <v>885</v>
      </c>
      <c r="XZ640" s="1572"/>
      <c r="YA640" s="1572"/>
      <c r="YB640" s="1572"/>
      <c r="YC640" s="1572"/>
      <c r="YD640" s="1572"/>
      <c r="YE640" s="1572"/>
      <c r="YF640" s="1572"/>
      <c r="YG640" s="1572" t="s">
        <v>885</v>
      </c>
      <c r="YH640" s="1572"/>
      <c r="YI640" s="1572"/>
      <c r="YJ640" s="1572"/>
      <c r="YK640" s="1572"/>
      <c r="YL640" s="1572"/>
      <c r="YM640" s="1572"/>
      <c r="YN640" s="1572"/>
      <c r="YO640" s="1572" t="s">
        <v>885</v>
      </c>
      <c r="YP640" s="1572"/>
      <c r="YQ640" s="1572"/>
      <c r="YR640" s="1572"/>
      <c r="YS640" s="1572"/>
      <c r="YT640" s="1572"/>
      <c r="YU640" s="1572"/>
      <c r="YV640" s="1572"/>
      <c r="YW640" s="1572" t="s">
        <v>885</v>
      </c>
      <c r="YX640" s="1572"/>
      <c r="YY640" s="1572"/>
      <c r="YZ640" s="1572"/>
      <c r="ZA640" s="1572"/>
      <c r="ZB640" s="1572"/>
      <c r="ZC640" s="1572"/>
      <c r="ZD640" s="1572"/>
      <c r="ZE640" s="1572" t="s">
        <v>885</v>
      </c>
      <c r="ZF640" s="1572"/>
      <c r="ZG640" s="1572"/>
      <c r="ZH640" s="1572"/>
      <c r="ZI640" s="1572"/>
      <c r="ZJ640" s="1572"/>
      <c r="ZK640" s="1572"/>
      <c r="ZL640" s="1572"/>
      <c r="ZM640" s="1572" t="s">
        <v>885</v>
      </c>
      <c r="ZN640" s="1572"/>
      <c r="ZO640" s="1572"/>
      <c r="ZP640" s="1572"/>
      <c r="ZQ640" s="1572"/>
      <c r="ZR640" s="1572"/>
      <c r="ZS640" s="1572"/>
      <c r="ZT640" s="1572"/>
      <c r="ZU640" s="1572" t="s">
        <v>885</v>
      </c>
      <c r="ZV640" s="1572"/>
      <c r="ZW640" s="1572"/>
      <c r="ZX640" s="1572"/>
      <c r="ZY640" s="1572"/>
      <c r="ZZ640" s="1572"/>
      <c r="AAA640" s="1572"/>
      <c r="AAB640" s="1572"/>
      <c r="AAC640" s="1572" t="s">
        <v>885</v>
      </c>
      <c r="AAD640" s="1572"/>
      <c r="AAE640" s="1572"/>
      <c r="AAF640" s="1572"/>
      <c r="AAG640" s="1572"/>
      <c r="AAH640" s="1572"/>
      <c r="AAI640" s="1572"/>
      <c r="AAJ640" s="1572"/>
      <c r="AAK640" s="1572" t="s">
        <v>885</v>
      </c>
      <c r="AAL640" s="1572"/>
      <c r="AAM640" s="1572"/>
      <c r="AAN640" s="1572"/>
      <c r="AAO640" s="1572"/>
      <c r="AAP640" s="1572"/>
      <c r="AAQ640" s="1572"/>
      <c r="AAR640" s="1572"/>
      <c r="AAS640" s="1572" t="s">
        <v>885</v>
      </c>
      <c r="AAT640" s="1572"/>
      <c r="AAU640" s="1572"/>
      <c r="AAV640" s="1572"/>
      <c r="AAW640" s="1572"/>
      <c r="AAX640" s="1572"/>
      <c r="AAY640" s="1572"/>
      <c r="AAZ640" s="1572"/>
      <c r="ABA640" s="1572" t="s">
        <v>885</v>
      </c>
      <c r="ABB640" s="1572"/>
      <c r="ABC640" s="1572"/>
      <c r="ABD640" s="1572"/>
      <c r="ABE640" s="1572"/>
      <c r="ABF640" s="1572"/>
      <c r="ABG640" s="1572"/>
      <c r="ABH640" s="1572"/>
      <c r="ABI640" s="1572" t="s">
        <v>885</v>
      </c>
      <c r="ABJ640" s="1572"/>
      <c r="ABK640" s="1572"/>
      <c r="ABL640" s="1572"/>
      <c r="ABM640" s="1572"/>
      <c r="ABN640" s="1572"/>
      <c r="ABO640" s="1572"/>
      <c r="ABP640" s="1572"/>
      <c r="ABQ640" s="1572" t="s">
        <v>885</v>
      </c>
      <c r="ABR640" s="1572"/>
      <c r="ABS640" s="1572"/>
      <c r="ABT640" s="1572"/>
      <c r="ABU640" s="1572"/>
      <c r="ABV640" s="1572"/>
      <c r="ABW640" s="1572"/>
      <c r="ABX640" s="1572"/>
      <c r="ABY640" s="1572" t="s">
        <v>885</v>
      </c>
      <c r="ABZ640" s="1572"/>
      <c r="ACA640" s="1572"/>
      <c r="ACB640" s="1572"/>
      <c r="ACC640" s="1572"/>
      <c r="ACD640" s="1572"/>
      <c r="ACE640" s="1572"/>
      <c r="ACF640" s="1572"/>
      <c r="ACG640" s="1572" t="s">
        <v>885</v>
      </c>
      <c r="ACH640" s="1572"/>
      <c r="ACI640" s="1572"/>
      <c r="ACJ640" s="1572"/>
      <c r="ACK640" s="1572"/>
      <c r="ACL640" s="1572"/>
      <c r="ACM640" s="1572"/>
      <c r="ACN640" s="1572"/>
      <c r="ACO640" s="1572" t="s">
        <v>885</v>
      </c>
      <c r="ACP640" s="1572"/>
      <c r="ACQ640" s="1572"/>
      <c r="ACR640" s="1572"/>
      <c r="ACS640" s="1572"/>
      <c r="ACT640" s="1572"/>
      <c r="ACU640" s="1572"/>
      <c r="ACV640" s="1572"/>
      <c r="ACW640" s="1572" t="s">
        <v>885</v>
      </c>
      <c r="ACX640" s="1572"/>
      <c r="ACY640" s="1572"/>
      <c r="ACZ640" s="1572"/>
      <c r="ADA640" s="1572"/>
      <c r="ADB640" s="1572"/>
      <c r="ADC640" s="1572"/>
      <c r="ADD640" s="1572"/>
      <c r="ADE640" s="1572" t="s">
        <v>885</v>
      </c>
      <c r="ADF640" s="1572"/>
      <c r="ADG640" s="1572"/>
      <c r="ADH640" s="1572"/>
      <c r="ADI640" s="1572"/>
      <c r="ADJ640" s="1572"/>
      <c r="ADK640" s="1572"/>
      <c r="ADL640" s="1572"/>
      <c r="ADM640" s="1572" t="s">
        <v>885</v>
      </c>
      <c r="ADN640" s="1572"/>
      <c r="ADO640" s="1572"/>
      <c r="ADP640" s="1572"/>
      <c r="ADQ640" s="1572"/>
      <c r="ADR640" s="1572"/>
      <c r="ADS640" s="1572"/>
      <c r="ADT640" s="1572"/>
      <c r="ADU640" s="1572" t="s">
        <v>885</v>
      </c>
      <c r="ADV640" s="1572"/>
      <c r="ADW640" s="1572"/>
      <c r="ADX640" s="1572"/>
      <c r="ADY640" s="1572"/>
      <c r="ADZ640" s="1572"/>
      <c r="AEA640" s="1572"/>
      <c r="AEB640" s="1572"/>
      <c r="AEC640" s="1572" t="s">
        <v>885</v>
      </c>
      <c r="AED640" s="1572"/>
      <c r="AEE640" s="1572"/>
      <c r="AEF640" s="1572"/>
      <c r="AEG640" s="1572"/>
      <c r="AEH640" s="1572"/>
      <c r="AEI640" s="1572"/>
      <c r="AEJ640" s="1572"/>
      <c r="AEK640" s="1572" t="s">
        <v>885</v>
      </c>
      <c r="AEL640" s="1572"/>
      <c r="AEM640" s="1572"/>
      <c r="AEN640" s="1572"/>
      <c r="AEO640" s="1572"/>
      <c r="AEP640" s="1572"/>
      <c r="AEQ640" s="1572"/>
      <c r="AER640" s="1572"/>
      <c r="AES640" s="1572" t="s">
        <v>885</v>
      </c>
      <c r="AET640" s="1572"/>
      <c r="AEU640" s="1572"/>
      <c r="AEV640" s="1572"/>
      <c r="AEW640" s="1572"/>
      <c r="AEX640" s="1572"/>
      <c r="AEY640" s="1572"/>
      <c r="AEZ640" s="1572"/>
      <c r="AFA640" s="1572" t="s">
        <v>885</v>
      </c>
      <c r="AFB640" s="1572"/>
      <c r="AFC640" s="1572"/>
      <c r="AFD640" s="1572"/>
      <c r="AFE640" s="1572"/>
      <c r="AFF640" s="1572"/>
      <c r="AFG640" s="1572"/>
      <c r="AFH640" s="1572"/>
      <c r="AFI640" s="1572" t="s">
        <v>885</v>
      </c>
      <c r="AFJ640" s="1572"/>
      <c r="AFK640" s="1572"/>
      <c r="AFL640" s="1572"/>
      <c r="AFM640" s="1572"/>
      <c r="AFN640" s="1572"/>
      <c r="AFO640" s="1572"/>
      <c r="AFP640" s="1572"/>
      <c r="AFQ640" s="1572" t="s">
        <v>885</v>
      </c>
      <c r="AFR640" s="1572"/>
      <c r="AFS640" s="1572"/>
      <c r="AFT640" s="1572"/>
      <c r="AFU640" s="1572"/>
      <c r="AFV640" s="1572"/>
      <c r="AFW640" s="1572"/>
      <c r="AFX640" s="1572"/>
      <c r="AFY640" s="1572" t="s">
        <v>885</v>
      </c>
      <c r="AFZ640" s="1572"/>
      <c r="AGA640" s="1572"/>
      <c r="AGB640" s="1572"/>
      <c r="AGC640" s="1572"/>
      <c r="AGD640" s="1572"/>
      <c r="AGE640" s="1572"/>
      <c r="AGF640" s="1572"/>
      <c r="AGG640" s="1572" t="s">
        <v>885</v>
      </c>
      <c r="AGH640" s="1572"/>
      <c r="AGI640" s="1572"/>
      <c r="AGJ640" s="1572"/>
      <c r="AGK640" s="1572"/>
      <c r="AGL640" s="1572"/>
      <c r="AGM640" s="1572"/>
      <c r="AGN640" s="1572"/>
      <c r="AGO640" s="1572" t="s">
        <v>885</v>
      </c>
      <c r="AGP640" s="1572"/>
      <c r="AGQ640" s="1572"/>
      <c r="AGR640" s="1572"/>
      <c r="AGS640" s="1572"/>
      <c r="AGT640" s="1572"/>
      <c r="AGU640" s="1572"/>
      <c r="AGV640" s="1572"/>
      <c r="AGW640" s="1572" t="s">
        <v>885</v>
      </c>
      <c r="AGX640" s="1572"/>
      <c r="AGY640" s="1572"/>
      <c r="AGZ640" s="1572"/>
      <c r="AHA640" s="1572"/>
      <c r="AHB640" s="1572"/>
      <c r="AHC640" s="1572"/>
      <c r="AHD640" s="1572"/>
      <c r="AHE640" s="1572" t="s">
        <v>885</v>
      </c>
      <c r="AHF640" s="1572"/>
      <c r="AHG640" s="1572"/>
      <c r="AHH640" s="1572"/>
      <c r="AHI640" s="1572"/>
      <c r="AHJ640" s="1572"/>
      <c r="AHK640" s="1572"/>
      <c r="AHL640" s="1572"/>
      <c r="AHM640" s="1572" t="s">
        <v>885</v>
      </c>
      <c r="AHN640" s="1572"/>
      <c r="AHO640" s="1572"/>
      <c r="AHP640" s="1572"/>
      <c r="AHQ640" s="1572"/>
      <c r="AHR640" s="1572"/>
      <c r="AHS640" s="1572"/>
      <c r="AHT640" s="1572"/>
      <c r="AHU640" s="1572" t="s">
        <v>885</v>
      </c>
      <c r="AHV640" s="1572"/>
      <c r="AHW640" s="1572"/>
      <c r="AHX640" s="1572"/>
      <c r="AHY640" s="1572"/>
      <c r="AHZ640" s="1572"/>
      <c r="AIA640" s="1572"/>
      <c r="AIB640" s="1572"/>
      <c r="AIC640" s="1572" t="s">
        <v>885</v>
      </c>
      <c r="AID640" s="1572"/>
      <c r="AIE640" s="1572"/>
      <c r="AIF640" s="1572"/>
      <c r="AIG640" s="1572"/>
      <c r="AIH640" s="1572"/>
      <c r="AII640" s="1572"/>
      <c r="AIJ640" s="1572"/>
      <c r="AIK640" s="1572" t="s">
        <v>885</v>
      </c>
      <c r="AIL640" s="1572"/>
      <c r="AIM640" s="1572"/>
      <c r="AIN640" s="1572"/>
      <c r="AIO640" s="1572"/>
      <c r="AIP640" s="1572"/>
      <c r="AIQ640" s="1572"/>
      <c r="AIR640" s="1572"/>
      <c r="AIS640" s="1572" t="s">
        <v>885</v>
      </c>
      <c r="AIT640" s="1572"/>
      <c r="AIU640" s="1572"/>
      <c r="AIV640" s="1572"/>
      <c r="AIW640" s="1572"/>
      <c r="AIX640" s="1572"/>
      <c r="AIY640" s="1572"/>
      <c r="AIZ640" s="1572"/>
      <c r="AJA640" s="1572" t="s">
        <v>885</v>
      </c>
      <c r="AJB640" s="1572"/>
      <c r="AJC640" s="1572"/>
      <c r="AJD640" s="1572"/>
      <c r="AJE640" s="1572"/>
      <c r="AJF640" s="1572"/>
      <c r="AJG640" s="1572"/>
      <c r="AJH640" s="1572"/>
      <c r="AJI640" s="1572" t="s">
        <v>885</v>
      </c>
      <c r="AJJ640" s="1572"/>
      <c r="AJK640" s="1572"/>
      <c r="AJL640" s="1572"/>
      <c r="AJM640" s="1572"/>
      <c r="AJN640" s="1572"/>
      <c r="AJO640" s="1572"/>
      <c r="AJP640" s="1572"/>
      <c r="AJQ640" s="1572" t="s">
        <v>885</v>
      </c>
      <c r="AJR640" s="1572"/>
      <c r="AJS640" s="1572"/>
      <c r="AJT640" s="1572"/>
      <c r="AJU640" s="1572"/>
      <c r="AJV640" s="1572"/>
      <c r="AJW640" s="1572"/>
      <c r="AJX640" s="1572"/>
      <c r="AJY640" s="1572" t="s">
        <v>885</v>
      </c>
      <c r="AJZ640" s="1572"/>
      <c r="AKA640" s="1572"/>
      <c r="AKB640" s="1572"/>
      <c r="AKC640" s="1572"/>
      <c r="AKD640" s="1572"/>
      <c r="AKE640" s="1572"/>
      <c r="AKF640" s="1572"/>
      <c r="AKG640" s="1572" t="s">
        <v>885</v>
      </c>
      <c r="AKH640" s="1572"/>
      <c r="AKI640" s="1572"/>
      <c r="AKJ640" s="1572"/>
      <c r="AKK640" s="1572"/>
      <c r="AKL640" s="1572"/>
      <c r="AKM640" s="1572"/>
      <c r="AKN640" s="1572"/>
      <c r="AKO640" s="1572" t="s">
        <v>885</v>
      </c>
      <c r="AKP640" s="1572"/>
      <c r="AKQ640" s="1572"/>
      <c r="AKR640" s="1572"/>
      <c r="AKS640" s="1572"/>
      <c r="AKT640" s="1572"/>
      <c r="AKU640" s="1572"/>
      <c r="AKV640" s="1572"/>
      <c r="AKW640" s="1572" t="s">
        <v>885</v>
      </c>
      <c r="AKX640" s="1572"/>
      <c r="AKY640" s="1572"/>
      <c r="AKZ640" s="1572"/>
      <c r="ALA640" s="1572"/>
      <c r="ALB640" s="1572"/>
      <c r="ALC640" s="1572"/>
      <c r="ALD640" s="1572"/>
      <c r="ALE640" s="1572" t="s">
        <v>885</v>
      </c>
      <c r="ALF640" s="1572"/>
      <c r="ALG640" s="1572"/>
      <c r="ALH640" s="1572"/>
      <c r="ALI640" s="1572"/>
      <c r="ALJ640" s="1572"/>
      <c r="ALK640" s="1572"/>
      <c r="ALL640" s="1572"/>
      <c r="ALM640" s="1572" t="s">
        <v>885</v>
      </c>
      <c r="ALN640" s="1572"/>
      <c r="ALO640" s="1572"/>
      <c r="ALP640" s="1572"/>
      <c r="ALQ640" s="1572"/>
      <c r="ALR640" s="1572"/>
      <c r="ALS640" s="1572"/>
      <c r="ALT640" s="1572"/>
      <c r="ALU640" s="1572" t="s">
        <v>885</v>
      </c>
      <c r="ALV640" s="1572"/>
      <c r="ALW640" s="1572"/>
      <c r="ALX640" s="1572"/>
      <c r="ALY640" s="1572"/>
      <c r="ALZ640" s="1572"/>
      <c r="AMA640" s="1572"/>
      <c r="AMB640" s="1572"/>
      <c r="AMC640" s="1572" t="s">
        <v>885</v>
      </c>
      <c r="AMD640" s="1572"/>
      <c r="AME640" s="1572"/>
      <c r="AMF640" s="1572"/>
      <c r="AMG640" s="1572"/>
      <c r="AMH640" s="1572"/>
      <c r="AMI640" s="1572"/>
      <c r="AMJ640" s="1572"/>
      <c r="AMK640" s="1572" t="s">
        <v>885</v>
      </c>
      <c r="AML640" s="1572"/>
      <c r="AMM640" s="1572"/>
      <c r="AMN640" s="1572"/>
      <c r="AMO640" s="1572"/>
      <c r="AMP640" s="1572"/>
      <c r="AMQ640" s="1572"/>
      <c r="AMR640" s="1572"/>
      <c r="AMS640" s="1572" t="s">
        <v>885</v>
      </c>
      <c r="AMT640" s="1572"/>
      <c r="AMU640" s="1572"/>
      <c r="AMV640" s="1572"/>
      <c r="AMW640" s="1572"/>
      <c r="AMX640" s="1572"/>
      <c r="AMY640" s="1572"/>
      <c r="AMZ640" s="1572"/>
      <c r="ANA640" s="1572" t="s">
        <v>885</v>
      </c>
      <c r="ANB640" s="1572"/>
      <c r="ANC640" s="1572"/>
      <c r="AND640" s="1572"/>
      <c r="ANE640" s="1572"/>
      <c r="ANF640" s="1572"/>
      <c r="ANG640" s="1572"/>
      <c r="ANH640" s="1572"/>
      <c r="ANI640" s="1572" t="s">
        <v>885</v>
      </c>
      <c r="ANJ640" s="1572"/>
      <c r="ANK640" s="1572"/>
      <c r="ANL640" s="1572"/>
      <c r="ANM640" s="1572"/>
      <c r="ANN640" s="1572"/>
      <c r="ANO640" s="1572"/>
      <c r="ANP640" s="1572"/>
      <c r="ANQ640" s="1572" t="s">
        <v>885</v>
      </c>
      <c r="ANR640" s="1572"/>
      <c r="ANS640" s="1572"/>
      <c r="ANT640" s="1572"/>
      <c r="ANU640" s="1572"/>
      <c r="ANV640" s="1572"/>
      <c r="ANW640" s="1572"/>
      <c r="ANX640" s="1572"/>
      <c r="ANY640" s="1572" t="s">
        <v>885</v>
      </c>
      <c r="ANZ640" s="1572"/>
      <c r="AOA640" s="1572"/>
      <c r="AOB640" s="1572"/>
      <c r="AOC640" s="1572"/>
      <c r="AOD640" s="1572"/>
      <c r="AOE640" s="1572"/>
      <c r="AOF640" s="1572"/>
      <c r="AOG640" s="1572" t="s">
        <v>885</v>
      </c>
      <c r="AOH640" s="1572"/>
      <c r="AOI640" s="1572"/>
      <c r="AOJ640" s="1572"/>
      <c r="AOK640" s="1572"/>
      <c r="AOL640" s="1572"/>
      <c r="AOM640" s="1572"/>
      <c r="AON640" s="1572"/>
      <c r="AOO640" s="1572" t="s">
        <v>885</v>
      </c>
      <c r="AOP640" s="1572"/>
      <c r="AOQ640" s="1572"/>
      <c r="AOR640" s="1572"/>
      <c r="AOS640" s="1572"/>
      <c r="AOT640" s="1572"/>
      <c r="AOU640" s="1572"/>
      <c r="AOV640" s="1572"/>
      <c r="AOW640" s="1572" t="s">
        <v>885</v>
      </c>
      <c r="AOX640" s="1572"/>
      <c r="AOY640" s="1572"/>
      <c r="AOZ640" s="1572"/>
      <c r="APA640" s="1572"/>
      <c r="APB640" s="1572"/>
      <c r="APC640" s="1572"/>
      <c r="APD640" s="1572"/>
      <c r="APE640" s="1572" t="s">
        <v>885</v>
      </c>
      <c r="APF640" s="1572"/>
      <c r="APG640" s="1572"/>
      <c r="APH640" s="1572"/>
      <c r="API640" s="1572"/>
      <c r="APJ640" s="1572"/>
      <c r="APK640" s="1572"/>
      <c r="APL640" s="1572"/>
      <c r="APM640" s="1572" t="s">
        <v>885</v>
      </c>
      <c r="APN640" s="1572"/>
      <c r="APO640" s="1572"/>
      <c r="APP640" s="1572"/>
      <c r="APQ640" s="1572"/>
      <c r="APR640" s="1572"/>
      <c r="APS640" s="1572"/>
      <c r="APT640" s="1572"/>
      <c r="APU640" s="1572" t="s">
        <v>885</v>
      </c>
      <c r="APV640" s="1572"/>
      <c r="APW640" s="1572"/>
      <c r="APX640" s="1572"/>
      <c r="APY640" s="1572"/>
      <c r="APZ640" s="1572"/>
      <c r="AQA640" s="1572"/>
      <c r="AQB640" s="1572"/>
      <c r="AQC640" s="1572" t="s">
        <v>885</v>
      </c>
      <c r="AQD640" s="1572"/>
      <c r="AQE640" s="1572"/>
      <c r="AQF640" s="1572"/>
      <c r="AQG640" s="1572"/>
      <c r="AQH640" s="1572"/>
      <c r="AQI640" s="1572"/>
      <c r="AQJ640" s="1572"/>
      <c r="AQK640" s="1572" t="s">
        <v>885</v>
      </c>
      <c r="AQL640" s="1572"/>
      <c r="AQM640" s="1572"/>
      <c r="AQN640" s="1572"/>
      <c r="AQO640" s="1572"/>
      <c r="AQP640" s="1572"/>
      <c r="AQQ640" s="1572"/>
      <c r="AQR640" s="1572"/>
      <c r="AQS640" s="1572" t="s">
        <v>885</v>
      </c>
      <c r="AQT640" s="1572"/>
      <c r="AQU640" s="1572"/>
      <c r="AQV640" s="1572"/>
      <c r="AQW640" s="1572"/>
      <c r="AQX640" s="1572"/>
      <c r="AQY640" s="1572"/>
      <c r="AQZ640" s="1572"/>
      <c r="ARA640" s="1572" t="s">
        <v>885</v>
      </c>
      <c r="ARB640" s="1572"/>
      <c r="ARC640" s="1572"/>
      <c r="ARD640" s="1572"/>
      <c r="ARE640" s="1572"/>
      <c r="ARF640" s="1572"/>
      <c r="ARG640" s="1572"/>
      <c r="ARH640" s="1572"/>
      <c r="ARI640" s="1572" t="s">
        <v>885</v>
      </c>
      <c r="ARJ640" s="1572"/>
      <c r="ARK640" s="1572"/>
      <c r="ARL640" s="1572"/>
      <c r="ARM640" s="1572"/>
      <c r="ARN640" s="1572"/>
      <c r="ARO640" s="1572"/>
      <c r="ARP640" s="1572"/>
      <c r="ARQ640" s="1572" t="s">
        <v>885</v>
      </c>
      <c r="ARR640" s="1572"/>
      <c r="ARS640" s="1572"/>
      <c r="ART640" s="1572"/>
      <c r="ARU640" s="1572"/>
      <c r="ARV640" s="1572"/>
      <c r="ARW640" s="1572"/>
      <c r="ARX640" s="1572"/>
      <c r="ARY640" s="1572" t="s">
        <v>885</v>
      </c>
      <c r="ARZ640" s="1572"/>
      <c r="ASA640" s="1572"/>
      <c r="ASB640" s="1572"/>
      <c r="ASC640" s="1572"/>
      <c r="ASD640" s="1572"/>
      <c r="ASE640" s="1572"/>
      <c r="ASF640" s="1572"/>
      <c r="ASG640" s="1572" t="s">
        <v>885</v>
      </c>
      <c r="ASH640" s="1572"/>
      <c r="ASI640" s="1572"/>
      <c r="ASJ640" s="1572"/>
      <c r="ASK640" s="1572"/>
      <c r="ASL640" s="1572"/>
      <c r="ASM640" s="1572"/>
      <c r="ASN640" s="1572"/>
      <c r="ASO640" s="1572" t="s">
        <v>885</v>
      </c>
      <c r="ASP640" s="1572"/>
      <c r="ASQ640" s="1572"/>
      <c r="ASR640" s="1572"/>
      <c r="ASS640" s="1572"/>
      <c r="AST640" s="1572"/>
      <c r="ASU640" s="1572"/>
      <c r="ASV640" s="1572"/>
      <c r="ASW640" s="1572" t="s">
        <v>885</v>
      </c>
      <c r="ASX640" s="1572"/>
      <c r="ASY640" s="1572"/>
      <c r="ASZ640" s="1572"/>
      <c r="ATA640" s="1572"/>
      <c r="ATB640" s="1572"/>
      <c r="ATC640" s="1572"/>
      <c r="ATD640" s="1572"/>
      <c r="ATE640" s="1572" t="s">
        <v>885</v>
      </c>
      <c r="ATF640" s="1572"/>
      <c r="ATG640" s="1572"/>
      <c r="ATH640" s="1572"/>
      <c r="ATI640" s="1572"/>
      <c r="ATJ640" s="1572"/>
      <c r="ATK640" s="1572"/>
      <c r="ATL640" s="1572"/>
      <c r="ATM640" s="1572" t="s">
        <v>885</v>
      </c>
      <c r="ATN640" s="1572"/>
      <c r="ATO640" s="1572"/>
      <c r="ATP640" s="1572"/>
      <c r="ATQ640" s="1572"/>
      <c r="ATR640" s="1572"/>
      <c r="ATS640" s="1572"/>
      <c r="ATT640" s="1572"/>
      <c r="ATU640" s="1572" t="s">
        <v>885</v>
      </c>
      <c r="ATV640" s="1572"/>
      <c r="ATW640" s="1572"/>
      <c r="ATX640" s="1572"/>
      <c r="ATY640" s="1572"/>
      <c r="ATZ640" s="1572"/>
      <c r="AUA640" s="1572"/>
      <c r="AUB640" s="1572"/>
      <c r="AUC640" s="1572" t="s">
        <v>885</v>
      </c>
      <c r="AUD640" s="1572"/>
      <c r="AUE640" s="1572"/>
      <c r="AUF640" s="1572"/>
      <c r="AUG640" s="1572"/>
      <c r="AUH640" s="1572"/>
      <c r="AUI640" s="1572"/>
      <c r="AUJ640" s="1572"/>
      <c r="AUK640" s="1572" t="s">
        <v>885</v>
      </c>
      <c r="AUL640" s="1572"/>
      <c r="AUM640" s="1572"/>
      <c r="AUN640" s="1572"/>
      <c r="AUO640" s="1572"/>
      <c r="AUP640" s="1572"/>
      <c r="AUQ640" s="1572"/>
      <c r="AUR640" s="1572"/>
      <c r="AUS640" s="1572" t="s">
        <v>885</v>
      </c>
      <c r="AUT640" s="1572"/>
      <c r="AUU640" s="1572"/>
      <c r="AUV640" s="1572"/>
      <c r="AUW640" s="1572"/>
      <c r="AUX640" s="1572"/>
      <c r="AUY640" s="1572"/>
      <c r="AUZ640" s="1572"/>
      <c r="AVA640" s="1572" t="s">
        <v>885</v>
      </c>
      <c r="AVB640" s="1572"/>
      <c r="AVC640" s="1572"/>
      <c r="AVD640" s="1572"/>
      <c r="AVE640" s="1572"/>
      <c r="AVF640" s="1572"/>
      <c r="AVG640" s="1572"/>
      <c r="AVH640" s="1572"/>
      <c r="AVI640" s="1572" t="s">
        <v>885</v>
      </c>
      <c r="AVJ640" s="1572"/>
      <c r="AVK640" s="1572"/>
      <c r="AVL640" s="1572"/>
      <c r="AVM640" s="1572"/>
      <c r="AVN640" s="1572"/>
      <c r="AVO640" s="1572"/>
      <c r="AVP640" s="1572"/>
      <c r="AVQ640" s="1572" t="s">
        <v>885</v>
      </c>
      <c r="AVR640" s="1572"/>
      <c r="AVS640" s="1572"/>
      <c r="AVT640" s="1572"/>
      <c r="AVU640" s="1572"/>
      <c r="AVV640" s="1572"/>
      <c r="AVW640" s="1572"/>
      <c r="AVX640" s="1572"/>
      <c r="AVY640" s="1572" t="s">
        <v>885</v>
      </c>
      <c r="AVZ640" s="1572"/>
      <c r="AWA640" s="1572"/>
      <c r="AWB640" s="1572"/>
      <c r="AWC640" s="1572"/>
      <c r="AWD640" s="1572"/>
      <c r="AWE640" s="1572"/>
      <c r="AWF640" s="1572"/>
      <c r="AWG640" s="1572" t="s">
        <v>885</v>
      </c>
      <c r="AWH640" s="1572"/>
      <c r="AWI640" s="1572"/>
      <c r="AWJ640" s="1572"/>
      <c r="AWK640" s="1572"/>
      <c r="AWL640" s="1572"/>
      <c r="AWM640" s="1572"/>
      <c r="AWN640" s="1572"/>
      <c r="AWO640" s="1572" t="s">
        <v>885</v>
      </c>
      <c r="AWP640" s="1572"/>
      <c r="AWQ640" s="1572"/>
      <c r="AWR640" s="1572"/>
      <c r="AWS640" s="1572"/>
      <c r="AWT640" s="1572"/>
      <c r="AWU640" s="1572"/>
      <c r="AWV640" s="1572"/>
      <c r="AWW640" s="1572" t="s">
        <v>885</v>
      </c>
      <c r="AWX640" s="1572"/>
      <c r="AWY640" s="1572"/>
      <c r="AWZ640" s="1572"/>
      <c r="AXA640" s="1572"/>
      <c r="AXB640" s="1572"/>
      <c r="AXC640" s="1572"/>
      <c r="AXD640" s="1572"/>
      <c r="AXE640" s="1572" t="s">
        <v>885</v>
      </c>
      <c r="AXF640" s="1572"/>
      <c r="AXG640" s="1572"/>
      <c r="AXH640" s="1572"/>
      <c r="AXI640" s="1572"/>
      <c r="AXJ640" s="1572"/>
      <c r="AXK640" s="1572"/>
      <c r="AXL640" s="1572"/>
      <c r="AXM640" s="1572" t="s">
        <v>885</v>
      </c>
      <c r="AXN640" s="1572"/>
      <c r="AXO640" s="1572"/>
      <c r="AXP640" s="1572"/>
      <c r="AXQ640" s="1572"/>
      <c r="AXR640" s="1572"/>
      <c r="AXS640" s="1572"/>
      <c r="AXT640" s="1572"/>
      <c r="AXU640" s="1572" t="s">
        <v>885</v>
      </c>
      <c r="AXV640" s="1572"/>
      <c r="AXW640" s="1572"/>
      <c r="AXX640" s="1572"/>
      <c r="AXY640" s="1572"/>
      <c r="AXZ640" s="1572"/>
      <c r="AYA640" s="1572"/>
      <c r="AYB640" s="1572"/>
      <c r="AYC640" s="1572" t="s">
        <v>885</v>
      </c>
      <c r="AYD640" s="1572"/>
      <c r="AYE640" s="1572"/>
      <c r="AYF640" s="1572"/>
      <c r="AYG640" s="1572"/>
      <c r="AYH640" s="1572"/>
      <c r="AYI640" s="1572"/>
      <c r="AYJ640" s="1572"/>
      <c r="AYK640" s="1572" t="s">
        <v>885</v>
      </c>
      <c r="AYL640" s="1572"/>
      <c r="AYM640" s="1572"/>
      <c r="AYN640" s="1572"/>
      <c r="AYO640" s="1572"/>
      <c r="AYP640" s="1572"/>
      <c r="AYQ640" s="1572"/>
      <c r="AYR640" s="1572"/>
      <c r="AYS640" s="1572" t="s">
        <v>885</v>
      </c>
      <c r="AYT640" s="1572"/>
      <c r="AYU640" s="1572"/>
      <c r="AYV640" s="1572"/>
      <c r="AYW640" s="1572"/>
      <c r="AYX640" s="1572"/>
      <c r="AYY640" s="1572"/>
      <c r="AYZ640" s="1572"/>
      <c r="AZA640" s="1572" t="s">
        <v>885</v>
      </c>
      <c r="AZB640" s="1572"/>
      <c r="AZC640" s="1572"/>
      <c r="AZD640" s="1572"/>
      <c r="AZE640" s="1572"/>
      <c r="AZF640" s="1572"/>
      <c r="AZG640" s="1572"/>
      <c r="AZH640" s="1572"/>
      <c r="AZI640" s="1572" t="s">
        <v>885</v>
      </c>
      <c r="AZJ640" s="1572"/>
      <c r="AZK640" s="1572"/>
      <c r="AZL640" s="1572"/>
      <c r="AZM640" s="1572"/>
      <c r="AZN640" s="1572"/>
      <c r="AZO640" s="1572"/>
      <c r="AZP640" s="1572"/>
      <c r="AZQ640" s="1572" t="s">
        <v>885</v>
      </c>
      <c r="AZR640" s="1572"/>
      <c r="AZS640" s="1572"/>
      <c r="AZT640" s="1572"/>
      <c r="AZU640" s="1572"/>
      <c r="AZV640" s="1572"/>
      <c r="AZW640" s="1572"/>
      <c r="AZX640" s="1572"/>
      <c r="AZY640" s="1572" t="s">
        <v>885</v>
      </c>
      <c r="AZZ640" s="1572"/>
      <c r="BAA640" s="1572"/>
      <c r="BAB640" s="1572"/>
      <c r="BAC640" s="1572"/>
      <c r="BAD640" s="1572"/>
      <c r="BAE640" s="1572"/>
      <c r="BAF640" s="1572"/>
      <c r="BAG640" s="1572" t="s">
        <v>885</v>
      </c>
      <c r="BAH640" s="1572"/>
      <c r="BAI640" s="1572"/>
      <c r="BAJ640" s="1572"/>
      <c r="BAK640" s="1572"/>
      <c r="BAL640" s="1572"/>
      <c r="BAM640" s="1572"/>
      <c r="BAN640" s="1572"/>
      <c r="BAO640" s="1572" t="s">
        <v>885</v>
      </c>
      <c r="BAP640" s="1572"/>
      <c r="BAQ640" s="1572"/>
      <c r="BAR640" s="1572"/>
      <c r="BAS640" s="1572"/>
      <c r="BAT640" s="1572"/>
      <c r="BAU640" s="1572"/>
      <c r="BAV640" s="1572"/>
      <c r="BAW640" s="1572" t="s">
        <v>885</v>
      </c>
      <c r="BAX640" s="1572"/>
      <c r="BAY640" s="1572"/>
      <c r="BAZ640" s="1572"/>
      <c r="BBA640" s="1572"/>
      <c r="BBB640" s="1572"/>
      <c r="BBC640" s="1572"/>
      <c r="BBD640" s="1572"/>
      <c r="BBE640" s="1572" t="s">
        <v>885</v>
      </c>
      <c r="BBF640" s="1572"/>
      <c r="BBG640" s="1572"/>
      <c r="BBH640" s="1572"/>
      <c r="BBI640" s="1572"/>
      <c r="BBJ640" s="1572"/>
      <c r="BBK640" s="1572"/>
      <c r="BBL640" s="1572"/>
      <c r="BBM640" s="1572" t="s">
        <v>885</v>
      </c>
      <c r="BBN640" s="1572"/>
      <c r="BBO640" s="1572"/>
      <c r="BBP640" s="1572"/>
      <c r="BBQ640" s="1572"/>
      <c r="BBR640" s="1572"/>
      <c r="BBS640" s="1572"/>
      <c r="BBT640" s="1572"/>
      <c r="BBU640" s="1572" t="s">
        <v>885</v>
      </c>
      <c r="BBV640" s="1572"/>
      <c r="BBW640" s="1572"/>
      <c r="BBX640" s="1572"/>
      <c r="BBY640" s="1572"/>
      <c r="BBZ640" s="1572"/>
      <c r="BCA640" s="1572"/>
      <c r="BCB640" s="1572"/>
      <c r="BCC640" s="1572" t="s">
        <v>885</v>
      </c>
      <c r="BCD640" s="1572"/>
      <c r="BCE640" s="1572"/>
      <c r="BCF640" s="1572"/>
      <c r="BCG640" s="1572"/>
      <c r="BCH640" s="1572"/>
      <c r="BCI640" s="1572"/>
      <c r="BCJ640" s="1572"/>
      <c r="BCK640" s="1572" t="s">
        <v>885</v>
      </c>
      <c r="BCL640" s="1572"/>
      <c r="BCM640" s="1572"/>
      <c r="BCN640" s="1572"/>
      <c r="BCO640" s="1572"/>
      <c r="BCP640" s="1572"/>
      <c r="BCQ640" s="1572"/>
      <c r="BCR640" s="1572"/>
      <c r="BCS640" s="1572" t="s">
        <v>885</v>
      </c>
      <c r="BCT640" s="1572"/>
      <c r="BCU640" s="1572"/>
      <c r="BCV640" s="1572"/>
      <c r="BCW640" s="1572"/>
      <c r="BCX640" s="1572"/>
      <c r="BCY640" s="1572"/>
      <c r="BCZ640" s="1572"/>
      <c r="BDA640" s="1572" t="s">
        <v>885</v>
      </c>
      <c r="BDB640" s="1572"/>
      <c r="BDC640" s="1572"/>
      <c r="BDD640" s="1572"/>
      <c r="BDE640" s="1572"/>
      <c r="BDF640" s="1572"/>
      <c r="BDG640" s="1572"/>
      <c r="BDH640" s="1572"/>
      <c r="BDI640" s="1572" t="s">
        <v>885</v>
      </c>
      <c r="BDJ640" s="1572"/>
      <c r="BDK640" s="1572"/>
      <c r="BDL640" s="1572"/>
      <c r="BDM640" s="1572"/>
      <c r="BDN640" s="1572"/>
      <c r="BDO640" s="1572"/>
      <c r="BDP640" s="1572"/>
      <c r="BDQ640" s="1572" t="s">
        <v>885</v>
      </c>
      <c r="BDR640" s="1572"/>
      <c r="BDS640" s="1572"/>
      <c r="BDT640" s="1572"/>
      <c r="BDU640" s="1572"/>
      <c r="BDV640" s="1572"/>
      <c r="BDW640" s="1572"/>
      <c r="BDX640" s="1572"/>
      <c r="BDY640" s="1572" t="s">
        <v>885</v>
      </c>
      <c r="BDZ640" s="1572"/>
      <c r="BEA640" s="1572"/>
      <c r="BEB640" s="1572"/>
      <c r="BEC640" s="1572"/>
      <c r="BED640" s="1572"/>
      <c r="BEE640" s="1572"/>
      <c r="BEF640" s="1572"/>
      <c r="BEG640" s="1572" t="s">
        <v>885</v>
      </c>
      <c r="BEH640" s="1572"/>
      <c r="BEI640" s="1572"/>
      <c r="BEJ640" s="1572"/>
      <c r="BEK640" s="1572"/>
      <c r="BEL640" s="1572"/>
      <c r="BEM640" s="1572"/>
      <c r="BEN640" s="1572"/>
      <c r="BEO640" s="1572" t="s">
        <v>885</v>
      </c>
      <c r="BEP640" s="1572"/>
      <c r="BEQ640" s="1572"/>
      <c r="BER640" s="1572"/>
      <c r="BES640" s="1572"/>
      <c r="BET640" s="1572"/>
      <c r="BEU640" s="1572"/>
      <c r="BEV640" s="1572"/>
      <c r="BEW640" s="1572" t="s">
        <v>885</v>
      </c>
      <c r="BEX640" s="1572"/>
      <c r="BEY640" s="1572"/>
      <c r="BEZ640" s="1572"/>
      <c r="BFA640" s="1572"/>
      <c r="BFB640" s="1572"/>
      <c r="BFC640" s="1572"/>
      <c r="BFD640" s="1572"/>
      <c r="BFE640" s="1572" t="s">
        <v>885</v>
      </c>
      <c r="BFF640" s="1572"/>
      <c r="BFG640" s="1572"/>
      <c r="BFH640" s="1572"/>
      <c r="BFI640" s="1572"/>
      <c r="BFJ640" s="1572"/>
      <c r="BFK640" s="1572"/>
      <c r="BFL640" s="1572"/>
      <c r="BFM640" s="1572" t="s">
        <v>885</v>
      </c>
      <c r="BFN640" s="1572"/>
      <c r="BFO640" s="1572"/>
      <c r="BFP640" s="1572"/>
      <c r="BFQ640" s="1572"/>
      <c r="BFR640" s="1572"/>
      <c r="BFS640" s="1572"/>
      <c r="BFT640" s="1572"/>
      <c r="BFU640" s="1572" t="s">
        <v>885</v>
      </c>
      <c r="BFV640" s="1572"/>
      <c r="BFW640" s="1572"/>
      <c r="BFX640" s="1572"/>
      <c r="BFY640" s="1572"/>
      <c r="BFZ640" s="1572"/>
      <c r="BGA640" s="1572"/>
      <c r="BGB640" s="1572"/>
      <c r="BGC640" s="1572" t="s">
        <v>885</v>
      </c>
      <c r="BGD640" s="1572"/>
      <c r="BGE640" s="1572"/>
      <c r="BGF640" s="1572"/>
      <c r="BGG640" s="1572"/>
      <c r="BGH640" s="1572"/>
      <c r="BGI640" s="1572"/>
      <c r="BGJ640" s="1572"/>
      <c r="BGK640" s="1572" t="s">
        <v>885</v>
      </c>
      <c r="BGL640" s="1572"/>
      <c r="BGM640" s="1572"/>
      <c r="BGN640" s="1572"/>
      <c r="BGO640" s="1572"/>
      <c r="BGP640" s="1572"/>
      <c r="BGQ640" s="1572"/>
      <c r="BGR640" s="1572"/>
      <c r="BGS640" s="1572" t="s">
        <v>885</v>
      </c>
      <c r="BGT640" s="1572"/>
      <c r="BGU640" s="1572"/>
      <c r="BGV640" s="1572"/>
      <c r="BGW640" s="1572"/>
      <c r="BGX640" s="1572"/>
      <c r="BGY640" s="1572"/>
      <c r="BGZ640" s="1572"/>
      <c r="BHA640" s="1572" t="s">
        <v>885</v>
      </c>
      <c r="BHB640" s="1572"/>
      <c r="BHC640" s="1572"/>
      <c r="BHD640" s="1572"/>
      <c r="BHE640" s="1572"/>
      <c r="BHF640" s="1572"/>
      <c r="BHG640" s="1572"/>
      <c r="BHH640" s="1572"/>
      <c r="BHI640" s="1572" t="s">
        <v>885</v>
      </c>
      <c r="BHJ640" s="1572"/>
      <c r="BHK640" s="1572"/>
      <c r="BHL640" s="1572"/>
      <c r="BHM640" s="1572"/>
      <c r="BHN640" s="1572"/>
      <c r="BHO640" s="1572"/>
      <c r="BHP640" s="1572"/>
      <c r="BHQ640" s="1572" t="s">
        <v>885</v>
      </c>
      <c r="BHR640" s="1572"/>
      <c r="BHS640" s="1572"/>
      <c r="BHT640" s="1572"/>
      <c r="BHU640" s="1572"/>
      <c r="BHV640" s="1572"/>
      <c r="BHW640" s="1572"/>
      <c r="BHX640" s="1572"/>
      <c r="BHY640" s="1572" t="s">
        <v>885</v>
      </c>
      <c r="BHZ640" s="1572"/>
      <c r="BIA640" s="1572"/>
      <c r="BIB640" s="1572"/>
      <c r="BIC640" s="1572"/>
      <c r="BID640" s="1572"/>
      <c r="BIE640" s="1572"/>
      <c r="BIF640" s="1572"/>
      <c r="BIG640" s="1572" t="s">
        <v>885</v>
      </c>
      <c r="BIH640" s="1572"/>
      <c r="BII640" s="1572"/>
      <c r="BIJ640" s="1572"/>
      <c r="BIK640" s="1572"/>
      <c r="BIL640" s="1572"/>
      <c r="BIM640" s="1572"/>
      <c r="BIN640" s="1572"/>
      <c r="BIO640" s="1572" t="s">
        <v>885</v>
      </c>
      <c r="BIP640" s="1572"/>
      <c r="BIQ640" s="1572"/>
      <c r="BIR640" s="1572"/>
      <c r="BIS640" s="1572"/>
      <c r="BIT640" s="1572"/>
      <c r="BIU640" s="1572"/>
      <c r="BIV640" s="1572"/>
      <c r="BIW640" s="1572" t="s">
        <v>885</v>
      </c>
      <c r="BIX640" s="1572"/>
      <c r="BIY640" s="1572"/>
      <c r="BIZ640" s="1572"/>
      <c r="BJA640" s="1572"/>
      <c r="BJB640" s="1572"/>
      <c r="BJC640" s="1572"/>
      <c r="BJD640" s="1572"/>
      <c r="BJE640" s="1572" t="s">
        <v>885</v>
      </c>
      <c r="BJF640" s="1572"/>
      <c r="BJG640" s="1572"/>
      <c r="BJH640" s="1572"/>
      <c r="BJI640" s="1572"/>
      <c r="BJJ640" s="1572"/>
      <c r="BJK640" s="1572"/>
      <c r="BJL640" s="1572"/>
      <c r="BJM640" s="1572" t="s">
        <v>885</v>
      </c>
      <c r="BJN640" s="1572"/>
      <c r="BJO640" s="1572"/>
      <c r="BJP640" s="1572"/>
      <c r="BJQ640" s="1572"/>
      <c r="BJR640" s="1572"/>
      <c r="BJS640" s="1572"/>
      <c r="BJT640" s="1572"/>
      <c r="BJU640" s="1572" t="s">
        <v>885</v>
      </c>
      <c r="BJV640" s="1572"/>
      <c r="BJW640" s="1572"/>
      <c r="BJX640" s="1572"/>
      <c r="BJY640" s="1572"/>
      <c r="BJZ640" s="1572"/>
      <c r="BKA640" s="1572"/>
      <c r="BKB640" s="1572"/>
      <c r="BKC640" s="1572" t="s">
        <v>885</v>
      </c>
      <c r="BKD640" s="1572"/>
      <c r="BKE640" s="1572"/>
      <c r="BKF640" s="1572"/>
      <c r="BKG640" s="1572"/>
      <c r="BKH640" s="1572"/>
      <c r="BKI640" s="1572"/>
      <c r="BKJ640" s="1572"/>
      <c r="BKK640" s="1572" t="s">
        <v>885</v>
      </c>
      <c r="BKL640" s="1572"/>
      <c r="BKM640" s="1572"/>
      <c r="BKN640" s="1572"/>
      <c r="BKO640" s="1572"/>
      <c r="BKP640" s="1572"/>
      <c r="BKQ640" s="1572"/>
      <c r="BKR640" s="1572"/>
      <c r="BKS640" s="1572" t="s">
        <v>885</v>
      </c>
      <c r="BKT640" s="1572"/>
      <c r="BKU640" s="1572"/>
      <c r="BKV640" s="1572"/>
      <c r="BKW640" s="1572"/>
      <c r="BKX640" s="1572"/>
      <c r="BKY640" s="1572"/>
      <c r="BKZ640" s="1572"/>
      <c r="BLA640" s="1572" t="s">
        <v>885</v>
      </c>
      <c r="BLB640" s="1572"/>
      <c r="BLC640" s="1572"/>
      <c r="BLD640" s="1572"/>
      <c r="BLE640" s="1572"/>
      <c r="BLF640" s="1572"/>
      <c r="BLG640" s="1572"/>
      <c r="BLH640" s="1572"/>
      <c r="BLI640" s="1572" t="s">
        <v>885</v>
      </c>
      <c r="BLJ640" s="1572"/>
      <c r="BLK640" s="1572"/>
      <c r="BLL640" s="1572"/>
      <c r="BLM640" s="1572"/>
      <c r="BLN640" s="1572"/>
      <c r="BLO640" s="1572"/>
      <c r="BLP640" s="1572"/>
      <c r="BLQ640" s="1572" t="s">
        <v>885</v>
      </c>
      <c r="BLR640" s="1572"/>
      <c r="BLS640" s="1572"/>
      <c r="BLT640" s="1572"/>
      <c r="BLU640" s="1572"/>
      <c r="BLV640" s="1572"/>
      <c r="BLW640" s="1572"/>
      <c r="BLX640" s="1572"/>
      <c r="BLY640" s="1572" t="s">
        <v>885</v>
      </c>
      <c r="BLZ640" s="1572"/>
      <c r="BMA640" s="1572"/>
      <c r="BMB640" s="1572"/>
      <c r="BMC640" s="1572"/>
      <c r="BMD640" s="1572"/>
      <c r="BME640" s="1572"/>
      <c r="BMF640" s="1572"/>
      <c r="BMG640" s="1572" t="s">
        <v>885</v>
      </c>
      <c r="BMH640" s="1572"/>
      <c r="BMI640" s="1572"/>
      <c r="BMJ640" s="1572"/>
      <c r="BMK640" s="1572"/>
      <c r="BML640" s="1572"/>
      <c r="BMM640" s="1572"/>
      <c r="BMN640" s="1572"/>
      <c r="BMO640" s="1572" t="s">
        <v>885</v>
      </c>
      <c r="BMP640" s="1572"/>
      <c r="BMQ640" s="1572"/>
      <c r="BMR640" s="1572"/>
      <c r="BMS640" s="1572"/>
      <c r="BMT640" s="1572"/>
      <c r="BMU640" s="1572"/>
      <c r="BMV640" s="1572"/>
      <c r="BMW640" s="1572" t="s">
        <v>885</v>
      </c>
      <c r="BMX640" s="1572"/>
      <c r="BMY640" s="1572"/>
      <c r="BMZ640" s="1572"/>
      <c r="BNA640" s="1572"/>
      <c r="BNB640" s="1572"/>
      <c r="BNC640" s="1572"/>
      <c r="BND640" s="1572"/>
      <c r="BNE640" s="1572" t="s">
        <v>885</v>
      </c>
      <c r="BNF640" s="1572"/>
      <c r="BNG640" s="1572"/>
      <c r="BNH640" s="1572"/>
      <c r="BNI640" s="1572"/>
      <c r="BNJ640" s="1572"/>
      <c r="BNK640" s="1572"/>
      <c r="BNL640" s="1572"/>
      <c r="BNM640" s="1572" t="s">
        <v>885</v>
      </c>
      <c r="BNN640" s="1572"/>
      <c r="BNO640" s="1572"/>
      <c r="BNP640" s="1572"/>
      <c r="BNQ640" s="1572"/>
      <c r="BNR640" s="1572"/>
      <c r="BNS640" s="1572"/>
      <c r="BNT640" s="1572"/>
      <c r="BNU640" s="1572" t="s">
        <v>885</v>
      </c>
      <c r="BNV640" s="1572"/>
      <c r="BNW640" s="1572"/>
      <c r="BNX640" s="1572"/>
      <c r="BNY640" s="1572"/>
      <c r="BNZ640" s="1572"/>
      <c r="BOA640" s="1572"/>
      <c r="BOB640" s="1572"/>
      <c r="BOC640" s="1572" t="s">
        <v>885</v>
      </c>
      <c r="BOD640" s="1572"/>
      <c r="BOE640" s="1572"/>
      <c r="BOF640" s="1572"/>
      <c r="BOG640" s="1572"/>
      <c r="BOH640" s="1572"/>
      <c r="BOI640" s="1572"/>
      <c r="BOJ640" s="1572"/>
      <c r="BOK640" s="1572" t="s">
        <v>885</v>
      </c>
      <c r="BOL640" s="1572"/>
      <c r="BOM640" s="1572"/>
      <c r="BON640" s="1572"/>
      <c r="BOO640" s="1572"/>
      <c r="BOP640" s="1572"/>
      <c r="BOQ640" s="1572"/>
      <c r="BOR640" s="1572"/>
      <c r="BOS640" s="1572" t="s">
        <v>885</v>
      </c>
      <c r="BOT640" s="1572"/>
      <c r="BOU640" s="1572"/>
      <c r="BOV640" s="1572"/>
      <c r="BOW640" s="1572"/>
      <c r="BOX640" s="1572"/>
      <c r="BOY640" s="1572"/>
      <c r="BOZ640" s="1572"/>
      <c r="BPA640" s="1572" t="s">
        <v>885</v>
      </c>
      <c r="BPB640" s="1572"/>
      <c r="BPC640" s="1572"/>
      <c r="BPD640" s="1572"/>
      <c r="BPE640" s="1572"/>
      <c r="BPF640" s="1572"/>
      <c r="BPG640" s="1572"/>
      <c r="BPH640" s="1572"/>
      <c r="BPI640" s="1572" t="s">
        <v>885</v>
      </c>
      <c r="BPJ640" s="1572"/>
      <c r="BPK640" s="1572"/>
      <c r="BPL640" s="1572"/>
      <c r="BPM640" s="1572"/>
      <c r="BPN640" s="1572"/>
      <c r="BPO640" s="1572"/>
      <c r="BPP640" s="1572"/>
      <c r="BPQ640" s="1572" t="s">
        <v>885</v>
      </c>
      <c r="BPR640" s="1572"/>
      <c r="BPS640" s="1572"/>
      <c r="BPT640" s="1572"/>
      <c r="BPU640" s="1572"/>
      <c r="BPV640" s="1572"/>
      <c r="BPW640" s="1572"/>
      <c r="BPX640" s="1572"/>
      <c r="BPY640" s="1572" t="s">
        <v>885</v>
      </c>
      <c r="BPZ640" s="1572"/>
      <c r="BQA640" s="1572"/>
      <c r="BQB640" s="1572"/>
      <c r="BQC640" s="1572"/>
      <c r="BQD640" s="1572"/>
      <c r="BQE640" s="1572"/>
      <c r="BQF640" s="1572"/>
      <c r="BQG640" s="1572" t="s">
        <v>885</v>
      </c>
      <c r="BQH640" s="1572"/>
      <c r="BQI640" s="1572"/>
      <c r="BQJ640" s="1572"/>
      <c r="BQK640" s="1572"/>
      <c r="BQL640" s="1572"/>
      <c r="BQM640" s="1572"/>
      <c r="BQN640" s="1572"/>
      <c r="BQO640" s="1572" t="s">
        <v>885</v>
      </c>
      <c r="BQP640" s="1572"/>
      <c r="BQQ640" s="1572"/>
      <c r="BQR640" s="1572"/>
      <c r="BQS640" s="1572"/>
      <c r="BQT640" s="1572"/>
      <c r="BQU640" s="1572"/>
      <c r="BQV640" s="1572"/>
      <c r="BQW640" s="1572" t="s">
        <v>885</v>
      </c>
      <c r="BQX640" s="1572"/>
      <c r="BQY640" s="1572"/>
      <c r="BQZ640" s="1572"/>
      <c r="BRA640" s="1572"/>
      <c r="BRB640" s="1572"/>
      <c r="BRC640" s="1572"/>
      <c r="BRD640" s="1572"/>
      <c r="BRE640" s="1572" t="s">
        <v>885</v>
      </c>
      <c r="BRF640" s="1572"/>
      <c r="BRG640" s="1572"/>
      <c r="BRH640" s="1572"/>
      <c r="BRI640" s="1572"/>
      <c r="BRJ640" s="1572"/>
      <c r="BRK640" s="1572"/>
      <c r="BRL640" s="1572"/>
      <c r="BRM640" s="1572" t="s">
        <v>885</v>
      </c>
      <c r="BRN640" s="1572"/>
      <c r="BRO640" s="1572"/>
      <c r="BRP640" s="1572"/>
      <c r="BRQ640" s="1572"/>
      <c r="BRR640" s="1572"/>
      <c r="BRS640" s="1572"/>
      <c r="BRT640" s="1572"/>
      <c r="BRU640" s="1572" t="s">
        <v>885</v>
      </c>
      <c r="BRV640" s="1572"/>
      <c r="BRW640" s="1572"/>
      <c r="BRX640" s="1572"/>
      <c r="BRY640" s="1572"/>
      <c r="BRZ640" s="1572"/>
      <c r="BSA640" s="1572"/>
      <c r="BSB640" s="1572"/>
      <c r="BSC640" s="1572" t="s">
        <v>885</v>
      </c>
      <c r="BSD640" s="1572"/>
      <c r="BSE640" s="1572"/>
      <c r="BSF640" s="1572"/>
      <c r="BSG640" s="1572"/>
      <c r="BSH640" s="1572"/>
      <c r="BSI640" s="1572"/>
      <c r="BSJ640" s="1572"/>
      <c r="BSK640" s="1572" t="s">
        <v>885</v>
      </c>
      <c r="BSL640" s="1572"/>
      <c r="BSM640" s="1572"/>
      <c r="BSN640" s="1572"/>
      <c r="BSO640" s="1572"/>
      <c r="BSP640" s="1572"/>
      <c r="BSQ640" s="1572"/>
      <c r="BSR640" s="1572"/>
      <c r="BSS640" s="1572" t="s">
        <v>885</v>
      </c>
      <c r="BST640" s="1572"/>
      <c r="BSU640" s="1572"/>
      <c r="BSV640" s="1572"/>
      <c r="BSW640" s="1572"/>
      <c r="BSX640" s="1572"/>
      <c r="BSY640" s="1572"/>
      <c r="BSZ640" s="1572"/>
      <c r="BTA640" s="1572" t="s">
        <v>885</v>
      </c>
      <c r="BTB640" s="1572"/>
      <c r="BTC640" s="1572"/>
      <c r="BTD640" s="1572"/>
      <c r="BTE640" s="1572"/>
      <c r="BTF640" s="1572"/>
      <c r="BTG640" s="1572"/>
      <c r="BTH640" s="1572"/>
      <c r="BTI640" s="1572" t="s">
        <v>885</v>
      </c>
      <c r="BTJ640" s="1572"/>
      <c r="BTK640" s="1572"/>
      <c r="BTL640" s="1572"/>
      <c r="BTM640" s="1572"/>
      <c r="BTN640" s="1572"/>
      <c r="BTO640" s="1572"/>
      <c r="BTP640" s="1572"/>
      <c r="BTQ640" s="1572" t="s">
        <v>885</v>
      </c>
      <c r="BTR640" s="1572"/>
      <c r="BTS640" s="1572"/>
      <c r="BTT640" s="1572"/>
      <c r="BTU640" s="1572"/>
      <c r="BTV640" s="1572"/>
      <c r="BTW640" s="1572"/>
      <c r="BTX640" s="1572"/>
      <c r="BTY640" s="1572" t="s">
        <v>885</v>
      </c>
      <c r="BTZ640" s="1572"/>
      <c r="BUA640" s="1572"/>
      <c r="BUB640" s="1572"/>
      <c r="BUC640" s="1572"/>
      <c r="BUD640" s="1572"/>
      <c r="BUE640" s="1572"/>
      <c r="BUF640" s="1572"/>
      <c r="BUG640" s="1572" t="s">
        <v>885</v>
      </c>
      <c r="BUH640" s="1572"/>
      <c r="BUI640" s="1572"/>
      <c r="BUJ640" s="1572"/>
      <c r="BUK640" s="1572"/>
      <c r="BUL640" s="1572"/>
      <c r="BUM640" s="1572"/>
      <c r="BUN640" s="1572"/>
      <c r="BUO640" s="1572" t="s">
        <v>885</v>
      </c>
      <c r="BUP640" s="1572"/>
      <c r="BUQ640" s="1572"/>
      <c r="BUR640" s="1572"/>
      <c r="BUS640" s="1572"/>
      <c r="BUT640" s="1572"/>
      <c r="BUU640" s="1572"/>
      <c r="BUV640" s="1572"/>
      <c r="BUW640" s="1572" t="s">
        <v>885</v>
      </c>
      <c r="BUX640" s="1572"/>
      <c r="BUY640" s="1572"/>
      <c r="BUZ640" s="1572"/>
      <c r="BVA640" s="1572"/>
      <c r="BVB640" s="1572"/>
      <c r="BVC640" s="1572"/>
      <c r="BVD640" s="1572"/>
      <c r="BVE640" s="1572" t="s">
        <v>885</v>
      </c>
      <c r="BVF640" s="1572"/>
      <c r="BVG640" s="1572"/>
      <c r="BVH640" s="1572"/>
      <c r="BVI640" s="1572"/>
      <c r="BVJ640" s="1572"/>
      <c r="BVK640" s="1572"/>
      <c r="BVL640" s="1572"/>
      <c r="BVM640" s="1572" t="s">
        <v>885</v>
      </c>
      <c r="BVN640" s="1572"/>
      <c r="BVO640" s="1572"/>
      <c r="BVP640" s="1572"/>
      <c r="BVQ640" s="1572"/>
      <c r="BVR640" s="1572"/>
      <c r="BVS640" s="1572"/>
      <c r="BVT640" s="1572"/>
      <c r="BVU640" s="1572" t="s">
        <v>885</v>
      </c>
      <c r="BVV640" s="1572"/>
      <c r="BVW640" s="1572"/>
      <c r="BVX640" s="1572"/>
      <c r="BVY640" s="1572"/>
      <c r="BVZ640" s="1572"/>
      <c r="BWA640" s="1572"/>
      <c r="BWB640" s="1572"/>
      <c r="BWC640" s="1572" t="s">
        <v>885</v>
      </c>
      <c r="BWD640" s="1572"/>
      <c r="BWE640" s="1572"/>
      <c r="BWF640" s="1572"/>
      <c r="BWG640" s="1572"/>
      <c r="BWH640" s="1572"/>
      <c r="BWI640" s="1572"/>
      <c r="BWJ640" s="1572"/>
      <c r="BWK640" s="1572" t="s">
        <v>885</v>
      </c>
      <c r="BWL640" s="1572"/>
      <c r="BWM640" s="1572"/>
      <c r="BWN640" s="1572"/>
      <c r="BWO640" s="1572"/>
      <c r="BWP640" s="1572"/>
      <c r="BWQ640" s="1572"/>
      <c r="BWR640" s="1572"/>
      <c r="BWS640" s="1572" t="s">
        <v>885</v>
      </c>
      <c r="BWT640" s="1572"/>
      <c r="BWU640" s="1572"/>
      <c r="BWV640" s="1572"/>
      <c r="BWW640" s="1572"/>
      <c r="BWX640" s="1572"/>
      <c r="BWY640" s="1572"/>
      <c r="BWZ640" s="1572"/>
      <c r="BXA640" s="1572" t="s">
        <v>885</v>
      </c>
      <c r="BXB640" s="1572"/>
      <c r="BXC640" s="1572"/>
      <c r="BXD640" s="1572"/>
      <c r="BXE640" s="1572"/>
      <c r="BXF640" s="1572"/>
      <c r="BXG640" s="1572"/>
      <c r="BXH640" s="1572"/>
      <c r="BXI640" s="1572" t="s">
        <v>885</v>
      </c>
      <c r="BXJ640" s="1572"/>
      <c r="BXK640" s="1572"/>
      <c r="BXL640" s="1572"/>
      <c r="BXM640" s="1572"/>
      <c r="BXN640" s="1572"/>
      <c r="BXO640" s="1572"/>
      <c r="BXP640" s="1572"/>
      <c r="BXQ640" s="1572" t="s">
        <v>885</v>
      </c>
      <c r="BXR640" s="1572"/>
      <c r="BXS640" s="1572"/>
      <c r="BXT640" s="1572"/>
      <c r="BXU640" s="1572"/>
      <c r="BXV640" s="1572"/>
      <c r="BXW640" s="1572"/>
      <c r="BXX640" s="1572"/>
      <c r="BXY640" s="1572" t="s">
        <v>885</v>
      </c>
      <c r="BXZ640" s="1572"/>
      <c r="BYA640" s="1572"/>
      <c r="BYB640" s="1572"/>
      <c r="BYC640" s="1572"/>
      <c r="BYD640" s="1572"/>
      <c r="BYE640" s="1572"/>
      <c r="BYF640" s="1572"/>
      <c r="BYG640" s="1572" t="s">
        <v>885</v>
      </c>
      <c r="BYH640" s="1572"/>
      <c r="BYI640" s="1572"/>
      <c r="BYJ640" s="1572"/>
      <c r="BYK640" s="1572"/>
      <c r="BYL640" s="1572"/>
      <c r="BYM640" s="1572"/>
      <c r="BYN640" s="1572"/>
      <c r="BYO640" s="1572" t="s">
        <v>885</v>
      </c>
      <c r="BYP640" s="1572"/>
      <c r="BYQ640" s="1572"/>
      <c r="BYR640" s="1572"/>
      <c r="BYS640" s="1572"/>
      <c r="BYT640" s="1572"/>
      <c r="BYU640" s="1572"/>
      <c r="BYV640" s="1572"/>
      <c r="BYW640" s="1572" t="s">
        <v>885</v>
      </c>
      <c r="BYX640" s="1572"/>
      <c r="BYY640" s="1572"/>
      <c r="BYZ640" s="1572"/>
      <c r="BZA640" s="1572"/>
      <c r="BZB640" s="1572"/>
      <c r="BZC640" s="1572"/>
      <c r="BZD640" s="1572"/>
      <c r="BZE640" s="1572" t="s">
        <v>885</v>
      </c>
      <c r="BZF640" s="1572"/>
      <c r="BZG640" s="1572"/>
      <c r="BZH640" s="1572"/>
      <c r="BZI640" s="1572"/>
      <c r="BZJ640" s="1572"/>
      <c r="BZK640" s="1572"/>
      <c r="BZL640" s="1572"/>
      <c r="BZM640" s="1572" t="s">
        <v>885</v>
      </c>
      <c r="BZN640" s="1572"/>
      <c r="BZO640" s="1572"/>
      <c r="BZP640" s="1572"/>
      <c r="BZQ640" s="1572"/>
      <c r="BZR640" s="1572"/>
      <c r="BZS640" s="1572"/>
      <c r="BZT640" s="1572"/>
      <c r="BZU640" s="1572" t="s">
        <v>885</v>
      </c>
      <c r="BZV640" s="1572"/>
      <c r="BZW640" s="1572"/>
      <c r="BZX640" s="1572"/>
      <c r="BZY640" s="1572"/>
      <c r="BZZ640" s="1572"/>
      <c r="CAA640" s="1572"/>
      <c r="CAB640" s="1572"/>
      <c r="CAC640" s="1572" t="s">
        <v>885</v>
      </c>
      <c r="CAD640" s="1572"/>
      <c r="CAE640" s="1572"/>
      <c r="CAF640" s="1572"/>
      <c r="CAG640" s="1572"/>
      <c r="CAH640" s="1572"/>
      <c r="CAI640" s="1572"/>
      <c r="CAJ640" s="1572"/>
      <c r="CAK640" s="1572" t="s">
        <v>885</v>
      </c>
      <c r="CAL640" s="1572"/>
      <c r="CAM640" s="1572"/>
      <c r="CAN640" s="1572"/>
      <c r="CAO640" s="1572"/>
      <c r="CAP640" s="1572"/>
      <c r="CAQ640" s="1572"/>
      <c r="CAR640" s="1572"/>
      <c r="CAS640" s="1572" t="s">
        <v>885</v>
      </c>
      <c r="CAT640" s="1572"/>
      <c r="CAU640" s="1572"/>
      <c r="CAV640" s="1572"/>
      <c r="CAW640" s="1572"/>
      <c r="CAX640" s="1572"/>
      <c r="CAY640" s="1572"/>
      <c r="CAZ640" s="1572"/>
      <c r="CBA640" s="1572" t="s">
        <v>885</v>
      </c>
      <c r="CBB640" s="1572"/>
      <c r="CBC640" s="1572"/>
      <c r="CBD640" s="1572"/>
      <c r="CBE640" s="1572"/>
      <c r="CBF640" s="1572"/>
      <c r="CBG640" s="1572"/>
      <c r="CBH640" s="1572"/>
      <c r="CBI640" s="1572" t="s">
        <v>885</v>
      </c>
      <c r="CBJ640" s="1572"/>
      <c r="CBK640" s="1572"/>
      <c r="CBL640" s="1572"/>
      <c r="CBM640" s="1572"/>
      <c r="CBN640" s="1572"/>
      <c r="CBO640" s="1572"/>
      <c r="CBP640" s="1572"/>
      <c r="CBQ640" s="1572" t="s">
        <v>885</v>
      </c>
      <c r="CBR640" s="1572"/>
      <c r="CBS640" s="1572"/>
      <c r="CBT640" s="1572"/>
      <c r="CBU640" s="1572"/>
      <c r="CBV640" s="1572"/>
      <c r="CBW640" s="1572"/>
      <c r="CBX640" s="1572"/>
      <c r="CBY640" s="1572" t="s">
        <v>885</v>
      </c>
      <c r="CBZ640" s="1572"/>
      <c r="CCA640" s="1572"/>
      <c r="CCB640" s="1572"/>
      <c r="CCC640" s="1572"/>
      <c r="CCD640" s="1572"/>
      <c r="CCE640" s="1572"/>
      <c r="CCF640" s="1572"/>
      <c r="CCG640" s="1572" t="s">
        <v>885</v>
      </c>
      <c r="CCH640" s="1572"/>
      <c r="CCI640" s="1572"/>
      <c r="CCJ640" s="1572"/>
      <c r="CCK640" s="1572"/>
      <c r="CCL640" s="1572"/>
      <c r="CCM640" s="1572"/>
      <c r="CCN640" s="1572"/>
      <c r="CCO640" s="1572" t="s">
        <v>885</v>
      </c>
      <c r="CCP640" s="1572"/>
      <c r="CCQ640" s="1572"/>
      <c r="CCR640" s="1572"/>
      <c r="CCS640" s="1572"/>
      <c r="CCT640" s="1572"/>
      <c r="CCU640" s="1572"/>
      <c r="CCV640" s="1572"/>
      <c r="CCW640" s="1572" t="s">
        <v>885</v>
      </c>
      <c r="CCX640" s="1572"/>
      <c r="CCY640" s="1572"/>
      <c r="CCZ640" s="1572"/>
      <c r="CDA640" s="1572"/>
      <c r="CDB640" s="1572"/>
      <c r="CDC640" s="1572"/>
      <c r="CDD640" s="1572"/>
      <c r="CDE640" s="1572" t="s">
        <v>885</v>
      </c>
      <c r="CDF640" s="1572"/>
      <c r="CDG640" s="1572"/>
      <c r="CDH640" s="1572"/>
      <c r="CDI640" s="1572"/>
      <c r="CDJ640" s="1572"/>
      <c r="CDK640" s="1572"/>
      <c r="CDL640" s="1572"/>
      <c r="CDM640" s="1572" t="s">
        <v>885</v>
      </c>
      <c r="CDN640" s="1572"/>
      <c r="CDO640" s="1572"/>
      <c r="CDP640" s="1572"/>
      <c r="CDQ640" s="1572"/>
      <c r="CDR640" s="1572"/>
      <c r="CDS640" s="1572"/>
      <c r="CDT640" s="1572"/>
      <c r="CDU640" s="1572" t="s">
        <v>885</v>
      </c>
      <c r="CDV640" s="1572"/>
      <c r="CDW640" s="1572"/>
      <c r="CDX640" s="1572"/>
      <c r="CDY640" s="1572"/>
      <c r="CDZ640" s="1572"/>
      <c r="CEA640" s="1572"/>
      <c r="CEB640" s="1572"/>
      <c r="CEC640" s="1572" t="s">
        <v>885</v>
      </c>
      <c r="CED640" s="1572"/>
      <c r="CEE640" s="1572"/>
      <c r="CEF640" s="1572"/>
      <c r="CEG640" s="1572"/>
      <c r="CEH640" s="1572"/>
      <c r="CEI640" s="1572"/>
      <c r="CEJ640" s="1572"/>
      <c r="CEK640" s="1572" t="s">
        <v>885</v>
      </c>
      <c r="CEL640" s="1572"/>
      <c r="CEM640" s="1572"/>
      <c r="CEN640" s="1572"/>
      <c r="CEO640" s="1572"/>
      <c r="CEP640" s="1572"/>
      <c r="CEQ640" s="1572"/>
      <c r="CER640" s="1572"/>
      <c r="CES640" s="1572" t="s">
        <v>885</v>
      </c>
      <c r="CET640" s="1572"/>
      <c r="CEU640" s="1572"/>
      <c r="CEV640" s="1572"/>
      <c r="CEW640" s="1572"/>
      <c r="CEX640" s="1572"/>
      <c r="CEY640" s="1572"/>
      <c r="CEZ640" s="1572"/>
      <c r="CFA640" s="1572" t="s">
        <v>885</v>
      </c>
      <c r="CFB640" s="1572"/>
      <c r="CFC640" s="1572"/>
      <c r="CFD640" s="1572"/>
      <c r="CFE640" s="1572"/>
      <c r="CFF640" s="1572"/>
      <c r="CFG640" s="1572"/>
      <c r="CFH640" s="1572"/>
      <c r="CFI640" s="1572" t="s">
        <v>885</v>
      </c>
      <c r="CFJ640" s="1572"/>
      <c r="CFK640" s="1572"/>
      <c r="CFL640" s="1572"/>
      <c r="CFM640" s="1572"/>
      <c r="CFN640" s="1572"/>
      <c r="CFO640" s="1572"/>
      <c r="CFP640" s="1572"/>
      <c r="CFQ640" s="1572" t="s">
        <v>885</v>
      </c>
      <c r="CFR640" s="1572"/>
      <c r="CFS640" s="1572"/>
      <c r="CFT640" s="1572"/>
      <c r="CFU640" s="1572"/>
      <c r="CFV640" s="1572"/>
      <c r="CFW640" s="1572"/>
      <c r="CFX640" s="1572"/>
      <c r="CFY640" s="1572" t="s">
        <v>885</v>
      </c>
      <c r="CFZ640" s="1572"/>
      <c r="CGA640" s="1572"/>
      <c r="CGB640" s="1572"/>
      <c r="CGC640" s="1572"/>
      <c r="CGD640" s="1572"/>
      <c r="CGE640" s="1572"/>
      <c r="CGF640" s="1572"/>
      <c r="CGG640" s="1572" t="s">
        <v>885</v>
      </c>
      <c r="CGH640" s="1572"/>
      <c r="CGI640" s="1572"/>
      <c r="CGJ640" s="1572"/>
      <c r="CGK640" s="1572"/>
      <c r="CGL640" s="1572"/>
      <c r="CGM640" s="1572"/>
      <c r="CGN640" s="1572"/>
      <c r="CGO640" s="1572" t="s">
        <v>885</v>
      </c>
      <c r="CGP640" s="1572"/>
      <c r="CGQ640" s="1572"/>
      <c r="CGR640" s="1572"/>
      <c r="CGS640" s="1572"/>
      <c r="CGT640" s="1572"/>
      <c r="CGU640" s="1572"/>
      <c r="CGV640" s="1572"/>
      <c r="CGW640" s="1572" t="s">
        <v>885</v>
      </c>
      <c r="CGX640" s="1572"/>
      <c r="CGY640" s="1572"/>
      <c r="CGZ640" s="1572"/>
      <c r="CHA640" s="1572"/>
      <c r="CHB640" s="1572"/>
      <c r="CHC640" s="1572"/>
      <c r="CHD640" s="1572"/>
      <c r="CHE640" s="1572" t="s">
        <v>885</v>
      </c>
      <c r="CHF640" s="1572"/>
      <c r="CHG640" s="1572"/>
      <c r="CHH640" s="1572"/>
      <c r="CHI640" s="1572"/>
      <c r="CHJ640" s="1572"/>
      <c r="CHK640" s="1572"/>
      <c r="CHL640" s="1572"/>
      <c r="CHM640" s="1572" t="s">
        <v>885</v>
      </c>
      <c r="CHN640" s="1572"/>
      <c r="CHO640" s="1572"/>
      <c r="CHP640" s="1572"/>
      <c r="CHQ640" s="1572"/>
      <c r="CHR640" s="1572"/>
      <c r="CHS640" s="1572"/>
      <c r="CHT640" s="1572"/>
      <c r="CHU640" s="1572" t="s">
        <v>885</v>
      </c>
      <c r="CHV640" s="1572"/>
      <c r="CHW640" s="1572"/>
      <c r="CHX640" s="1572"/>
      <c r="CHY640" s="1572"/>
      <c r="CHZ640" s="1572"/>
      <c r="CIA640" s="1572"/>
      <c r="CIB640" s="1572"/>
      <c r="CIC640" s="1572" t="s">
        <v>885</v>
      </c>
      <c r="CID640" s="1572"/>
      <c r="CIE640" s="1572"/>
      <c r="CIF640" s="1572"/>
      <c r="CIG640" s="1572"/>
      <c r="CIH640" s="1572"/>
      <c r="CII640" s="1572"/>
      <c r="CIJ640" s="1572"/>
      <c r="CIK640" s="1572" t="s">
        <v>885</v>
      </c>
      <c r="CIL640" s="1572"/>
      <c r="CIM640" s="1572"/>
      <c r="CIN640" s="1572"/>
      <c r="CIO640" s="1572"/>
      <c r="CIP640" s="1572"/>
      <c r="CIQ640" s="1572"/>
      <c r="CIR640" s="1572"/>
      <c r="CIS640" s="1572" t="s">
        <v>885</v>
      </c>
      <c r="CIT640" s="1572"/>
      <c r="CIU640" s="1572"/>
      <c r="CIV640" s="1572"/>
      <c r="CIW640" s="1572"/>
      <c r="CIX640" s="1572"/>
      <c r="CIY640" s="1572"/>
      <c r="CIZ640" s="1572"/>
      <c r="CJA640" s="1572" t="s">
        <v>885</v>
      </c>
      <c r="CJB640" s="1572"/>
      <c r="CJC640" s="1572"/>
      <c r="CJD640" s="1572"/>
      <c r="CJE640" s="1572"/>
      <c r="CJF640" s="1572"/>
      <c r="CJG640" s="1572"/>
      <c r="CJH640" s="1572"/>
      <c r="CJI640" s="1572" t="s">
        <v>885</v>
      </c>
      <c r="CJJ640" s="1572"/>
      <c r="CJK640" s="1572"/>
      <c r="CJL640" s="1572"/>
      <c r="CJM640" s="1572"/>
      <c r="CJN640" s="1572"/>
      <c r="CJO640" s="1572"/>
      <c r="CJP640" s="1572"/>
      <c r="CJQ640" s="1572" t="s">
        <v>885</v>
      </c>
      <c r="CJR640" s="1572"/>
      <c r="CJS640" s="1572"/>
      <c r="CJT640" s="1572"/>
      <c r="CJU640" s="1572"/>
      <c r="CJV640" s="1572"/>
      <c r="CJW640" s="1572"/>
      <c r="CJX640" s="1572"/>
      <c r="CJY640" s="1572" t="s">
        <v>885</v>
      </c>
      <c r="CJZ640" s="1572"/>
      <c r="CKA640" s="1572"/>
      <c r="CKB640" s="1572"/>
      <c r="CKC640" s="1572"/>
      <c r="CKD640" s="1572"/>
      <c r="CKE640" s="1572"/>
      <c r="CKF640" s="1572"/>
      <c r="CKG640" s="1572" t="s">
        <v>885</v>
      </c>
      <c r="CKH640" s="1572"/>
      <c r="CKI640" s="1572"/>
      <c r="CKJ640" s="1572"/>
      <c r="CKK640" s="1572"/>
      <c r="CKL640" s="1572"/>
      <c r="CKM640" s="1572"/>
      <c r="CKN640" s="1572"/>
      <c r="CKO640" s="1572" t="s">
        <v>885</v>
      </c>
      <c r="CKP640" s="1572"/>
      <c r="CKQ640" s="1572"/>
      <c r="CKR640" s="1572"/>
      <c r="CKS640" s="1572"/>
      <c r="CKT640" s="1572"/>
      <c r="CKU640" s="1572"/>
      <c r="CKV640" s="1572"/>
      <c r="CKW640" s="1572" t="s">
        <v>885</v>
      </c>
      <c r="CKX640" s="1572"/>
      <c r="CKY640" s="1572"/>
      <c r="CKZ640" s="1572"/>
      <c r="CLA640" s="1572"/>
      <c r="CLB640" s="1572"/>
      <c r="CLC640" s="1572"/>
      <c r="CLD640" s="1572"/>
      <c r="CLE640" s="1572" t="s">
        <v>885</v>
      </c>
      <c r="CLF640" s="1572"/>
      <c r="CLG640" s="1572"/>
      <c r="CLH640" s="1572"/>
      <c r="CLI640" s="1572"/>
      <c r="CLJ640" s="1572"/>
      <c r="CLK640" s="1572"/>
      <c r="CLL640" s="1572"/>
      <c r="CLM640" s="1572" t="s">
        <v>885</v>
      </c>
      <c r="CLN640" s="1572"/>
      <c r="CLO640" s="1572"/>
      <c r="CLP640" s="1572"/>
      <c r="CLQ640" s="1572"/>
      <c r="CLR640" s="1572"/>
      <c r="CLS640" s="1572"/>
      <c r="CLT640" s="1572"/>
      <c r="CLU640" s="1572" t="s">
        <v>885</v>
      </c>
      <c r="CLV640" s="1572"/>
      <c r="CLW640" s="1572"/>
      <c r="CLX640" s="1572"/>
      <c r="CLY640" s="1572"/>
      <c r="CLZ640" s="1572"/>
      <c r="CMA640" s="1572"/>
      <c r="CMB640" s="1572"/>
      <c r="CMC640" s="1572" t="s">
        <v>885</v>
      </c>
      <c r="CMD640" s="1572"/>
      <c r="CME640" s="1572"/>
      <c r="CMF640" s="1572"/>
      <c r="CMG640" s="1572"/>
      <c r="CMH640" s="1572"/>
      <c r="CMI640" s="1572"/>
      <c r="CMJ640" s="1572"/>
      <c r="CMK640" s="1572" t="s">
        <v>885</v>
      </c>
      <c r="CML640" s="1572"/>
      <c r="CMM640" s="1572"/>
      <c r="CMN640" s="1572"/>
      <c r="CMO640" s="1572"/>
      <c r="CMP640" s="1572"/>
      <c r="CMQ640" s="1572"/>
      <c r="CMR640" s="1572"/>
      <c r="CMS640" s="1572" t="s">
        <v>885</v>
      </c>
      <c r="CMT640" s="1572"/>
      <c r="CMU640" s="1572"/>
      <c r="CMV640" s="1572"/>
      <c r="CMW640" s="1572"/>
      <c r="CMX640" s="1572"/>
      <c r="CMY640" s="1572"/>
      <c r="CMZ640" s="1572"/>
      <c r="CNA640" s="1572" t="s">
        <v>885</v>
      </c>
      <c r="CNB640" s="1572"/>
      <c r="CNC640" s="1572"/>
      <c r="CND640" s="1572"/>
      <c r="CNE640" s="1572"/>
      <c r="CNF640" s="1572"/>
      <c r="CNG640" s="1572"/>
      <c r="CNH640" s="1572"/>
      <c r="CNI640" s="1572" t="s">
        <v>885</v>
      </c>
      <c r="CNJ640" s="1572"/>
      <c r="CNK640" s="1572"/>
      <c r="CNL640" s="1572"/>
      <c r="CNM640" s="1572"/>
      <c r="CNN640" s="1572"/>
      <c r="CNO640" s="1572"/>
      <c r="CNP640" s="1572"/>
      <c r="CNQ640" s="1572" t="s">
        <v>885</v>
      </c>
      <c r="CNR640" s="1572"/>
      <c r="CNS640" s="1572"/>
      <c r="CNT640" s="1572"/>
      <c r="CNU640" s="1572"/>
      <c r="CNV640" s="1572"/>
      <c r="CNW640" s="1572"/>
      <c r="CNX640" s="1572"/>
      <c r="CNY640" s="1572" t="s">
        <v>885</v>
      </c>
      <c r="CNZ640" s="1572"/>
      <c r="COA640" s="1572"/>
      <c r="COB640" s="1572"/>
      <c r="COC640" s="1572"/>
      <c r="COD640" s="1572"/>
      <c r="COE640" s="1572"/>
      <c r="COF640" s="1572"/>
      <c r="COG640" s="1572" t="s">
        <v>885</v>
      </c>
      <c r="COH640" s="1572"/>
      <c r="COI640" s="1572"/>
      <c r="COJ640" s="1572"/>
      <c r="COK640" s="1572"/>
      <c r="COL640" s="1572"/>
      <c r="COM640" s="1572"/>
      <c r="CON640" s="1572"/>
      <c r="COO640" s="1572" t="s">
        <v>885</v>
      </c>
      <c r="COP640" s="1572"/>
      <c r="COQ640" s="1572"/>
      <c r="COR640" s="1572"/>
      <c r="COS640" s="1572"/>
      <c r="COT640" s="1572"/>
      <c r="COU640" s="1572"/>
      <c r="COV640" s="1572"/>
      <c r="COW640" s="1572" t="s">
        <v>885</v>
      </c>
      <c r="COX640" s="1572"/>
      <c r="COY640" s="1572"/>
      <c r="COZ640" s="1572"/>
      <c r="CPA640" s="1572"/>
      <c r="CPB640" s="1572"/>
      <c r="CPC640" s="1572"/>
      <c r="CPD640" s="1572"/>
      <c r="CPE640" s="1572" t="s">
        <v>885</v>
      </c>
      <c r="CPF640" s="1572"/>
      <c r="CPG640" s="1572"/>
      <c r="CPH640" s="1572"/>
      <c r="CPI640" s="1572"/>
      <c r="CPJ640" s="1572"/>
      <c r="CPK640" s="1572"/>
      <c r="CPL640" s="1572"/>
      <c r="CPM640" s="1572" t="s">
        <v>885</v>
      </c>
      <c r="CPN640" s="1572"/>
      <c r="CPO640" s="1572"/>
      <c r="CPP640" s="1572"/>
      <c r="CPQ640" s="1572"/>
      <c r="CPR640" s="1572"/>
      <c r="CPS640" s="1572"/>
      <c r="CPT640" s="1572"/>
      <c r="CPU640" s="1572" t="s">
        <v>885</v>
      </c>
      <c r="CPV640" s="1572"/>
      <c r="CPW640" s="1572"/>
      <c r="CPX640" s="1572"/>
      <c r="CPY640" s="1572"/>
      <c r="CPZ640" s="1572"/>
      <c r="CQA640" s="1572"/>
      <c r="CQB640" s="1572"/>
      <c r="CQC640" s="1572" t="s">
        <v>885</v>
      </c>
      <c r="CQD640" s="1572"/>
      <c r="CQE640" s="1572"/>
      <c r="CQF640" s="1572"/>
      <c r="CQG640" s="1572"/>
      <c r="CQH640" s="1572"/>
      <c r="CQI640" s="1572"/>
      <c r="CQJ640" s="1572"/>
      <c r="CQK640" s="1572" t="s">
        <v>885</v>
      </c>
      <c r="CQL640" s="1572"/>
      <c r="CQM640" s="1572"/>
      <c r="CQN640" s="1572"/>
      <c r="CQO640" s="1572"/>
      <c r="CQP640" s="1572"/>
      <c r="CQQ640" s="1572"/>
      <c r="CQR640" s="1572"/>
      <c r="CQS640" s="1572" t="s">
        <v>885</v>
      </c>
      <c r="CQT640" s="1572"/>
      <c r="CQU640" s="1572"/>
      <c r="CQV640" s="1572"/>
      <c r="CQW640" s="1572"/>
      <c r="CQX640" s="1572"/>
      <c r="CQY640" s="1572"/>
      <c r="CQZ640" s="1572"/>
      <c r="CRA640" s="1572" t="s">
        <v>885</v>
      </c>
      <c r="CRB640" s="1572"/>
      <c r="CRC640" s="1572"/>
      <c r="CRD640" s="1572"/>
      <c r="CRE640" s="1572"/>
      <c r="CRF640" s="1572"/>
      <c r="CRG640" s="1572"/>
      <c r="CRH640" s="1572"/>
      <c r="CRI640" s="1572" t="s">
        <v>885</v>
      </c>
      <c r="CRJ640" s="1572"/>
      <c r="CRK640" s="1572"/>
      <c r="CRL640" s="1572"/>
      <c r="CRM640" s="1572"/>
      <c r="CRN640" s="1572"/>
      <c r="CRO640" s="1572"/>
      <c r="CRP640" s="1572"/>
      <c r="CRQ640" s="1572" t="s">
        <v>885</v>
      </c>
      <c r="CRR640" s="1572"/>
      <c r="CRS640" s="1572"/>
      <c r="CRT640" s="1572"/>
      <c r="CRU640" s="1572"/>
      <c r="CRV640" s="1572"/>
      <c r="CRW640" s="1572"/>
      <c r="CRX640" s="1572"/>
      <c r="CRY640" s="1572" t="s">
        <v>885</v>
      </c>
      <c r="CRZ640" s="1572"/>
      <c r="CSA640" s="1572"/>
      <c r="CSB640" s="1572"/>
      <c r="CSC640" s="1572"/>
      <c r="CSD640" s="1572"/>
      <c r="CSE640" s="1572"/>
      <c r="CSF640" s="1572"/>
      <c r="CSG640" s="1572" t="s">
        <v>885</v>
      </c>
      <c r="CSH640" s="1572"/>
      <c r="CSI640" s="1572"/>
      <c r="CSJ640" s="1572"/>
      <c r="CSK640" s="1572"/>
      <c r="CSL640" s="1572"/>
      <c r="CSM640" s="1572"/>
      <c r="CSN640" s="1572"/>
      <c r="CSO640" s="1572" t="s">
        <v>885</v>
      </c>
      <c r="CSP640" s="1572"/>
      <c r="CSQ640" s="1572"/>
      <c r="CSR640" s="1572"/>
      <c r="CSS640" s="1572"/>
      <c r="CST640" s="1572"/>
      <c r="CSU640" s="1572"/>
      <c r="CSV640" s="1572"/>
      <c r="CSW640" s="1572" t="s">
        <v>885</v>
      </c>
      <c r="CSX640" s="1572"/>
      <c r="CSY640" s="1572"/>
      <c r="CSZ640" s="1572"/>
      <c r="CTA640" s="1572"/>
      <c r="CTB640" s="1572"/>
      <c r="CTC640" s="1572"/>
      <c r="CTD640" s="1572"/>
      <c r="CTE640" s="1572" t="s">
        <v>885</v>
      </c>
      <c r="CTF640" s="1572"/>
      <c r="CTG640" s="1572"/>
      <c r="CTH640" s="1572"/>
      <c r="CTI640" s="1572"/>
      <c r="CTJ640" s="1572"/>
      <c r="CTK640" s="1572"/>
      <c r="CTL640" s="1572"/>
      <c r="CTM640" s="1572" t="s">
        <v>885</v>
      </c>
      <c r="CTN640" s="1572"/>
      <c r="CTO640" s="1572"/>
      <c r="CTP640" s="1572"/>
      <c r="CTQ640" s="1572"/>
      <c r="CTR640" s="1572"/>
      <c r="CTS640" s="1572"/>
      <c r="CTT640" s="1572"/>
      <c r="CTU640" s="1572" t="s">
        <v>885</v>
      </c>
      <c r="CTV640" s="1572"/>
      <c r="CTW640" s="1572"/>
      <c r="CTX640" s="1572"/>
      <c r="CTY640" s="1572"/>
      <c r="CTZ640" s="1572"/>
      <c r="CUA640" s="1572"/>
      <c r="CUB640" s="1572"/>
      <c r="CUC640" s="1572" t="s">
        <v>885</v>
      </c>
      <c r="CUD640" s="1572"/>
      <c r="CUE640" s="1572"/>
      <c r="CUF640" s="1572"/>
      <c r="CUG640" s="1572"/>
      <c r="CUH640" s="1572"/>
      <c r="CUI640" s="1572"/>
      <c r="CUJ640" s="1572"/>
      <c r="CUK640" s="1572" t="s">
        <v>885</v>
      </c>
      <c r="CUL640" s="1572"/>
      <c r="CUM640" s="1572"/>
      <c r="CUN640" s="1572"/>
      <c r="CUO640" s="1572"/>
      <c r="CUP640" s="1572"/>
      <c r="CUQ640" s="1572"/>
      <c r="CUR640" s="1572"/>
      <c r="CUS640" s="1572" t="s">
        <v>885</v>
      </c>
      <c r="CUT640" s="1572"/>
      <c r="CUU640" s="1572"/>
      <c r="CUV640" s="1572"/>
      <c r="CUW640" s="1572"/>
      <c r="CUX640" s="1572"/>
      <c r="CUY640" s="1572"/>
      <c r="CUZ640" s="1572"/>
      <c r="CVA640" s="1572" t="s">
        <v>885</v>
      </c>
      <c r="CVB640" s="1572"/>
      <c r="CVC640" s="1572"/>
      <c r="CVD640" s="1572"/>
      <c r="CVE640" s="1572"/>
      <c r="CVF640" s="1572"/>
      <c r="CVG640" s="1572"/>
      <c r="CVH640" s="1572"/>
      <c r="CVI640" s="1572" t="s">
        <v>885</v>
      </c>
      <c r="CVJ640" s="1572"/>
      <c r="CVK640" s="1572"/>
      <c r="CVL640" s="1572"/>
      <c r="CVM640" s="1572"/>
      <c r="CVN640" s="1572"/>
      <c r="CVO640" s="1572"/>
      <c r="CVP640" s="1572"/>
      <c r="CVQ640" s="1572" t="s">
        <v>885</v>
      </c>
      <c r="CVR640" s="1572"/>
      <c r="CVS640" s="1572"/>
      <c r="CVT640" s="1572"/>
      <c r="CVU640" s="1572"/>
      <c r="CVV640" s="1572"/>
      <c r="CVW640" s="1572"/>
      <c r="CVX640" s="1572"/>
      <c r="CVY640" s="1572" t="s">
        <v>885</v>
      </c>
      <c r="CVZ640" s="1572"/>
      <c r="CWA640" s="1572"/>
      <c r="CWB640" s="1572"/>
      <c r="CWC640" s="1572"/>
      <c r="CWD640" s="1572"/>
      <c r="CWE640" s="1572"/>
      <c r="CWF640" s="1572"/>
      <c r="CWG640" s="1572" t="s">
        <v>885</v>
      </c>
      <c r="CWH640" s="1572"/>
      <c r="CWI640" s="1572"/>
      <c r="CWJ640" s="1572"/>
      <c r="CWK640" s="1572"/>
      <c r="CWL640" s="1572"/>
      <c r="CWM640" s="1572"/>
      <c r="CWN640" s="1572"/>
      <c r="CWO640" s="1572" t="s">
        <v>885</v>
      </c>
      <c r="CWP640" s="1572"/>
      <c r="CWQ640" s="1572"/>
      <c r="CWR640" s="1572"/>
      <c r="CWS640" s="1572"/>
      <c r="CWT640" s="1572"/>
      <c r="CWU640" s="1572"/>
      <c r="CWV640" s="1572"/>
      <c r="CWW640" s="1572" t="s">
        <v>885</v>
      </c>
      <c r="CWX640" s="1572"/>
      <c r="CWY640" s="1572"/>
      <c r="CWZ640" s="1572"/>
      <c r="CXA640" s="1572"/>
      <c r="CXB640" s="1572"/>
      <c r="CXC640" s="1572"/>
      <c r="CXD640" s="1572"/>
      <c r="CXE640" s="1572" t="s">
        <v>885</v>
      </c>
      <c r="CXF640" s="1572"/>
      <c r="CXG640" s="1572"/>
      <c r="CXH640" s="1572"/>
      <c r="CXI640" s="1572"/>
      <c r="CXJ640" s="1572"/>
      <c r="CXK640" s="1572"/>
      <c r="CXL640" s="1572"/>
      <c r="CXM640" s="1572" t="s">
        <v>885</v>
      </c>
      <c r="CXN640" s="1572"/>
      <c r="CXO640" s="1572"/>
      <c r="CXP640" s="1572"/>
      <c r="CXQ640" s="1572"/>
      <c r="CXR640" s="1572"/>
      <c r="CXS640" s="1572"/>
      <c r="CXT640" s="1572"/>
      <c r="CXU640" s="1572" t="s">
        <v>885</v>
      </c>
      <c r="CXV640" s="1572"/>
      <c r="CXW640" s="1572"/>
      <c r="CXX640" s="1572"/>
      <c r="CXY640" s="1572"/>
      <c r="CXZ640" s="1572"/>
      <c r="CYA640" s="1572"/>
      <c r="CYB640" s="1572"/>
      <c r="CYC640" s="1572" t="s">
        <v>885</v>
      </c>
      <c r="CYD640" s="1572"/>
      <c r="CYE640" s="1572"/>
      <c r="CYF640" s="1572"/>
      <c r="CYG640" s="1572"/>
      <c r="CYH640" s="1572"/>
      <c r="CYI640" s="1572"/>
      <c r="CYJ640" s="1572"/>
      <c r="CYK640" s="1572" t="s">
        <v>885</v>
      </c>
      <c r="CYL640" s="1572"/>
      <c r="CYM640" s="1572"/>
      <c r="CYN640" s="1572"/>
      <c r="CYO640" s="1572"/>
      <c r="CYP640" s="1572"/>
      <c r="CYQ640" s="1572"/>
      <c r="CYR640" s="1572"/>
      <c r="CYS640" s="1572" t="s">
        <v>885</v>
      </c>
      <c r="CYT640" s="1572"/>
      <c r="CYU640" s="1572"/>
      <c r="CYV640" s="1572"/>
      <c r="CYW640" s="1572"/>
      <c r="CYX640" s="1572"/>
      <c r="CYY640" s="1572"/>
      <c r="CYZ640" s="1572"/>
      <c r="CZA640" s="1572" t="s">
        <v>885</v>
      </c>
      <c r="CZB640" s="1572"/>
      <c r="CZC640" s="1572"/>
      <c r="CZD640" s="1572"/>
      <c r="CZE640" s="1572"/>
      <c r="CZF640" s="1572"/>
      <c r="CZG640" s="1572"/>
      <c r="CZH640" s="1572"/>
      <c r="CZI640" s="1572" t="s">
        <v>885</v>
      </c>
      <c r="CZJ640" s="1572"/>
      <c r="CZK640" s="1572"/>
      <c r="CZL640" s="1572"/>
      <c r="CZM640" s="1572"/>
      <c r="CZN640" s="1572"/>
      <c r="CZO640" s="1572"/>
      <c r="CZP640" s="1572"/>
      <c r="CZQ640" s="1572" t="s">
        <v>885</v>
      </c>
      <c r="CZR640" s="1572"/>
      <c r="CZS640" s="1572"/>
      <c r="CZT640" s="1572"/>
      <c r="CZU640" s="1572"/>
      <c r="CZV640" s="1572"/>
      <c r="CZW640" s="1572"/>
      <c r="CZX640" s="1572"/>
      <c r="CZY640" s="1572" t="s">
        <v>885</v>
      </c>
      <c r="CZZ640" s="1572"/>
      <c r="DAA640" s="1572"/>
      <c r="DAB640" s="1572"/>
      <c r="DAC640" s="1572"/>
      <c r="DAD640" s="1572"/>
      <c r="DAE640" s="1572"/>
      <c r="DAF640" s="1572"/>
      <c r="DAG640" s="1572" t="s">
        <v>885</v>
      </c>
      <c r="DAH640" s="1572"/>
      <c r="DAI640" s="1572"/>
      <c r="DAJ640" s="1572"/>
      <c r="DAK640" s="1572"/>
      <c r="DAL640" s="1572"/>
      <c r="DAM640" s="1572"/>
      <c r="DAN640" s="1572"/>
      <c r="DAO640" s="1572" t="s">
        <v>885</v>
      </c>
      <c r="DAP640" s="1572"/>
      <c r="DAQ640" s="1572"/>
      <c r="DAR640" s="1572"/>
      <c r="DAS640" s="1572"/>
      <c r="DAT640" s="1572"/>
      <c r="DAU640" s="1572"/>
      <c r="DAV640" s="1572"/>
      <c r="DAW640" s="1572" t="s">
        <v>885</v>
      </c>
      <c r="DAX640" s="1572"/>
      <c r="DAY640" s="1572"/>
      <c r="DAZ640" s="1572"/>
      <c r="DBA640" s="1572"/>
      <c r="DBB640" s="1572"/>
      <c r="DBC640" s="1572"/>
      <c r="DBD640" s="1572"/>
      <c r="DBE640" s="1572" t="s">
        <v>885</v>
      </c>
      <c r="DBF640" s="1572"/>
      <c r="DBG640" s="1572"/>
      <c r="DBH640" s="1572"/>
      <c r="DBI640" s="1572"/>
      <c r="DBJ640" s="1572"/>
      <c r="DBK640" s="1572"/>
      <c r="DBL640" s="1572"/>
      <c r="DBM640" s="1572" t="s">
        <v>885</v>
      </c>
      <c r="DBN640" s="1572"/>
      <c r="DBO640" s="1572"/>
      <c r="DBP640" s="1572"/>
      <c r="DBQ640" s="1572"/>
      <c r="DBR640" s="1572"/>
      <c r="DBS640" s="1572"/>
      <c r="DBT640" s="1572"/>
      <c r="DBU640" s="1572" t="s">
        <v>885</v>
      </c>
      <c r="DBV640" s="1572"/>
      <c r="DBW640" s="1572"/>
      <c r="DBX640" s="1572"/>
      <c r="DBY640" s="1572"/>
      <c r="DBZ640" s="1572"/>
      <c r="DCA640" s="1572"/>
      <c r="DCB640" s="1572"/>
      <c r="DCC640" s="1572" t="s">
        <v>885</v>
      </c>
      <c r="DCD640" s="1572"/>
      <c r="DCE640" s="1572"/>
      <c r="DCF640" s="1572"/>
      <c r="DCG640" s="1572"/>
      <c r="DCH640" s="1572"/>
      <c r="DCI640" s="1572"/>
      <c r="DCJ640" s="1572"/>
      <c r="DCK640" s="1572" t="s">
        <v>885</v>
      </c>
      <c r="DCL640" s="1572"/>
      <c r="DCM640" s="1572"/>
      <c r="DCN640" s="1572"/>
      <c r="DCO640" s="1572"/>
      <c r="DCP640" s="1572"/>
      <c r="DCQ640" s="1572"/>
      <c r="DCR640" s="1572"/>
      <c r="DCS640" s="1572" t="s">
        <v>885</v>
      </c>
      <c r="DCT640" s="1572"/>
      <c r="DCU640" s="1572"/>
      <c r="DCV640" s="1572"/>
      <c r="DCW640" s="1572"/>
      <c r="DCX640" s="1572"/>
      <c r="DCY640" s="1572"/>
      <c r="DCZ640" s="1572"/>
      <c r="DDA640" s="1572" t="s">
        <v>885</v>
      </c>
      <c r="DDB640" s="1572"/>
      <c r="DDC640" s="1572"/>
      <c r="DDD640" s="1572"/>
      <c r="DDE640" s="1572"/>
      <c r="DDF640" s="1572"/>
      <c r="DDG640" s="1572"/>
      <c r="DDH640" s="1572"/>
      <c r="DDI640" s="1572" t="s">
        <v>885</v>
      </c>
      <c r="DDJ640" s="1572"/>
      <c r="DDK640" s="1572"/>
      <c r="DDL640" s="1572"/>
      <c r="DDM640" s="1572"/>
      <c r="DDN640" s="1572"/>
      <c r="DDO640" s="1572"/>
      <c r="DDP640" s="1572"/>
      <c r="DDQ640" s="1572" t="s">
        <v>885</v>
      </c>
      <c r="DDR640" s="1572"/>
      <c r="DDS640" s="1572"/>
      <c r="DDT640" s="1572"/>
      <c r="DDU640" s="1572"/>
      <c r="DDV640" s="1572"/>
      <c r="DDW640" s="1572"/>
      <c r="DDX640" s="1572"/>
      <c r="DDY640" s="1572" t="s">
        <v>885</v>
      </c>
      <c r="DDZ640" s="1572"/>
      <c r="DEA640" s="1572"/>
      <c r="DEB640" s="1572"/>
      <c r="DEC640" s="1572"/>
      <c r="DED640" s="1572"/>
      <c r="DEE640" s="1572"/>
      <c r="DEF640" s="1572"/>
      <c r="DEG640" s="1572" t="s">
        <v>885</v>
      </c>
      <c r="DEH640" s="1572"/>
      <c r="DEI640" s="1572"/>
      <c r="DEJ640" s="1572"/>
      <c r="DEK640" s="1572"/>
      <c r="DEL640" s="1572"/>
      <c r="DEM640" s="1572"/>
      <c r="DEN640" s="1572"/>
      <c r="DEO640" s="1572" t="s">
        <v>885</v>
      </c>
      <c r="DEP640" s="1572"/>
      <c r="DEQ640" s="1572"/>
      <c r="DER640" s="1572"/>
      <c r="DES640" s="1572"/>
      <c r="DET640" s="1572"/>
      <c r="DEU640" s="1572"/>
      <c r="DEV640" s="1572"/>
      <c r="DEW640" s="1572" t="s">
        <v>885</v>
      </c>
      <c r="DEX640" s="1572"/>
      <c r="DEY640" s="1572"/>
      <c r="DEZ640" s="1572"/>
      <c r="DFA640" s="1572"/>
      <c r="DFB640" s="1572"/>
      <c r="DFC640" s="1572"/>
      <c r="DFD640" s="1572"/>
      <c r="DFE640" s="1572" t="s">
        <v>885</v>
      </c>
      <c r="DFF640" s="1572"/>
      <c r="DFG640" s="1572"/>
      <c r="DFH640" s="1572"/>
      <c r="DFI640" s="1572"/>
      <c r="DFJ640" s="1572"/>
      <c r="DFK640" s="1572"/>
      <c r="DFL640" s="1572"/>
      <c r="DFM640" s="1572" t="s">
        <v>885</v>
      </c>
      <c r="DFN640" s="1572"/>
      <c r="DFO640" s="1572"/>
      <c r="DFP640" s="1572"/>
      <c r="DFQ640" s="1572"/>
      <c r="DFR640" s="1572"/>
      <c r="DFS640" s="1572"/>
      <c r="DFT640" s="1572"/>
      <c r="DFU640" s="1572" t="s">
        <v>885</v>
      </c>
      <c r="DFV640" s="1572"/>
      <c r="DFW640" s="1572"/>
      <c r="DFX640" s="1572"/>
      <c r="DFY640" s="1572"/>
      <c r="DFZ640" s="1572"/>
      <c r="DGA640" s="1572"/>
      <c r="DGB640" s="1572"/>
      <c r="DGC640" s="1572" t="s">
        <v>885</v>
      </c>
      <c r="DGD640" s="1572"/>
      <c r="DGE640" s="1572"/>
      <c r="DGF640" s="1572"/>
      <c r="DGG640" s="1572"/>
      <c r="DGH640" s="1572"/>
      <c r="DGI640" s="1572"/>
      <c r="DGJ640" s="1572"/>
      <c r="DGK640" s="1572" t="s">
        <v>885</v>
      </c>
      <c r="DGL640" s="1572"/>
      <c r="DGM640" s="1572"/>
      <c r="DGN640" s="1572"/>
      <c r="DGO640" s="1572"/>
      <c r="DGP640" s="1572"/>
      <c r="DGQ640" s="1572"/>
      <c r="DGR640" s="1572"/>
      <c r="DGS640" s="1572" t="s">
        <v>885</v>
      </c>
      <c r="DGT640" s="1572"/>
      <c r="DGU640" s="1572"/>
      <c r="DGV640" s="1572"/>
      <c r="DGW640" s="1572"/>
      <c r="DGX640" s="1572"/>
      <c r="DGY640" s="1572"/>
      <c r="DGZ640" s="1572"/>
      <c r="DHA640" s="1572" t="s">
        <v>885</v>
      </c>
      <c r="DHB640" s="1572"/>
      <c r="DHC640" s="1572"/>
      <c r="DHD640" s="1572"/>
      <c r="DHE640" s="1572"/>
      <c r="DHF640" s="1572"/>
      <c r="DHG640" s="1572"/>
      <c r="DHH640" s="1572"/>
      <c r="DHI640" s="1572" t="s">
        <v>885</v>
      </c>
      <c r="DHJ640" s="1572"/>
      <c r="DHK640" s="1572"/>
      <c r="DHL640" s="1572"/>
      <c r="DHM640" s="1572"/>
      <c r="DHN640" s="1572"/>
      <c r="DHO640" s="1572"/>
      <c r="DHP640" s="1572"/>
      <c r="DHQ640" s="1572" t="s">
        <v>885</v>
      </c>
      <c r="DHR640" s="1572"/>
      <c r="DHS640" s="1572"/>
      <c r="DHT640" s="1572"/>
      <c r="DHU640" s="1572"/>
      <c r="DHV640" s="1572"/>
      <c r="DHW640" s="1572"/>
      <c r="DHX640" s="1572"/>
      <c r="DHY640" s="1572" t="s">
        <v>885</v>
      </c>
      <c r="DHZ640" s="1572"/>
      <c r="DIA640" s="1572"/>
      <c r="DIB640" s="1572"/>
      <c r="DIC640" s="1572"/>
      <c r="DID640" s="1572"/>
      <c r="DIE640" s="1572"/>
      <c r="DIF640" s="1572"/>
      <c r="DIG640" s="1572" t="s">
        <v>885</v>
      </c>
      <c r="DIH640" s="1572"/>
      <c r="DII640" s="1572"/>
      <c r="DIJ640" s="1572"/>
      <c r="DIK640" s="1572"/>
      <c r="DIL640" s="1572"/>
      <c r="DIM640" s="1572"/>
      <c r="DIN640" s="1572"/>
      <c r="DIO640" s="1572" t="s">
        <v>885</v>
      </c>
      <c r="DIP640" s="1572"/>
      <c r="DIQ640" s="1572"/>
      <c r="DIR640" s="1572"/>
      <c r="DIS640" s="1572"/>
      <c r="DIT640" s="1572"/>
      <c r="DIU640" s="1572"/>
      <c r="DIV640" s="1572"/>
      <c r="DIW640" s="1572" t="s">
        <v>885</v>
      </c>
      <c r="DIX640" s="1572"/>
      <c r="DIY640" s="1572"/>
      <c r="DIZ640" s="1572"/>
      <c r="DJA640" s="1572"/>
      <c r="DJB640" s="1572"/>
      <c r="DJC640" s="1572"/>
      <c r="DJD640" s="1572"/>
      <c r="DJE640" s="1572" t="s">
        <v>885</v>
      </c>
      <c r="DJF640" s="1572"/>
      <c r="DJG640" s="1572"/>
      <c r="DJH640" s="1572"/>
      <c r="DJI640" s="1572"/>
      <c r="DJJ640" s="1572"/>
      <c r="DJK640" s="1572"/>
      <c r="DJL640" s="1572"/>
      <c r="DJM640" s="1572" t="s">
        <v>885</v>
      </c>
      <c r="DJN640" s="1572"/>
      <c r="DJO640" s="1572"/>
      <c r="DJP640" s="1572"/>
      <c r="DJQ640" s="1572"/>
      <c r="DJR640" s="1572"/>
      <c r="DJS640" s="1572"/>
      <c r="DJT640" s="1572"/>
      <c r="DJU640" s="1572" t="s">
        <v>885</v>
      </c>
      <c r="DJV640" s="1572"/>
      <c r="DJW640" s="1572"/>
      <c r="DJX640" s="1572"/>
      <c r="DJY640" s="1572"/>
      <c r="DJZ640" s="1572"/>
      <c r="DKA640" s="1572"/>
      <c r="DKB640" s="1572"/>
      <c r="DKC640" s="1572" t="s">
        <v>885</v>
      </c>
      <c r="DKD640" s="1572"/>
      <c r="DKE640" s="1572"/>
      <c r="DKF640" s="1572"/>
      <c r="DKG640" s="1572"/>
      <c r="DKH640" s="1572"/>
      <c r="DKI640" s="1572"/>
      <c r="DKJ640" s="1572"/>
      <c r="DKK640" s="1572" t="s">
        <v>885</v>
      </c>
      <c r="DKL640" s="1572"/>
      <c r="DKM640" s="1572"/>
      <c r="DKN640" s="1572"/>
      <c r="DKO640" s="1572"/>
      <c r="DKP640" s="1572"/>
      <c r="DKQ640" s="1572"/>
      <c r="DKR640" s="1572"/>
      <c r="DKS640" s="1572" t="s">
        <v>885</v>
      </c>
      <c r="DKT640" s="1572"/>
      <c r="DKU640" s="1572"/>
      <c r="DKV640" s="1572"/>
      <c r="DKW640" s="1572"/>
      <c r="DKX640" s="1572"/>
      <c r="DKY640" s="1572"/>
      <c r="DKZ640" s="1572"/>
      <c r="DLA640" s="1572" t="s">
        <v>885</v>
      </c>
      <c r="DLB640" s="1572"/>
      <c r="DLC640" s="1572"/>
      <c r="DLD640" s="1572"/>
      <c r="DLE640" s="1572"/>
      <c r="DLF640" s="1572"/>
      <c r="DLG640" s="1572"/>
      <c r="DLH640" s="1572"/>
      <c r="DLI640" s="1572" t="s">
        <v>885</v>
      </c>
      <c r="DLJ640" s="1572"/>
      <c r="DLK640" s="1572"/>
      <c r="DLL640" s="1572"/>
      <c r="DLM640" s="1572"/>
      <c r="DLN640" s="1572"/>
      <c r="DLO640" s="1572"/>
      <c r="DLP640" s="1572"/>
      <c r="DLQ640" s="1572" t="s">
        <v>885</v>
      </c>
      <c r="DLR640" s="1572"/>
      <c r="DLS640" s="1572"/>
      <c r="DLT640" s="1572"/>
      <c r="DLU640" s="1572"/>
      <c r="DLV640" s="1572"/>
      <c r="DLW640" s="1572"/>
      <c r="DLX640" s="1572"/>
      <c r="DLY640" s="1572" t="s">
        <v>885</v>
      </c>
      <c r="DLZ640" s="1572"/>
      <c r="DMA640" s="1572"/>
      <c r="DMB640" s="1572"/>
      <c r="DMC640" s="1572"/>
      <c r="DMD640" s="1572"/>
      <c r="DME640" s="1572"/>
      <c r="DMF640" s="1572"/>
      <c r="DMG640" s="1572" t="s">
        <v>885</v>
      </c>
      <c r="DMH640" s="1572"/>
      <c r="DMI640" s="1572"/>
      <c r="DMJ640" s="1572"/>
      <c r="DMK640" s="1572"/>
      <c r="DML640" s="1572"/>
      <c r="DMM640" s="1572"/>
      <c r="DMN640" s="1572"/>
      <c r="DMO640" s="1572" t="s">
        <v>885</v>
      </c>
      <c r="DMP640" s="1572"/>
      <c r="DMQ640" s="1572"/>
      <c r="DMR640" s="1572"/>
      <c r="DMS640" s="1572"/>
      <c r="DMT640" s="1572"/>
      <c r="DMU640" s="1572"/>
      <c r="DMV640" s="1572"/>
      <c r="DMW640" s="1572" t="s">
        <v>885</v>
      </c>
      <c r="DMX640" s="1572"/>
      <c r="DMY640" s="1572"/>
      <c r="DMZ640" s="1572"/>
      <c r="DNA640" s="1572"/>
      <c r="DNB640" s="1572"/>
      <c r="DNC640" s="1572"/>
      <c r="DND640" s="1572"/>
      <c r="DNE640" s="1572" t="s">
        <v>885</v>
      </c>
      <c r="DNF640" s="1572"/>
      <c r="DNG640" s="1572"/>
      <c r="DNH640" s="1572"/>
      <c r="DNI640" s="1572"/>
      <c r="DNJ640" s="1572"/>
      <c r="DNK640" s="1572"/>
      <c r="DNL640" s="1572"/>
      <c r="DNM640" s="1572" t="s">
        <v>885</v>
      </c>
      <c r="DNN640" s="1572"/>
      <c r="DNO640" s="1572"/>
      <c r="DNP640" s="1572"/>
      <c r="DNQ640" s="1572"/>
      <c r="DNR640" s="1572"/>
      <c r="DNS640" s="1572"/>
      <c r="DNT640" s="1572"/>
      <c r="DNU640" s="1572" t="s">
        <v>885</v>
      </c>
      <c r="DNV640" s="1572"/>
      <c r="DNW640" s="1572"/>
      <c r="DNX640" s="1572"/>
      <c r="DNY640" s="1572"/>
      <c r="DNZ640" s="1572"/>
      <c r="DOA640" s="1572"/>
      <c r="DOB640" s="1572"/>
      <c r="DOC640" s="1572" t="s">
        <v>885</v>
      </c>
      <c r="DOD640" s="1572"/>
      <c r="DOE640" s="1572"/>
      <c r="DOF640" s="1572"/>
      <c r="DOG640" s="1572"/>
      <c r="DOH640" s="1572"/>
      <c r="DOI640" s="1572"/>
      <c r="DOJ640" s="1572"/>
      <c r="DOK640" s="1572" t="s">
        <v>885</v>
      </c>
      <c r="DOL640" s="1572"/>
      <c r="DOM640" s="1572"/>
      <c r="DON640" s="1572"/>
      <c r="DOO640" s="1572"/>
      <c r="DOP640" s="1572"/>
      <c r="DOQ640" s="1572"/>
      <c r="DOR640" s="1572"/>
      <c r="DOS640" s="1572" t="s">
        <v>885</v>
      </c>
      <c r="DOT640" s="1572"/>
      <c r="DOU640" s="1572"/>
      <c r="DOV640" s="1572"/>
      <c r="DOW640" s="1572"/>
      <c r="DOX640" s="1572"/>
      <c r="DOY640" s="1572"/>
      <c r="DOZ640" s="1572"/>
      <c r="DPA640" s="1572" t="s">
        <v>885</v>
      </c>
      <c r="DPB640" s="1572"/>
      <c r="DPC640" s="1572"/>
      <c r="DPD640" s="1572"/>
      <c r="DPE640" s="1572"/>
      <c r="DPF640" s="1572"/>
      <c r="DPG640" s="1572"/>
      <c r="DPH640" s="1572"/>
      <c r="DPI640" s="1572" t="s">
        <v>885</v>
      </c>
      <c r="DPJ640" s="1572"/>
      <c r="DPK640" s="1572"/>
      <c r="DPL640" s="1572"/>
      <c r="DPM640" s="1572"/>
      <c r="DPN640" s="1572"/>
      <c r="DPO640" s="1572"/>
      <c r="DPP640" s="1572"/>
      <c r="DPQ640" s="1572" t="s">
        <v>885</v>
      </c>
      <c r="DPR640" s="1572"/>
      <c r="DPS640" s="1572"/>
      <c r="DPT640" s="1572"/>
      <c r="DPU640" s="1572"/>
      <c r="DPV640" s="1572"/>
      <c r="DPW640" s="1572"/>
      <c r="DPX640" s="1572"/>
      <c r="DPY640" s="1572" t="s">
        <v>885</v>
      </c>
      <c r="DPZ640" s="1572"/>
      <c r="DQA640" s="1572"/>
      <c r="DQB640" s="1572"/>
      <c r="DQC640" s="1572"/>
      <c r="DQD640" s="1572"/>
      <c r="DQE640" s="1572"/>
      <c r="DQF640" s="1572"/>
      <c r="DQG640" s="1572" t="s">
        <v>885</v>
      </c>
      <c r="DQH640" s="1572"/>
      <c r="DQI640" s="1572"/>
      <c r="DQJ640" s="1572"/>
      <c r="DQK640" s="1572"/>
      <c r="DQL640" s="1572"/>
      <c r="DQM640" s="1572"/>
      <c r="DQN640" s="1572"/>
      <c r="DQO640" s="1572" t="s">
        <v>885</v>
      </c>
      <c r="DQP640" s="1572"/>
      <c r="DQQ640" s="1572"/>
      <c r="DQR640" s="1572"/>
      <c r="DQS640" s="1572"/>
      <c r="DQT640" s="1572"/>
      <c r="DQU640" s="1572"/>
      <c r="DQV640" s="1572"/>
      <c r="DQW640" s="1572" t="s">
        <v>885</v>
      </c>
      <c r="DQX640" s="1572"/>
      <c r="DQY640" s="1572"/>
      <c r="DQZ640" s="1572"/>
      <c r="DRA640" s="1572"/>
      <c r="DRB640" s="1572"/>
      <c r="DRC640" s="1572"/>
      <c r="DRD640" s="1572"/>
      <c r="DRE640" s="1572" t="s">
        <v>885</v>
      </c>
      <c r="DRF640" s="1572"/>
      <c r="DRG640" s="1572"/>
      <c r="DRH640" s="1572"/>
      <c r="DRI640" s="1572"/>
      <c r="DRJ640" s="1572"/>
      <c r="DRK640" s="1572"/>
      <c r="DRL640" s="1572"/>
      <c r="DRM640" s="1572" t="s">
        <v>885</v>
      </c>
      <c r="DRN640" s="1572"/>
      <c r="DRO640" s="1572"/>
      <c r="DRP640" s="1572"/>
      <c r="DRQ640" s="1572"/>
      <c r="DRR640" s="1572"/>
      <c r="DRS640" s="1572"/>
      <c r="DRT640" s="1572"/>
      <c r="DRU640" s="1572" t="s">
        <v>885</v>
      </c>
      <c r="DRV640" s="1572"/>
      <c r="DRW640" s="1572"/>
      <c r="DRX640" s="1572"/>
      <c r="DRY640" s="1572"/>
      <c r="DRZ640" s="1572"/>
      <c r="DSA640" s="1572"/>
      <c r="DSB640" s="1572"/>
      <c r="DSC640" s="1572" t="s">
        <v>885</v>
      </c>
      <c r="DSD640" s="1572"/>
      <c r="DSE640" s="1572"/>
      <c r="DSF640" s="1572"/>
      <c r="DSG640" s="1572"/>
      <c r="DSH640" s="1572"/>
      <c r="DSI640" s="1572"/>
      <c r="DSJ640" s="1572"/>
      <c r="DSK640" s="1572" t="s">
        <v>885</v>
      </c>
      <c r="DSL640" s="1572"/>
      <c r="DSM640" s="1572"/>
      <c r="DSN640" s="1572"/>
      <c r="DSO640" s="1572"/>
      <c r="DSP640" s="1572"/>
      <c r="DSQ640" s="1572"/>
      <c r="DSR640" s="1572"/>
      <c r="DSS640" s="1572" t="s">
        <v>885</v>
      </c>
      <c r="DST640" s="1572"/>
      <c r="DSU640" s="1572"/>
      <c r="DSV640" s="1572"/>
      <c r="DSW640" s="1572"/>
      <c r="DSX640" s="1572"/>
      <c r="DSY640" s="1572"/>
      <c r="DSZ640" s="1572"/>
      <c r="DTA640" s="1572" t="s">
        <v>885</v>
      </c>
      <c r="DTB640" s="1572"/>
      <c r="DTC640" s="1572"/>
      <c r="DTD640" s="1572"/>
      <c r="DTE640" s="1572"/>
      <c r="DTF640" s="1572"/>
      <c r="DTG640" s="1572"/>
      <c r="DTH640" s="1572"/>
      <c r="DTI640" s="1572" t="s">
        <v>885</v>
      </c>
      <c r="DTJ640" s="1572"/>
      <c r="DTK640" s="1572"/>
      <c r="DTL640" s="1572"/>
      <c r="DTM640" s="1572"/>
      <c r="DTN640" s="1572"/>
      <c r="DTO640" s="1572"/>
      <c r="DTP640" s="1572"/>
      <c r="DTQ640" s="1572" t="s">
        <v>885</v>
      </c>
      <c r="DTR640" s="1572"/>
      <c r="DTS640" s="1572"/>
      <c r="DTT640" s="1572"/>
      <c r="DTU640" s="1572"/>
      <c r="DTV640" s="1572"/>
      <c r="DTW640" s="1572"/>
      <c r="DTX640" s="1572"/>
      <c r="DTY640" s="1572" t="s">
        <v>885</v>
      </c>
      <c r="DTZ640" s="1572"/>
      <c r="DUA640" s="1572"/>
      <c r="DUB640" s="1572"/>
      <c r="DUC640" s="1572"/>
      <c r="DUD640" s="1572"/>
      <c r="DUE640" s="1572"/>
      <c r="DUF640" s="1572"/>
      <c r="DUG640" s="1572" t="s">
        <v>885</v>
      </c>
      <c r="DUH640" s="1572"/>
      <c r="DUI640" s="1572"/>
      <c r="DUJ640" s="1572"/>
      <c r="DUK640" s="1572"/>
      <c r="DUL640" s="1572"/>
      <c r="DUM640" s="1572"/>
      <c r="DUN640" s="1572"/>
      <c r="DUO640" s="1572" t="s">
        <v>885</v>
      </c>
      <c r="DUP640" s="1572"/>
      <c r="DUQ640" s="1572"/>
      <c r="DUR640" s="1572"/>
      <c r="DUS640" s="1572"/>
      <c r="DUT640" s="1572"/>
      <c r="DUU640" s="1572"/>
      <c r="DUV640" s="1572"/>
      <c r="DUW640" s="1572" t="s">
        <v>885</v>
      </c>
      <c r="DUX640" s="1572"/>
      <c r="DUY640" s="1572"/>
      <c r="DUZ640" s="1572"/>
      <c r="DVA640" s="1572"/>
      <c r="DVB640" s="1572"/>
      <c r="DVC640" s="1572"/>
      <c r="DVD640" s="1572"/>
      <c r="DVE640" s="1572" t="s">
        <v>885</v>
      </c>
      <c r="DVF640" s="1572"/>
      <c r="DVG640" s="1572"/>
      <c r="DVH640" s="1572"/>
      <c r="DVI640" s="1572"/>
      <c r="DVJ640" s="1572"/>
      <c r="DVK640" s="1572"/>
      <c r="DVL640" s="1572"/>
      <c r="DVM640" s="1572" t="s">
        <v>885</v>
      </c>
      <c r="DVN640" s="1572"/>
      <c r="DVO640" s="1572"/>
      <c r="DVP640" s="1572"/>
      <c r="DVQ640" s="1572"/>
      <c r="DVR640" s="1572"/>
      <c r="DVS640" s="1572"/>
      <c r="DVT640" s="1572"/>
      <c r="DVU640" s="1572" t="s">
        <v>885</v>
      </c>
      <c r="DVV640" s="1572"/>
      <c r="DVW640" s="1572"/>
      <c r="DVX640" s="1572"/>
      <c r="DVY640" s="1572"/>
      <c r="DVZ640" s="1572"/>
      <c r="DWA640" s="1572"/>
      <c r="DWB640" s="1572"/>
      <c r="DWC640" s="1572" t="s">
        <v>885</v>
      </c>
      <c r="DWD640" s="1572"/>
      <c r="DWE640" s="1572"/>
      <c r="DWF640" s="1572"/>
      <c r="DWG640" s="1572"/>
      <c r="DWH640" s="1572"/>
      <c r="DWI640" s="1572"/>
      <c r="DWJ640" s="1572"/>
      <c r="DWK640" s="1572" t="s">
        <v>885</v>
      </c>
      <c r="DWL640" s="1572"/>
      <c r="DWM640" s="1572"/>
      <c r="DWN640" s="1572"/>
      <c r="DWO640" s="1572"/>
      <c r="DWP640" s="1572"/>
      <c r="DWQ640" s="1572"/>
      <c r="DWR640" s="1572"/>
      <c r="DWS640" s="1572" t="s">
        <v>885</v>
      </c>
      <c r="DWT640" s="1572"/>
      <c r="DWU640" s="1572"/>
      <c r="DWV640" s="1572"/>
      <c r="DWW640" s="1572"/>
      <c r="DWX640" s="1572"/>
      <c r="DWY640" s="1572"/>
      <c r="DWZ640" s="1572"/>
      <c r="DXA640" s="1572" t="s">
        <v>885</v>
      </c>
      <c r="DXB640" s="1572"/>
      <c r="DXC640" s="1572"/>
      <c r="DXD640" s="1572"/>
      <c r="DXE640" s="1572"/>
      <c r="DXF640" s="1572"/>
      <c r="DXG640" s="1572"/>
      <c r="DXH640" s="1572"/>
      <c r="DXI640" s="1572" t="s">
        <v>885</v>
      </c>
      <c r="DXJ640" s="1572"/>
      <c r="DXK640" s="1572"/>
      <c r="DXL640" s="1572"/>
      <c r="DXM640" s="1572"/>
      <c r="DXN640" s="1572"/>
      <c r="DXO640" s="1572"/>
      <c r="DXP640" s="1572"/>
      <c r="DXQ640" s="1572" t="s">
        <v>885</v>
      </c>
      <c r="DXR640" s="1572"/>
      <c r="DXS640" s="1572"/>
      <c r="DXT640" s="1572"/>
      <c r="DXU640" s="1572"/>
      <c r="DXV640" s="1572"/>
      <c r="DXW640" s="1572"/>
      <c r="DXX640" s="1572"/>
      <c r="DXY640" s="1572" t="s">
        <v>885</v>
      </c>
      <c r="DXZ640" s="1572"/>
      <c r="DYA640" s="1572"/>
      <c r="DYB640" s="1572"/>
      <c r="DYC640" s="1572"/>
      <c r="DYD640" s="1572"/>
      <c r="DYE640" s="1572"/>
      <c r="DYF640" s="1572"/>
      <c r="DYG640" s="1572" t="s">
        <v>885</v>
      </c>
      <c r="DYH640" s="1572"/>
      <c r="DYI640" s="1572"/>
      <c r="DYJ640" s="1572"/>
      <c r="DYK640" s="1572"/>
      <c r="DYL640" s="1572"/>
      <c r="DYM640" s="1572"/>
      <c r="DYN640" s="1572"/>
      <c r="DYO640" s="1572" t="s">
        <v>885</v>
      </c>
      <c r="DYP640" s="1572"/>
      <c r="DYQ640" s="1572"/>
      <c r="DYR640" s="1572"/>
      <c r="DYS640" s="1572"/>
      <c r="DYT640" s="1572"/>
      <c r="DYU640" s="1572"/>
      <c r="DYV640" s="1572"/>
      <c r="DYW640" s="1572" t="s">
        <v>885</v>
      </c>
      <c r="DYX640" s="1572"/>
      <c r="DYY640" s="1572"/>
      <c r="DYZ640" s="1572"/>
      <c r="DZA640" s="1572"/>
      <c r="DZB640" s="1572"/>
      <c r="DZC640" s="1572"/>
      <c r="DZD640" s="1572"/>
      <c r="DZE640" s="1572" t="s">
        <v>885</v>
      </c>
      <c r="DZF640" s="1572"/>
      <c r="DZG640" s="1572"/>
      <c r="DZH640" s="1572"/>
      <c r="DZI640" s="1572"/>
      <c r="DZJ640" s="1572"/>
      <c r="DZK640" s="1572"/>
      <c r="DZL640" s="1572"/>
      <c r="DZM640" s="1572" t="s">
        <v>885</v>
      </c>
      <c r="DZN640" s="1572"/>
      <c r="DZO640" s="1572"/>
      <c r="DZP640" s="1572"/>
      <c r="DZQ640" s="1572"/>
      <c r="DZR640" s="1572"/>
      <c r="DZS640" s="1572"/>
      <c r="DZT640" s="1572"/>
      <c r="DZU640" s="1572" t="s">
        <v>885</v>
      </c>
      <c r="DZV640" s="1572"/>
      <c r="DZW640" s="1572"/>
      <c r="DZX640" s="1572"/>
      <c r="DZY640" s="1572"/>
      <c r="DZZ640" s="1572"/>
      <c r="EAA640" s="1572"/>
      <c r="EAB640" s="1572"/>
      <c r="EAC640" s="1572" t="s">
        <v>885</v>
      </c>
      <c r="EAD640" s="1572"/>
      <c r="EAE640" s="1572"/>
      <c r="EAF640" s="1572"/>
      <c r="EAG640" s="1572"/>
      <c r="EAH640" s="1572"/>
      <c r="EAI640" s="1572"/>
      <c r="EAJ640" s="1572"/>
      <c r="EAK640" s="1572" t="s">
        <v>885</v>
      </c>
      <c r="EAL640" s="1572"/>
      <c r="EAM640" s="1572"/>
      <c r="EAN640" s="1572"/>
      <c r="EAO640" s="1572"/>
      <c r="EAP640" s="1572"/>
      <c r="EAQ640" s="1572"/>
      <c r="EAR640" s="1572"/>
      <c r="EAS640" s="1572" t="s">
        <v>885</v>
      </c>
      <c r="EAT640" s="1572"/>
      <c r="EAU640" s="1572"/>
      <c r="EAV640" s="1572"/>
      <c r="EAW640" s="1572"/>
      <c r="EAX640" s="1572"/>
      <c r="EAY640" s="1572"/>
      <c r="EAZ640" s="1572"/>
      <c r="EBA640" s="1572" t="s">
        <v>885</v>
      </c>
      <c r="EBB640" s="1572"/>
      <c r="EBC640" s="1572"/>
      <c r="EBD640" s="1572"/>
      <c r="EBE640" s="1572"/>
      <c r="EBF640" s="1572"/>
      <c r="EBG640" s="1572"/>
      <c r="EBH640" s="1572"/>
      <c r="EBI640" s="1572" t="s">
        <v>885</v>
      </c>
      <c r="EBJ640" s="1572"/>
      <c r="EBK640" s="1572"/>
      <c r="EBL640" s="1572"/>
      <c r="EBM640" s="1572"/>
      <c r="EBN640" s="1572"/>
      <c r="EBO640" s="1572"/>
      <c r="EBP640" s="1572"/>
      <c r="EBQ640" s="1572" t="s">
        <v>885</v>
      </c>
      <c r="EBR640" s="1572"/>
      <c r="EBS640" s="1572"/>
      <c r="EBT640" s="1572"/>
      <c r="EBU640" s="1572"/>
      <c r="EBV640" s="1572"/>
      <c r="EBW640" s="1572"/>
      <c r="EBX640" s="1572"/>
      <c r="EBY640" s="1572" t="s">
        <v>885</v>
      </c>
      <c r="EBZ640" s="1572"/>
      <c r="ECA640" s="1572"/>
      <c r="ECB640" s="1572"/>
      <c r="ECC640" s="1572"/>
      <c r="ECD640" s="1572"/>
      <c r="ECE640" s="1572"/>
      <c r="ECF640" s="1572"/>
      <c r="ECG640" s="1572" t="s">
        <v>885</v>
      </c>
      <c r="ECH640" s="1572"/>
      <c r="ECI640" s="1572"/>
      <c r="ECJ640" s="1572"/>
      <c r="ECK640" s="1572"/>
      <c r="ECL640" s="1572"/>
      <c r="ECM640" s="1572"/>
      <c r="ECN640" s="1572"/>
      <c r="ECO640" s="1572" t="s">
        <v>885</v>
      </c>
      <c r="ECP640" s="1572"/>
      <c r="ECQ640" s="1572"/>
      <c r="ECR640" s="1572"/>
      <c r="ECS640" s="1572"/>
      <c r="ECT640" s="1572"/>
      <c r="ECU640" s="1572"/>
      <c r="ECV640" s="1572"/>
      <c r="ECW640" s="1572" t="s">
        <v>885</v>
      </c>
      <c r="ECX640" s="1572"/>
      <c r="ECY640" s="1572"/>
      <c r="ECZ640" s="1572"/>
      <c r="EDA640" s="1572"/>
      <c r="EDB640" s="1572"/>
      <c r="EDC640" s="1572"/>
      <c r="EDD640" s="1572"/>
      <c r="EDE640" s="1572" t="s">
        <v>885</v>
      </c>
      <c r="EDF640" s="1572"/>
      <c r="EDG640" s="1572"/>
      <c r="EDH640" s="1572"/>
      <c r="EDI640" s="1572"/>
      <c r="EDJ640" s="1572"/>
      <c r="EDK640" s="1572"/>
      <c r="EDL640" s="1572"/>
      <c r="EDM640" s="1572" t="s">
        <v>885</v>
      </c>
      <c r="EDN640" s="1572"/>
      <c r="EDO640" s="1572"/>
      <c r="EDP640" s="1572"/>
      <c r="EDQ640" s="1572"/>
      <c r="EDR640" s="1572"/>
      <c r="EDS640" s="1572"/>
      <c r="EDT640" s="1572"/>
      <c r="EDU640" s="1572" t="s">
        <v>885</v>
      </c>
      <c r="EDV640" s="1572"/>
      <c r="EDW640" s="1572"/>
      <c r="EDX640" s="1572"/>
      <c r="EDY640" s="1572"/>
      <c r="EDZ640" s="1572"/>
      <c r="EEA640" s="1572"/>
      <c r="EEB640" s="1572"/>
      <c r="EEC640" s="1572" t="s">
        <v>885</v>
      </c>
      <c r="EED640" s="1572"/>
      <c r="EEE640" s="1572"/>
      <c r="EEF640" s="1572"/>
      <c r="EEG640" s="1572"/>
      <c r="EEH640" s="1572"/>
      <c r="EEI640" s="1572"/>
      <c r="EEJ640" s="1572"/>
      <c r="EEK640" s="1572" t="s">
        <v>885</v>
      </c>
      <c r="EEL640" s="1572"/>
      <c r="EEM640" s="1572"/>
      <c r="EEN640" s="1572"/>
      <c r="EEO640" s="1572"/>
      <c r="EEP640" s="1572"/>
      <c r="EEQ640" s="1572"/>
      <c r="EER640" s="1572"/>
      <c r="EES640" s="1572" t="s">
        <v>885</v>
      </c>
      <c r="EET640" s="1572"/>
      <c r="EEU640" s="1572"/>
      <c r="EEV640" s="1572"/>
      <c r="EEW640" s="1572"/>
      <c r="EEX640" s="1572"/>
      <c r="EEY640" s="1572"/>
      <c r="EEZ640" s="1572"/>
      <c r="EFA640" s="1572" t="s">
        <v>885</v>
      </c>
      <c r="EFB640" s="1572"/>
      <c r="EFC640" s="1572"/>
      <c r="EFD640" s="1572"/>
      <c r="EFE640" s="1572"/>
      <c r="EFF640" s="1572"/>
      <c r="EFG640" s="1572"/>
      <c r="EFH640" s="1572"/>
      <c r="EFI640" s="1572" t="s">
        <v>885</v>
      </c>
      <c r="EFJ640" s="1572"/>
      <c r="EFK640" s="1572"/>
      <c r="EFL640" s="1572"/>
      <c r="EFM640" s="1572"/>
      <c r="EFN640" s="1572"/>
      <c r="EFO640" s="1572"/>
      <c r="EFP640" s="1572"/>
      <c r="EFQ640" s="1572" t="s">
        <v>885</v>
      </c>
      <c r="EFR640" s="1572"/>
      <c r="EFS640" s="1572"/>
      <c r="EFT640" s="1572"/>
      <c r="EFU640" s="1572"/>
      <c r="EFV640" s="1572"/>
      <c r="EFW640" s="1572"/>
      <c r="EFX640" s="1572"/>
      <c r="EFY640" s="1572" t="s">
        <v>885</v>
      </c>
      <c r="EFZ640" s="1572"/>
      <c r="EGA640" s="1572"/>
      <c r="EGB640" s="1572"/>
      <c r="EGC640" s="1572"/>
      <c r="EGD640" s="1572"/>
      <c r="EGE640" s="1572"/>
      <c r="EGF640" s="1572"/>
      <c r="EGG640" s="1572" t="s">
        <v>885</v>
      </c>
      <c r="EGH640" s="1572"/>
      <c r="EGI640" s="1572"/>
      <c r="EGJ640" s="1572"/>
      <c r="EGK640" s="1572"/>
      <c r="EGL640" s="1572"/>
      <c r="EGM640" s="1572"/>
      <c r="EGN640" s="1572"/>
      <c r="EGO640" s="1572" t="s">
        <v>885</v>
      </c>
      <c r="EGP640" s="1572"/>
      <c r="EGQ640" s="1572"/>
      <c r="EGR640" s="1572"/>
      <c r="EGS640" s="1572"/>
      <c r="EGT640" s="1572"/>
      <c r="EGU640" s="1572"/>
      <c r="EGV640" s="1572"/>
      <c r="EGW640" s="1572" t="s">
        <v>885</v>
      </c>
      <c r="EGX640" s="1572"/>
      <c r="EGY640" s="1572"/>
      <c r="EGZ640" s="1572"/>
      <c r="EHA640" s="1572"/>
      <c r="EHB640" s="1572"/>
      <c r="EHC640" s="1572"/>
      <c r="EHD640" s="1572"/>
      <c r="EHE640" s="1572" t="s">
        <v>885</v>
      </c>
      <c r="EHF640" s="1572"/>
      <c r="EHG640" s="1572"/>
      <c r="EHH640" s="1572"/>
      <c r="EHI640" s="1572"/>
      <c r="EHJ640" s="1572"/>
      <c r="EHK640" s="1572"/>
      <c r="EHL640" s="1572"/>
      <c r="EHM640" s="1572" t="s">
        <v>885</v>
      </c>
      <c r="EHN640" s="1572"/>
      <c r="EHO640" s="1572"/>
      <c r="EHP640" s="1572"/>
      <c r="EHQ640" s="1572"/>
      <c r="EHR640" s="1572"/>
      <c r="EHS640" s="1572"/>
      <c r="EHT640" s="1572"/>
      <c r="EHU640" s="1572" t="s">
        <v>885</v>
      </c>
      <c r="EHV640" s="1572"/>
      <c r="EHW640" s="1572"/>
      <c r="EHX640" s="1572"/>
      <c r="EHY640" s="1572"/>
      <c r="EHZ640" s="1572"/>
      <c r="EIA640" s="1572"/>
      <c r="EIB640" s="1572"/>
      <c r="EIC640" s="1572" t="s">
        <v>885</v>
      </c>
      <c r="EID640" s="1572"/>
      <c r="EIE640" s="1572"/>
      <c r="EIF640" s="1572"/>
      <c r="EIG640" s="1572"/>
      <c r="EIH640" s="1572"/>
      <c r="EII640" s="1572"/>
      <c r="EIJ640" s="1572"/>
      <c r="EIK640" s="1572" t="s">
        <v>885</v>
      </c>
      <c r="EIL640" s="1572"/>
      <c r="EIM640" s="1572"/>
      <c r="EIN640" s="1572"/>
      <c r="EIO640" s="1572"/>
      <c r="EIP640" s="1572"/>
      <c r="EIQ640" s="1572"/>
      <c r="EIR640" s="1572"/>
      <c r="EIS640" s="1572" t="s">
        <v>885</v>
      </c>
      <c r="EIT640" s="1572"/>
      <c r="EIU640" s="1572"/>
      <c r="EIV640" s="1572"/>
      <c r="EIW640" s="1572"/>
      <c r="EIX640" s="1572"/>
      <c r="EIY640" s="1572"/>
      <c r="EIZ640" s="1572"/>
      <c r="EJA640" s="1572" t="s">
        <v>885</v>
      </c>
      <c r="EJB640" s="1572"/>
      <c r="EJC640" s="1572"/>
      <c r="EJD640" s="1572"/>
      <c r="EJE640" s="1572"/>
      <c r="EJF640" s="1572"/>
      <c r="EJG640" s="1572"/>
      <c r="EJH640" s="1572"/>
      <c r="EJI640" s="1572" t="s">
        <v>885</v>
      </c>
      <c r="EJJ640" s="1572"/>
      <c r="EJK640" s="1572"/>
      <c r="EJL640" s="1572"/>
      <c r="EJM640" s="1572"/>
      <c r="EJN640" s="1572"/>
      <c r="EJO640" s="1572"/>
      <c r="EJP640" s="1572"/>
      <c r="EJQ640" s="1572" t="s">
        <v>885</v>
      </c>
      <c r="EJR640" s="1572"/>
      <c r="EJS640" s="1572"/>
      <c r="EJT640" s="1572"/>
      <c r="EJU640" s="1572"/>
      <c r="EJV640" s="1572"/>
      <c r="EJW640" s="1572"/>
      <c r="EJX640" s="1572"/>
      <c r="EJY640" s="1572" t="s">
        <v>885</v>
      </c>
      <c r="EJZ640" s="1572"/>
      <c r="EKA640" s="1572"/>
      <c r="EKB640" s="1572"/>
      <c r="EKC640" s="1572"/>
      <c r="EKD640" s="1572"/>
      <c r="EKE640" s="1572"/>
      <c r="EKF640" s="1572"/>
      <c r="EKG640" s="1572" t="s">
        <v>885</v>
      </c>
      <c r="EKH640" s="1572"/>
      <c r="EKI640" s="1572"/>
      <c r="EKJ640" s="1572"/>
      <c r="EKK640" s="1572"/>
      <c r="EKL640" s="1572"/>
      <c r="EKM640" s="1572"/>
      <c r="EKN640" s="1572"/>
      <c r="EKO640" s="1572" t="s">
        <v>885</v>
      </c>
      <c r="EKP640" s="1572"/>
      <c r="EKQ640" s="1572"/>
      <c r="EKR640" s="1572"/>
      <c r="EKS640" s="1572"/>
      <c r="EKT640" s="1572"/>
      <c r="EKU640" s="1572"/>
      <c r="EKV640" s="1572"/>
      <c r="EKW640" s="1572" t="s">
        <v>885</v>
      </c>
      <c r="EKX640" s="1572"/>
      <c r="EKY640" s="1572"/>
      <c r="EKZ640" s="1572"/>
      <c r="ELA640" s="1572"/>
      <c r="ELB640" s="1572"/>
      <c r="ELC640" s="1572"/>
      <c r="ELD640" s="1572"/>
      <c r="ELE640" s="1572" t="s">
        <v>885</v>
      </c>
      <c r="ELF640" s="1572"/>
      <c r="ELG640" s="1572"/>
      <c r="ELH640" s="1572"/>
      <c r="ELI640" s="1572"/>
      <c r="ELJ640" s="1572"/>
      <c r="ELK640" s="1572"/>
      <c r="ELL640" s="1572"/>
      <c r="ELM640" s="1572" t="s">
        <v>885</v>
      </c>
      <c r="ELN640" s="1572"/>
      <c r="ELO640" s="1572"/>
      <c r="ELP640" s="1572"/>
      <c r="ELQ640" s="1572"/>
      <c r="ELR640" s="1572"/>
      <c r="ELS640" s="1572"/>
      <c r="ELT640" s="1572"/>
      <c r="ELU640" s="1572" t="s">
        <v>885</v>
      </c>
      <c r="ELV640" s="1572"/>
      <c r="ELW640" s="1572"/>
      <c r="ELX640" s="1572"/>
      <c r="ELY640" s="1572"/>
      <c r="ELZ640" s="1572"/>
      <c r="EMA640" s="1572"/>
      <c r="EMB640" s="1572"/>
      <c r="EMC640" s="1572" t="s">
        <v>885</v>
      </c>
      <c r="EMD640" s="1572"/>
      <c r="EME640" s="1572"/>
      <c r="EMF640" s="1572"/>
      <c r="EMG640" s="1572"/>
      <c r="EMH640" s="1572"/>
      <c r="EMI640" s="1572"/>
      <c r="EMJ640" s="1572"/>
      <c r="EMK640" s="1572" t="s">
        <v>885</v>
      </c>
      <c r="EML640" s="1572"/>
      <c r="EMM640" s="1572"/>
      <c r="EMN640" s="1572"/>
      <c r="EMO640" s="1572"/>
      <c r="EMP640" s="1572"/>
      <c r="EMQ640" s="1572"/>
      <c r="EMR640" s="1572"/>
      <c r="EMS640" s="1572" t="s">
        <v>885</v>
      </c>
      <c r="EMT640" s="1572"/>
      <c r="EMU640" s="1572"/>
      <c r="EMV640" s="1572"/>
      <c r="EMW640" s="1572"/>
      <c r="EMX640" s="1572"/>
      <c r="EMY640" s="1572"/>
      <c r="EMZ640" s="1572"/>
      <c r="ENA640" s="1572" t="s">
        <v>885</v>
      </c>
      <c r="ENB640" s="1572"/>
      <c r="ENC640" s="1572"/>
      <c r="END640" s="1572"/>
      <c r="ENE640" s="1572"/>
      <c r="ENF640" s="1572"/>
      <c r="ENG640" s="1572"/>
      <c r="ENH640" s="1572"/>
      <c r="ENI640" s="1572" t="s">
        <v>885</v>
      </c>
      <c r="ENJ640" s="1572"/>
      <c r="ENK640" s="1572"/>
      <c r="ENL640" s="1572"/>
      <c r="ENM640" s="1572"/>
      <c r="ENN640" s="1572"/>
      <c r="ENO640" s="1572"/>
      <c r="ENP640" s="1572"/>
      <c r="ENQ640" s="1572" t="s">
        <v>885</v>
      </c>
      <c r="ENR640" s="1572"/>
      <c r="ENS640" s="1572"/>
      <c r="ENT640" s="1572"/>
      <c r="ENU640" s="1572"/>
      <c r="ENV640" s="1572"/>
      <c r="ENW640" s="1572"/>
      <c r="ENX640" s="1572"/>
      <c r="ENY640" s="1572" t="s">
        <v>885</v>
      </c>
      <c r="ENZ640" s="1572"/>
      <c r="EOA640" s="1572"/>
      <c r="EOB640" s="1572"/>
      <c r="EOC640" s="1572"/>
      <c r="EOD640" s="1572"/>
      <c r="EOE640" s="1572"/>
      <c r="EOF640" s="1572"/>
      <c r="EOG640" s="1572" t="s">
        <v>885</v>
      </c>
      <c r="EOH640" s="1572"/>
      <c r="EOI640" s="1572"/>
      <c r="EOJ640" s="1572"/>
      <c r="EOK640" s="1572"/>
      <c r="EOL640" s="1572"/>
      <c r="EOM640" s="1572"/>
      <c r="EON640" s="1572"/>
      <c r="EOO640" s="1572" t="s">
        <v>885</v>
      </c>
      <c r="EOP640" s="1572"/>
      <c r="EOQ640" s="1572"/>
      <c r="EOR640" s="1572"/>
      <c r="EOS640" s="1572"/>
      <c r="EOT640" s="1572"/>
      <c r="EOU640" s="1572"/>
      <c r="EOV640" s="1572"/>
      <c r="EOW640" s="1572" t="s">
        <v>885</v>
      </c>
      <c r="EOX640" s="1572"/>
      <c r="EOY640" s="1572"/>
      <c r="EOZ640" s="1572"/>
      <c r="EPA640" s="1572"/>
      <c r="EPB640" s="1572"/>
      <c r="EPC640" s="1572"/>
      <c r="EPD640" s="1572"/>
      <c r="EPE640" s="1572" t="s">
        <v>885</v>
      </c>
      <c r="EPF640" s="1572"/>
      <c r="EPG640" s="1572"/>
      <c r="EPH640" s="1572"/>
      <c r="EPI640" s="1572"/>
      <c r="EPJ640" s="1572"/>
      <c r="EPK640" s="1572"/>
      <c r="EPL640" s="1572"/>
      <c r="EPM640" s="1572" t="s">
        <v>885</v>
      </c>
      <c r="EPN640" s="1572"/>
      <c r="EPO640" s="1572"/>
      <c r="EPP640" s="1572"/>
      <c r="EPQ640" s="1572"/>
      <c r="EPR640" s="1572"/>
      <c r="EPS640" s="1572"/>
      <c r="EPT640" s="1572"/>
      <c r="EPU640" s="1572" t="s">
        <v>885</v>
      </c>
      <c r="EPV640" s="1572"/>
      <c r="EPW640" s="1572"/>
      <c r="EPX640" s="1572"/>
      <c r="EPY640" s="1572"/>
      <c r="EPZ640" s="1572"/>
      <c r="EQA640" s="1572"/>
      <c r="EQB640" s="1572"/>
      <c r="EQC640" s="1572" t="s">
        <v>885</v>
      </c>
      <c r="EQD640" s="1572"/>
      <c r="EQE640" s="1572"/>
      <c r="EQF640" s="1572"/>
      <c r="EQG640" s="1572"/>
      <c r="EQH640" s="1572"/>
      <c r="EQI640" s="1572"/>
      <c r="EQJ640" s="1572"/>
      <c r="EQK640" s="1572" t="s">
        <v>885</v>
      </c>
      <c r="EQL640" s="1572"/>
      <c r="EQM640" s="1572"/>
      <c r="EQN640" s="1572"/>
      <c r="EQO640" s="1572"/>
      <c r="EQP640" s="1572"/>
      <c r="EQQ640" s="1572"/>
      <c r="EQR640" s="1572"/>
      <c r="EQS640" s="1572" t="s">
        <v>885</v>
      </c>
      <c r="EQT640" s="1572"/>
      <c r="EQU640" s="1572"/>
      <c r="EQV640" s="1572"/>
      <c r="EQW640" s="1572"/>
      <c r="EQX640" s="1572"/>
      <c r="EQY640" s="1572"/>
      <c r="EQZ640" s="1572"/>
      <c r="ERA640" s="1572" t="s">
        <v>885</v>
      </c>
      <c r="ERB640" s="1572"/>
      <c r="ERC640" s="1572"/>
      <c r="ERD640" s="1572"/>
      <c r="ERE640" s="1572"/>
      <c r="ERF640" s="1572"/>
      <c r="ERG640" s="1572"/>
      <c r="ERH640" s="1572"/>
      <c r="ERI640" s="1572" t="s">
        <v>885</v>
      </c>
      <c r="ERJ640" s="1572"/>
      <c r="ERK640" s="1572"/>
      <c r="ERL640" s="1572"/>
      <c r="ERM640" s="1572"/>
      <c r="ERN640" s="1572"/>
      <c r="ERO640" s="1572"/>
      <c r="ERP640" s="1572"/>
      <c r="ERQ640" s="1572" t="s">
        <v>885</v>
      </c>
      <c r="ERR640" s="1572"/>
      <c r="ERS640" s="1572"/>
      <c r="ERT640" s="1572"/>
      <c r="ERU640" s="1572"/>
      <c r="ERV640" s="1572"/>
      <c r="ERW640" s="1572"/>
      <c r="ERX640" s="1572"/>
      <c r="ERY640" s="1572" t="s">
        <v>885</v>
      </c>
      <c r="ERZ640" s="1572"/>
      <c r="ESA640" s="1572"/>
      <c r="ESB640" s="1572"/>
      <c r="ESC640" s="1572"/>
      <c r="ESD640" s="1572"/>
      <c r="ESE640" s="1572"/>
      <c r="ESF640" s="1572"/>
      <c r="ESG640" s="1572" t="s">
        <v>885</v>
      </c>
      <c r="ESH640" s="1572"/>
      <c r="ESI640" s="1572"/>
      <c r="ESJ640" s="1572"/>
      <c r="ESK640" s="1572"/>
      <c r="ESL640" s="1572"/>
      <c r="ESM640" s="1572"/>
      <c r="ESN640" s="1572"/>
      <c r="ESO640" s="1572" t="s">
        <v>885</v>
      </c>
      <c r="ESP640" s="1572"/>
      <c r="ESQ640" s="1572"/>
      <c r="ESR640" s="1572"/>
      <c r="ESS640" s="1572"/>
      <c r="EST640" s="1572"/>
      <c r="ESU640" s="1572"/>
      <c r="ESV640" s="1572"/>
      <c r="ESW640" s="1572" t="s">
        <v>885</v>
      </c>
      <c r="ESX640" s="1572"/>
      <c r="ESY640" s="1572"/>
      <c r="ESZ640" s="1572"/>
      <c r="ETA640" s="1572"/>
      <c r="ETB640" s="1572"/>
      <c r="ETC640" s="1572"/>
      <c r="ETD640" s="1572"/>
      <c r="ETE640" s="1572" t="s">
        <v>885</v>
      </c>
      <c r="ETF640" s="1572"/>
      <c r="ETG640" s="1572"/>
      <c r="ETH640" s="1572"/>
      <c r="ETI640" s="1572"/>
      <c r="ETJ640" s="1572"/>
      <c r="ETK640" s="1572"/>
      <c r="ETL640" s="1572"/>
      <c r="ETM640" s="1572" t="s">
        <v>885</v>
      </c>
      <c r="ETN640" s="1572"/>
      <c r="ETO640" s="1572"/>
      <c r="ETP640" s="1572"/>
      <c r="ETQ640" s="1572"/>
      <c r="ETR640" s="1572"/>
      <c r="ETS640" s="1572"/>
      <c r="ETT640" s="1572"/>
      <c r="ETU640" s="1572" t="s">
        <v>885</v>
      </c>
      <c r="ETV640" s="1572"/>
      <c r="ETW640" s="1572"/>
      <c r="ETX640" s="1572"/>
      <c r="ETY640" s="1572"/>
      <c r="ETZ640" s="1572"/>
      <c r="EUA640" s="1572"/>
      <c r="EUB640" s="1572"/>
      <c r="EUC640" s="1572" t="s">
        <v>885</v>
      </c>
      <c r="EUD640" s="1572"/>
      <c r="EUE640" s="1572"/>
      <c r="EUF640" s="1572"/>
      <c r="EUG640" s="1572"/>
      <c r="EUH640" s="1572"/>
      <c r="EUI640" s="1572"/>
      <c r="EUJ640" s="1572"/>
      <c r="EUK640" s="1572" t="s">
        <v>885</v>
      </c>
      <c r="EUL640" s="1572"/>
      <c r="EUM640" s="1572"/>
      <c r="EUN640" s="1572"/>
      <c r="EUO640" s="1572"/>
      <c r="EUP640" s="1572"/>
      <c r="EUQ640" s="1572"/>
      <c r="EUR640" s="1572"/>
      <c r="EUS640" s="1572" t="s">
        <v>885</v>
      </c>
      <c r="EUT640" s="1572"/>
      <c r="EUU640" s="1572"/>
      <c r="EUV640" s="1572"/>
      <c r="EUW640" s="1572"/>
      <c r="EUX640" s="1572"/>
      <c r="EUY640" s="1572"/>
      <c r="EUZ640" s="1572"/>
      <c r="EVA640" s="1572" t="s">
        <v>885</v>
      </c>
      <c r="EVB640" s="1572"/>
      <c r="EVC640" s="1572"/>
      <c r="EVD640" s="1572"/>
      <c r="EVE640" s="1572"/>
      <c r="EVF640" s="1572"/>
      <c r="EVG640" s="1572"/>
      <c r="EVH640" s="1572"/>
      <c r="EVI640" s="1572" t="s">
        <v>885</v>
      </c>
      <c r="EVJ640" s="1572"/>
      <c r="EVK640" s="1572"/>
      <c r="EVL640" s="1572"/>
      <c r="EVM640" s="1572"/>
      <c r="EVN640" s="1572"/>
      <c r="EVO640" s="1572"/>
      <c r="EVP640" s="1572"/>
      <c r="EVQ640" s="1572" t="s">
        <v>885</v>
      </c>
      <c r="EVR640" s="1572"/>
      <c r="EVS640" s="1572"/>
      <c r="EVT640" s="1572"/>
      <c r="EVU640" s="1572"/>
      <c r="EVV640" s="1572"/>
      <c r="EVW640" s="1572"/>
      <c r="EVX640" s="1572"/>
      <c r="EVY640" s="1572" t="s">
        <v>885</v>
      </c>
      <c r="EVZ640" s="1572"/>
      <c r="EWA640" s="1572"/>
      <c r="EWB640" s="1572"/>
      <c r="EWC640" s="1572"/>
      <c r="EWD640" s="1572"/>
      <c r="EWE640" s="1572"/>
      <c r="EWF640" s="1572"/>
      <c r="EWG640" s="1572" t="s">
        <v>885</v>
      </c>
      <c r="EWH640" s="1572"/>
      <c r="EWI640" s="1572"/>
      <c r="EWJ640" s="1572"/>
      <c r="EWK640" s="1572"/>
      <c r="EWL640" s="1572"/>
      <c r="EWM640" s="1572"/>
      <c r="EWN640" s="1572"/>
      <c r="EWO640" s="1572" t="s">
        <v>885</v>
      </c>
      <c r="EWP640" s="1572"/>
      <c r="EWQ640" s="1572"/>
      <c r="EWR640" s="1572"/>
      <c r="EWS640" s="1572"/>
      <c r="EWT640" s="1572"/>
      <c r="EWU640" s="1572"/>
      <c r="EWV640" s="1572"/>
      <c r="EWW640" s="1572" t="s">
        <v>885</v>
      </c>
      <c r="EWX640" s="1572"/>
      <c r="EWY640" s="1572"/>
      <c r="EWZ640" s="1572"/>
      <c r="EXA640" s="1572"/>
      <c r="EXB640" s="1572"/>
      <c r="EXC640" s="1572"/>
      <c r="EXD640" s="1572"/>
      <c r="EXE640" s="1572" t="s">
        <v>885</v>
      </c>
      <c r="EXF640" s="1572"/>
      <c r="EXG640" s="1572"/>
      <c r="EXH640" s="1572"/>
      <c r="EXI640" s="1572"/>
      <c r="EXJ640" s="1572"/>
      <c r="EXK640" s="1572"/>
      <c r="EXL640" s="1572"/>
      <c r="EXM640" s="1572" t="s">
        <v>885</v>
      </c>
      <c r="EXN640" s="1572"/>
      <c r="EXO640" s="1572"/>
      <c r="EXP640" s="1572"/>
      <c r="EXQ640" s="1572"/>
      <c r="EXR640" s="1572"/>
      <c r="EXS640" s="1572"/>
      <c r="EXT640" s="1572"/>
      <c r="EXU640" s="1572" t="s">
        <v>885</v>
      </c>
      <c r="EXV640" s="1572"/>
      <c r="EXW640" s="1572"/>
      <c r="EXX640" s="1572"/>
      <c r="EXY640" s="1572"/>
      <c r="EXZ640" s="1572"/>
      <c r="EYA640" s="1572"/>
      <c r="EYB640" s="1572"/>
      <c r="EYC640" s="1572" t="s">
        <v>885</v>
      </c>
      <c r="EYD640" s="1572"/>
      <c r="EYE640" s="1572"/>
      <c r="EYF640" s="1572"/>
      <c r="EYG640" s="1572"/>
      <c r="EYH640" s="1572"/>
      <c r="EYI640" s="1572"/>
      <c r="EYJ640" s="1572"/>
      <c r="EYK640" s="1572" t="s">
        <v>885</v>
      </c>
      <c r="EYL640" s="1572"/>
      <c r="EYM640" s="1572"/>
      <c r="EYN640" s="1572"/>
      <c r="EYO640" s="1572"/>
      <c r="EYP640" s="1572"/>
      <c r="EYQ640" s="1572"/>
      <c r="EYR640" s="1572"/>
      <c r="EYS640" s="1572" t="s">
        <v>885</v>
      </c>
      <c r="EYT640" s="1572"/>
      <c r="EYU640" s="1572"/>
      <c r="EYV640" s="1572"/>
      <c r="EYW640" s="1572"/>
      <c r="EYX640" s="1572"/>
      <c r="EYY640" s="1572"/>
      <c r="EYZ640" s="1572"/>
      <c r="EZA640" s="1572" t="s">
        <v>885</v>
      </c>
      <c r="EZB640" s="1572"/>
      <c r="EZC640" s="1572"/>
      <c r="EZD640" s="1572"/>
      <c r="EZE640" s="1572"/>
      <c r="EZF640" s="1572"/>
      <c r="EZG640" s="1572"/>
      <c r="EZH640" s="1572"/>
      <c r="EZI640" s="1572" t="s">
        <v>885</v>
      </c>
      <c r="EZJ640" s="1572"/>
      <c r="EZK640" s="1572"/>
      <c r="EZL640" s="1572"/>
      <c r="EZM640" s="1572"/>
      <c r="EZN640" s="1572"/>
      <c r="EZO640" s="1572"/>
      <c r="EZP640" s="1572"/>
      <c r="EZQ640" s="1572" t="s">
        <v>885</v>
      </c>
      <c r="EZR640" s="1572"/>
      <c r="EZS640" s="1572"/>
      <c r="EZT640" s="1572"/>
      <c r="EZU640" s="1572"/>
      <c r="EZV640" s="1572"/>
      <c r="EZW640" s="1572"/>
      <c r="EZX640" s="1572"/>
      <c r="EZY640" s="1572" t="s">
        <v>885</v>
      </c>
      <c r="EZZ640" s="1572"/>
      <c r="FAA640" s="1572"/>
      <c r="FAB640" s="1572"/>
      <c r="FAC640" s="1572"/>
      <c r="FAD640" s="1572"/>
      <c r="FAE640" s="1572"/>
      <c r="FAF640" s="1572"/>
      <c r="FAG640" s="1572" t="s">
        <v>885</v>
      </c>
      <c r="FAH640" s="1572"/>
      <c r="FAI640" s="1572"/>
      <c r="FAJ640" s="1572"/>
      <c r="FAK640" s="1572"/>
      <c r="FAL640" s="1572"/>
      <c r="FAM640" s="1572"/>
      <c r="FAN640" s="1572"/>
      <c r="FAO640" s="1572" t="s">
        <v>885</v>
      </c>
      <c r="FAP640" s="1572"/>
      <c r="FAQ640" s="1572"/>
      <c r="FAR640" s="1572"/>
      <c r="FAS640" s="1572"/>
      <c r="FAT640" s="1572"/>
      <c r="FAU640" s="1572"/>
      <c r="FAV640" s="1572"/>
      <c r="FAW640" s="1572" t="s">
        <v>885</v>
      </c>
      <c r="FAX640" s="1572"/>
      <c r="FAY640" s="1572"/>
      <c r="FAZ640" s="1572"/>
      <c r="FBA640" s="1572"/>
      <c r="FBB640" s="1572"/>
      <c r="FBC640" s="1572"/>
      <c r="FBD640" s="1572"/>
      <c r="FBE640" s="1572" t="s">
        <v>885</v>
      </c>
      <c r="FBF640" s="1572"/>
      <c r="FBG640" s="1572"/>
      <c r="FBH640" s="1572"/>
      <c r="FBI640" s="1572"/>
      <c r="FBJ640" s="1572"/>
      <c r="FBK640" s="1572"/>
      <c r="FBL640" s="1572"/>
      <c r="FBM640" s="1572" t="s">
        <v>885</v>
      </c>
      <c r="FBN640" s="1572"/>
      <c r="FBO640" s="1572"/>
      <c r="FBP640" s="1572"/>
      <c r="FBQ640" s="1572"/>
      <c r="FBR640" s="1572"/>
      <c r="FBS640" s="1572"/>
      <c r="FBT640" s="1572"/>
      <c r="FBU640" s="1572" t="s">
        <v>885</v>
      </c>
      <c r="FBV640" s="1572"/>
      <c r="FBW640" s="1572"/>
      <c r="FBX640" s="1572"/>
      <c r="FBY640" s="1572"/>
      <c r="FBZ640" s="1572"/>
      <c r="FCA640" s="1572"/>
      <c r="FCB640" s="1572"/>
      <c r="FCC640" s="1572" t="s">
        <v>885</v>
      </c>
      <c r="FCD640" s="1572"/>
      <c r="FCE640" s="1572"/>
      <c r="FCF640" s="1572"/>
      <c r="FCG640" s="1572"/>
      <c r="FCH640" s="1572"/>
      <c r="FCI640" s="1572"/>
      <c r="FCJ640" s="1572"/>
      <c r="FCK640" s="1572" t="s">
        <v>885</v>
      </c>
      <c r="FCL640" s="1572"/>
      <c r="FCM640" s="1572"/>
      <c r="FCN640" s="1572"/>
      <c r="FCO640" s="1572"/>
      <c r="FCP640" s="1572"/>
      <c r="FCQ640" s="1572"/>
      <c r="FCR640" s="1572"/>
      <c r="FCS640" s="1572" t="s">
        <v>885</v>
      </c>
      <c r="FCT640" s="1572"/>
      <c r="FCU640" s="1572"/>
      <c r="FCV640" s="1572"/>
      <c r="FCW640" s="1572"/>
      <c r="FCX640" s="1572"/>
      <c r="FCY640" s="1572"/>
      <c r="FCZ640" s="1572"/>
      <c r="FDA640" s="1572" t="s">
        <v>885</v>
      </c>
      <c r="FDB640" s="1572"/>
      <c r="FDC640" s="1572"/>
      <c r="FDD640" s="1572"/>
      <c r="FDE640" s="1572"/>
      <c r="FDF640" s="1572"/>
      <c r="FDG640" s="1572"/>
      <c r="FDH640" s="1572"/>
      <c r="FDI640" s="1572" t="s">
        <v>885</v>
      </c>
      <c r="FDJ640" s="1572"/>
      <c r="FDK640" s="1572"/>
      <c r="FDL640" s="1572"/>
      <c r="FDM640" s="1572"/>
      <c r="FDN640" s="1572"/>
      <c r="FDO640" s="1572"/>
      <c r="FDP640" s="1572"/>
      <c r="FDQ640" s="1572" t="s">
        <v>885</v>
      </c>
      <c r="FDR640" s="1572"/>
      <c r="FDS640" s="1572"/>
      <c r="FDT640" s="1572"/>
      <c r="FDU640" s="1572"/>
      <c r="FDV640" s="1572"/>
      <c r="FDW640" s="1572"/>
      <c r="FDX640" s="1572"/>
      <c r="FDY640" s="1572" t="s">
        <v>885</v>
      </c>
      <c r="FDZ640" s="1572"/>
      <c r="FEA640" s="1572"/>
      <c r="FEB640" s="1572"/>
      <c r="FEC640" s="1572"/>
      <c r="FED640" s="1572"/>
      <c r="FEE640" s="1572"/>
      <c r="FEF640" s="1572"/>
      <c r="FEG640" s="1572" t="s">
        <v>885</v>
      </c>
      <c r="FEH640" s="1572"/>
      <c r="FEI640" s="1572"/>
      <c r="FEJ640" s="1572"/>
      <c r="FEK640" s="1572"/>
      <c r="FEL640" s="1572"/>
      <c r="FEM640" s="1572"/>
      <c r="FEN640" s="1572"/>
      <c r="FEO640" s="1572" t="s">
        <v>885</v>
      </c>
      <c r="FEP640" s="1572"/>
      <c r="FEQ640" s="1572"/>
      <c r="FER640" s="1572"/>
      <c r="FES640" s="1572"/>
      <c r="FET640" s="1572"/>
      <c r="FEU640" s="1572"/>
      <c r="FEV640" s="1572"/>
      <c r="FEW640" s="1572" t="s">
        <v>885</v>
      </c>
      <c r="FEX640" s="1572"/>
      <c r="FEY640" s="1572"/>
      <c r="FEZ640" s="1572"/>
      <c r="FFA640" s="1572"/>
      <c r="FFB640" s="1572"/>
      <c r="FFC640" s="1572"/>
      <c r="FFD640" s="1572"/>
      <c r="FFE640" s="1572" t="s">
        <v>885</v>
      </c>
      <c r="FFF640" s="1572"/>
      <c r="FFG640" s="1572"/>
      <c r="FFH640" s="1572"/>
      <c r="FFI640" s="1572"/>
      <c r="FFJ640" s="1572"/>
      <c r="FFK640" s="1572"/>
      <c r="FFL640" s="1572"/>
      <c r="FFM640" s="1572" t="s">
        <v>885</v>
      </c>
      <c r="FFN640" s="1572"/>
      <c r="FFO640" s="1572"/>
      <c r="FFP640" s="1572"/>
      <c r="FFQ640" s="1572"/>
      <c r="FFR640" s="1572"/>
      <c r="FFS640" s="1572"/>
      <c r="FFT640" s="1572"/>
      <c r="FFU640" s="1572" t="s">
        <v>885</v>
      </c>
      <c r="FFV640" s="1572"/>
      <c r="FFW640" s="1572"/>
      <c r="FFX640" s="1572"/>
      <c r="FFY640" s="1572"/>
      <c r="FFZ640" s="1572"/>
      <c r="FGA640" s="1572"/>
      <c r="FGB640" s="1572"/>
      <c r="FGC640" s="1572" t="s">
        <v>885</v>
      </c>
      <c r="FGD640" s="1572"/>
      <c r="FGE640" s="1572"/>
      <c r="FGF640" s="1572"/>
      <c r="FGG640" s="1572"/>
      <c r="FGH640" s="1572"/>
      <c r="FGI640" s="1572"/>
      <c r="FGJ640" s="1572"/>
      <c r="FGK640" s="1572" t="s">
        <v>885</v>
      </c>
      <c r="FGL640" s="1572"/>
      <c r="FGM640" s="1572"/>
      <c r="FGN640" s="1572"/>
      <c r="FGO640" s="1572"/>
      <c r="FGP640" s="1572"/>
      <c r="FGQ640" s="1572"/>
      <c r="FGR640" s="1572"/>
      <c r="FGS640" s="1572" t="s">
        <v>885</v>
      </c>
      <c r="FGT640" s="1572"/>
      <c r="FGU640" s="1572"/>
      <c r="FGV640" s="1572"/>
      <c r="FGW640" s="1572"/>
      <c r="FGX640" s="1572"/>
      <c r="FGY640" s="1572"/>
      <c r="FGZ640" s="1572"/>
      <c r="FHA640" s="1572" t="s">
        <v>885</v>
      </c>
      <c r="FHB640" s="1572"/>
      <c r="FHC640" s="1572"/>
      <c r="FHD640" s="1572"/>
      <c r="FHE640" s="1572"/>
      <c r="FHF640" s="1572"/>
      <c r="FHG640" s="1572"/>
      <c r="FHH640" s="1572"/>
      <c r="FHI640" s="1572" t="s">
        <v>885</v>
      </c>
      <c r="FHJ640" s="1572"/>
      <c r="FHK640" s="1572"/>
      <c r="FHL640" s="1572"/>
      <c r="FHM640" s="1572"/>
      <c r="FHN640" s="1572"/>
      <c r="FHO640" s="1572"/>
      <c r="FHP640" s="1572"/>
      <c r="FHQ640" s="1572" t="s">
        <v>885</v>
      </c>
      <c r="FHR640" s="1572"/>
      <c r="FHS640" s="1572"/>
      <c r="FHT640" s="1572"/>
      <c r="FHU640" s="1572"/>
      <c r="FHV640" s="1572"/>
      <c r="FHW640" s="1572"/>
      <c r="FHX640" s="1572"/>
      <c r="FHY640" s="1572" t="s">
        <v>885</v>
      </c>
      <c r="FHZ640" s="1572"/>
      <c r="FIA640" s="1572"/>
      <c r="FIB640" s="1572"/>
      <c r="FIC640" s="1572"/>
      <c r="FID640" s="1572"/>
      <c r="FIE640" s="1572"/>
      <c r="FIF640" s="1572"/>
      <c r="FIG640" s="1572" t="s">
        <v>885</v>
      </c>
      <c r="FIH640" s="1572"/>
      <c r="FII640" s="1572"/>
      <c r="FIJ640" s="1572"/>
      <c r="FIK640" s="1572"/>
      <c r="FIL640" s="1572"/>
      <c r="FIM640" s="1572"/>
      <c r="FIN640" s="1572"/>
      <c r="FIO640" s="1572" t="s">
        <v>885</v>
      </c>
      <c r="FIP640" s="1572"/>
      <c r="FIQ640" s="1572"/>
      <c r="FIR640" s="1572"/>
      <c r="FIS640" s="1572"/>
      <c r="FIT640" s="1572"/>
      <c r="FIU640" s="1572"/>
      <c r="FIV640" s="1572"/>
      <c r="FIW640" s="1572" t="s">
        <v>885</v>
      </c>
      <c r="FIX640" s="1572"/>
      <c r="FIY640" s="1572"/>
      <c r="FIZ640" s="1572"/>
      <c r="FJA640" s="1572"/>
      <c r="FJB640" s="1572"/>
      <c r="FJC640" s="1572"/>
      <c r="FJD640" s="1572"/>
      <c r="FJE640" s="1572" t="s">
        <v>885</v>
      </c>
      <c r="FJF640" s="1572"/>
      <c r="FJG640" s="1572"/>
      <c r="FJH640" s="1572"/>
      <c r="FJI640" s="1572"/>
      <c r="FJJ640" s="1572"/>
      <c r="FJK640" s="1572"/>
      <c r="FJL640" s="1572"/>
      <c r="FJM640" s="1572" t="s">
        <v>885</v>
      </c>
      <c r="FJN640" s="1572"/>
      <c r="FJO640" s="1572"/>
      <c r="FJP640" s="1572"/>
      <c r="FJQ640" s="1572"/>
      <c r="FJR640" s="1572"/>
      <c r="FJS640" s="1572"/>
      <c r="FJT640" s="1572"/>
      <c r="FJU640" s="1572" t="s">
        <v>885</v>
      </c>
      <c r="FJV640" s="1572"/>
      <c r="FJW640" s="1572"/>
      <c r="FJX640" s="1572"/>
      <c r="FJY640" s="1572"/>
      <c r="FJZ640" s="1572"/>
      <c r="FKA640" s="1572"/>
      <c r="FKB640" s="1572"/>
      <c r="FKC640" s="1572" t="s">
        <v>885</v>
      </c>
      <c r="FKD640" s="1572"/>
      <c r="FKE640" s="1572"/>
      <c r="FKF640" s="1572"/>
      <c r="FKG640" s="1572"/>
      <c r="FKH640" s="1572"/>
      <c r="FKI640" s="1572"/>
      <c r="FKJ640" s="1572"/>
      <c r="FKK640" s="1572" t="s">
        <v>885</v>
      </c>
      <c r="FKL640" s="1572"/>
      <c r="FKM640" s="1572"/>
      <c r="FKN640" s="1572"/>
      <c r="FKO640" s="1572"/>
      <c r="FKP640" s="1572"/>
      <c r="FKQ640" s="1572"/>
      <c r="FKR640" s="1572"/>
      <c r="FKS640" s="1572" t="s">
        <v>885</v>
      </c>
      <c r="FKT640" s="1572"/>
      <c r="FKU640" s="1572"/>
      <c r="FKV640" s="1572"/>
      <c r="FKW640" s="1572"/>
      <c r="FKX640" s="1572"/>
      <c r="FKY640" s="1572"/>
      <c r="FKZ640" s="1572"/>
      <c r="FLA640" s="1572" t="s">
        <v>885</v>
      </c>
      <c r="FLB640" s="1572"/>
      <c r="FLC640" s="1572"/>
      <c r="FLD640" s="1572"/>
      <c r="FLE640" s="1572"/>
      <c r="FLF640" s="1572"/>
      <c r="FLG640" s="1572"/>
      <c r="FLH640" s="1572"/>
      <c r="FLI640" s="1572" t="s">
        <v>885</v>
      </c>
      <c r="FLJ640" s="1572"/>
      <c r="FLK640" s="1572"/>
      <c r="FLL640" s="1572"/>
      <c r="FLM640" s="1572"/>
      <c r="FLN640" s="1572"/>
      <c r="FLO640" s="1572"/>
      <c r="FLP640" s="1572"/>
      <c r="FLQ640" s="1572" t="s">
        <v>885</v>
      </c>
      <c r="FLR640" s="1572"/>
      <c r="FLS640" s="1572"/>
      <c r="FLT640" s="1572"/>
      <c r="FLU640" s="1572"/>
      <c r="FLV640" s="1572"/>
      <c r="FLW640" s="1572"/>
      <c r="FLX640" s="1572"/>
      <c r="FLY640" s="1572" t="s">
        <v>885</v>
      </c>
      <c r="FLZ640" s="1572"/>
      <c r="FMA640" s="1572"/>
      <c r="FMB640" s="1572"/>
      <c r="FMC640" s="1572"/>
      <c r="FMD640" s="1572"/>
      <c r="FME640" s="1572"/>
      <c r="FMF640" s="1572"/>
      <c r="FMG640" s="1572" t="s">
        <v>885</v>
      </c>
      <c r="FMH640" s="1572"/>
      <c r="FMI640" s="1572"/>
      <c r="FMJ640" s="1572"/>
      <c r="FMK640" s="1572"/>
      <c r="FML640" s="1572"/>
      <c r="FMM640" s="1572"/>
      <c r="FMN640" s="1572"/>
      <c r="FMO640" s="1572" t="s">
        <v>885</v>
      </c>
      <c r="FMP640" s="1572"/>
      <c r="FMQ640" s="1572"/>
      <c r="FMR640" s="1572"/>
      <c r="FMS640" s="1572"/>
      <c r="FMT640" s="1572"/>
      <c r="FMU640" s="1572"/>
      <c r="FMV640" s="1572"/>
      <c r="FMW640" s="1572" t="s">
        <v>885</v>
      </c>
      <c r="FMX640" s="1572"/>
      <c r="FMY640" s="1572"/>
      <c r="FMZ640" s="1572"/>
      <c r="FNA640" s="1572"/>
      <c r="FNB640" s="1572"/>
      <c r="FNC640" s="1572"/>
      <c r="FND640" s="1572"/>
      <c r="FNE640" s="1572" t="s">
        <v>885</v>
      </c>
      <c r="FNF640" s="1572"/>
      <c r="FNG640" s="1572"/>
      <c r="FNH640" s="1572"/>
      <c r="FNI640" s="1572"/>
      <c r="FNJ640" s="1572"/>
      <c r="FNK640" s="1572"/>
      <c r="FNL640" s="1572"/>
      <c r="FNM640" s="1572" t="s">
        <v>885</v>
      </c>
      <c r="FNN640" s="1572"/>
      <c r="FNO640" s="1572"/>
      <c r="FNP640" s="1572"/>
      <c r="FNQ640" s="1572"/>
      <c r="FNR640" s="1572"/>
      <c r="FNS640" s="1572"/>
      <c r="FNT640" s="1572"/>
      <c r="FNU640" s="1572" t="s">
        <v>885</v>
      </c>
      <c r="FNV640" s="1572"/>
      <c r="FNW640" s="1572"/>
      <c r="FNX640" s="1572"/>
      <c r="FNY640" s="1572"/>
      <c r="FNZ640" s="1572"/>
      <c r="FOA640" s="1572"/>
      <c r="FOB640" s="1572"/>
      <c r="FOC640" s="1572" t="s">
        <v>885</v>
      </c>
      <c r="FOD640" s="1572"/>
      <c r="FOE640" s="1572"/>
      <c r="FOF640" s="1572"/>
      <c r="FOG640" s="1572"/>
      <c r="FOH640" s="1572"/>
      <c r="FOI640" s="1572"/>
      <c r="FOJ640" s="1572"/>
      <c r="FOK640" s="1572" t="s">
        <v>885</v>
      </c>
      <c r="FOL640" s="1572"/>
      <c r="FOM640" s="1572"/>
      <c r="FON640" s="1572"/>
      <c r="FOO640" s="1572"/>
      <c r="FOP640" s="1572"/>
      <c r="FOQ640" s="1572"/>
      <c r="FOR640" s="1572"/>
      <c r="FOS640" s="1572" t="s">
        <v>885</v>
      </c>
      <c r="FOT640" s="1572"/>
      <c r="FOU640" s="1572"/>
      <c r="FOV640" s="1572"/>
      <c r="FOW640" s="1572"/>
      <c r="FOX640" s="1572"/>
      <c r="FOY640" s="1572"/>
      <c r="FOZ640" s="1572"/>
      <c r="FPA640" s="1572" t="s">
        <v>885</v>
      </c>
      <c r="FPB640" s="1572"/>
      <c r="FPC640" s="1572"/>
      <c r="FPD640" s="1572"/>
      <c r="FPE640" s="1572"/>
      <c r="FPF640" s="1572"/>
      <c r="FPG640" s="1572"/>
      <c r="FPH640" s="1572"/>
      <c r="FPI640" s="1572" t="s">
        <v>885</v>
      </c>
      <c r="FPJ640" s="1572"/>
      <c r="FPK640" s="1572"/>
      <c r="FPL640" s="1572"/>
      <c r="FPM640" s="1572"/>
      <c r="FPN640" s="1572"/>
      <c r="FPO640" s="1572"/>
      <c r="FPP640" s="1572"/>
      <c r="FPQ640" s="1572" t="s">
        <v>885</v>
      </c>
      <c r="FPR640" s="1572"/>
      <c r="FPS640" s="1572"/>
      <c r="FPT640" s="1572"/>
      <c r="FPU640" s="1572"/>
      <c r="FPV640" s="1572"/>
      <c r="FPW640" s="1572"/>
      <c r="FPX640" s="1572"/>
      <c r="FPY640" s="1572" t="s">
        <v>885</v>
      </c>
      <c r="FPZ640" s="1572"/>
      <c r="FQA640" s="1572"/>
      <c r="FQB640" s="1572"/>
      <c r="FQC640" s="1572"/>
      <c r="FQD640" s="1572"/>
      <c r="FQE640" s="1572"/>
      <c r="FQF640" s="1572"/>
      <c r="FQG640" s="1572" t="s">
        <v>885</v>
      </c>
      <c r="FQH640" s="1572"/>
      <c r="FQI640" s="1572"/>
      <c r="FQJ640" s="1572"/>
      <c r="FQK640" s="1572"/>
      <c r="FQL640" s="1572"/>
      <c r="FQM640" s="1572"/>
      <c r="FQN640" s="1572"/>
      <c r="FQO640" s="1572" t="s">
        <v>885</v>
      </c>
      <c r="FQP640" s="1572"/>
      <c r="FQQ640" s="1572"/>
      <c r="FQR640" s="1572"/>
      <c r="FQS640" s="1572"/>
      <c r="FQT640" s="1572"/>
      <c r="FQU640" s="1572"/>
      <c r="FQV640" s="1572"/>
      <c r="FQW640" s="1572" t="s">
        <v>885</v>
      </c>
      <c r="FQX640" s="1572"/>
      <c r="FQY640" s="1572"/>
      <c r="FQZ640" s="1572"/>
      <c r="FRA640" s="1572"/>
      <c r="FRB640" s="1572"/>
      <c r="FRC640" s="1572"/>
      <c r="FRD640" s="1572"/>
      <c r="FRE640" s="1572" t="s">
        <v>885</v>
      </c>
      <c r="FRF640" s="1572"/>
      <c r="FRG640" s="1572"/>
      <c r="FRH640" s="1572"/>
      <c r="FRI640" s="1572"/>
      <c r="FRJ640" s="1572"/>
      <c r="FRK640" s="1572"/>
      <c r="FRL640" s="1572"/>
      <c r="FRM640" s="1572" t="s">
        <v>885</v>
      </c>
      <c r="FRN640" s="1572"/>
      <c r="FRO640" s="1572"/>
      <c r="FRP640" s="1572"/>
      <c r="FRQ640" s="1572"/>
      <c r="FRR640" s="1572"/>
      <c r="FRS640" s="1572"/>
      <c r="FRT640" s="1572"/>
      <c r="FRU640" s="1572" t="s">
        <v>885</v>
      </c>
      <c r="FRV640" s="1572"/>
      <c r="FRW640" s="1572"/>
      <c r="FRX640" s="1572"/>
      <c r="FRY640" s="1572"/>
      <c r="FRZ640" s="1572"/>
      <c r="FSA640" s="1572"/>
      <c r="FSB640" s="1572"/>
      <c r="FSC640" s="1572" t="s">
        <v>885</v>
      </c>
      <c r="FSD640" s="1572"/>
      <c r="FSE640" s="1572"/>
      <c r="FSF640" s="1572"/>
      <c r="FSG640" s="1572"/>
      <c r="FSH640" s="1572"/>
      <c r="FSI640" s="1572"/>
      <c r="FSJ640" s="1572"/>
      <c r="FSK640" s="1572" t="s">
        <v>885</v>
      </c>
      <c r="FSL640" s="1572"/>
      <c r="FSM640" s="1572"/>
      <c r="FSN640" s="1572"/>
      <c r="FSO640" s="1572"/>
      <c r="FSP640" s="1572"/>
      <c r="FSQ640" s="1572"/>
      <c r="FSR640" s="1572"/>
      <c r="FSS640" s="1572" t="s">
        <v>885</v>
      </c>
      <c r="FST640" s="1572"/>
      <c r="FSU640" s="1572"/>
      <c r="FSV640" s="1572"/>
      <c r="FSW640" s="1572"/>
      <c r="FSX640" s="1572"/>
      <c r="FSY640" s="1572"/>
      <c r="FSZ640" s="1572"/>
      <c r="FTA640" s="1572" t="s">
        <v>885</v>
      </c>
      <c r="FTB640" s="1572"/>
      <c r="FTC640" s="1572"/>
      <c r="FTD640" s="1572"/>
      <c r="FTE640" s="1572"/>
      <c r="FTF640" s="1572"/>
      <c r="FTG640" s="1572"/>
      <c r="FTH640" s="1572"/>
      <c r="FTI640" s="1572" t="s">
        <v>885</v>
      </c>
      <c r="FTJ640" s="1572"/>
      <c r="FTK640" s="1572"/>
      <c r="FTL640" s="1572"/>
      <c r="FTM640" s="1572"/>
      <c r="FTN640" s="1572"/>
      <c r="FTO640" s="1572"/>
      <c r="FTP640" s="1572"/>
      <c r="FTQ640" s="1572" t="s">
        <v>885</v>
      </c>
      <c r="FTR640" s="1572"/>
      <c r="FTS640" s="1572"/>
      <c r="FTT640" s="1572"/>
      <c r="FTU640" s="1572"/>
      <c r="FTV640" s="1572"/>
      <c r="FTW640" s="1572"/>
      <c r="FTX640" s="1572"/>
      <c r="FTY640" s="1572" t="s">
        <v>885</v>
      </c>
      <c r="FTZ640" s="1572"/>
      <c r="FUA640" s="1572"/>
      <c r="FUB640" s="1572"/>
      <c r="FUC640" s="1572"/>
      <c r="FUD640" s="1572"/>
      <c r="FUE640" s="1572"/>
      <c r="FUF640" s="1572"/>
      <c r="FUG640" s="1572" t="s">
        <v>885</v>
      </c>
      <c r="FUH640" s="1572"/>
      <c r="FUI640" s="1572"/>
      <c r="FUJ640" s="1572"/>
      <c r="FUK640" s="1572"/>
      <c r="FUL640" s="1572"/>
      <c r="FUM640" s="1572"/>
      <c r="FUN640" s="1572"/>
      <c r="FUO640" s="1572" t="s">
        <v>885</v>
      </c>
      <c r="FUP640" s="1572"/>
      <c r="FUQ640" s="1572"/>
      <c r="FUR640" s="1572"/>
      <c r="FUS640" s="1572"/>
      <c r="FUT640" s="1572"/>
      <c r="FUU640" s="1572"/>
      <c r="FUV640" s="1572"/>
      <c r="FUW640" s="1572" t="s">
        <v>885</v>
      </c>
      <c r="FUX640" s="1572"/>
      <c r="FUY640" s="1572"/>
      <c r="FUZ640" s="1572"/>
      <c r="FVA640" s="1572"/>
      <c r="FVB640" s="1572"/>
      <c r="FVC640" s="1572"/>
      <c r="FVD640" s="1572"/>
      <c r="FVE640" s="1572" t="s">
        <v>885</v>
      </c>
      <c r="FVF640" s="1572"/>
      <c r="FVG640" s="1572"/>
      <c r="FVH640" s="1572"/>
      <c r="FVI640" s="1572"/>
      <c r="FVJ640" s="1572"/>
      <c r="FVK640" s="1572"/>
      <c r="FVL640" s="1572"/>
      <c r="FVM640" s="1572" t="s">
        <v>885</v>
      </c>
      <c r="FVN640" s="1572"/>
      <c r="FVO640" s="1572"/>
      <c r="FVP640" s="1572"/>
      <c r="FVQ640" s="1572"/>
      <c r="FVR640" s="1572"/>
      <c r="FVS640" s="1572"/>
      <c r="FVT640" s="1572"/>
      <c r="FVU640" s="1572" t="s">
        <v>885</v>
      </c>
      <c r="FVV640" s="1572"/>
      <c r="FVW640" s="1572"/>
      <c r="FVX640" s="1572"/>
      <c r="FVY640" s="1572"/>
      <c r="FVZ640" s="1572"/>
      <c r="FWA640" s="1572"/>
      <c r="FWB640" s="1572"/>
      <c r="FWC640" s="1572" t="s">
        <v>885</v>
      </c>
      <c r="FWD640" s="1572"/>
      <c r="FWE640" s="1572"/>
      <c r="FWF640" s="1572"/>
      <c r="FWG640" s="1572"/>
      <c r="FWH640" s="1572"/>
      <c r="FWI640" s="1572"/>
      <c r="FWJ640" s="1572"/>
      <c r="FWK640" s="1572" t="s">
        <v>885</v>
      </c>
      <c r="FWL640" s="1572"/>
      <c r="FWM640" s="1572"/>
      <c r="FWN640" s="1572"/>
      <c r="FWO640" s="1572"/>
      <c r="FWP640" s="1572"/>
      <c r="FWQ640" s="1572"/>
      <c r="FWR640" s="1572"/>
      <c r="FWS640" s="1572" t="s">
        <v>885</v>
      </c>
      <c r="FWT640" s="1572"/>
      <c r="FWU640" s="1572"/>
      <c r="FWV640" s="1572"/>
      <c r="FWW640" s="1572"/>
      <c r="FWX640" s="1572"/>
      <c r="FWY640" s="1572"/>
      <c r="FWZ640" s="1572"/>
      <c r="FXA640" s="1572" t="s">
        <v>885</v>
      </c>
      <c r="FXB640" s="1572"/>
      <c r="FXC640" s="1572"/>
      <c r="FXD640" s="1572"/>
      <c r="FXE640" s="1572"/>
      <c r="FXF640" s="1572"/>
      <c r="FXG640" s="1572"/>
      <c r="FXH640" s="1572"/>
      <c r="FXI640" s="1572" t="s">
        <v>885</v>
      </c>
      <c r="FXJ640" s="1572"/>
      <c r="FXK640" s="1572"/>
      <c r="FXL640" s="1572"/>
      <c r="FXM640" s="1572"/>
      <c r="FXN640" s="1572"/>
      <c r="FXO640" s="1572"/>
      <c r="FXP640" s="1572"/>
      <c r="FXQ640" s="1572" t="s">
        <v>885</v>
      </c>
      <c r="FXR640" s="1572"/>
      <c r="FXS640" s="1572"/>
      <c r="FXT640" s="1572"/>
      <c r="FXU640" s="1572"/>
      <c r="FXV640" s="1572"/>
      <c r="FXW640" s="1572"/>
      <c r="FXX640" s="1572"/>
      <c r="FXY640" s="1572" t="s">
        <v>885</v>
      </c>
      <c r="FXZ640" s="1572"/>
      <c r="FYA640" s="1572"/>
      <c r="FYB640" s="1572"/>
      <c r="FYC640" s="1572"/>
      <c r="FYD640" s="1572"/>
      <c r="FYE640" s="1572"/>
      <c r="FYF640" s="1572"/>
      <c r="FYG640" s="1572" t="s">
        <v>885</v>
      </c>
      <c r="FYH640" s="1572"/>
      <c r="FYI640" s="1572"/>
      <c r="FYJ640" s="1572"/>
      <c r="FYK640" s="1572"/>
      <c r="FYL640" s="1572"/>
      <c r="FYM640" s="1572"/>
      <c r="FYN640" s="1572"/>
      <c r="FYO640" s="1572" t="s">
        <v>885</v>
      </c>
      <c r="FYP640" s="1572"/>
      <c r="FYQ640" s="1572"/>
      <c r="FYR640" s="1572"/>
      <c r="FYS640" s="1572"/>
      <c r="FYT640" s="1572"/>
      <c r="FYU640" s="1572"/>
      <c r="FYV640" s="1572"/>
      <c r="FYW640" s="1572" t="s">
        <v>885</v>
      </c>
      <c r="FYX640" s="1572"/>
      <c r="FYY640" s="1572"/>
      <c r="FYZ640" s="1572"/>
      <c r="FZA640" s="1572"/>
      <c r="FZB640" s="1572"/>
      <c r="FZC640" s="1572"/>
      <c r="FZD640" s="1572"/>
      <c r="FZE640" s="1572" t="s">
        <v>885</v>
      </c>
      <c r="FZF640" s="1572"/>
      <c r="FZG640" s="1572"/>
      <c r="FZH640" s="1572"/>
      <c r="FZI640" s="1572"/>
      <c r="FZJ640" s="1572"/>
      <c r="FZK640" s="1572"/>
      <c r="FZL640" s="1572"/>
      <c r="FZM640" s="1572" t="s">
        <v>885</v>
      </c>
      <c r="FZN640" s="1572"/>
      <c r="FZO640" s="1572"/>
      <c r="FZP640" s="1572"/>
      <c r="FZQ640" s="1572"/>
      <c r="FZR640" s="1572"/>
      <c r="FZS640" s="1572"/>
      <c r="FZT640" s="1572"/>
      <c r="FZU640" s="1572" t="s">
        <v>885</v>
      </c>
      <c r="FZV640" s="1572"/>
      <c r="FZW640" s="1572"/>
      <c r="FZX640" s="1572"/>
      <c r="FZY640" s="1572"/>
      <c r="FZZ640" s="1572"/>
      <c r="GAA640" s="1572"/>
      <c r="GAB640" s="1572"/>
      <c r="GAC640" s="1572" t="s">
        <v>885</v>
      </c>
      <c r="GAD640" s="1572"/>
      <c r="GAE640" s="1572"/>
      <c r="GAF640" s="1572"/>
      <c r="GAG640" s="1572"/>
      <c r="GAH640" s="1572"/>
      <c r="GAI640" s="1572"/>
      <c r="GAJ640" s="1572"/>
      <c r="GAK640" s="1572" t="s">
        <v>885</v>
      </c>
      <c r="GAL640" s="1572"/>
      <c r="GAM640" s="1572"/>
      <c r="GAN640" s="1572"/>
      <c r="GAO640" s="1572"/>
      <c r="GAP640" s="1572"/>
      <c r="GAQ640" s="1572"/>
      <c r="GAR640" s="1572"/>
      <c r="GAS640" s="1572" t="s">
        <v>885</v>
      </c>
      <c r="GAT640" s="1572"/>
      <c r="GAU640" s="1572"/>
      <c r="GAV640" s="1572"/>
      <c r="GAW640" s="1572"/>
      <c r="GAX640" s="1572"/>
      <c r="GAY640" s="1572"/>
      <c r="GAZ640" s="1572"/>
      <c r="GBA640" s="1572" t="s">
        <v>885</v>
      </c>
      <c r="GBB640" s="1572"/>
      <c r="GBC640" s="1572"/>
      <c r="GBD640" s="1572"/>
      <c r="GBE640" s="1572"/>
      <c r="GBF640" s="1572"/>
      <c r="GBG640" s="1572"/>
      <c r="GBH640" s="1572"/>
      <c r="GBI640" s="1572" t="s">
        <v>885</v>
      </c>
      <c r="GBJ640" s="1572"/>
      <c r="GBK640" s="1572"/>
      <c r="GBL640" s="1572"/>
      <c r="GBM640" s="1572"/>
      <c r="GBN640" s="1572"/>
      <c r="GBO640" s="1572"/>
      <c r="GBP640" s="1572"/>
      <c r="GBQ640" s="1572" t="s">
        <v>885</v>
      </c>
      <c r="GBR640" s="1572"/>
      <c r="GBS640" s="1572"/>
      <c r="GBT640" s="1572"/>
      <c r="GBU640" s="1572"/>
      <c r="GBV640" s="1572"/>
      <c r="GBW640" s="1572"/>
      <c r="GBX640" s="1572"/>
      <c r="GBY640" s="1572" t="s">
        <v>885</v>
      </c>
      <c r="GBZ640" s="1572"/>
      <c r="GCA640" s="1572"/>
      <c r="GCB640" s="1572"/>
      <c r="GCC640" s="1572"/>
      <c r="GCD640" s="1572"/>
      <c r="GCE640" s="1572"/>
      <c r="GCF640" s="1572"/>
      <c r="GCG640" s="1572" t="s">
        <v>885</v>
      </c>
      <c r="GCH640" s="1572"/>
      <c r="GCI640" s="1572"/>
      <c r="GCJ640" s="1572"/>
      <c r="GCK640" s="1572"/>
      <c r="GCL640" s="1572"/>
      <c r="GCM640" s="1572"/>
      <c r="GCN640" s="1572"/>
      <c r="GCO640" s="1572" t="s">
        <v>885</v>
      </c>
      <c r="GCP640" s="1572"/>
      <c r="GCQ640" s="1572"/>
      <c r="GCR640" s="1572"/>
      <c r="GCS640" s="1572"/>
      <c r="GCT640" s="1572"/>
      <c r="GCU640" s="1572"/>
      <c r="GCV640" s="1572"/>
      <c r="GCW640" s="1572" t="s">
        <v>885</v>
      </c>
      <c r="GCX640" s="1572"/>
      <c r="GCY640" s="1572"/>
      <c r="GCZ640" s="1572"/>
      <c r="GDA640" s="1572"/>
      <c r="GDB640" s="1572"/>
      <c r="GDC640" s="1572"/>
      <c r="GDD640" s="1572"/>
      <c r="GDE640" s="1572" t="s">
        <v>885</v>
      </c>
      <c r="GDF640" s="1572"/>
      <c r="GDG640" s="1572"/>
      <c r="GDH640" s="1572"/>
      <c r="GDI640" s="1572"/>
      <c r="GDJ640" s="1572"/>
      <c r="GDK640" s="1572"/>
      <c r="GDL640" s="1572"/>
      <c r="GDM640" s="1572" t="s">
        <v>885</v>
      </c>
      <c r="GDN640" s="1572"/>
      <c r="GDO640" s="1572"/>
      <c r="GDP640" s="1572"/>
      <c r="GDQ640" s="1572"/>
      <c r="GDR640" s="1572"/>
      <c r="GDS640" s="1572"/>
      <c r="GDT640" s="1572"/>
      <c r="GDU640" s="1572" t="s">
        <v>885</v>
      </c>
      <c r="GDV640" s="1572"/>
      <c r="GDW640" s="1572"/>
      <c r="GDX640" s="1572"/>
      <c r="GDY640" s="1572"/>
      <c r="GDZ640" s="1572"/>
      <c r="GEA640" s="1572"/>
      <c r="GEB640" s="1572"/>
      <c r="GEC640" s="1572" t="s">
        <v>885</v>
      </c>
      <c r="GED640" s="1572"/>
      <c r="GEE640" s="1572"/>
      <c r="GEF640" s="1572"/>
      <c r="GEG640" s="1572"/>
      <c r="GEH640" s="1572"/>
      <c r="GEI640" s="1572"/>
      <c r="GEJ640" s="1572"/>
      <c r="GEK640" s="1572" t="s">
        <v>885</v>
      </c>
      <c r="GEL640" s="1572"/>
      <c r="GEM640" s="1572"/>
      <c r="GEN640" s="1572"/>
      <c r="GEO640" s="1572"/>
      <c r="GEP640" s="1572"/>
      <c r="GEQ640" s="1572"/>
      <c r="GER640" s="1572"/>
      <c r="GES640" s="1572" t="s">
        <v>885</v>
      </c>
      <c r="GET640" s="1572"/>
      <c r="GEU640" s="1572"/>
      <c r="GEV640" s="1572"/>
      <c r="GEW640" s="1572"/>
      <c r="GEX640" s="1572"/>
      <c r="GEY640" s="1572"/>
      <c r="GEZ640" s="1572"/>
      <c r="GFA640" s="1572" t="s">
        <v>885</v>
      </c>
      <c r="GFB640" s="1572"/>
      <c r="GFC640" s="1572"/>
      <c r="GFD640" s="1572"/>
      <c r="GFE640" s="1572"/>
      <c r="GFF640" s="1572"/>
      <c r="GFG640" s="1572"/>
      <c r="GFH640" s="1572"/>
      <c r="GFI640" s="1572" t="s">
        <v>885</v>
      </c>
      <c r="GFJ640" s="1572"/>
      <c r="GFK640" s="1572"/>
      <c r="GFL640" s="1572"/>
      <c r="GFM640" s="1572"/>
      <c r="GFN640" s="1572"/>
      <c r="GFO640" s="1572"/>
      <c r="GFP640" s="1572"/>
      <c r="GFQ640" s="1572" t="s">
        <v>885</v>
      </c>
      <c r="GFR640" s="1572"/>
      <c r="GFS640" s="1572"/>
      <c r="GFT640" s="1572"/>
      <c r="GFU640" s="1572"/>
      <c r="GFV640" s="1572"/>
      <c r="GFW640" s="1572"/>
      <c r="GFX640" s="1572"/>
      <c r="GFY640" s="1572" t="s">
        <v>885</v>
      </c>
      <c r="GFZ640" s="1572"/>
      <c r="GGA640" s="1572"/>
      <c r="GGB640" s="1572"/>
      <c r="GGC640" s="1572"/>
      <c r="GGD640" s="1572"/>
      <c r="GGE640" s="1572"/>
      <c r="GGF640" s="1572"/>
      <c r="GGG640" s="1572" t="s">
        <v>885</v>
      </c>
      <c r="GGH640" s="1572"/>
      <c r="GGI640" s="1572"/>
      <c r="GGJ640" s="1572"/>
      <c r="GGK640" s="1572"/>
      <c r="GGL640" s="1572"/>
      <c r="GGM640" s="1572"/>
      <c r="GGN640" s="1572"/>
      <c r="GGO640" s="1572" t="s">
        <v>885</v>
      </c>
      <c r="GGP640" s="1572"/>
      <c r="GGQ640" s="1572"/>
      <c r="GGR640" s="1572"/>
      <c r="GGS640" s="1572"/>
      <c r="GGT640" s="1572"/>
      <c r="GGU640" s="1572"/>
      <c r="GGV640" s="1572"/>
      <c r="GGW640" s="1572" t="s">
        <v>885</v>
      </c>
      <c r="GGX640" s="1572"/>
      <c r="GGY640" s="1572"/>
      <c r="GGZ640" s="1572"/>
      <c r="GHA640" s="1572"/>
      <c r="GHB640" s="1572"/>
      <c r="GHC640" s="1572"/>
      <c r="GHD640" s="1572"/>
      <c r="GHE640" s="1572" t="s">
        <v>885</v>
      </c>
      <c r="GHF640" s="1572"/>
      <c r="GHG640" s="1572"/>
      <c r="GHH640" s="1572"/>
      <c r="GHI640" s="1572"/>
      <c r="GHJ640" s="1572"/>
      <c r="GHK640" s="1572"/>
      <c r="GHL640" s="1572"/>
      <c r="GHM640" s="1572" t="s">
        <v>885</v>
      </c>
      <c r="GHN640" s="1572"/>
      <c r="GHO640" s="1572"/>
      <c r="GHP640" s="1572"/>
      <c r="GHQ640" s="1572"/>
      <c r="GHR640" s="1572"/>
      <c r="GHS640" s="1572"/>
      <c r="GHT640" s="1572"/>
      <c r="GHU640" s="1572" t="s">
        <v>885</v>
      </c>
      <c r="GHV640" s="1572"/>
      <c r="GHW640" s="1572"/>
      <c r="GHX640" s="1572"/>
      <c r="GHY640" s="1572"/>
      <c r="GHZ640" s="1572"/>
      <c r="GIA640" s="1572"/>
      <c r="GIB640" s="1572"/>
      <c r="GIC640" s="1572" t="s">
        <v>885</v>
      </c>
      <c r="GID640" s="1572"/>
      <c r="GIE640" s="1572"/>
      <c r="GIF640" s="1572"/>
      <c r="GIG640" s="1572"/>
      <c r="GIH640" s="1572"/>
      <c r="GII640" s="1572"/>
      <c r="GIJ640" s="1572"/>
      <c r="GIK640" s="1572" t="s">
        <v>885</v>
      </c>
      <c r="GIL640" s="1572"/>
      <c r="GIM640" s="1572"/>
      <c r="GIN640" s="1572"/>
      <c r="GIO640" s="1572"/>
      <c r="GIP640" s="1572"/>
      <c r="GIQ640" s="1572"/>
      <c r="GIR640" s="1572"/>
      <c r="GIS640" s="1572" t="s">
        <v>885</v>
      </c>
      <c r="GIT640" s="1572"/>
      <c r="GIU640" s="1572"/>
      <c r="GIV640" s="1572"/>
      <c r="GIW640" s="1572"/>
      <c r="GIX640" s="1572"/>
      <c r="GIY640" s="1572"/>
      <c r="GIZ640" s="1572"/>
      <c r="GJA640" s="1572" t="s">
        <v>885</v>
      </c>
      <c r="GJB640" s="1572"/>
      <c r="GJC640" s="1572"/>
      <c r="GJD640" s="1572"/>
      <c r="GJE640" s="1572"/>
      <c r="GJF640" s="1572"/>
      <c r="GJG640" s="1572"/>
      <c r="GJH640" s="1572"/>
      <c r="GJI640" s="1572" t="s">
        <v>885</v>
      </c>
      <c r="GJJ640" s="1572"/>
      <c r="GJK640" s="1572"/>
      <c r="GJL640" s="1572"/>
      <c r="GJM640" s="1572"/>
      <c r="GJN640" s="1572"/>
      <c r="GJO640" s="1572"/>
      <c r="GJP640" s="1572"/>
      <c r="GJQ640" s="1572" t="s">
        <v>885</v>
      </c>
      <c r="GJR640" s="1572"/>
      <c r="GJS640" s="1572"/>
      <c r="GJT640" s="1572"/>
      <c r="GJU640" s="1572"/>
      <c r="GJV640" s="1572"/>
      <c r="GJW640" s="1572"/>
      <c r="GJX640" s="1572"/>
      <c r="GJY640" s="1572" t="s">
        <v>885</v>
      </c>
      <c r="GJZ640" s="1572"/>
      <c r="GKA640" s="1572"/>
      <c r="GKB640" s="1572"/>
      <c r="GKC640" s="1572"/>
      <c r="GKD640" s="1572"/>
      <c r="GKE640" s="1572"/>
      <c r="GKF640" s="1572"/>
      <c r="GKG640" s="1572" t="s">
        <v>885</v>
      </c>
      <c r="GKH640" s="1572"/>
      <c r="GKI640" s="1572"/>
      <c r="GKJ640" s="1572"/>
      <c r="GKK640" s="1572"/>
      <c r="GKL640" s="1572"/>
      <c r="GKM640" s="1572"/>
      <c r="GKN640" s="1572"/>
      <c r="GKO640" s="1572" t="s">
        <v>885</v>
      </c>
      <c r="GKP640" s="1572"/>
      <c r="GKQ640" s="1572"/>
      <c r="GKR640" s="1572"/>
      <c r="GKS640" s="1572"/>
      <c r="GKT640" s="1572"/>
      <c r="GKU640" s="1572"/>
      <c r="GKV640" s="1572"/>
      <c r="GKW640" s="1572" t="s">
        <v>885</v>
      </c>
      <c r="GKX640" s="1572"/>
      <c r="GKY640" s="1572"/>
      <c r="GKZ640" s="1572"/>
      <c r="GLA640" s="1572"/>
      <c r="GLB640" s="1572"/>
      <c r="GLC640" s="1572"/>
      <c r="GLD640" s="1572"/>
      <c r="GLE640" s="1572" t="s">
        <v>885</v>
      </c>
      <c r="GLF640" s="1572"/>
      <c r="GLG640" s="1572"/>
      <c r="GLH640" s="1572"/>
      <c r="GLI640" s="1572"/>
      <c r="GLJ640" s="1572"/>
      <c r="GLK640" s="1572"/>
      <c r="GLL640" s="1572"/>
      <c r="GLM640" s="1572" t="s">
        <v>885</v>
      </c>
      <c r="GLN640" s="1572"/>
      <c r="GLO640" s="1572"/>
      <c r="GLP640" s="1572"/>
      <c r="GLQ640" s="1572"/>
      <c r="GLR640" s="1572"/>
      <c r="GLS640" s="1572"/>
      <c r="GLT640" s="1572"/>
      <c r="GLU640" s="1572" t="s">
        <v>885</v>
      </c>
      <c r="GLV640" s="1572"/>
      <c r="GLW640" s="1572"/>
      <c r="GLX640" s="1572"/>
      <c r="GLY640" s="1572"/>
      <c r="GLZ640" s="1572"/>
      <c r="GMA640" s="1572"/>
      <c r="GMB640" s="1572"/>
      <c r="GMC640" s="1572" t="s">
        <v>885</v>
      </c>
      <c r="GMD640" s="1572"/>
      <c r="GME640" s="1572"/>
      <c r="GMF640" s="1572"/>
      <c r="GMG640" s="1572"/>
      <c r="GMH640" s="1572"/>
      <c r="GMI640" s="1572"/>
      <c r="GMJ640" s="1572"/>
      <c r="GMK640" s="1572" t="s">
        <v>885</v>
      </c>
      <c r="GML640" s="1572"/>
      <c r="GMM640" s="1572"/>
      <c r="GMN640" s="1572"/>
      <c r="GMO640" s="1572"/>
      <c r="GMP640" s="1572"/>
      <c r="GMQ640" s="1572"/>
      <c r="GMR640" s="1572"/>
      <c r="GMS640" s="1572" t="s">
        <v>885</v>
      </c>
      <c r="GMT640" s="1572"/>
      <c r="GMU640" s="1572"/>
      <c r="GMV640" s="1572"/>
      <c r="GMW640" s="1572"/>
      <c r="GMX640" s="1572"/>
      <c r="GMY640" s="1572"/>
      <c r="GMZ640" s="1572"/>
      <c r="GNA640" s="1572" t="s">
        <v>885</v>
      </c>
      <c r="GNB640" s="1572"/>
      <c r="GNC640" s="1572"/>
      <c r="GND640" s="1572"/>
      <c r="GNE640" s="1572"/>
      <c r="GNF640" s="1572"/>
      <c r="GNG640" s="1572"/>
      <c r="GNH640" s="1572"/>
      <c r="GNI640" s="1572" t="s">
        <v>885</v>
      </c>
      <c r="GNJ640" s="1572"/>
      <c r="GNK640" s="1572"/>
      <c r="GNL640" s="1572"/>
      <c r="GNM640" s="1572"/>
      <c r="GNN640" s="1572"/>
      <c r="GNO640" s="1572"/>
      <c r="GNP640" s="1572"/>
      <c r="GNQ640" s="1572" t="s">
        <v>885</v>
      </c>
      <c r="GNR640" s="1572"/>
      <c r="GNS640" s="1572"/>
      <c r="GNT640" s="1572"/>
      <c r="GNU640" s="1572"/>
      <c r="GNV640" s="1572"/>
      <c r="GNW640" s="1572"/>
      <c r="GNX640" s="1572"/>
      <c r="GNY640" s="1572" t="s">
        <v>885</v>
      </c>
      <c r="GNZ640" s="1572"/>
      <c r="GOA640" s="1572"/>
      <c r="GOB640" s="1572"/>
      <c r="GOC640" s="1572"/>
      <c r="GOD640" s="1572"/>
      <c r="GOE640" s="1572"/>
      <c r="GOF640" s="1572"/>
      <c r="GOG640" s="1572" t="s">
        <v>885</v>
      </c>
      <c r="GOH640" s="1572"/>
      <c r="GOI640" s="1572"/>
      <c r="GOJ640" s="1572"/>
      <c r="GOK640" s="1572"/>
      <c r="GOL640" s="1572"/>
      <c r="GOM640" s="1572"/>
      <c r="GON640" s="1572"/>
      <c r="GOO640" s="1572" t="s">
        <v>885</v>
      </c>
      <c r="GOP640" s="1572"/>
      <c r="GOQ640" s="1572"/>
      <c r="GOR640" s="1572"/>
      <c r="GOS640" s="1572"/>
      <c r="GOT640" s="1572"/>
      <c r="GOU640" s="1572"/>
      <c r="GOV640" s="1572"/>
      <c r="GOW640" s="1572" t="s">
        <v>885</v>
      </c>
      <c r="GOX640" s="1572"/>
      <c r="GOY640" s="1572"/>
      <c r="GOZ640" s="1572"/>
      <c r="GPA640" s="1572"/>
      <c r="GPB640" s="1572"/>
      <c r="GPC640" s="1572"/>
      <c r="GPD640" s="1572"/>
      <c r="GPE640" s="1572" t="s">
        <v>885</v>
      </c>
      <c r="GPF640" s="1572"/>
      <c r="GPG640" s="1572"/>
      <c r="GPH640" s="1572"/>
      <c r="GPI640" s="1572"/>
      <c r="GPJ640" s="1572"/>
      <c r="GPK640" s="1572"/>
      <c r="GPL640" s="1572"/>
      <c r="GPM640" s="1572" t="s">
        <v>885</v>
      </c>
      <c r="GPN640" s="1572"/>
      <c r="GPO640" s="1572"/>
      <c r="GPP640" s="1572"/>
      <c r="GPQ640" s="1572"/>
      <c r="GPR640" s="1572"/>
      <c r="GPS640" s="1572"/>
      <c r="GPT640" s="1572"/>
      <c r="GPU640" s="1572" t="s">
        <v>885</v>
      </c>
      <c r="GPV640" s="1572"/>
      <c r="GPW640" s="1572"/>
      <c r="GPX640" s="1572"/>
      <c r="GPY640" s="1572"/>
      <c r="GPZ640" s="1572"/>
      <c r="GQA640" s="1572"/>
      <c r="GQB640" s="1572"/>
      <c r="GQC640" s="1572" t="s">
        <v>885</v>
      </c>
      <c r="GQD640" s="1572"/>
      <c r="GQE640" s="1572"/>
      <c r="GQF640" s="1572"/>
      <c r="GQG640" s="1572"/>
      <c r="GQH640" s="1572"/>
      <c r="GQI640" s="1572"/>
      <c r="GQJ640" s="1572"/>
      <c r="GQK640" s="1572" t="s">
        <v>885</v>
      </c>
      <c r="GQL640" s="1572"/>
      <c r="GQM640" s="1572"/>
      <c r="GQN640" s="1572"/>
      <c r="GQO640" s="1572"/>
      <c r="GQP640" s="1572"/>
      <c r="GQQ640" s="1572"/>
      <c r="GQR640" s="1572"/>
      <c r="GQS640" s="1572" t="s">
        <v>885</v>
      </c>
      <c r="GQT640" s="1572"/>
      <c r="GQU640" s="1572"/>
      <c r="GQV640" s="1572"/>
      <c r="GQW640" s="1572"/>
      <c r="GQX640" s="1572"/>
      <c r="GQY640" s="1572"/>
      <c r="GQZ640" s="1572"/>
      <c r="GRA640" s="1572" t="s">
        <v>885</v>
      </c>
      <c r="GRB640" s="1572"/>
      <c r="GRC640" s="1572"/>
      <c r="GRD640" s="1572"/>
      <c r="GRE640" s="1572"/>
      <c r="GRF640" s="1572"/>
      <c r="GRG640" s="1572"/>
      <c r="GRH640" s="1572"/>
      <c r="GRI640" s="1572" t="s">
        <v>885</v>
      </c>
      <c r="GRJ640" s="1572"/>
      <c r="GRK640" s="1572"/>
      <c r="GRL640" s="1572"/>
      <c r="GRM640" s="1572"/>
      <c r="GRN640" s="1572"/>
      <c r="GRO640" s="1572"/>
      <c r="GRP640" s="1572"/>
      <c r="GRQ640" s="1572" t="s">
        <v>885</v>
      </c>
      <c r="GRR640" s="1572"/>
      <c r="GRS640" s="1572"/>
      <c r="GRT640" s="1572"/>
      <c r="GRU640" s="1572"/>
      <c r="GRV640" s="1572"/>
      <c r="GRW640" s="1572"/>
      <c r="GRX640" s="1572"/>
      <c r="GRY640" s="1572" t="s">
        <v>885</v>
      </c>
      <c r="GRZ640" s="1572"/>
      <c r="GSA640" s="1572"/>
      <c r="GSB640" s="1572"/>
      <c r="GSC640" s="1572"/>
      <c r="GSD640" s="1572"/>
      <c r="GSE640" s="1572"/>
      <c r="GSF640" s="1572"/>
      <c r="GSG640" s="1572" t="s">
        <v>885</v>
      </c>
      <c r="GSH640" s="1572"/>
      <c r="GSI640" s="1572"/>
      <c r="GSJ640" s="1572"/>
      <c r="GSK640" s="1572"/>
      <c r="GSL640" s="1572"/>
      <c r="GSM640" s="1572"/>
      <c r="GSN640" s="1572"/>
      <c r="GSO640" s="1572" t="s">
        <v>885</v>
      </c>
      <c r="GSP640" s="1572"/>
      <c r="GSQ640" s="1572"/>
      <c r="GSR640" s="1572"/>
      <c r="GSS640" s="1572"/>
      <c r="GST640" s="1572"/>
      <c r="GSU640" s="1572"/>
      <c r="GSV640" s="1572"/>
      <c r="GSW640" s="1572" t="s">
        <v>885</v>
      </c>
      <c r="GSX640" s="1572"/>
      <c r="GSY640" s="1572"/>
      <c r="GSZ640" s="1572"/>
      <c r="GTA640" s="1572"/>
      <c r="GTB640" s="1572"/>
      <c r="GTC640" s="1572"/>
      <c r="GTD640" s="1572"/>
      <c r="GTE640" s="1572" t="s">
        <v>885</v>
      </c>
      <c r="GTF640" s="1572"/>
      <c r="GTG640" s="1572"/>
      <c r="GTH640" s="1572"/>
      <c r="GTI640" s="1572"/>
      <c r="GTJ640" s="1572"/>
      <c r="GTK640" s="1572"/>
      <c r="GTL640" s="1572"/>
      <c r="GTM640" s="1572" t="s">
        <v>885</v>
      </c>
      <c r="GTN640" s="1572"/>
      <c r="GTO640" s="1572"/>
      <c r="GTP640" s="1572"/>
      <c r="GTQ640" s="1572"/>
      <c r="GTR640" s="1572"/>
      <c r="GTS640" s="1572"/>
      <c r="GTT640" s="1572"/>
      <c r="GTU640" s="1572" t="s">
        <v>885</v>
      </c>
      <c r="GTV640" s="1572"/>
      <c r="GTW640" s="1572"/>
      <c r="GTX640" s="1572"/>
      <c r="GTY640" s="1572"/>
      <c r="GTZ640" s="1572"/>
      <c r="GUA640" s="1572"/>
      <c r="GUB640" s="1572"/>
      <c r="GUC640" s="1572" t="s">
        <v>885</v>
      </c>
      <c r="GUD640" s="1572"/>
      <c r="GUE640" s="1572"/>
      <c r="GUF640" s="1572"/>
      <c r="GUG640" s="1572"/>
      <c r="GUH640" s="1572"/>
      <c r="GUI640" s="1572"/>
      <c r="GUJ640" s="1572"/>
      <c r="GUK640" s="1572" t="s">
        <v>885</v>
      </c>
      <c r="GUL640" s="1572"/>
      <c r="GUM640" s="1572"/>
      <c r="GUN640" s="1572"/>
      <c r="GUO640" s="1572"/>
      <c r="GUP640" s="1572"/>
      <c r="GUQ640" s="1572"/>
      <c r="GUR640" s="1572"/>
      <c r="GUS640" s="1572" t="s">
        <v>885</v>
      </c>
      <c r="GUT640" s="1572"/>
      <c r="GUU640" s="1572"/>
      <c r="GUV640" s="1572"/>
      <c r="GUW640" s="1572"/>
      <c r="GUX640" s="1572"/>
      <c r="GUY640" s="1572"/>
      <c r="GUZ640" s="1572"/>
      <c r="GVA640" s="1572" t="s">
        <v>885</v>
      </c>
      <c r="GVB640" s="1572"/>
      <c r="GVC640" s="1572"/>
      <c r="GVD640" s="1572"/>
      <c r="GVE640" s="1572"/>
      <c r="GVF640" s="1572"/>
      <c r="GVG640" s="1572"/>
      <c r="GVH640" s="1572"/>
      <c r="GVI640" s="1572" t="s">
        <v>885</v>
      </c>
      <c r="GVJ640" s="1572"/>
      <c r="GVK640" s="1572"/>
      <c r="GVL640" s="1572"/>
      <c r="GVM640" s="1572"/>
      <c r="GVN640" s="1572"/>
      <c r="GVO640" s="1572"/>
      <c r="GVP640" s="1572"/>
      <c r="GVQ640" s="1572" t="s">
        <v>885</v>
      </c>
      <c r="GVR640" s="1572"/>
      <c r="GVS640" s="1572"/>
      <c r="GVT640" s="1572"/>
      <c r="GVU640" s="1572"/>
      <c r="GVV640" s="1572"/>
      <c r="GVW640" s="1572"/>
      <c r="GVX640" s="1572"/>
      <c r="GVY640" s="1572" t="s">
        <v>885</v>
      </c>
      <c r="GVZ640" s="1572"/>
      <c r="GWA640" s="1572"/>
      <c r="GWB640" s="1572"/>
      <c r="GWC640" s="1572"/>
      <c r="GWD640" s="1572"/>
      <c r="GWE640" s="1572"/>
      <c r="GWF640" s="1572"/>
      <c r="GWG640" s="1572" t="s">
        <v>885</v>
      </c>
      <c r="GWH640" s="1572"/>
      <c r="GWI640" s="1572"/>
      <c r="GWJ640" s="1572"/>
      <c r="GWK640" s="1572"/>
      <c r="GWL640" s="1572"/>
      <c r="GWM640" s="1572"/>
      <c r="GWN640" s="1572"/>
      <c r="GWO640" s="1572" t="s">
        <v>885</v>
      </c>
      <c r="GWP640" s="1572"/>
      <c r="GWQ640" s="1572"/>
      <c r="GWR640" s="1572"/>
      <c r="GWS640" s="1572"/>
      <c r="GWT640" s="1572"/>
      <c r="GWU640" s="1572"/>
      <c r="GWV640" s="1572"/>
      <c r="GWW640" s="1572" t="s">
        <v>885</v>
      </c>
      <c r="GWX640" s="1572"/>
      <c r="GWY640" s="1572"/>
      <c r="GWZ640" s="1572"/>
      <c r="GXA640" s="1572"/>
      <c r="GXB640" s="1572"/>
      <c r="GXC640" s="1572"/>
      <c r="GXD640" s="1572"/>
      <c r="GXE640" s="1572" t="s">
        <v>885</v>
      </c>
      <c r="GXF640" s="1572"/>
      <c r="GXG640" s="1572"/>
      <c r="GXH640" s="1572"/>
      <c r="GXI640" s="1572"/>
      <c r="GXJ640" s="1572"/>
      <c r="GXK640" s="1572"/>
      <c r="GXL640" s="1572"/>
      <c r="GXM640" s="1572" t="s">
        <v>885</v>
      </c>
      <c r="GXN640" s="1572"/>
      <c r="GXO640" s="1572"/>
      <c r="GXP640" s="1572"/>
      <c r="GXQ640" s="1572"/>
      <c r="GXR640" s="1572"/>
      <c r="GXS640" s="1572"/>
      <c r="GXT640" s="1572"/>
      <c r="GXU640" s="1572" t="s">
        <v>885</v>
      </c>
      <c r="GXV640" s="1572"/>
      <c r="GXW640" s="1572"/>
      <c r="GXX640" s="1572"/>
      <c r="GXY640" s="1572"/>
      <c r="GXZ640" s="1572"/>
      <c r="GYA640" s="1572"/>
      <c r="GYB640" s="1572"/>
      <c r="GYC640" s="1572" t="s">
        <v>885</v>
      </c>
      <c r="GYD640" s="1572"/>
      <c r="GYE640" s="1572"/>
      <c r="GYF640" s="1572"/>
      <c r="GYG640" s="1572"/>
      <c r="GYH640" s="1572"/>
      <c r="GYI640" s="1572"/>
      <c r="GYJ640" s="1572"/>
      <c r="GYK640" s="1572" t="s">
        <v>885</v>
      </c>
      <c r="GYL640" s="1572"/>
      <c r="GYM640" s="1572"/>
      <c r="GYN640" s="1572"/>
      <c r="GYO640" s="1572"/>
      <c r="GYP640" s="1572"/>
      <c r="GYQ640" s="1572"/>
      <c r="GYR640" s="1572"/>
      <c r="GYS640" s="1572" t="s">
        <v>885</v>
      </c>
      <c r="GYT640" s="1572"/>
      <c r="GYU640" s="1572"/>
      <c r="GYV640" s="1572"/>
      <c r="GYW640" s="1572"/>
      <c r="GYX640" s="1572"/>
      <c r="GYY640" s="1572"/>
      <c r="GYZ640" s="1572"/>
      <c r="GZA640" s="1572" t="s">
        <v>885</v>
      </c>
      <c r="GZB640" s="1572"/>
      <c r="GZC640" s="1572"/>
      <c r="GZD640" s="1572"/>
      <c r="GZE640" s="1572"/>
      <c r="GZF640" s="1572"/>
      <c r="GZG640" s="1572"/>
      <c r="GZH640" s="1572"/>
      <c r="GZI640" s="1572" t="s">
        <v>885</v>
      </c>
      <c r="GZJ640" s="1572"/>
      <c r="GZK640" s="1572"/>
      <c r="GZL640" s="1572"/>
      <c r="GZM640" s="1572"/>
      <c r="GZN640" s="1572"/>
      <c r="GZO640" s="1572"/>
      <c r="GZP640" s="1572"/>
      <c r="GZQ640" s="1572" t="s">
        <v>885</v>
      </c>
      <c r="GZR640" s="1572"/>
      <c r="GZS640" s="1572"/>
      <c r="GZT640" s="1572"/>
      <c r="GZU640" s="1572"/>
      <c r="GZV640" s="1572"/>
      <c r="GZW640" s="1572"/>
      <c r="GZX640" s="1572"/>
      <c r="GZY640" s="1572" t="s">
        <v>885</v>
      </c>
      <c r="GZZ640" s="1572"/>
      <c r="HAA640" s="1572"/>
      <c r="HAB640" s="1572"/>
      <c r="HAC640" s="1572"/>
      <c r="HAD640" s="1572"/>
      <c r="HAE640" s="1572"/>
      <c r="HAF640" s="1572"/>
      <c r="HAG640" s="1572" t="s">
        <v>885</v>
      </c>
      <c r="HAH640" s="1572"/>
      <c r="HAI640" s="1572"/>
      <c r="HAJ640" s="1572"/>
      <c r="HAK640" s="1572"/>
      <c r="HAL640" s="1572"/>
      <c r="HAM640" s="1572"/>
      <c r="HAN640" s="1572"/>
      <c r="HAO640" s="1572" t="s">
        <v>885</v>
      </c>
      <c r="HAP640" s="1572"/>
      <c r="HAQ640" s="1572"/>
      <c r="HAR640" s="1572"/>
      <c r="HAS640" s="1572"/>
      <c r="HAT640" s="1572"/>
      <c r="HAU640" s="1572"/>
      <c r="HAV640" s="1572"/>
      <c r="HAW640" s="1572" t="s">
        <v>885</v>
      </c>
      <c r="HAX640" s="1572"/>
      <c r="HAY640" s="1572"/>
      <c r="HAZ640" s="1572"/>
      <c r="HBA640" s="1572"/>
      <c r="HBB640" s="1572"/>
      <c r="HBC640" s="1572"/>
      <c r="HBD640" s="1572"/>
      <c r="HBE640" s="1572" t="s">
        <v>885</v>
      </c>
      <c r="HBF640" s="1572"/>
      <c r="HBG640" s="1572"/>
      <c r="HBH640" s="1572"/>
      <c r="HBI640" s="1572"/>
      <c r="HBJ640" s="1572"/>
      <c r="HBK640" s="1572"/>
      <c r="HBL640" s="1572"/>
      <c r="HBM640" s="1572" t="s">
        <v>885</v>
      </c>
      <c r="HBN640" s="1572"/>
      <c r="HBO640" s="1572"/>
      <c r="HBP640" s="1572"/>
      <c r="HBQ640" s="1572"/>
      <c r="HBR640" s="1572"/>
      <c r="HBS640" s="1572"/>
      <c r="HBT640" s="1572"/>
      <c r="HBU640" s="1572" t="s">
        <v>885</v>
      </c>
      <c r="HBV640" s="1572"/>
      <c r="HBW640" s="1572"/>
      <c r="HBX640" s="1572"/>
      <c r="HBY640" s="1572"/>
      <c r="HBZ640" s="1572"/>
      <c r="HCA640" s="1572"/>
      <c r="HCB640" s="1572"/>
      <c r="HCC640" s="1572" t="s">
        <v>885</v>
      </c>
      <c r="HCD640" s="1572"/>
      <c r="HCE640" s="1572"/>
      <c r="HCF640" s="1572"/>
      <c r="HCG640" s="1572"/>
      <c r="HCH640" s="1572"/>
      <c r="HCI640" s="1572"/>
      <c r="HCJ640" s="1572"/>
      <c r="HCK640" s="1572" t="s">
        <v>885</v>
      </c>
      <c r="HCL640" s="1572"/>
      <c r="HCM640" s="1572"/>
      <c r="HCN640" s="1572"/>
      <c r="HCO640" s="1572"/>
      <c r="HCP640" s="1572"/>
      <c r="HCQ640" s="1572"/>
      <c r="HCR640" s="1572"/>
      <c r="HCS640" s="1572" t="s">
        <v>885</v>
      </c>
      <c r="HCT640" s="1572"/>
      <c r="HCU640" s="1572"/>
      <c r="HCV640" s="1572"/>
      <c r="HCW640" s="1572"/>
      <c r="HCX640" s="1572"/>
      <c r="HCY640" s="1572"/>
      <c r="HCZ640" s="1572"/>
      <c r="HDA640" s="1572" t="s">
        <v>885</v>
      </c>
      <c r="HDB640" s="1572"/>
      <c r="HDC640" s="1572"/>
      <c r="HDD640" s="1572"/>
      <c r="HDE640" s="1572"/>
      <c r="HDF640" s="1572"/>
      <c r="HDG640" s="1572"/>
      <c r="HDH640" s="1572"/>
      <c r="HDI640" s="1572" t="s">
        <v>885</v>
      </c>
      <c r="HDJ640" s="1572"/>
      <c r="HDK640" s="1572"/>
      <c r="HDL640" s="1572"/>
      <c r="HDM640" s="1572"/>
      <c r="HDN640" s="1572"/>
      <c r="HDO640" s="1572"/>
      <c r="HDP640" s="1572"/>
      <c r="HDQ640" s="1572" t="s">
        <v>885</v>
      </c>
      <c r="HDR640" s="1572"/>
      <c r="HDS640" s="1572"/>
      <c r="HDT640" s="1572"/>
      <c r="HDU640" s="1572"/>
      <c r="HDV640" s="1572"/>
      <c r="HDW640" s="1572"/>
      <c r="HDX640" s="1572"/>
      <c r="HDY640" s="1572" t="s">
        <v>885</v>
      </c>
      <c r="HDZ640" s="1572"/>
      <c r="HEA640" s="1572"/>
      <c r="HEB640" s="1572"/>
      <c r="HEC640" s="1572"/>
      <c r="HED640" s="1572"/>
      <c r="HEE640" s="1572"/>
      <c r="HEF640" s="1572"/>
      <c r="HEG640" s="1572" t="s">
        <v>885</v>
      </c>
      <c r="HEH640" s="1572"/>
      <c r="HEI640" s="1572"/>
      <c r="HEJ640" s="1572"/>
      <c r="HEK640" s="1572"/>
      <c r="HEL640" s="1572"/>
      <c r="HEM640" s="1572"/>
      <c r="HEN640" s="1572"/>
      <c r="HEO640" s="1572" t="s">
        <v>885</v>
      </c>
      <c r="HEP640" s="1572"/>
      <c r="HEQ640" s="1572"/>
      <c r="HER640" s="1572"/>
      <c r="HES640" s="1572"/>
      <c r="HET640" s="1572"/>
      <c r="HEU640" s="1572"/>
      <c r="HEV640" s="1572"/>
      <c r="HEW640" s="1572" t="s">
        <v>885</v>
      </c>
      <c r="HEX640" s="1572"/>
      <c r="HEY640" s="1572"/>
      <c r="HEZ640" s="1572"/>
      <c r="HFA640" s="1572"/>
      <c r="HFB640" s="1572"/>
      <c r="HFC640" s="1572"/>
      <c r="HFD640" s="1572"/>
      <c r="HFE640" s="1572" t="s">
        <v>885</v>
      </c>
      <c r="HFF640" s="1572"/>
      <c r="HFG640" s="1572"/>
      <c r="HFH640" s="1572"/>
      <c r="HFI640" s="1572"/>
      <c r="HFJ640" s="1572"/>
      <c r="HFK640" s="1572"/>
      <c r="HFL640" s="1572"/>
      <c r="HFM640" s="1572" t="s">
        <v>885</v>
      </c>
      <c r="HFN640" s="1572"/>
      <c r="HFO640" s="1572"/>
      <c r="HFP640" s="1572"/>
      <c r="HFQ640" s="1572"/>
      <c r="HFR640" s="1572"/>
      <c r="HFS640" s="1572"/>
      <c r="HFT640" s="1572"/>
      <c r="HFU640" s="1572" t="s">
        <v>885</v>
      </c>
      <c r="HFV640" s="1572"/>
      <c r="HFW640" s="1572"/>
      <c r="HFX640" s="1572"/>
      <c r="HFY640" s="1572"/>
      <c r="HFZ640" s="1572"/>
      <c r="HGA640" s="1572"/>
      <c r="HGB640" s="1572"/>
      <c r="HGC640" s="1572" t="s">
        <v>885</v>
      </c>
      <c r="HGD640" s="1572"/>
      <c r="HGE640" s="1572"/>
      <c r="HGF640" s="1572"/>
      <c r="HGG640" s="1572"/>
      <c r="HGH640" s="1572"/>
      <c r="HGI640" s="1572"/>
      <c r="HGJ640" s="1572"/>
      <c r="HGK640" s="1572" t="s">
        <v>885</v>
      </c>
      <c r="HGL640" s="1572"/>
      <c r="HGM640" s="1572"/>
      <c r="HGN640" s="1572"/>
      <c r="HGO640" s="1572"/>
      <c r="HGP640" s="1572"/>
      <c r="HGQ640" s="1572"/>
      <c r="HGR640" s="1572"/>
      <c r="HGS640" s="1572" t="s">
        <v>885</v>
      </c>
      <c r="HGT640" s="1572"/>
      <c r="HGU640" s="1572"/>
      <c r="HGV640" s="1572"/>
      <c r="HGW640" s="1572"/>
      <c r="HGX640" s="1572"/>
      <c r="HGY640" s="1572"/>
      <c r="HGZ640" s="1572"/>
      <c r="HHA640" s="1572" t="s">
        <v>885</v>
      </c>
      <c r="HHB640" s="1572"/>
      <c r="HHC640" s="1572"/>
      <c r="HHD640" s="1572"/>
      <c r="HHE640" s="1572"/>
      <c r="HHF640" s="1572"/>
      <c r="HHG640" s="1572"/>
      <c r="HHH640" s="1572"/>
      <c r="HHI640" s="1572" t="s">
        <v>885</v>
      </c>
      <c r="HHJ640" s="1572"/>
      <c r="HHK640" s="1572"/>
      <c r="HHL640" s="1572"/>
      <c r="HHM640" s="1572"/>
      <c r="HHN640" s="1572"/>
      <c r="HHO640" s="1572"/>
      <c r="HHP640" s="1572"/>
      <c r="HHQ640" s="1572" t="s">
        <v>885</v>
      </c>
      <c r="HHR640" s="1572"/>
      <c r="HHS640" s="1572"/>
      <c r="HHT640" s="1572"/>
      <c r="HHU640" s="1572"/>
      <c r="HHV640" s="1572"/>
      <c r="HHW640" s="1572"/>
      <c r="HHX640" s="1572"/>
      <c r="HHY640" s="1572" t="s">
        <v>885</v>
      </c>
      <c r="HHZ640" s="1572"/>
      <c r="HIA640" s="1572"/>
      <c r="HIB640" s="1572"/>
      <c r="HIC640" s="1572"/>
      <c r="HID640" s="1572"/>
      <c r="HIE640" s="1572"/>
      <c r="HIF640" s="1572"/>
      <c r="HIG640" s="1572" t="s">
        <v>885</v>
      </c>
      <c r="HIH640" s="1572"/>
      <c r="HII640" s="1572"/>
      <c r="HIJ640" s="1572"/>
      <c r="HIK640" s="1572"/>
      <c r="HIL640" s="1572"/>
      <c r="HIM640" s="1572"/>
      <c r="HIN640" s="1572"/>
      <c r="HIO640" s="1572" t="s">
        <v>885</v>
      </c>
      <c r="HIP640" s="1572"/>
      <c r="HIQ640" s="1572"/>
      <c r="HIR640" s="1572"/>
      <c r="HIS640" s="1572"/>
      <c r="HIT640" s="1572"/>
      <c r="HIU640" s="1572"/>
      <c r="HIV640" s="1572"/>
      <c r="HIW640" s="1572" t="s">
        <v>885</v>
      </c>
      <c r="HIX640" s="1572"/>
      <c r="HIY640" s="1572"/>
      <c r="HIZ640" s="1572"/>
      <c r="HJA640" s="1572"/>
      <c r="HJB640" s="1572"/>
      <c r="HJC640" s="1572"/>
      <c r="HJD640" s="1572"/>
      <c r="HJE640" s="1572" t="s">
        <v>885</v>
      </c>
      <c r="HJF640" s="1572"/>
      <c r="HJG640" s="1572"/>
      <c r="HJH640" s="1572"/>
      <c r="HJI640" s="1572"/>
      <c r="HJJ640" s="1572"/>
      <c r="HJK640" s="1572"/>
      <c r="HJL640" s="1572"/>
      <c r="HJM640" s="1572" t="s">
        <v>885</v>
      </c>
      <c r="HJN640" s="1572"/>
      <c r="HJO640" s="1572"/>
      <c r="HJP640" s="1572"/>
      <c r="HJQ640" s="1572"/>
      <c r="HJR640" s="1572"/>
      <c r="HJS640" s="1572"/>
      <c r="HJT640" s="1572"/>
      <c r="HJU640" s="1572" t="s">
        <v>885</v>
      </c>
      <c r="HJV640" s="1572"/>
      <c r="HJW640" s="1572"/>
      <c r="HJX640" s="1572"/>
      <c r="HJY640" s="1572"/>
      <c r="HJZ640" s="1572"/>
      <c r="HKA640" s="1572"/>
      <c r="HKB640" s="1572"/>
      <c r="HKC640" s="1572" t="s">
        <v>885</v>
      </c>
      <c r="HKD640" s="1572"/>
      <c r="HKE640" s="1572"/>
      <c r="HKF640" s="1572"/>
      <c r="HKG640" s="1572"/>
      <c r="HKH640" s="1572"/>
      <c r="HKI640" s="1572"/>
      <c r="HKJ640" s="1572"/>
      <c r="HKK640" s="1572" t="s">
        <v>885</v>
      </c>
      <c r="HKL640" s="1572"/>
      <c r="HKM640" s="1572"/>
      <c r="HKN640" s="1572"/>
      <c r="HKO640" s="1572"/>
      <c r="HKP640" s="1572"/>
      <c r="HKQ640" s="1572"/>
      <c r="HKR640" s="1572"/>
      <c r="HKS640" s="1572" t="s">
        <v>885</v>
      </c>
      <c r="HKT640" s="1572"/>
      <c r="HKU640" s="1572"/>
      <c r="HKV640" s="1572"/>
      <c r="HKW640" s="1572"/>
      <c r="HKX640" s="1572"/>
      <c r="HKY640" s="1572"/>
      <c r="HKZ640" s="1572"/>
      <c r="HLA640" s="1572" t="s">
        <v>885</v>
      </c>
      <c r="HLB640" s="1572"/>
      <c r="HLC640" s="1572"/>
      <c r="HLD640" s="1572"/>
      <c r="HLE640" s="1572"/>
      <c r="HLF640" s="1572"/>
      <c r="HLG640" s="1572"/>
      <c r="HLH640" s="1572"/>
      <c r="HLI640" s="1572" t="s">
        <v>885</v>
      </c>
      <c r="HLJ640" s="1572"/>
      <c r="HLK640" s="1572"/>
      <c r="HLL640" s="1572"/>
      <c r="HLM640" s="1572"/>
      <c r="HLN640" s="1572"/>
      <c r="HLO640" s="1572"/>
      <c r="HLP640" s="1572"/>
      <c r="HLQ640" s="1572" t="s">
        <v>885</v>
      </c>
      <c r="HLR640" s="1572"/>
      <c r="HLS640" s="1572"/>
      <c r="HLT640" s="1572"/>
      <c r="HLU640" s="1572"/>
      <c r="HLV640" s="1572"/>
      <c r="HLW640" s="1572"/>
      <c r="HLX640" s="1572"/>
      <c r="HLY640" s="1572" t="s">
        <v>885</v>
      </c>
      <c r="HLZ640" s="1572"/>
      <c r="HMA640" s="1572"/>
      <c r="HMB640" s="1572"/>
      <c r="HMC640" s="1572"/>
      <c r="HMD640" s="1572"/>
      <c r="HME640" s="1572"/>
      <c r="HMF640" s="1572"/>
      <c r="HMG640" s="1572" t="s">
        <v>885</v>
      </c>
      <c r="HMH640" s="1572"/>
      <c r="HMI640" s="1572"/>
      <c r="HMJ640" s="1572"/>
      <c r="HMK640" s="1572"/>
      <c r="HML640" s="1572"/>
      <c r="HMM640" s="1572"/>
      <c r="HMN640" s="1572"/>
      <c r="HMO640" s="1572" t="s">
        <v>885</v>
      </c>
      <c r="HMP640" s="1572"/>
      <c r="HMQ640" s="1572"/>
      <c r="HMR640" s="1572"/>
      <c r="HMS640" s="1572"/>
      <c r="HMT640" s="1572"/>
      <c r="HMU640" s="1572"/>
      <c r="HMV640" s="1572"/>
      <c r="HMW640" s="1572" t="s">
        <v>885</v>
      </c>
      <c r="HMX640" s="1572"/>
      <c r="HMY640" s="1572"/>
      <c r="HMZ640" s="1572"/>
      <c r="HNA640" s="1572"/>
      <c r="HNB640" s="1572"/>
      <c r="HNC640" s="1572"/>
      <c r="HND640" s="1572"/>
      <c r="HNE640" s="1572" t="s">
        <v>885</v>
      </c>
      <c r="HNF640" s="1572"/>
      <c r="HNG640" s="1572"/>
      <c r="HNH640" s="1572"/>
      <c r="HNI640" s="1572"/>
      <c r="HNJ640" s="1572"/>
      <c r="HNK640" s="1572"/>
      <c r="HNL640" s="1572"/>
      <c r="HNM640" s="1572" t="s">
        <v>885</v>
      </c>
      <c r="HNN640" s="1572"/>
      <c r="HNO640" s="1572"/>
      <c r="HNP640" s="1572"/>
      <c r="HNQ640" s="1572"/>
      <c r="HNR640" s="1572"/>
      <c r="HNS640" s="1572"/>
      <c r="HNT640" s="1572"/>
      <c r="HNU640" s="1572" t="s">
        <v>885</v>
      </c>
      <c r="HNV640" s="1572"/>
      <c r="HNW640" s="1572"/>
      <c r="HNX640" s="1572"/>
      <c r="HNY640" s="1572"/>
      <c r="HNZ640" s="1572"/>
      <c r="HOA640" s="1572"/>
      <c r="HOB640" s="1572"/>
      <c r="HOC640" s="1572" t="s">
        <v>885</v>
      </c>
      <c r="HOD640" s="1572"/>
      <c r="HOE640" s="1572"/>
      <c r="HOF640" s="1572"/>
      <c r="HOG640" s="1572"/>
      <c r="HOH640" s="1572"/>
      <c r="HOI640" s="1572"/>
      <c r="HOJ640" s="1572"/>
      <c r="HOK640" s="1572" t="s">
        <v>885</v>
      </c>
      <c r="HOL640" s="1572"/>
      <c r="HOM640" s="1572"/>
      <c r="HON640" s="1572"/>
      <c r="HOO640" s="1572"/>
      <c r="HOP640" s="1572"/>
      <c r="HOQ640" s="1572"/>
      <c r="HOR640" s="1572"/>
      <c r="HOS640" s="1572" t="s">
        <v>885</v>
      </c>
      <c r="HOT640" s="1572"/>
      <c r="HOU640" s="1572"/>
      <c r="HOV640" s="1572"/>
      <c r="HOW640" s="1572"/>
      <c r="HOX640" s="1572"/>
      <c r="HOY640" s="1572"/>
      <c r="HOZ640" s="1572"/>
      <c r="HPA640" s="1572" t="s">
        <v>885</v>
      </c>
      <c r="HPB640" s="1572"/>
      <c r="HPC640" s="1572"/>
      <c r="HPD640" s="1572"/>
      <c r="HPE640" s="1572"/>
      <c r="HPF640" s="1572"/>
      <c r="HPG640" s="1572"/>
      <c r="HPH640" s="1572"/>
      <c r="HPI640" s="1572" t="s">
        <v>885</v>
      </c>
      <c r="HPJ640" s="1572"/>
      <c r="HPK640" s="1572"/>
      <c r="HPL640" s="1572"/>
      <c r="HPM640" s="1572"/>
      <c r="HPN640" s="1572"/>
      <c r="HPO640" s="1572"/>
      <c r="HPP640" s="1572"/>
      <c r="HPQ640" s="1572" t="s">
        <v>885</v>
      </c>
      <c r="HPR640" s="1572"/>
      <c r="HPS640" s="1572"/>
      <c r="HPT640" s="1572"/>
      <c r="HPU640" s="1572"/>
      <c r="HPV640" s="1572"/>
      <c r="HPW640" s="1572"/>
      <c r="HPX640" s="1572"/>
      <c r="HPY640" s="1572" t="s">
        <v>885</v>
      </c>
      <c r="HPZ640" s="1572"/>
      <c r="HQA640" s="1572"/>
      <c r="HQB640" s="1572"/>
      <c r="HQC640" s="1572"/>
      <c r="HQD640" s="1572"/>
      <c r="HQE640" s="1572"/>
      <c r="HQF640" s="1572"/>
      <c r="HQG640" s="1572" t="s">
        <v>885</v>
      </c>
      <c r="HQH640" s="1572"/>
      <c r="HQI640" s="1572"/>
      <c r="HQJ640" s="1572"/>
      <c r="HQK640" s="1572"/>
      <c r="HQL640" s="1572"/>
      <c r="HQM640" s="1572"/>
      <c r="HQN640" s="1572"/>
      <c r="HQO640" s="1572" t="s">
        <v>885</v>
      </c>
      <c r="HQP640" s="1572"/>
      <c r="HQQ640" s="1572"/>
      <c r="HQR640" s="1572"/>
      <c r="HQS640" s="1572"/>
      <c r="HQT640" s="1572"/>
      <c r="HQU640" s="1572"/>
      <c r="HQV640" s="1572"/>
      <c r="HQW640" s="1572" t="s">
        <v>885</v>
      </c>
      <c r="HQX640" s="1572"/>
      <c r="HQY640" s="1572"/>
      <c r="HQZ640" s="1572"/>
      <c r="HRA640" s="1572"/>
      <c r="HRB640" s="1572"/>
      <c r="HRC640" s="1572"/>
      <c r="HRD640" s="1572"/>
      <c r="HRE640" s="1572" t="s">
        <v>885</v>
      </c>
      <c r="HRF640" s="1572"/>
      <c r="HRG640" s="1572"/>
      <c r="HRH640" s="1572"/>
      <c r="HRI640" s="1572"/>
      <c r="HRJ640" s="1572"/>
      <c r="HRK640" s="1572"/>
      <c r="HRL640" s="1572"/>
      <c r="HRM640" s="1572" t="s">
        <v>885</v>
      </c>
      <c r="HRN640" s="1572"/>
      <c r="HRO640" s="1572"/>
      <c r="HRP640" s="1572"/>
      <c r="HRQ640" s="1572"/>
      <c r="HRR640" s="1572"/>
      <c r="HRS640" s="1572"/>
      <c r="HRT640" s="1572"/>
      <c r="HRU640" s="1572" t="s">
        <v>885</v>
      </c>
      <c r="HRV640" s="1572"/>
      <c r="HRW640" s="1572"/>
      <c r="HRX640" s="1572"/>
      <c r="HRY640" s="1572"/>
      <c r="HRZ640" s="1572"/>
      <c r="HSA640" s="1572"/>
      <c r="HSB640" s="1572"/>
      <c r="HSC640" s="1572" t="s">
        <v>885</v>
      </c>
      <c r="HSD640" s="1572"/>
      <c r="HSE640" s="1572"/>
      <c r="HSF640" s="1572"/>
      <c r="HSG640" s="1572"/>
      <c r="HSH640" s="1572"/>
      <c r="HSI640" s="1572"/>
      <c r="HSJ640" s="1572"/>
      <c r="HSK640" s="1572" t="s">
        <v>885</v>
      </c>
      <c r="HSL640" s="1572"/>
      <c r="HSM640" s="1572"/>
      <c r="HSN640" s="1572"/>
      <c r="HSO640" s="1572"/>
      <c r="HSP640" s="1572"/>
      <c r="HSQ640" s="1572"/>
      <c r="HSR640" s="1572"/>
      <c r="HSS640" s="1572" t="s">
        <v>885</v>
      </c>
      <c r="HST640" s="1572"/>
      <c r="HSU640" s="1572"/>
      <c r="HSV640" s="1572"/>
      <c r="HSW640" s="1572"/>
      <c r="HSX640" s="1572"/>
      <c r="HSY640" s="1572"/>
      <c r="HSZ640" s="1572"/>
      <c r="HTA640" s="1572" t="s">
        <v>885</v>
      </c>
      <c r="HTB640" s="1572"/>
      <c r="HTC640" s="1572"/>
      <c r="HTD640" s="1572"/>
      <c r="HTE640" s="1572"/>
      <c r="HTF640" s="1572"/>
      <c r="HTG640" s="1572"/>
      <c r="HTH640" s="1572"/>
      <c r="HTI640" s="1572" t="s">
        <v>885</v>
      </c>
      <c r="HTJ640" s="1572"/>
      <c r="HTK640" s="1572"/>
      <c r="HTL640" s="1572"/>
      <c r="HTM640" s="1572"/>
      <c r="HTN640" s="1572"/>
      <c r="HTO640" s="1572"/>
      <c r="HTP640" s="1572"/>
      <c r="HTQ640" s="1572" t="s">
        <v>885</v>
      </c>
      <c r="HTR640" s="1572"/>
      <c r="HTS640" s="1572"/>
      <c r="HTT640" s="1572"/>
      <c r="HTU640" s="1572"/>
      <c r="HTV640" s="1572"/>
      <c r="HTW640" s="1572"/>
      <c r="HTX640" s="1572"/>
      <c r="HTY640" s="1572" t="s">
        <v>885</v>
      </c>
      <c r="HTZ640" s="1572"/>
      <c r="HUA640" s="1572"/>
      <c r="HUB640" s="1572"/>
      <c r="HUC640" s="1572"/>
      <c r="HUD640" s="1572"/>
      <c r="HUE640" s="1572"/>
      <c r="HUF640" s="1572"/>
      <c r="HUG640" s="1572" t="s">
        <v>885</v>
      </c>
      <c r="HUH640" s="1572"/>
      <c r="HUI640" s="1572"/>
      <c r="HUJ640" s="1572"/>
      <c r="HUK640" s="1572"/>
      <c r="HUL640" s="1572"/>
      <c r="HUM640" s="1572"/>
      <c r="HUN640" s="1572"/>
      <c r="HUO640" s="1572" t="s">
        <v>885</v>
      </c>
      <c r="HUP640" s="1572"/>
      <c r="HUQ640" s="1572"/>
      <c r="HUR640" s="1572"/>
      <c r="HUS640" s="1572"/>
      <c r="HUT640" s="1572"/>
      <c r="HUU640" s="1572"/>
      <c r="HUV640" s="1572"/>
      <c r="HUW640" s="1572" t="s">
        <v>885</v>
      </c>
      <c r="HUX640" s="1572"/>
      <c r="HUY640" s="1572"/>
      <c r="HUZ640" s="1572"/>
      <c r="HVA640" s="1572"/>
      <c r="HVB640" s="1572"/>
      <c r="HVC640" s="1572"/>
      <c r="HVD640" s="1572"/>
      <c r="HVE640" s="1572" t="s">
        <v>885</v>
      </c>
      <c r="HVF640" s="1572"/>
      <c r="HVG640" s="1572"/>
      <c r="HVH640" s="1572"/>
      <c r="HVI640" s="1572"/>
      <c r="HVJ640" s="1572"/>
      <c r="HVK640" s="1572"/>
      <c r="HVL640" s="1572"/>
      <c r="HVM640" s="1572" t="s">
        <v>885</v>
      </c>
      <c r="HVN640" s="1572"/>
      <c r="HVO640" s="1572"/>
      <c r="HVP640" s="1572"/>
      <c r="HVQ640" s="1572"/>
      <c r="HVR640" s="1572"/>
      <c r="HVS640" s="1572"/>
      <c r="HVT640" s="1572"/>
      <c r="HVU640" s="1572" t="s">
        <v>885</v>
      </c>
      <c r="HVV640" s="1572"/>
      <c r="HVW640" s="1572"/>
      <c r="HVX640" s="1572"/>
      <c r="HVY640" s="1572"/>
      <c r="HVZ640" s="1572"/>
      <c r="HWA640" s="1572"/>
      <c r="HWB640" s="1572"/>
      <c r="HWC640" s="1572" t="s">
        <v>885</v>
      </c>
      <c r="HWD640" s="1572"/>
      <c r="HWE640" s="1572"/>
      <c r="HWF640" s="1572"/>
      <c r="HWG640" s="1572"/>
      <c r="HWH640" s="1572"/>
      <c r="HWI640" s="1572"/>
      <c r="HWJ640" s="1572"/>
      <c r="HWK640" s="1572" t="s">
        <v>885</v>
      </c>
      <c r="HWL640" s="1572"/>
      <c r="HWM640" s="1572"/>
      <c r="HWN640" s="1572"/>
      <c r="HWO640" s="1572"/>
      <c r="HWP640" s="1572"/>
      <c r="HWQ640" s="1572"/>
      <c r="HWR640" s="1572"/>
      <c r="HWS640" s="1572" t="s">
        <v>885</v>
      </c>
      <c r="HWT640" s="1572"/>
      <c r="HWU640" s="1572"/>
      <c r="HWV640" s="1572"/>
      <c r="HWW640" s="1572"/>
      <c r="HWX640" s="1572"/>
      <c r="HWY640" s="1572"/>
      <c r="HWZ640" s="1572"/>
      <c r="HXA640" s="1572" t="s">
        <v>885</v>
      </c>
      <c r="HXB640" s="1572"/>
      <c r="HXC640" s="1572"/>
      <c r="HXD640" s="1572"/>
      <c r="HXE640" s="1572"/>
      <c r="HXF640" s="1572"/>
      <c r="HXG640" s="1572"/>
      <c r="HXH640" s="1572"/>
      <c r="HXI640" s="1572" t="s">
        <v>885</v>
      </c>
      <c r="HXJ640" s="1572"/>
      <c r="HXK640" s="1572"/>
      <c r="HXL640" s="1572"/>
      <c r="HXM640" s="1572"/>
      <c r="HXN640" s="1572"/>
      <c r="HXO640" s="1572"/>
      <c r="HXP640" s="1572"/>
      <c r="HXQ640" s="1572" t="s">
        <v>885</v>
      </c>
      <c r="HXR640" s="1572"/>
      <c r="HXS640" s="1572"/>
      <c r="HXT640" s="1572"/>
      <c r="HXU640" s="1572"/>
      <c r="HXV640" s="1572"/>
      <c r="HXW640" s="1572"/>
      <c r="HXX640" s="1572"/>
      <c r="HXY640" s="1572" t="s">
        <v>885</v>
      </c>
      <c r="HXZ640" s="1572"/>
      <c r="HYA640" s="1572"/>
      <c r="HYB640" s="1572"/>
      <c r="HYC640" s="1572"/>
      <c r="HYD640" s="1572"/>
      <c r="HYE640" s="1572"/>
      <c r="HYF640" s="1572"/>
      <c r="HYG640" s="1572" t="s">
        <v>885</v>
      </c>
      <c r="HYH640" s="1572"/>
      <c r="HYI640" s="1572"/>
      <c r="HYJ640" s="1572"/>
      <c r="HYK640" s="1572"/>
      <c r="HYL640" s="1572"/>
      <c r="HYM640" s="1572"/>
      <c r="HYN640" s="1572"/>
      <c r="HYO640" s="1572" t="s">
        <v>885</v>
      </c>
      <c r="HYP640" s="1572"/>
      <c r="HYQ640" s="1572"/>
      <c r="HYR640" s="1572"/>
      <c r="HYS640" s="1572"/>
      <c r="HYT640" s="1572"/>
      <c r="HYU640" s="1572"/>
      <c r="HYV640" s="1572"/>
      <c r="HYW640" s="1572" t="s">
        <v>885</v>
      </c>
      <c r="HYX640" s="1572"/>
      <c r="HYY640" s="1572"/>
      <c r="HYZ640" s="1572"/>
      <c r="HZA640" s="1572"/>
      <c r="HZB640" s="1572"/>
      <c r="HZC640" s="1572"/>
      <c r="HZD640" s="1572"/>
      <c r="HZE640" s="1572" t="s">
        <v>885</v>
      </c>
      <c r="HZF640" s="1572"/>
      <c r="HZG640" s="1572"/>
      <c r="HZH640" s="1572"/>
      <c r="HZI640" s="1572"/>
      <c r="HZJ640" s="1572"/>
      <c r="HZK640" s="1572"/>
      <c r="HZL640" s="1572"/>
      <c r="HZM640" s="1572" t="s">
        <v>885</v>
      </c>
      <c r="HZN640" s="1572"/>
      <c r="HZO640" s="1572"/>
      <c r="HZP640" s="1572"/>
      <c r="HZQ640" s="1572"/>
      <c r="HZR640" s="1572"/>
      <c r="HZS640" s="1572"/>
      <c r="HZT640" s="1572"/>
      <c r="HZU640" s="1572" t="s">
        <v>885</v>
      </c>
      <c r="HZV640" s="1572"/>
      <c r="HZW640" s="1572"/>
      <c r="HZX640" s="1572"/>
      <c r="HZY640" s="1572"/>
      <c r="HZZ640" s="1572"/>
      <c r="IAA640" s="1572"/>
      <c r="IAB640" s="1572"/>
      <c r="IAC640" s="1572" t="s">
        <v>885</v>
      </c>
      <c r="IAD640" s="1572"/>
      <c r="IAE640" s="1572"/>
      <c r="IAF640" s="1572"/>
      <c r="IAG640" s="1572"/>
      <c r="IAH640" s="1572"/>
      <c r="IAI640" s="1572"/>
      <c r="IAJ640" s="1572"/>
      <c r="IAK640" s="1572" t="s">
        <v>885</v>
      </c>
      <c r="IAL640" s="1572"/>
      <c r="IAM640" s="1572"/>
      <c r="IAN640" s="1572"/>
      <c r="IAO640" s="1572"/>
      <c r="IAP640" s="1572"/>
      <c r="IAQ640" s="1572"/>
      <c r="IAR640" s="1572"/>
      <c r="IAS640" s="1572" t="s">
        <v>885</v>
      </c>
      <c r="IAT640" s="1572"/>
      <c r="IAU640" s="1572"/>
      <c r="IAV640" s="1572"/>
      <c r="IAW640" s="1572"/>
      <c r="IAX640" s="1572"/>
      <c r="IAY640" s="1572"/>
      <c r="IAZ640" s="1572"/>
      <c r="IBA640" s="1572" t="s">
        <v>885</v>
      </c>
      <c r="IBB640" s="1572"/>
      <c r="IBC640" s="1572"/>
      <c r="IBD640" s="1572"/>
      <c r="IBE640" s="1572"/>
      <c r="IBF640" s="1572"/>
      <c r="IBG640" s="1572"/>
      <c r="IBH640" s="1572"/>
      <c r="IBI640" s="1572" t="s">
        <v>885</v>
      </c>
      <c r="IBJ640" s="1572"/>
      <c r="IBK640" s="1572"/>
      <c r="IBL640" s="1572"/>
      <c r="IBM640" s="1572"/>
      <c r="IBN640" s="1572"/>
      <c r="IBO640" s="1572"/>
      <c r="IBP640" s="1572"/>
      <c r="IBQ640" s="1572" t="s">
        <v>885</v>
      </c>
      <c r="IBR640" s="1572"/>
      <c r="IBS640" s="1572"/>
      <c r="IBT640" s="1572"/>
      <c r="IBU640" s="1572"/>
      <c r="IBV640" s="1572"/>
      <c r="IBW640" s="1572"/>
      <c r="IBX640" s="1572"/>
      <c r="IBY640" s="1572" t="s">
        <v>885</v>
      </c>
      <c r="IBZ640" s="1572"/>
      <c r="ICA640" s="1572"/>
      <c r="ICB640" s="1572"/>
      <c r="ICC640" s="1572"/>
      <c r="ICD640" s="1572"/>
      <c r="ICE640" s="1572"/>
      <c r="ICF640" s="1572"/>
      <c r="ICG640" s="1572" t="s">
        <v>885</v>
      </c>
      <c r="ICH640" s="1572"/>
      <c r="ICI640" s="1572"/>
      <c r="ICJ640" s="1572"/>
      <c r="ICK640" s="1572"/>
      <c r="ICL640" s="1572"/>
      <c r="ICM640" s="1572"/>
      <c r="ICN640" s="1572"/>
      <c r="ICO640" s="1572" t="s">
        <v>885</v>
      </c>
      <c r="ICP640" s="1572"/>
      <c r="ICQ640" s="1572"/>
      <c r="ICR640" s="1572"/>
      <c r="ICS640" s="1572"/>
      <c r="ICT640" s="1572"/>
      <c r="ICU640" s="1572"/>
      <c r="ICV640" s="1572"/>
      <c r="ICW640" s="1572" t="s">
        <v>885</v>
      </c>
      <c r="ICX640" s="1572"/>
      <c r="ICY640" s="1572"/>
      <c r="ICZ640" s="1572"/>
      <c r="IDA640" s="1572"/>
      <c r="IDB640" s="1572"/>
      <c r="IDC640" s="1572"/>
      <c r="IDD640" s="1572"/>
      <c r="IDE640" s="1572" t="s">
        <v>885</v>
      </c>
      <c r="IDF640" s="1572"/>
      <c r="IDG640" s="1572"/>
      <c r="IDH640" s="1572"/>
      <c r="IDI640" s="1572"/>
      <c r="IDJ640" s="1572"/>
      <c r="IDK640" s="1572"/>
      <c r="IDL640" s="1572"/>
      <c r="IDM640" s="1572" t="s">
        <v>885</v>
      </c>
      <c r="IDN640" s="1572"/>
      <c r="IDO640" s="1572"/>
      <c r="IDP640" s="1572"/>
      <c r="IDQ640" s="1572"/>
      <c r="IDR640" s="1572"/>
      <c r="IDS640" s="1572"/>
      <c r="IDT640" s="1572"/>
      <c r="IDU640" s="1572" t="s">
        <v>885</v>
      </c>
      <c r="IDV640" s="1572"/>
      <c r="IDW640" s="1572"/>
      <c r="IDX640" s="1572"/>
      <c r="IDY640" s="1572"/>
      <c r="IDZ640" s="1572"/>
      <c r="IEA640" s="1572"/>
      <c r="IEB640" s="1572"/>
      <c r="IEC640" s="1572" t="s">
        <v>885</v>
      </c>
      <c r="IED640" s="1572"/>
      <c r="IEE640" s="1572"/>
      <c r="IEF640" s="1572"/>
      <c r="IEG640" s="1572"/>
      <c r="IEH640" s="1572"/>
      <c r="IEI640" s="1572"/>
      <c r="IEJ640" s="1572"/>
      <c r="IEK640" s="1572" t="s">
        <v>885</v>
      </c>
      <c r="IEL640" s="1572"/>
      <c r="IEM640" s="1572"/>
      <c r="IEN640" s="1572"/>
      <c r="IEO640" s="1572"/>
      <c r="IEP640" s="1572"/>
      <c r="IEQ640" s="1572"/>
      <c r="IER640" s="1572"/>
      <c r="IES640" s="1572" t="s">
        <v>885</v>
      </c>
      <c r="IET640" s="1572"/>
      <c r="IEU640" s="1572"/>
      <c r="IEV640" s="1572"/>
      <c r="IEW640" s="1572"/>
      <c r="IEX640" s="1572"/>
      <c r="IEY640" s="1572"/>
      <c r="IEZ640" s="1572"/>
      <c r="IFA640" s="1572" t="s">
        <v>885</v>
      </c>
      <c r="IFB640" s="1572"/>
      <c r="IFC640" s="1572"/>
      <c r="IFD640" s="1572"/>
      <c r="IFE640" s="1572"/>
      <c r="IFF640" s="1572"/>
      <c r="IFG640" s="1572"/>
      <c r="IFH640" s="1572"/>
      <c r="IFI640" s="1572" t="s">
        <v>885</v>
      </c>
      <c r="IFJ640" s="1572"/>
      <c r="IFK640" s="1572"/>
      <c r="IFL640" s="1572"/>
      <c r="IFM640" s="1572"/>
      <c r="IFN640" s="1572"/>
      <c r="IFO640" s="1572"/>
      <c r="IFP640" s="1572"/>
      <c r="IFQ640" s="1572" t="s">
        <v>885</v>
      </c>
      <c r="IFR640" s="1572"/>
      <c r="IFS640" s="1572"/>
      <c r="IFT640" s="1572"/>
      <c r="IFU640" s="1572"/>
      <c r="IFV640" s="1572"/>
      <c r="IFW640" s="1572"/>
      <c r="IFX640" s="1572"/>
      <c r="IFY640" s="1572" t="s">
        <v>885</v>
      </c>
      <c r="IFZ640" s="1572"/>
      <c r="IGA640" s="1572"/>
      <c r="IGB640" s="1572"/>
      <c r="IGC640" s="1572"/>
      <c r="IGD640" s="1572"/>
      <c r="IGE640" s="1572"/>
      <c r="IGF640" s="1572"/>
      <c r="IGG640" s="1572" t="s">
        <v>885</v>
      </c>
      <c r="IGH640" s="1572"/>
      <c r="IGI640" s="1572"/>
      <c r="IGJ640" s="1572"/>
      <c r="IGK640" s="1572"/>
      <c r="IGL640" s="1572"/>
      <c r="IGM640" s="1572"/>
      <c r="IGN640" s="1572"/>
      <c r="IGO640" s="1572" t="s">
        <v>885</v>
      </c>
      <c r="IGP640" s="1572"/>
      <c r="IGQ640" s="1572"/>
      <c r="IGR640" s="1572"/>
      <c r="IGS640" s="1572"/>
      <c r="IGT640" s="1572"/>
      <c r="IGU640" s="1572"/>
      <c r="IGV640" s="1572"/>
      <c r="IGW640" s="1572" t="s">
        <v>885</v>
      </c>
      <c r="IGX640" s="1572"/>
      <c r="IGY640" s="1572"/>
      <c r="IGZ640" s="1572"/>
      <c r="IHA640" s="1572"/>
      <c r="IHB640" s="1572"/>
      <c r="IHC640" s="1572"/>
      <c r="IHD640" s="1572"/>
      <c r="IHE640" s="1572" t="s">
        <v>885</v>
      </c>
      <c r="IHF640" s="1572"/>
      <c r="IHG640" s="1572"/>
      <c r="IHH640" s="1572"/>
      <c r="IHI640" s="1572"/>
      <c r="IHJ640" s="1572"/>
      <c r="IHK640" s="1572"/>
      <c r="IHL640" s="1572"/>
      <c r="IHM640" s="1572" t="s">
        <v>885</v>
      </c>
      <c r="IHN640" s="1572"/>
      <c r="IHO640" s="1572"/>
      <c r="IHP640" s="1572"/>
      <c r="IHQ640" s="1572"/>
      <c r="IHR640" s="1572"/>
      <c r="IHS640" s="1572"/>
      <c r="IHT640" s="1572"/>
      <c r="IHU640" s="1572" t="s">
        <v>885</v>
      </c>
      <c r="IHV640" s="1572"/>
      <c r="IHW640" s="1572"/>
      <c r="IHX640" s="1572"/>
      <c r="IHY640" s="1572"/>
      <c r="IHZ640" s="1572"/>
      <c r="IIA640" s="1572"/>
      <c r="IIB640" s="1572"/>
      <c r="IIC640" s="1572" t="s">
        <v>885</v>
      </c>
      <c r="IID640" s="1572"/>
      <c r="IIE640" s="1572"/>
      <c r="IIF640" s="1572"/>
      <c r="IIG640" s="1572"/>
      <c r="IIH640" s="1572"/>
      <c r="III640" s="1572"/>
      <c r="IIJ640" s="1572"/>
      <c r="IIK640" s="1572" t="s">
        <v>885</v>
      </c>
      <c r="IIL640" s="1572"/>
      <c r="IIM640" s="1572"/>
      <c r="IIN640" s="1572"/>
      <c r="IIO640" s="1572"/>
      <c r="IIP640" s="1572"/>
      <c r="IIQ640" s="1572"/>
      <c r="IIR640" s="1572"/>
      <c r="IIS640" s="1572" t="s">
        <v>885</v>
      </c>
      <c r="IIT640" s="1572"/>
      <c r="IIU640" s="1572"/>
      <c r="IIV640" s="1572"/>
      <c r="IIW640" s="1572"/>
      <c r="IIX640" s="1572"/>
      <c r="IIY640" s="1572"/>
      <c r="IIZ640" s="1572"/>
      <c r="IJA640" s="1572" t="s">
        <v>885</v>
      </c>
      <c r="IJB640" s="1572"/>
      <c r="IJC640" s="1572"/>
      <c r="IJD640" s="1572"/>
      <c r="IJE640" s="1572"/>
      <c r="IJF640" s="1572"/>
      <c r="IJG640" s="1572"/>
      <c r="IJH640" s="1572"/>
      <c r="IJI640" s="1572" t="s">
        <v>885</v>
      </c>
      <c r="IJJ640" s="1572"/>
      <c r="IJK640" s="1572"/>
      <c r="IJL640" s="1572"/>
      <c r="IJM640" s="1572"/>
      <c r="IJN640" s="1572"/>
      <c r="IJO640" s="1572"/>
      <c r="IJP640" s="1572"/>
      <c r="IJQ640" s="1572" t="s">
        <v>885</v>
      </c>
      <c r="IJR640" s="1572"/>
      <c r="IJS640" s="1572"/>
      <c r="IJT640" s="1572"/>
      <c r="IJU640" s="1572"/>
      <c r="IJV640" s="1572"/>
      <c r="IJW640" s="1572"/>
      <c r="IJX640" s="1572"/>
      <c r="IJY640" s="1572" t="s">
        <v>885</v>
      </c>
      <c r="IJZ640" s="1572"/>
      <c r="IKA640" s="1572"/>
      <c r="IKB640" s="1572"/>
      <c r="IKC640" s="1572"/>
      <c r="IKD640" s="1572"/>
      <c r="IKE640" s="1572"/>
      <c r="IKF640" s="1572"/>
      <c r="IKG640" s="1572" t="s">
        <v>885</v>
      </c>
      <c r="IKH640" s="1572"/>
      <c r="IKI640" s="1572"/>
      <c r="IKJ640" s="1572"/>
      <c r="IKK640" s="1572"/>
      <c r="IKL640" s="1572"/>
      <c r="IKM640" s="1572"/>
      <c r="IKN640" s="1572"/>
      <c r="IKO640" s="1572" t="s">
        <v>885</v>
      </c>
      <c r="IKP640" s="1572"/>
      <c r="IKQ640" s="1572"/>
      <c r="IKR640" s="1572"/>
      <c r="IKS640" s="1572"/>
      <c r="IKT640" s="1572"/>
      <c r="IKU640" s="1572"/>
      <c r="IKV640" s="1572"/>
      <c r="IKW640" s="1572" t="s">
        <v>885</v>
      </c>
      <c r="IKX640" s="1572"/>
      <c r="IKY640" s="1572"/>
      <c r="IKZ640" s="1572"/>
      <c r="ILA640" s="1572"/>
      <c r="ILB640" s="1572"/>
      <c r="ILC640" s="1572"/>
      <c r="ILD640" s="1572"/>
      <c r="ILE640" s="1572" t="s">
        <v>885</v>
      </c>
      <c r="ILF640" s="1572"/>
      <c r="ILG640" s="1572"/>
      <c r="ILH640" s="1572"/>
      <c r="ILI640" s="1572"/>
      <c r="ILJ640" s="1572"/>
      <c r="ILK640" s="1572"/>
      <c r="ILL640" s="1572"/>
      <c r="ILM640" s="1572" t="s">
        <v>885</v>
      </c>
      <c r="ILN640" s="1572"/>
      <c r="ILO640" s="1572"/>
      <c r="ILP640" s="1572"/>
      <c r="ILQ640" s="1572"/>
      <c r="ILR640" s="1572"/>
      <c r="ILS640" s="1572"/>
      <c r="ILT640" s="1572"/>
      <c r="ILU640" s="1572" t="s">
        <v>885</v>
      </c>
      <c r="ILV640" s="1572"/>
      <c r="ILW640" s="1572"/>
      <c r="ILX640" s="1572"/>
      <c r="ILY640" s="1572"/>
      <c r="ILZ640" s="1572"/>
      <c r="IMA640" s="1572"/>
      <c r="IMB640" s="1572"/>
      <c r="IMC640" s="1572" t="s">
        <v>885</v>
      </c>
      <c r="IMD640" s="1572"/>
      <c r="IME640" s="1572"/>
      <c r="IMF640" s="1572"/>
      <c r="IMG640" s="1572"/>
      <c r="IMH640" s="1572"/>
      <c r="IMI640" s="1572"/>
      <c r="IMJ640" s="1572"/>
      <c r="IMK640" s="1572" t="s">
        <v>885</v>
      </c>
      <c r="IML640" s="1572"/>
      <c r="IMM640" s="1572"/>
      <c r="IMN640" s="1572"/>
      <c r="IMO640" s="1572"/>
      <c r="IMP640" s="1572"/>
      <c r="IMQ640" s="1572"/>
      <c r="IMR640" s="1572"/>
      <c r="IMS640" s="1572" t="s">
        <v>885</v>
      </c>
      <c r="IMT640" s="1572"/>
      <c r="IMU640" s="1572"/>
      <c r="IMV640" s="1572"/>
      <c r="IMW640" s="1572"/>
      <c r="IMX640" s="1572"/>
      <c r="IMY640" s="1572"/>
      <c r="IMZ640" s="1572"/>
      <c r="INA640" s="1572" t="s">
        <v>885</v>
      </c>
      <c r="INB640" s="1572"/>
      <c r="INC640" s="1572"/>
      <c r="IND640" s="1572"/>
      <c r="INE640" s="1572"/>
      <c r="INF640" s="1572"/>
      <c r="ING640" s="1572"/>
      <c r="INH640" s="1572"/>
      <c r="INI640" s="1572" t="s">
        <v>885</v>
      </c>
      <c r="INJ640" s="1572"/>
      <c r="INK640" s="1572"/>
      <c r="INL640" s="1572"/>
      <c r="INM640" s="1572"/>
      <c r="INN640" s="1572"/>
      <c r="INO640" s="1572"/>
      <c r="INP640" s="1572"/>
      <c r="INQ640" s="1572" t="s">
        <v>885</v>
      </c>
      <c r="INR640" s="1572"/>
      <c r="INS640" s="1572"/>
      <c r="INT640" s="1572"/>
      <c r="INU640" s="1572"/>
      <c r="INV640" s="1572"/>
      <c r="INW640" s="1572"/>
      <c r="INX640" s="1572"/>
      <c r="INY640" s="1572" t="s">
        <v>885</v>
      </c>
      <c r="INZ640" s="1572"/>
      <c r="IOA640" s="1572"/>
      <c r="IOB640" s="1572"/>
      <c r="IOC640" s="1572"/>
      <c r="IOD640" s="1572"/>
      <c r="IOE640" s="1572"/>
      <c r="IOF640" s="1572"/>
      <c r="IOG640" s="1572" t="s">
        <v>885</v>
      </c>
      <c r="IOH640" s="1572"/>
      <c r="IOI640" s="1572"/>
      <c r="IOJ640" s="1572"/>
      <c r="IOK640" s="1572"/>
      <c r="IOL640" s="1572"/>
      <c r="IOM640" s="1572"/>
      <c r="ION640" s="1572"/>
      <c r="IOO640" s="1572" t="s">
        <v>885</v>
      </c>
      <c r="IOP640" s="1572"/>
      <c r="IOQ640" s="1572"/>
      <c r="IOR640" s="1572"/>
      <c r="IOS640" s="1572"/>
      <c r="IOT640" s="1572"/>
      <c r="IOU640" s="1572"/>
      <c r="IOV640" s="1572"/>
      <c r="IOW640" s="1572" t="s">
        <v>885</v>
      </c>
      <c r="IOX640" s="1572"/>
      <c r="IOY640" s="1572"/>
      <c r="IOZ640" s="1572"/>
      <c r="IPA640" s="1572"/>
      <c r="IPB640" s="1572"/>
      <c r="IPC640" s="1572"/>
      <c r="IPD640" s="1572"/>
      <c r="IPE640" s="1572" t="s">
        <v>885</v>
      </c>
      <c r="IPF640" s="1572"/>
      <c r="IPG640" s="1572"/>
      <c r="IPH640" s="1572"/>
      <c r="IPI640" s="1572"/>
      <c r="IPJ640" s="1572"/>
      <c r="IPK640" s="1572"/>
      <c r="IPL640" s="1572"/>
      <c r="IPM640" s="1572" t="s">
        <v>885</v>
      </c>
      <c r="IPN640" s="1572"/>
      <c r="IPO640" s="1572"/>
      <c r="IPP640" s="1572"/>
      <c r="IPQ640" s="1572"/>
      <c r="IPR640" s="1572"/>
      <c r="IPS640" s="1572"/>
      <c r="IPT640" s="1572"/>
      <c r="IPU640" s="1572" t="s">
        <v>885</v>
      </c>
      <c r="IPV640" s="1572"/>
      <c r="IPW640" s="1572"/>
      <c r="IPX640" s="1572"/>
      <c r="IPY640" s="1572"/>
      <c r="IPZ640" s="1572"/>
      <c r="IQA640" s="1572"/>
      <c r="IQB640" s="1572"/>
      <c r="IQC640" s="1572" t="s">
        <v>885</v>
      </c>
      <c r="IQD640" s="1572"/>
      <c r="IQE640" s="1572"/>
      <c r="IQF640" s="1572"/>
      <c r="IQG640" s="1572"/>
      <c r="IQH640" s="1572"/>
      <c r="IQI640" s="1572"/>
      <c r="IQJ640" s="1572"/>
      <c r="IQK640" s="1572" t="s">
        <v>885</v>
      </c>
      <c r="IQL640" s="1572"/>
      <c r="IQM640" s="1572"/>
      <c r="IQN640" s="1572"/>
      <c r="IQO640" s="1572"/>
      <c r="IQP640" s="1572"/>
      <c r="IQQ640" s="1572"/>
      <c r="IQR640" s="1572"/>
      <c r="IQS640" s="1572" t="s">
        <v>885</v>
      </c>
      <c r="IQT640" s="1572"/>
      <c r="IQU640" s="1572"/>
      <c r="IQV640" s="1572"/>
      <c r="IQW640" s="1572"/>
      <c r="IQX640" s="1572"/>
      <c r="IQY640" s="1572"/>
      <c r="IQZ640" s="1572"/>
      <c r="IRA640" s="1572" t="s">
        <v>885</v>
      </c>
      <c r="IRB640" s="1572"/>
      <c r="IRC640" s="1572"/>
      <c r="IRD640" s="1572"/>
      <c r="IRE640" s="1572"/>
      <c r="IRF640" s="1572"/>
      <c r="IRG640" s="1572"/>
      <c r="IRH640" s="1572"/>
      <c r="IRI640" s="1572" t="s">
        <v>885</v>
      </c>
      <c r="IRJ640" s="1572"/>
      <c r="IRK640" s="1572"/>
      <c r="IRL640" s="1572"/>
      <c r="IRM640" s="1572"/>
      <c r="IRN640" s="1572"/>
      <c r="IRO640" s="1572"/>
      <c r="IRP640" s="1572"/>
      <c r="IRQ640" s="1572" t="s">
        <v>885</v>
      </c>
      <c r="IRR640" s="1572"/>
      <c r="IRS640" s="1572"/>
      <c r="IRT640" s="1572"/>
      <c r="IRU640" s="1572"/>
      <c r="IRV640" s="1572"/>
      <c r="IRW640" s="1572"/>
      <c r="IRX640" s="1572"/>
      <c r="IRY640" s="1572" t="s">
        <v>885</v>
      </c>
      <c r="IRZ640" s="1572"/>
      <c r="ISA640" s="1572"/>
      <c r="ISB640" s="1572"/>
      <c r="ISC640" s="1572"/>
      <c r="ISD640" s="1572"/>
      <c r="ISE640" s="1572"/>
      <c r="ISF640" s="1572"/>
      <c r="ISG640" s="1572" t="s">
        <v>885</v>
      </c>
      <c r="ISH640" s="1572"/>
      <c r="ISI640" s="1572"/>
      <c r="ISJ640" s="1572"/>
      <c r="ISK640" s="1572"/>
      <c r="ISL640" s="1572"/>
      <c r="ISM640" s="1572"/>
      <c r="ISN640" s="1572"/>
      <c r="ISO640" s="1572" t="s">
        <v>885</v>
      </c>
      <c r="ISP640" s="1572"/>
      <c r="ISQ640" s="1572"/>
      <c r="ISR640" s="1572"/>
      <c r="ISS640" s="1572"/>
      <c r="IST640" s="1572"/>
      <c r="ISU640" s="1572"/>
      <c r="ISV640" s="1572"/>
      <c r="ISW640" s="1572" t="s">
        <v>885</v>
      </c>
      <c r="ISX640" s="1572"/>
      <c r="ISY640" s="1572"/>
      <c r="ISZ640" s="1572"/>
      <c r="ITA640" s="1572"/>
      <c r="ITB640" s="1572"/>
      <c r="ITC640" s="1572"/>
      <c r="ITD640" s="1572"/>
      <c r="ITE640" s="1572" t="s">
        <v>885</v>
      </c>
      <c r="ITF640" s="1572"/>
      <c r="ITG640" s="1572"/>
      <c r="ITH640" s="1572"/>
      <c r="ITI640" s="1572"/>
      <c r="ITJ640" s="1572"/>
      <c r="ITK640" s="1572"/>
      <c r="ITL640" s="1572"/>
      <c r="ITM640" s="1572" t="s">
        <v>885</v>
      </c>
      <c r="ITN640" s="1572"/>
      <c r="ITO640" s="1572"/>
      <c r="ITP640" s="1572"/>
      <c r="ITQ640" s="1572"/>
      <c r="ITR640" s="1572"/>
      <c r="ITS640" s="1572"/>
      <c r="ITT640" s="1572"/>
      <c r="ITU640" s="1572" t="s">
        <v>885</v>
      </c>
      <c r="ITV640" s="1572"/>
      <c r="ITW640" s="1572"/>
      <c r="ITX640" s="1572"/>
      <c r="ITY640" s="1572"/>
      <c r="ITZ640" s="1572"/>
      <c r="IUA640" s="1572"/>
      <c r="IUB640" s="1572"/>
      <c r="IUC640" s="1572" t="s">
        <v>885</v>
      </c>
      <c r="IUD640" s="1572"/>
      <c r="IUE640" s="1572"/>
      <c r="IUF640" s="1572"/>
      <c r="IUG640" s="1572"/>
      <c r="IUH640" s="1572"/>
      <c r="IUI640" s="1572"/>
      <c r="IUJ640" s="1572"/>
      <c r="IUK640" s="1572" t="s">
        <v>885</v>
      </c>
      <c r="IUL640" s="1572"/>
      <c r="IUM640" s="1572"/>
      <c r="IUN640" s="1572"/>
      <c r="IUO640" s="1572"/>
      <c r="IUP640" s="1572"/>
      <c r="IUQ640" s="1572"/>
      <c r="IUR640" s="1572"/>
      <c r="IUS640" s="1572" t="s">
        <v>885</v>
      </c>
      <c r="IUT640" s="1572"/>
      <c r="IUU640" s="1572"/>
      <c r="IUV640" s="1572"/>
      <c r="IUW640" s="1572"/>
      <c r="IUX640" s="1572"/>
      <c r="IUY640" s="1572"/>
      <c r="IUZ640" s="1572"/>
      <c r="IVA640" s="1572" t="s">
        <v>885</v>
      </c>
      <c r="IVB640" s="1572"/>
      <c r="IVC640" s="1572"/>
      <c r="IVD640" s="1572"/>
      <c r="IVE640" s="1572"/>
      <c r="IVF640" s="1572"/>
      <c r="IVG640" s="1572"/>
      <c r="IVH640" s="1572"/>
      <c r="IVI640" s="1572" t="s">
        <v>885</v>
      </c>
      <c r="IVJ640" s="1572"/>
      <c r="IVK640" s="1572"/>
      <c r="IVL640" s="1572"/>
      <c r="IVM640" s="1572"/>
      <c r="IVN640" s="1572"/>
      <c r="IVO640" s="1572"/>
      <c r="IVP640" s="1572"/>
      <c r="IVQ640" s="1572" t="s">
        <v>885</v>
      </c>
      <c r="IVR640" s="1572"/>
      <c r="IVS640" s="1572"/>
      <c r="IVT640" s="1572"/>
      <c r="IVU640" s="1572"/>
      <c r="IVV640" s="1572"/>
      <c r="IVW640" s="1572"/>
      <c r="IVX640" s="1572"/>
      <c r="IVY640" s="1572" t="s">
        <v>885</v>
      </c>
      <c r="IVZ640" s="1572"/>
      <c r="IWA640" s="1572"/>
      <c r="IWB640" s="1572"/>
      <c r="IWC640" s="1572"/>
      <c r="IWD640" s="1572"/>
      <c r="IWE640" s="1572"/>
      <c r="IWF640" s="1572"/>
      <c r="IWG640" s="1572" t="s">
        <v>885</v>
      </c>
      <c r="IWH640" s="1572"/>
      <c r="IWI640" s="1572"/>
      <c r="IWJ640" s="1572"/>
      <c r="IWK640" s="1572"/>
      <c r="IWL640" s="1572"/>
      <c r="IWM640" s="1572"/>
      <c r="IWN640" s="1572"/>
      <c r="IWO640" s="1572" t="s">
        <v>885</v>
      </c>
      <c r="IWP640" s="1572"/>
      <c r="IWQ640" s="1572"/>
      <c r="IWR640" s="1572"/>
      <c r="IWS640" s="1572"/>
      <c r="IWT640" s="1572"/>
      <c r="IWU640" s="1572"/>
      <c r="IWV640" s="1572"/>
      <c r="IWW640" s="1572" t="s">
        <v>885</v>
      </c>
      <c r="IWX640" s="1572"/>
      <c r="IWY640" s="1572"/>
      <c r="IWZ640" s="1572"/>
      <c r="IXA640" s="1572"/>
      <c r="IXB640" s="1572"/>
      <c r="IXC640" s="1572"/>
      <c r="IXD640" s="1572"/>
      <c r="IXE640" s="1572" t="s">
        <v>885</v>
      </c>
      <c r="IXF640" s="1572"/>
      <c r="IXG640" s="1572"/>
      <c r="IXH640" s="1572"/>
      <c r="IXI640" s="1572"/>
      <c r="IXJ640" s="1572"/>
      <c r="IXK640" s="1572"/>
      <c r="IXL640" s="1572"/>
      <c r="IXM640" s="1572" t="s">
        <v>885</v>
      </c>
      <c r="IXN640" s="1572"/>
      <c r="IXO640" s="1572"/>
      <c r="IXP640" s="1572"/>
      <c r="IXQ640" s="1572"/>
      <c r="IXR640" s="1572"/>
      <c r="IXS640" s="1572"/>
      <c r="IXT640" s="1572"/>
      <c r="IXU640" s="1572" t="s">
        <v>885</v>
      </c>
      <c r="IXV640" s="1572"/>
      <c r="IXW640" s="1572"/>
      <c r="IXX640" s="1572"/>
      <c r="IXY640" s="1572"/>
      <c r="IXZ640" s="1572"/>
      <c r="IYA640" s="1572"/>
      <c r="IYB640" s="1572"/>
      <c r="IYC640" s="1572" t="s">
        <v>885</v>
      </c>
      <c r="IYD640" s="1572"/>
      <c r="IYE640" s="1572"/>
      <c r="IYF640" s="1572"/>
      <c r="IYG640" s="1572"/>
      <c r="IYH640" s="1572"/>
      <c r="IYI640" s="1572"/>
      <c r="IYJ640" s="1572"/>
      <c r="IYK640" s="1572" t="s">
        <v>885</v>
      </c>
      <c r="IYL640" s="1572"/>
      <c r="IYM640" s="1572"/>
      <c r="IYN640" s="1572"/>
      <c r="IYO640" s="1572"/>
      <c r="IYP640" s="1572"/>
      <c r="IYQ640" s="1572"/>
      <c r="IYR640" s="1572"/>
      <c r="IYS640" s="1572" t="s">
        <v>885</v>
      </c>
      <c r="IYT640" s="1572"/>
      <c r="IYU640" s="1572"/>
      <c r="IYV640" s="1572"/>
      <c r="IYW640" s="1572"/>
      <c r="IYX640" s="1572"/>
      <c r="IYY640" s="1572"/>
      <c r="IYZ640" s="1572"/>
      <c r="IZA640" s="1572" t="s">
        <v>885</v>
      </c>
      <c r="IZB640" s="1572"/>
      <c r="IZC640" s="1572"/>
      <c r="IZD640" s="1572"/>
      <c r="IZE640" s="1572"/>
      <c r="IZF640" s="1572"/>
      <c r="IZG640" s="1572"/>
      <c r="IZH640" s="1572"/>
      <c r="IZI640" s="1572" t="s">
        <v>885</v>
      </c>
      <c r="IZJ640" s="1572"/>
      <c r="IZK640" s="1572"/>
      <c r="IZL640" s="1572"/>
      <c r="IZM640" s="1572"/>
      <c r="IZN640" s="1572"/>
      <c r="IZO640" s="1572"/>
      <c r="IZP640" s="1572"/>
      <c r="IZQ640" s="1572" t="s">
        <v>885</v>
      </c>
      <c r="IZR640" s="1572"/>
      <c r="IZS640" s="1572"/>
      <c r="IZT640" s="1572"/>
      <c r="IZU640" s="1572"/>
      <c r="IZV640" s="1572"/>
      <c r="IZW640" s="1572"/>
      <c r="IZX640" s="1572"/>
      <c r="IZY640" s="1572" t="s">
        <v>885</v>
      </c>
      <c r="IZZ640" s="1572"/>
      <c r="JAA640" s="1572"/>
      <c r="JAB640" s="1572"/>
      <c r="JAC640" s="1572"/>
      <c r="JAD640" s="1572"/>
      <c r="JAE640" s="1572"/>
      <c r="JAF640" s="1572"/>
      <c r="JAG640" s="1572" t="s">
        <v>885</v>
      </c>
      <c r="JAH640" s="1572"/>
      <c r="JAI640" s="1572"/>
      <c r="JAJ640" s="1572"/>
      <c r="JAK640" s="1572"/>
      <c r="JAL640" s="1572"/>
      <c r="JAM640" s="1572"/>
      <c r="JAN640" s="1572"/>
      <c r="JAO640" s="1572" t="s">
        <v>885</v>
      </c>
      <c r="JAP640" s="1572"/>
      <c r="JAQ640" s="1572"/>
      <c r="JAR640" s="1572"/>
      <c r="JAS640" s="1572"/>
      <c r="JAT640" s="1572"/>
      <c r="JAU640" s="1572"/>
      <c r="JAV640" s="1572"/>
      <c r="JAW640" s="1572" t="s">
        <v>885</v>
      </c>
      <c r="JAX640" s="1572"/>
      <c r="JAY640" s="1572"/>
      <c r="JAZ640" s="1572"/>
      <c r="JBA640" s="1572"/>
      <c r="JBB640" s="1572"/>
      <c r="JBC640" s="1572"/>
      <c r="JBD640" s="1572"/>
      <c r="JBE640" s="1572" t="s">
        <v>885</v>
      </c>
      <c r="JBF640" s="1572"/>
      <c r="JBG640" s="1572"/>
      <c r="JBH640" s="1572"/>
      <c r="JBI640" s="1572"/>
      <c r="JBJ640" s="1572"/>
      <c r="JBK640" s="1572"/>
      <c r="JBL640" s="1572"/>
      <c r="JBM640" s="1572" t="s">
        <v>885</v>
      </c>
      <c r="JBN640" s="1572"/>
      <c r="JBO640" s="1572"/>
      <c r="JBP640" s="1572"/>
      <c r="JBQ640" s="1572"/>
      <c r="JBR640" s="1572"/>
      <c r="JBS640" s="1572"/>
      <c r="JBT640" s="1572"/>
      <c r="JBU640" s="1572" t="s">
        <v>885</v>
      </c>
      <c r="JBV640" s="1572"/>
      <c r="JBW640" s="1572"/>
      <c r="JBX640" s="1572"/>
      <c r="JBY640" s="1572"/>
      <c r="JBZ640" s="1572"/>
      <c r="JCA640" s="1572"/>
      <c r="JCB640" s="1572"/>
      <c r="JCC640" s="1572" t="s">
        <v>885</v>
      </c>
      <c r="JCD640" s="1572"/>
      <c r="JCE640" s="1572"/>
      <c r="JCF640" s="1572"/>
      <c r="JCG640" s="1572"/>
      <c r="JCH640" s="1572"/>
      <c r="JCI640" s="1572"/>
      <c r="JCJ640" s="1572"/>
      <c r="JCK640" s="1572" t="s">
        <v>885</v>
      </c>
      <c r="JCL640" s="1572"/>
      <c r="JCM640" s="1572"/>
      <c r="JCN640" s="1572"/>
      <c r="JCO640" s="1572"/>
      <c r="JCP640" s="1572"/>
      <c r="JCQ640" s="1572"/>
      <c r="JCR640" s="1572"/>
      <c r="JCS640" s="1572" t="s">
        <v>885</v>
      </c>
      <c r="JCT640" s="1572"/>
      <c r="JCU640" s="1572"/>
      <c r="JCV640" s="1572"/>
      <c r="JCW640" s="1572"/>
      <c r="JCX640" s="1572"/>
      <c r="JCY640" s="1572"/>
      <c r="JCZ640" s="1572"/>
      <c r="JDA640" s="1572" t="s">
        <v>885</v>
      </c>
      <c r="JDB640" s="1572"/>
      <c r="JDC640" s="1572"/>
      <c r="JDD640" s="1572"/>
      <c r="JDE640" s="1572"/>
      <c r="JDF640" s="1572"/>
      <c r="JDG640" s="1572"/>
      <c r="JDH640" s="1572"/>
      <c r="JDI640" s="1572" t="s">
        <v>885</v>
      </c>
      <c r="JDJ640" s="1572"/>
      <c r="JDK640" s="1572"/>
      <c r="JDL640" s="1572"/>
      <c r="JDM640" s="1572"/>
      <c r="JDN640" s="1572"/>
      <c r="JDO640" s="1572"/>
      <c r="JDP640" s="1572"/>
      <c r="JDQ640" s="1572" t="s">
        <v>885</v>
      </c>
      <c r="JDR640" s="1572"/>
      <c r="JDS640" s="1572"/>
      <c r="JDT640" s="1572"/>
      <c r="JDU640" s="1572"/>
      <c r="JDV640" s="1572"/>
      <c r="JDW640" s="1572"/>
      <c r="JDX640" s="1572"/>
      <c r="JDY640" s="1572" t="s">
        <v>885</v>
      </c>
      <c r="JDZ640" s="1572"/>
      <c r="JEA640" s="1572"/>
      <c r="JEB640" s="1572"/>
      <c r="JEC640" s="1572"/>
      <c r="JED640" s="1572"/>
      <c r="JEE640" s="1572"/>
      <c r="JEF640" s="1572"/>
      <c r="JEG640" s="1572" t="s">
        <v>885</v>
      </c>
      <c r="JEH640" s="1572"/>
      <c r="JEI640" s="1572"/>
      <c r="JEJ640" s="1572"/>
      <c r="JEK640" s="1572"/>
      <c r="JEL640" s="1572"/>
      <c r="JEM640" s="1572"/>
      <c r="JEN640" s="1572"/>
      <c r="JEO640" s="1572" t="s">
        <v>885</v>
      </c>
      <c r="JEP640" s="1572"/>
      <c r="JEQ640" s="1572"/>
      <c r="JER640" s="1572"/>
      <c r="JES640" s="1572"/>
      <c r="JET640" s="1572"/>
      <c r="JEU640" s="1572"/>
      <c r="JEV640" s="1572"/>
      <c r="JEW640" s="1572" t="s">
        <v>885</v>
      </c>
      <c r="JEX640" s="1572"/>
      <c r="JEY640" s="1572"/>
      <c r="JEZ640" s="1572"/>
      <c r="JFA640" s="1572"/>
      <c r="JFB640" s="1572"/>
      <c r="JFC640" s="1572"/>
      <c r="JFD640" s="1572"/>
      <c r="JFE640" s="1572" t="s">
        <v>885</v>
      </c>
      <c r="JFF640" s="1572"/>
      <c r="JFG640" s="1572"/>
      <c r="JFH640" s="1572"/>
      <c r="JFI640" s="1572"/>
      <c r="JFJ640" s="1572"/>
      <c r="JFK640" s="1572"/>
      <c r="JFL640" s="1572"/>
      <c r="JFM640" s="1572" t="s">
        <v>885</v>
      </c>
      <c r="JFN640" s="1572"/>
      <c r="JFO640" s="1572"/>
      <c r="JFP640" s="1572"/>
      <c r="JFQ640" s="1572"/>
      <c r="JFR640" s="1572"/>
      <c r="JFS640" s="1572"/>
      <c r="JFT640" s="1572"/>
      <c r="JFU640" s="1572" t="s">
        <v>885</v>
      </c>
      <c r="JFV640" s="1572"/>
      <c r="JFW640" s="1572"/>
      <c r="JFX640" s="1572"/>
      <c r="JFY640" s="1572"/>
      <c r="JFZ640" s="1572"/>
      <c r="JGA640" s="1572"/>
      <c r="JGB640" s="1572"/>
      <c r="JGC640" s="1572" t="s">
        <v>885</v>
      </c>
      <c r="JGD640" s="1572"/>
      <c r="JGE640" s="1572"/>
      <c r="JGF640" s="1572"/>
      <c r="JGG640" s="1572"/>
      <c r="JGH640" s="1572"/>
      <c r="JGI640" s="1572"/>
      <c r="JGJ640" s="1572"/>
      <c r="JGK640" s="1572" t="s">
        <v>885</v>
      </c>
      <c r="JGL640" s="1572"/>
      <c r="JGM640" s="1572"/>
      <c r="JGN640" s="1572"/>
      <c r="JGO640" s="1572"/>
      <c r="JGP640" s="1572"/>
      <c r="JGQ640" s="1572"/>
      <c r="JGR640" s="1572"/>
      <c r="JGS640" s="1572" t="s">
        <v>885</v>
      </c>
      <c r="JGT640" s="1572"/>
      <c r="JGU640" s="1572"/>
      <c r="JGV640" s="1572"/>
      <c r="JGW640" s="1572"/>
      <c r="JGX640" s="1572"/>
      <c r="JGY640" s="1572"/>
      <c r="JGZ640" s="1572"/>
      <c r="JHA640" s="1572" t="s">
        <v>885</v>
      </c>
      <c r="JHB640" s="1572"/>
      <c r="JHC640" s="1572"/>
      <c r="JHD640" s="1572"/>
      <c r="JHE640" s="1572"/>
      <c r="JHF640" s="1572"/>
      <c r="JHG640" s="1572"/>
      <c r="JHH640" s="1572"/>
      <c r="JHI640" s="1572" t="s">
        <v>885</v>
      </c>
      <c r="JHJ640" s="1572"/>
      <c r="JHK640" s="1572"/>
      <c r="JHL640" s="1572"/>
      <c r="JHM640" s="1572"/>
      <c r="JHN640" s="1572"/>
      <c r="JHO640" s="1572"/>
      <c r="JHP640" s="1572"/>
      <c r="JHQ640" s="1572" t="s">
        <v>885</v>
      </c>
      <c r="JHR640" s="1572"/>
      <c r="JHS640" s="1572"/>
      <c r="JHT640" s="1572"/>
      <c r="JHU640" s="1572"/>
      <c r="JHV640" s="1572"/>
      <c r="JHW640" s="1572"/>
      <c r="JHX640" s="1572"/>
      <c r="JHY640" s="1572" t="s">
        <v>885</v>
      </c>
      <c r="JHZ640" s="1572"/>
      <c r="JIA640" s="1572"/>
      <c r="JIB640" s="1572"/>
      <c r="JIC640" s="1572"/>
      <c r="JID640" s="1572"/>
      <c r="JIE640" s="1572"/>
      <c r="JIF640" s="1572"/>
      <c r="JIG640" s="1572" t="s">
        <v>885</v>
      </c>
      <c r="JIH640" s="1572"/>
      <c r="JII640" s="1572"/>
      <c r="JIJ640" s="1572"/>
      <c r="JIK640" s="1572"/>
      <c r="JIL640" s="1572"/>
      <c r="JIM640" s="1572"/>
      <c r="JIN640" s="1572"/>
      <c r="JIO640" s="1572" t="s">
        <v>885</v>
      </c>
      <c r="JIP640" s="1572"/>
      <c r="JIQ640" s="1572"/>
      <c r="JIR640" s="1572"/>
      <c r="JIS640" s="1572"/>
      <c r="JIT640" s="1572"/>
      <c r="JIU640" s="1572"/>
      <c r="JIV640" s="1572"/>
      <c r="JIW640" s="1572" t="s">
        <v>885</v>
      </c>
      <c r="JIX640" s="1572"/>
      <c r="JIY640" s="1572"/>
      <c r="JIZ640" s="1572"/>
      <c r="JJA640" s="1572"/>
      <c r="JJB640" s="1572"/>
      <c r="JJC640" s="1572"/>
      <c r="JJD640" s="1572"/>
      <c r="JJE640" s="1572" t="s">
        <v>885</v>
      </c>
      <c r="JJF640" s="1572"/>
      <c r="JJG640" s="1572"/>
      <c r="JJH640" s="1572"/>
      <c r="JJI640" s="1572"/>
      <c r="JJJ640" s="1572"/>
      <c r="JJK640" s="1572"/>
      <c r="JJL640" s="1572"/>
      <c r="JJM640" s="1572" t="s">
        <v>885</v>
      </c>
      <c r="JJN640" s="1572"/>
      <c r="JJO640" s="1572"/>
      <c r="JJP640" s="1572"/>
      <c r="JJQ640" s="1572"/>
      <c r="JJR640" s="1572"/>
      <c r="JJS640" s="1572"/>
      <c r="JJT640" s="1572"/>
      <c r="JJU640" s="1572" t="s">
        <v>885</v>
      </c>
      <c r="JJV640" s="1572"/>
      <c r="JJW640" s="1572"/>
      <c r="JJX640" s="1572"/>
      <c r="JJY640" s="1572"/>
      <c r="JJZ640" s="1572"/>
      <c r="JKA640" s="1572"/>
      <c r="JKB640" s="1572"/>
      <c r="JKC640" s="1572" t="s">
        <v>885</v>
      </c>
      <c r="JKD640" s="1572"/>
      <c r="JKE640" s="1572"/>
      <c r="JKF640" s="1572"/>
      <c r="JKG640" s="1572"/>
      <c r="JKH640" s="1572"/>
      <c r="JKI640" s="1572"/>
      <c r="JKJ640" s="1572"/>
      <c r="JKK640" s="1572" t="s">
        <v>885</v>
      </c>
      <c r="JKL640" s="1572"/>
      <c r="JKM640" s="1572"/>
      <c r="JKN640" s="1572"/>
      <c r="JKO640" s="1572"/>
      <c r="JKP640" s="1572"/>
      <c r="JKQ640" s="1572"/>
      <c r="JKR640" s="1572"/>
      <c r="JKS640" s="1572" t="s">
        <v>885</v>
      </c>
      <c r="JKT640" s="1572"/>
      <c r="JKU640" s="1572"/>
      <c r="JKV640" s="1572"/>
      <c r="JKW640" s="1572"/>
      <c r="JKX640" s="1572"/>
      <c r="JKY640" s="1572"/>
      <c r="JKZ640" s="1572"/>
      <c r="JLA640" s="1572" t="s">
        <v>885</v>
      </c>
      <c r="JLB640" s="1572"/>
      <c r="JLC640" s="1572"/>
      <c r="JLD640" s="1572"/>
      <c r="JLE640" s="1572"/>
      <c r="JLF640" s="1572"/>
      <c r="JLG640" s="1572"/>
      <c r="JLH640" s="1572"/>
      <c r="JLI640" s="1572" t="s">
        <v>885</v>
      </c>
      <c r="JLJ640" s="1572"/>
      <c r="JLK640" s="1572"/>
      <c r="JLL640" s="1572"/>
      <c r="JLM640" s="1572"/>
      <c r="JLN640" s="1572"/>
      <c r="JLO640" s="1572"/>
      <c r="JLP640" s="1572"/>
      <c r="JLQ640" s="1572" t="s">
        <v>885</v>
      </c>
      <c r="JLR640" s="1572"/>
      <c r="JLS640" s="1572"/>
      <c r="JLT640" s="1572"/>
      <c r="JLU640" s="1572"/>
      <c r="JLV640" s="1572"/>
      <c r="JLW640" s="1572"/>
      <c r="JLX640" s="1572"/>
      <c r="JLY640" s="1572" t="s">
        <v>885</v>
      </c>
      <c r="JLZ640" s="1572"/>
      <c r="JMA640" s="1572"/>
      <c r="JMB640" s="1572"/>
      <c r="JMC640" s="1572"/>
      <c r="JMD640" s="1572"/>
      <c r="JME640" s="1572"/>
      <c r="JMF640" s="1572"/>
      <c r="JMG640" s="1572" t="s">
        <v>885</v>
      </c>
      <c r="JMH640" s="1572"/>
      <c r="JMI640" s="1572"/>
      <c r="JMJ640" s="1572"/>
      <c r="JMK640" s="1572"/>
      <c r="JML640" s="1572"/>
      <c r="JMM640" s="1572"/>
      <c r="JMN640" s="1572"/>
      <c r="JMO640" s="1572" t="s">
        <v>885</v>
      </c>
      <c r="JMP640" s="1572"/>
      <c r="JMQ640" s="1572"/>
      <c r="JMR640" s="1572"/>
      <c r="JMS640" s="1572"/>
      <c r="JMT640" s="1572"/>
      <c r="JMU640" s="1572"/>
      <c r="JMV640" s="1572"/>
      <c r="JMW640" s="1572" t="s">
        <v>885</v>
      </c>
      <c r="JMX640" s="1572"/>
      <c r="JMY640" s="1572"/>
      <c r="JMZ640" s="1572"/>
      <c r="JNA640" s="1572"/>
      <c r="JNB640" s="1572"/>
      <c r="JNC640" s="1572"/>
      <c r="JND640" s="1572"/>
      <c r="JNE640" s="1572" t="s">
        <v>885</v>
      </c>
      <c r="JNF640" s="1572"/>
      <c r="JNG640" s="1572"/>
      <c r="JNH640" s="1572"/>
      <c r="JNI640" s="1572"/>
      <c r="JNJ640" s="1572"/>
      <c r="JNK640" s="1572"/>
      <c r="JNL640" s="1572"/>
      <c r="JNM640" s="1572" t="s">
        <v>885</v>
      </c>
      <c r="JNN640" s="1572"/>
      <c r="JNO640" s="1572"/>
      <c r="JNP640" s="1572"/>
      <c r="JNQ640" s="1572"/>
      <c r="JNR640" s="1572"/>
      <c r="JNS640" s="1572"/>
      <c r="JNT640" s="1572"/>
      <c r="JNU640" s="1572" t="s">
        <v>885</v>
      </c>
      <c r="JNV640" s="1572"/>
      <c r="JNW640" s="1572"/>
      <c r="JNX640" s="1572"/>
      <c r="JNY640" s="1572"/>
      <c r="JNZ640" s="1572"/>
      <c r="JOA640" s="1572"/>
      <c r="JOB640" s="1572"/>
      <c r="JOC640" s="1572" t="s">
        <v>885</v>
      </c>
      <c r="JOD640" s="1572"/>
      <c r="JOE640" s="1572"/>
      <c r="JOF640" s="1572"/>
      <c r="JOG640" s="1572"/>
      <c r="JOH640" s="1572"/>
      <c r="JOI640" s="1572"/>
      <c r="JOJ640" s="1572"/>
      <c r="JOK640" s="1572" t="s">
        <v>885</v>
      </c>
      <c r="JOL640" s="1572"/>
      <c r="JOM640" s="1572"/>
      <c r="JON640" s="1572"/>
      <c r="JOO640" s="1572"/>
      <c r="JOP640" s="1572"/>
      <c r="JOQ640" s="1572"/>
      <c r="JOR640" s="1572"/>
      <c r="JOS640" s="1572" t="s">
        <v>885</v>
      </c>
      <c r="JOT640" s="1572"/>
      <c r="JOU640" s="1572"/>
      <c r="JOV640" s="1572"/>
      <c r="JOW640" s="1572"/>
      <c r="JOX640" s="1572"/>
      <c r="JOY640" s="1572"/>
      <c r="JOZ640" s="1572"/>
      <c r="JPA640" s="1572" t="s">
        <v>885</v>
      </c>
      <c r="JPB640" s="1572"/>
      <c r="JPC640" s="1572"/>
      <c r="JPD640" s="1572"/>
      <c r="JPE640" s="1572"/>
      <c r="JPF640" s="1572"/>
      <c r="JPG640" s="1572"/>
      <c r="JPH640" s="1572"/>
      <c r="JPI640" s="1572" t="s">
        <v>885</v>
      </c>
      <c r="JPJ640" s="1572"/>
      <c r="JPK640" s="1572"/>
      <c r="JPL640" s="1572"/>
      <c r="JPM640" s="1572"/>
      <c r="JPN640" s="1572"/>
      <c r="JPO640" s="1572"/>
      <c r="JPP640" s="1572"/>
      <c r="JPQ640" s="1572" t="s">
        <v>885</v>
      </c>
      <c r="JPR640" s="1572"/>
      <c r="JPS640" s="1572"/>
      <c r="JPT640" s="1572"/>
      <c r="JPU640" s="1572"/>
      <c r="JPV640" s="1572"/>
      <c r="JPW640" s="1572"/>
      <c r="JPX640" s="1572"/>
      <c r="JPY640" s="1572" t="s">
        <v>885</v>
      </c>
      <c r="JPZ640" s="1572"/>
      <c r="JQA640" s="1572"/>
      <c r="JQB640" s="1572"/>
      <c r="JQC640" s="1572"/>
      <c r="JQD640" s="1572"/>
      <c r="JQE640" s="1572"/>
      <c r="JQF640" s="1572"/>
      <c r="JQG640" s="1572" t="s">
        <v>885</v>
      </c>
      <c r="JQH640" s="1572"/>
      <c r="JQI640" s="1572"/>
      <c r="JQJ640" s="1572"/>
      <c r="JQK640" s="1572"/>
      <c r="JQL640" s="1572"/>
      <c r="JQM640" s="1572"/>
      <c r="JQN640" s="1572"/>
      <c r="JQO640" s="1572" t="s">
        <v>885</v>
      </c>
      <c r="JQP640" s="1572"/>
      <c r="JQQ640" s="1572"/>
      <c r="JQR640" s="1572"/>
      <c r="JQS640" s="1572"/>
      <c r="JQT640" s="1572"/>
      <c r="JQU640" s="1572"/>
      <c r="JQV640" s="1572"/>
      <c r="JQW640" s="1572" t="s">
        <v>885</v>
      </c>
      <c r="JQX640" s="1572"/>
      <c r="JQY640" s="1572"/>
      <c r="JQZ640" s="1572"/>
      <c r="JRA640" s="1572"/>
      <c r="JRB640" s="1572"/>
      <c r="JRC640" s="1572"/>
      <c r="JRD640" s="1572"/>
      <c r="JRE640" s="1572" t="s">
        <v>885</v>
      </c>
      <c r="JRF640" s="1572"/>
      <c r="JRG640" s="1572"/>
      <c r="JRH640" s="1572"/>
      <c r="JRI640" s="1572"/>
      <c r="JRJ640" s="1572"/>
      <c r="JRK640" s="1572"/>
      <c r="JRL640" s="1572"/>
      <c r="JRM640" s="1572" t="s">
        <v>885</v>
      </c>
      <c r="JRN640" s="1572"/>
      <c r="JRO640" s="1572"/>
      <c r="JRP640" s="1572"/>
      <c r="JRQ640" s="1572"/>
      <c r="JRR640" s="1572"/>
      <c r="JRS640" s="1572"/>
      <c r="JRT640" s="1572"/>
      <c r="JRU640" s="1572" t="s">
        <v>885</v>
      </c>
      <c r="JRV640" s="1572"/>
      <c r="JRW640" s="1572"/>
      <c r="JRX640" s="1572"/>
      <c r="JRY640" s="1572"/>
      <c r="JRZ640" s="1572"/>
      <c r="JSA640" s="1572"/>
      <c r="JSB640" s="1572"/>
      <c r="JSC640" s="1572" t="s">
        <v>885</v>
      </c>
      <c r="JSD640" s="1572"/>
      <c r="JSE640" s="1572"/>
      <c r="JSF640" s="1572"/>
      <c r="JSG640" s="1572"/>
      <c r="JSH640" s="1572"/>
      <c r="JSI640" s="1572"/>
      <c r="JSJ640" s="1572"/>
      <c r="JSK640" s="1572" t="s">
        <v>885</v>
      </c>
      <c r="JSL640" s="1572"/>
      <c r="JSM640" s="1572"/>
      <c r="JSN640" s="1572"/>
      <c r="JSO640" s="1572"/>
      <c r="JSP640" s="1572"/>
      <c r="JSQ640" s="1572"/>
      <c r="JSR640" s="1572"/>
      <c r="JSS640" s="1572" t="s">
        <v>885</v>
      </c>
      <c r="JST640" s="1572"/>
      <c r="JSU640" s="1572"/>
      <c r="JSV640" s="1572"/>
      <c r="JSW640" s="1572"/>
      <c r="JSX640" s="1572"/>
      <c r="JSY640" s="1572"/>
      <c r="JSZ640" s="1572"/>
      <c r="JTA640" s="1572" t="s">
        <v>885</v>
      </c>
      <c r="JTB640" s="1572"/>
      <c r="JTC640" s="1572"/>
      <c r="JTD640" s="1572"/>
      <c r="JTE640" s="1572"/>
      <c r="JTF640" s="1572"/>
      <c r="JTG640" s="1572"/>
      <c r="JTH640" s="1572"/>
      <c r="JTI640" s="1572" t="s">
        <v>885</v>
      </c>
      <c r="JTJ640" s="1572"/>
      <c r="JTK640" s="1572"/>
      <c r="JTL640" s="1572"/>
      <c r="JTM640" s="1572"/>
      <c r="JTN640" s="1572"/>
      <c r="JTO640" s="1572"/>
      <c r="JTP640" s="1572"/>
      <c r="JTQ640" s="1572" t="s">
        <v>885</v>
      </c>
      <c r="JTR640" s="1572"/>
      <c r="JTS640" s="1572"/>
      <c r="JTT640" s="1572"/>
      <c r="JTU640" s="1572"/>
      <c r="JTV640" s="1572"/>
      <c r="JTW640" s="1572"/>
      <c r="JTX640" s="1572"/>
      <c r="JTY640" s="1572" t="s">
        <v>885</v>
      </c>
      <c r="JTZ640" s="1572"/>
      <c r="JUA640" s="1572"/>
      <c r="JUB640" s="1572"/>
      <c r="JUC640" s="1572"/>
      <c r="JUD640" s="1572"/>
      <c r="JUE640" s="1572"/>
      <c r="JUF640" s="1572"/>
      <c r="JUG640" s="1572" t="s">
        <v>885</v>
      </c>
      <c r="JUH640" s="1572"/>
      <c r="JUI640" s="1572"/>
      <c r="JUJ640" s="1572"/>
      <c r="JUK640" s="1572"/>
      <c r="JUL640" s="1572"/>
      <c r="JUM640" s="1572"/>
      <c r="JUN640" s="1572"/>
      <c r="JUO640" s="1572" t="s">
        <v>885</v>
      </c>
      <c r="JUP640" s="1572"/>
      <c r="JUQ640" s="1572"/>
      <c r="JUR640" s="1572"/>
      <c r="JUS640" s="1572"/>
      <c r="JUT640" s="1572"/>
      <c r="JUU640" s="1572"/>
      <c r="JUV640" s="1572"/>
      <c r="JUW640" s="1572" t="s">
        <v>885</v>
      </c>
      <c r="JUX640" s="1572"/>
      <c r="JUY640" s="1572"/>
      <c r="JUZ640" s="1572"/>
      <c r="JVA640" s="1572"/>
      <c r="JVB640" s="1572"/>
      <c r="JVC640" s="1572"/>
      <c r="JVD640" s="1572"/>
      <c r="JVE640" s="1572" t="s">
        <v>885</v>
      </c>
      <c r="JVF640" s="1572"/>
      <c r="JVG640" s="1572"/>
      <c r="JVH640" s="1572"/>
      <c r="JVI640" s="1572"/>
      <c r="JVJ640" s="1572"/>
      <c r="JVK640" s="1572"/>
      <c r="JVL640" s="1572"/>
      <c r="JVM640" s="1572" t="s">
        <v>885</v>
      </c>
      <c r="JVN640" s="1572"/>
      <c r="JVO640" s="1572"/>
      <c r="JVP640" s="1572"/>
      <c r="JVQ640" s="1572"/>
      <c r="JVR640" s="1572"/>
      <c r="JVS640" s="1572"/>
      <c r="JVT640" s="1572"/>
      <c r="JVU640" s="1572" t="s">
        <v>885</v>
      </c>
      <c r="JVV640" s="1572"/>
      <c r="JVW640" s="1572"/>
      <c r="JVX640" s="1572"/>
      <c r="JVY640" s="1572"/>
      <c r="JVZ640" s="1572"/>
      <c r="JWA640" s="1572"/>
      <c r="JWB640" s="1572"/>
      <c r="JWC640" s="1572" t="s">
        <v>885</v>
      </c>
      <c r="JWD640" s="1572"/>
      <c r="JWE640" s="1572"/>
      <c r="JWF640" s="1572"/>
      <c r="JWG640" s="1572"/>
      <c r="JWH640" s="1572"/>
      <c r="JWI640" s="1572"/>
      <c r="JWJ640" s="1572"/>
      <c r="JWK640" s="1572" t="s">
        <v>885</v>
      </c>
      <c r="JWL640" s="1572"/>
      <c r="JWM640" s="1572"/>
      <c r="JWN640" s="1572"/>
      <c r="JWO640" s="1572"/>
      <c r="JWP640" s="1572"/>
      <c r="JWQ640" s="1572"/>
      <c r="JWR640" s="1572"/>
      <c r="JWS640" s="1572" t="s">
        <v>885</v>
      </c>
      <c r="JWT640" s="1572"/>
      <c r="JWU640" s="1572"/>
      <c r="JWV640" s="1572"/>
      <c r="JWW640" s="1572"/>
      <c r="JWX640" s="1572"/>
      <c r="JWY640" s="1572"/>
      <c r="JWZ640" s="1572"/>
      <c r="JXA640" s="1572" t="s">
        <v>885</v>
      </c>
      <c r="JXB640" s="1572"/>
      <c r="JXC640" s="1572"/>
      <c r="JXD640" s="1572"/>
      <c r="JXE640" s="1572"/>
      <c r="JXF640" s="1572"/>
      <c r="JXG640" s="1572"/>
      <c r="JXH640" s="1572"/>
      <c r="JXI640" s="1572" t="s">
        <v>885</v>
      </c>
      <c r="JXJ640" s="1572"/>
      <c r="JXK640" s="1572"/>
      <c r="JXL640" s="1572"/>
      <c r="JXM640" s="1572"/>
      <c r="JXN640" s="1572"/>
      <c r="JXO640" s="1572"/>
      <c r="JXP640" s="1572"/>
      <c r="JXQ640" s="1572" t="s">
        <v>885</v>
      </c>
      <c r="JXR640" s="1572"/>
      <c r="JXS640" s="1572"/>
      <c r="JXT640" s="1572"/>
      <c r="JXU640" s="1572"/>
      <c r="JXV640" s="1572"/>
      <c r="JXW640" s="1572"/>
      <c r="JXX640" s="1572"/>
      <c r="JXY640" s="1572" t="s">
        <v>885</v>
      </c>
      <c r="JXZ640" s="1572"/>
      <c r="JYA640" s="1572"/>
      <c r="JYB640" s="1572"/>
      <c r="JYC640" s="1572"/>
      <c r="JYD640" s="1572"/>
      <c r="JYE640" s="1572"/>
      <c r="JYF640" s="1572"/>
      <c r="JYG640" s="1572" t="s">
        <v>885</v>
      </c>
      <c r="JYH640" s="1572"/>
      <c r="JYI640" s="1572"/>
      <c r="JYJ640" s="1572"/>
      <c r="JYK640" s="1572"/>
      <c r="JYL640" s="1572"/>
      <c r="JYM640" s="1572"/>
      <c r="JYN640" s="1572"/>
      <c r="JYO640" s="1572" t="s">
        <v>885</v>
      </c>
      <c r="JYP640" s="1572"/>
      <c r="JYQ640" s="1572"/>
      <c r="JYR640" s="1572"/>
      <c r="JYS640" s="1572"/>
      <c r="JYT640" s="1572"/>
      <c r="JYU640" s="1572"/>
      <c r="JYV640" s="1572"/>
      <c r="JYW640" s="1572" t="s">
        <v>885</v>
      </c>
      <c r="JYX640" s="1572"/>
      <c r="JYY640" s="1572"/>
      <c r="JYZ640" s="1572"/>
      <c r="JZA640" s="1572"/>
      <c r="JZB640" s="1572"/>
      <c r="JZC640" s="1572"/>
      <c r="JZD640" s="1572"/>
      <c r="JZE640" s="1572" t="s">
        <v>885</v>
      </c>
      <c r="JZF640" s="1572"/>
      <c r="JZG640" s="1572"/>
      <c r="JZH640" s="1572"/>
      <c r="JZI640" s="1572"/>
      <c r="JZJ640" s="1572"/>
      <c r="JZK640" s="1572"/>
      <c r="JZL640" s="1572"/>
      <c r="JZM640" s="1572" t="s">
        <v>885</v>
      </c>
      <c r="JZN640" s="1572"/>
      <c r="JZO640" s="1572"/>
      <c r="JZP640" s="1572"/>
      <c r="JZQ640" s="1572"/>
      <c r="JZR640" s="1572"/>
      <c r="JZS640" s="1572"/>
      <c r="JZT640" s="1572"/>
      <c r="JZU640" s="1572" t="s">
        <v>885</v>
      </c>
      <c r="JZV640" s="1572"/>
      <c r="JZW640" s="1572"/>
      <c r="JZX640" s="1572"/>
      <c r="JZY640" s="1572"/>
      <c r="JZZ640" s="1572"/>
      <c r="KAA640" s="1572"/>
      <c r="KAB640" s="1572"/>
      <c r="KAC640" s="1572" t="s">
        <v>885</v>
      </c>
      <c r="KAD640" s="1572"/>
      <c r="KAE640" s="1572"/>
      <c r="KAF640" s="1572"/>
      <c r="KAG640" s="1572"/>
      <c r="KAH640" s="1572"/>
      <c r="KAI640" s="1572"/>
      <c r="KAJ640" s="1572"/>
      <c r="KAK640" s="1572" t="s">
        <v>885</v>
      </c>
      <c r="KAL640" s="1572"/>
      <c r="KAM640" s="1572"/>
      <c r="KAN640" s="1572"/>
      <c r="KAO640" s="1572"/>
      <c r="KAP640" s="1572"/>
      <c r="KAQ640" s="1572"/>
      <c r="KAR640" s="1572"/>
      <c r="KAS640" s="1572" t="s">
        <v>885</v>
      </c>
      <c r="KAT640" s="1572"/>
      <c r="KAU640" s="1572"/>
      <c r="KAV640" s="1572"/>
      <c r="KAW640" s="1572"/>
      <c r="KAX640" s="1572"/>
      <c r="KAY640" s="1572"/>
      <c r="KAZ640" s="1572"/>
      <c r="KBA640" s="1572" t="s">
        <v>885</v>
      </c>
      <c r="KBB640" s="1572"/>
      <c r="KBC640" s="1572"/>
      <c r="KBD640" s="1572"/>
      <c r="KBE640" s="1572"/>
      <c r="KBF640" s="1572"/>
      <c r="KBG640" s="1572"/>
      <c r="KBH640" s="1572"/>
      <c r="KBI640" s="1572" t="s">
        <v>885</v>
      </c>
      <c r="KBJ640" s="1572"/>
      <c r="KBK640" s="1572"/>
      <c r="KBL640" s="1572"/>
      <c r="KBM640" s="1572"/>
      <c r="KBN640" s="1572"/>
      <c r="KBO640" s="1572"/>
      <c r="KBP640" s="1572"/>
      <c r="KBQ640" s="1572" t="s">
        <v>885</v>
      </c>
      <c r="KBR640" s="1572"/>
      <c r="KBS640" s="1572"/>
      <c r="KBT640" s="1572"/>
      <c r="KBU640" s="1572"/>
      <c r="KBV640" s="1572"/>
      <c r="KBW640" s="1572"/>
      <c r="KBX640" s="1572"/>
      <c r="KBY640" s="1572" t="s">
        <v>885</v>
      </c>
      <c r="KBZ640" s="1572"/>
      <c r="KCA640" s="1572"/>
      <c r="KCB640" s="1572"/>
      <c r="KCC640" s="1572"/>
      <c r="KCD640" s="1572"/>
      <c r="KCE640" s="1572"/>
      <c r="KCF640" s="1572"/>
      <c r="KCG640" s="1572" t="s">
        <v>885</v>
      </c>
      <c r="KCH640" s="1572"/>
      <c r="KCI640" s="1572"/>
      <c r="KCJ640" s="1572"/>
      <c r="KCK640" s="1572"/>
      <c r="KCL640" s="1572"/>
      <c r="KCM640" s="1572"/>
      <c r="KCN640" s="1572"/>
      <c r="KCO640" s="1572" t="s">
        <v>885</v>
      </c>
      <c r="KCP640" s="1572"/>
      <c r="KCQ640" s="1572"/>
      <c r="KCR640" s="1572"/>
      <c r="KCS640" s="1572"/>
      <c r="KCT640" s="1572"/>
      <c r="KCU640" s="1572"/>
      <c r="KCV640" s="1572"/>
      <c r="KCW640" s="1572" t="s">
        <v>885</v>
      </c>
      <c r="KCX640" s="1572"/>
      <c r="KCY640" s="1572"/>
      <c r="KCZ640" s="1572"/>
      <c r="KDA640" s="1572"/>
      <c r="KDB640" s="1572"/>
      <c r="KDC640" s="1572"/>
      <c r="KDD640" s="1572"/>
      <c r="KDE640" s="1572" t="s">
        <v>885</v>
      </c>
      <c r="KDF640" s="1572"/>
      <c r="KDG640" s="1572"/>
      <c r="KDH640" s="1572"/>
      <c r="KDI640" s="1572"/>
      <c r="KDJ640" s="1572"/>
      <c r="KDK640" s="1572"/>
      <c r="KDL640" s="1572"/>
      <c r="KDM640" s="1572" t="s">
        <v>885</v>
      </c>
      <c r="KDN640" s="1572"/>
      <c r="KDO640" s="1572"/>
      <c r="KDP640" s="1572"/>
      <c r="KDQ640" s="1572"/>
      <c r="KDR640" s="1572"/>
      <c r="KDS640" s="1572"/>
      <c r="KDT640" s="1572"/>
      <c r="KDU640" s="1572" t="s">
        <v>885</v>
      </c>
      <c r="KDV640" s="1572"/>
      <c r="KDW640" s="1572"/>
      <c r="KDX640" s="1572"/>
      <c r="KDY640" s="1572"/>
      <c r="KDZ640" s="1572"/>
      <c r="KEA640" s="1572"/>
      <c r="KEB640" s="1572"/>
      <c r="KEC640" s="1572" t="s">
        <v>885</v>
      </c>
      <c r="KED640" s="1572"/>
      <c r="KEE640" s="1572"/>
      <c r="KEF640" s="1572"/>
      <c r="KEG640" s="1572"/>
      <c r="KEH640" s="1572"/>
      <c r="KEI640" s="1572"/>
      <c r="KEJ640" s="1572"/>
      <c r="KEK640" s="1572" t="s">
        <v>885</v>
      </c>
      <c r="KEL640" s="1572"/>
      <c r="KEM640" s="1572"/>
      <c r="KEN640" s="1572"/>
      <c r="KEO640" s="1572"/>
      <c r="KEP640" s="1572"/>
      <c r="KEQ640" s="1572"/>
      <c r="KER640" s="1572"/>
      <c r="KES640" s="1572" t="s">
        <v>885</v>
      </c>
      <c r="KET640" s="1572"/>
      <c r="KEU640" s="1572"/>
      <c r="KEV640" s="1572"/>
      <c r="KEW640" s="1572"/>
      <c r="KEX640" s="1572"/>
      <c r="KEY640" s="1572"/>
      <c r="KEZ640" s="1572"/>
      <c r="KFA640" s="1572" t="s">
        <v>885</v>
      </c>
      <c r="KFB640" s="1572"/>
      <c r="KFC640" s="1572"/>
      <c r="KFD640" s="1572"/>
      <c r="KFE640" s="1572"/>
      <c r="KFF640" s="1572"/>
      <c r="KFG640" s="1572"/>
      <c r="KFH640" s="1572"/>
      <c r="KFI640" s="1572" t="s">
        <v>885</v>
      </c>
      <c r="KFJ640" s="1572"/>
      <c r="KFK640" s="1572"/>
      <c r="KFL640" s="1572"/>
      <c r="KFM640" s="1572"/>
      <c r="KFN640" s="1572"/>
      <c r="KFO640" s="1572"/>
      <c r="KFP640" s="1572"/>
      <c r="KFQ640" s="1572" t="s">
        <v>885</v>
      </c>
      <c r="KFR640" s="1572"/>
      <c r="KFS640" s="1572"/>
      <c r="KFT640" s="1572"/>
      <c r="KFU640" s="1572"/>
      <c r="KFV640" s="1572"/>
      <c r="KFW640" s="1572"/>
      <c r="KFX640" s="1572"/>
      <c r="KFY640" s="1572" t="s">
        <v>885</v>
      </c>
      <c r="KFZ640" s="1572"/>
      <c r="KGA640" s="1572"/>
      <c r="KGB640" s="1572"/>
      <c r="KGC640" s="1572"/>
      <c r="KGD640" s="1572"/>
      <c r="KGE640" s="1572"/>
      <c r="KGF640" s="1572"/>
      <c r="KGG640" s="1572" t="s">
        <v>885</v>
      </c>
      <c r="KGH640" s="1572"/>
      <c r="KGI640" s="1572"/>
      <c r="KGJ640" s="1572"/>
      <c r="KGK640" s="1572"/>
      <c r="KGL640" s="1572"/>
      <c r="KGM640" s="1572"/>
      <c r="KGN640" s="1572"/>
      <c r="KGO640" s="1572" t="s">
        <v>885</v>
      </c>
      <c r="KGP640" s="1572"/>
      <c r="KGQ640" s="1572"/>
      <c r="KGR640" s="1572"/>
      <c r="KGS640" s="1572"/>
      <c r="KGT640" s="1572"/>
      <c r="KGU640" s="1572"/>
      <c r="KGV640" s="1572"/>
      <c r="KGW640" s="1572" t="s">
        <v>885</v>
      </c>
      <c r="KGX640" s="1572"/>
      <c r="KGY640" s="1572"/>
      <c r="KGZ640" s="1572"/>
      <c r="KHA640" s="1572"/>
      <c r="KHB640" s="1572"/>
      <c r="KHC640" s="1572"/>
      <c r="KHD640" s="1572"/>
      <c r="KHE640" s="1572" t="s">
        <v>885</v>
      </c>
      <c r="KHF640" s="1572"/>
      <c r="KHG640" s="1572"/>
      <c r="KHH640" s="1572"/>
      <c r="KHI640" s="1572"/>
      <c r="KHJ640" s="1572"/>
      <c r="KHK640" s="1572"/>
      <c r="KHL640" s="1572"/>
      <c r="KHM640" s="1572" t="s">
        <v>885</v>
      </c>
      <c r="KHN640" s="1572"/>
      <c r="KHO640" s="1572"/>
      <c r="KHP640" s="1572"/>
      <c r="KHQ640" s="1572"/>
      <c r="KHR640" s="1572"/>
      <c r="KHS640" s="1572"/>
      <c r="KHT640" s="1572"/>
      <c r="KHU640" s="1572" t="s">
        <v>885</v>
      </c>
      <c r="KHV640" s="1572"/>
      <c r="KHW640" s="1572"/>
      <c r="KHX640" s="1572"/>
      <c r="KHY640" s="1572"/>
      <c r="KHZ640" s="1572"/>
      <c r="KIA640" s="1572"/>
      <c r="KIB640" s="1572"/>
      <c r="KIC640" s="1572" t="s">
        <v>885</v>
      </c>
      <c r="KID640" s="1572"/>
      <c r="KIE640" s="1572"/>
      <c r="KIF640" s="1572"/>
      <c r="KIG640" s="1572"/>
      <c r="KIH640" s="1572"/>
      <c r="KII640" s="1572"/>
      <c r="KIJ640" s="1572"/>
      <c r="KIK640" s="1572" t="s">
        <v>885</v>
      </c>
      <c r="KIL640" s="1572"/>
      <c r="KIM640" s="1572"/>
      <c r="KIN640" s="1572"/>
      <c r="KIO640" s="1572"/>
      <c r="KIP640" s="1572"/>
      <c r="KIQ640" s="1572"/>
      <c r="KIR640" s="1572"/>
      <c r="KIS640" s="1572" t="s">
        <v>885</v>
      </c>
      <c r="KIT640" s="1572"/>
      <c r="KIU640" s="1572"/>
      <c r="KIV640" s="1572"/>
      <c r="KIW640" s="1572"/>
      <c r="KIX640" s="1572"/>
      <c r="KIY640" s="1572"/>
      <c r="KIZ640" s="1572"/>
      <c r="KJA640" s="1572" t="s">
        <v>885</v>
      </c>
      <c r="KJB640" s="1572"/>
      <c r="KJC640" s="1572"/>
      <c r="KJD640" s="1572"/>
      <c r="KJE640" s="1572"/>
      <c r="KJF640" s="1572"/>
      <c r="KJG640" s="1572"/>
      <c r="KJH640" s="1572"/>
      <c r="KJI640" s="1572" t="s">
        <v>885</v>
      </c>
      <c r="KJJ640" s="1572"/>
      <c r="KJK640" s="1572"/>
      <c r="KJL640" s="1572"/>
      <c r="KJM640" s="1572"/>
      <c r="KJN640" s="1572"/>
      <c r="KJO640" s="1572"/>
      <c r="KJP640" s="1572"/>
      <c r="KJQ640" s="1572" t="s">
        <v>885</v>
      </c>
      <c r="KJR640" s="1572"/>
      <c r="KJS640" s="1572"/>
      <c r="KJT640" s="1572"/>
      <c r="KJU640" s="1572"/>
      <c r="KJV640" s="1572"/>
      <c r="KJW640" s="1572"/>
      <c r="KJX640" s="1572"/>
      <c r="KJY640" s="1572" t="s">
        <v>885</v>
      </c>
      <c r="KJZ640" s="1572"/>
      <c r="KKA640" s="1572"/>
      <c r="KKB640" s="1572"/>
      <c r="KKC640" s="1572"/>
      <c r="KKD640" s="1572"/>
      <c r="KKE640" s="1572"/>
      <c r="KKF640" s="1572"/>
      <c r="KKG640" s="1572" t="s">
        <v>885</v>
      </c>
      <c r="KKH640" s="1572"/>
      <c r="KKI640" s="1572"/>
      <c r="KKJ640" s="1572"/>
      <c r="KKK640" s="1572"/>
      <c r="KKL640" s="1572"/>
      <c r="KKM640" s="1572"/>
      <c r="KKN640" s="1572"/>
      <c r="KKO640" s="1572" t="s">
        <v>885</v>
      </c>
      <c r="KKP640" s="1572"/>
      <c r="KKQ640" s="1572"/>
      <c r="KKR640" s="1572"/>
      <c r="KKS640" s="1572"/>
      <c r="KKT640" s="1572"/>
      <c r="KKU640" s="1572"/>
      <c r="KKV640" s="1572"/>
      <c r="KKW640" s="1572" t="s">
        <v>885</v>
      </c>
      <c r="KKX640" s="1572"/>
      <c r="KKY640" s="1572"/>
      <c r="KKZ640" s="1572"/>
      <c r="KLA640" s="1572"/>
      <c r="KLB640" s="1572"/>
      <c r="KLC640" s="1572"/>
      <c r="KLD640" s="1572"/>
      <c r="KLE640" s="1572" t="s">
        <v>885</v>
      </c>
      <c r="KLF640" s="1572"/>
      <c r="KLG640" s="1572"/>
      <c r="KLH640" s="1572"/>
      <c r="KLI640" s="1572"/>
      <c r="KLJ640" s="1572"/>
      <c r="KLK640" s="1572"/>
      <c r="KLL640" s="1572"/>
      <c r="KLM640" s="1572" t="s">
        <v>885</v>
      </c>
      <c r="KLN640" s="1572"/>
      <c r="KLO640" s="1572"/>
      <c r="KLP640" s="1572"/>
      <c r="KLQ640" s="1572"/>
      <c r="KLR640" s="1572"/>
      <c r="KLS640" s="1572"/>
      <c r="KLT640" s="1572"/>
      <c r="KLU640" s="1572" t="s">
        <v>885</v>
      </c>
      <c r="KLV640" s="1572"/>
      <c r="KLW640" s="1572"/>
      <c r="KLX640" s="1572"/>
      <c r="KLY640" s="1572"/>
      <c r="KLZ640" s="1572"/>
      <c r="KMA640" s="1572"/>
      <c r="KMB640" s="1572"/>
      <c r="KMC640" s="1572" t="s">
        <v>885</v>
      </c>
      <c r="KMD640" s="1572"/>
      <c r="KME640" s="1572"/>
      <c r="KMF640" s="1572"/>
      <c r="KMG640" s="1572"/>
      <c r="KMH640" s="1572"/>
      <c r="KMI640" s="1572"/>
      <c r="KMJ640" s="1572"/>
      <c r="KMK640" s="1572" t="s">
        <v>885</v>
      </c>
      <c r="KML640" s="1572"/>
      <c r="KMM640" s="1572"/>
      <c r="KMN640" s="1572"/>
      <c r="KMO640" s="1572"/>
      <c r="KMP640" s="1572"/>
      <c r="KMQ640" s="1572"/>
      <c r="KMR640" s="1572"/>
      <c r="KMS640" s="1572" t="s">
        <v>885</v>
      </c>
      <c r="KMT640" s="1572"/>
      <c r="KMU640" s="1572"/>
      <c r="KMV640" s="1572"/>
      <c r="KMW640" s="1572"/>
      <c r="KMX640" s="1572"/>
      <c r="KMY640" s="1572"/>
      <c r="KMZ640" s="1572"/>
      <c r="KNA640" s="1572" t="s">
        <v>885</v>
      </c>
      <c r="KNB640" s="1572"/>
      <c r="KNC640" s="1572"/>
      <c r="KND640" s="1572"/>
      <c r="KNE640" s="1572"/>
      <c r="KNF640" s="1572"/>
      <c r="KNG640" s="1572"/>
      <c r="KNH640" s="1572"/>
      <c r="KNI640" s="1572" t="s">
        <v>885</v>
      </c>
      <c r="KNJ640" s="1572"/>
      <c r="KNK640" s="1572"/>
      <c r="KNL640" s="1572"/>
      <c r="KNM640" s="1572"/>
      <c r="KNN640" s="1572"/>
      <c r="KNO640" s="1572"/>
      <c r="KNP640" s="1572"/>
      <c r="KNQ640" s="1572" t="s">
        <v>885</v>
      </c>
      <c r="KNR640" s="1572"/>
      <c r="KNS640" s="1572"/>
      <c r="KNT640" s="1572"/>
      <c r="KNU640" s="1572"/>
      <c r="KNV640" s="1572"/>
      <c r="KNW640" s="1572"/>
      <c r="KNX640" s="1572"/>
      <c r="KNY640" s="1572" t="s">
        <v>885</v>
      </c>
      <c r="KNZ640" s="1572"/>
      <c r="KOA640" s="1572"/>
      <c r="KOB640" s="1572"/>
      <c r="KOC640" s="1572"/>
      <c r="KOD640" s="1572"/>
      <c r="KOE640" s="1572"/>
      <c r="KOF640" s="1572"/>
      <c r="KOG640" s="1572" t="s">
        <v>885</v>
      </c>
      <c r="KOH640" s="1572"/>
      <c r="KOI640" s="1572"/>
      <c r="KOJ640" s="1572"/>
      <c r="KOK640" s="1572"/>
      <c r="KOL640" s="1572"/>
      <c r="KOM640" s="1572"/>
      <c r="KON640" s="1572"/>
      <c r="KOO640" s="1572" t="s">
        <v>885</v>
      </c>
      <c r="KOP640" s="1572"/>
      <c r="KOQ640" s="1572"/>
      <c r="KOR640" s="1572"/>
      <c r="KOS640" s="1572"/>
      <c r="KOT640" s="1572"/>
      <c r="KOU640" s="1572"/>
      <c r="KOV640" s="1572"/>
      <c r="KOW640" s="1572" t="s">
        <v>885</v>
      </c>
      <c r="KOX640" s="1572"/>
      <c r="KOY640" s="1572"/>
      <c r="KOZ640" s="1572"/>
      <c r="KPA640" s="1572"/>
      <c r="KPB640" s="1572"/>
      <c r="KPC640" s="1572"/>
      <c r="KPD640" s="1572"/>
      <c r="KPE640" s="1572" t="s">
        <v>885</v>
      </c>
      <c r="KPF640" s="1572"/>
      <c r="KPG640" s="1572"/>
      <c r="KPH640" s="1572"/>
      <c r="KPI640" s="1572"/>
      <c r="KPJ640" s="1572"/>
      <c r="KPK640" s="1572"/>
      <c r="KPL640" s="1572"/>
      <c r="KPM640" s="1572" t="s">
        <v>885</v>
      </c>
      <c r="KPN640" s="1572"/>
      <c r="KPO640" s="1572"/>
      <c r="KPP640" s="1572"/>
      <c r="KPQ640" s="1572"/>
      <c r="KPR640" s="1572"/>
      <c r="KPS640" s="1572"/>
      <c r="KPT640" s="1572"/>
      <c r="KPU640" s="1572" t="s">
        <v>885</v>
      </c>
      <c r="KPV640" s="1572"/>
      <c r="KPW640" s="1572"/>
      <c r="KPX640" s="1572"/>
      <c r="KPY640" s="1572"/>
      <c r="KPZ640" s="1572"/>
      <c r="KQA640" s="1572"/>
      <c r="KQB640" s="1572"/>
      <c r="KQC640" s="1572" t="s">
        <v>885</v>
      </c>
      <c r="KQD640" s="1572"/>
      <c r="KQE640" s="1572"/>
      <c r="KQF640" s="1572"/>
      <c r="KQG640" s="1572"/>
      <c r="KQH640" s="1572"/>
      <c r="KQI640" s="1572"/>
      <c r="KQJ640" s="1572"/>
      <c r="KQK640" s="1572" t="s">
        <v>885</v>
      </c>
      <c r="KQL640" s="1572"/>
      <c r="KQM640" s="1572"/>
      <c r="KQN640" s="1572"/>
      <c r="KQO640" s="1572"/>
      <c r="KQP640" s="1572"/>
      <c r="KQQ640" s="1572"/>
      <c r="KQR640" s="1572"/>
      <c r="KQS640" s="1572" t="s">
        <v>885</v>
      </c>
      <c r="KQT640" s="1572"/>
      <c r="KQU640" s="1572"/>
      <c r="KQV640" s="1572"/>
      <c r="KQW640" s="1572"/>
      <c r="KQX640" s="1572"/>
      <c r="KQY640" s="1572"/>
      <c r="KQZ640" s="1572"/>
      <c r="KRA640" s="1572" t="s">
        <v>885</v>
      </c>
      <c r="KRB640" s="1572"/>
      <c r="KRC640" s="1572"/>
      <c r="KRD640" s="1572"/>
      <c r="KRE640" s="1572"/>
      <c r="KRF640" s="1572"/>
      <c r="KRG640" s="1572"/>
      <c r="KRH640" s="1572"/>
      <c r="KRI640" s="1572" t="s">
        <v>885</v>
      </c>
      <c r="KRJ640" s="1572"/>
      <c r="KRK640" s="1572"/>
      <c r="KRL640" s="1572"/>
      <c r="KRM640" s="1572"/>
      <c r="KRN640" s="1572"/>
      <c r="KRO640" s="1572"/>
      <c r="KRP640" s="1572"/>
      <c r="KRQ640" s="1572" t="s">
        <v>885</v>
      </c>
      <c r="KRR640" s="1572"/>
      <c r="KRS640" s="1572"/>
      <c r="KRT640" s="1572"/>
      <c r="KRU640" s="1572"/>
      <c r="KRV640" s="1572"/>
      <c r="KRW640" s="1572"/>
      <c r="KRX640" s="1572"/>
      <c r="KRY640" s="1572" t="s">
        <v>885</v>
      </c>
      <c r="KRZ640" s="1572"/>
      <c r="KSA640" s="1572"/>
      <c r="KSB640" s="1572"/>
      <c r="KSC640" s="1572"/>
      <c r="KSD640" s="1572"/>
      <c r="KSE640" s="1572"/>
      <c r="KSF640" s="1572"/>
      <c r="KSG640" s="1572" t="s">
        <v>885</v>
      </c>
      <c r="KSH640" s="1572"/>
      <c r="KSI640" s="1572"/>
      <c r="KSJ640" s="1572"/>
      <c r="KSK640" s="1572"/>
      <c r="KSL640" s="1572"/>
      <c r="KSM640" s="1572"/>
      <c r="KSN640" s="1572"/>
      <c r="KSO640" s="1572" t="s">
        <v>885</v>
      </c>
      <c r="KSP640" s="1572"/>
      <c r="KSQ640" s="1572"/>
      <c r="KSR640" s="1572"/>
      <c r="KSS640" s="1572"/>
      <c r="KST640" s="1572"/>
      <c r="KSU640" s="1572"/>
      <c r="KSV640" s="1572"/>
      <c r="KSW640" s="1572" t="s">
        <v>885</v>
      </c>
      <c r="KSX640" s="1572"/>
      <c r="KSY640" s="1572"/>
      <c r="KSZ640" s="1572"/>
      <c r="KTA640" s="1572"/>
      <c r="KTB640" s="1572"/>
      <c r="KTC640" s="1572"/>
      <c r="KTD640" s="1572"/>
      <c r="KTE640" s="1572" t="s">
        <v>885</v>
      </c>
      <c r="KTF640" s="1572"/>
      <c r="KTG640" s="1572"/>
      <c r="KTH640" s="1572"/>
      <c r="KTI640" s="1572"/>
      <c r="KTJ640" s="1572"/>
      <c r="KTK640" s="1572"/>
      <c r="KTL640" s="1572"/>
      <c r="KTM640" s="1572" t="s">
        <v>885</v>
      </c>
      <c r="KTN640" s="1572"/>
      <c r="KTO640" s="1572"/>
      <c r="KTP640" s="1572"/>
      <c r="KTQ640" s="1572"/>
      <c r="KTR640" s="1572"/>
      <c r="KTS640" s="1572"/>
      <c r="KTT640" s="1572"/>
      <c r="KTU640" s="1572" t="s">
        <v>885</v>
      </c>
      <c r="KTV640" s="1572"/>
      <c r="KTW640" s="1572"/>
      <c r="KTX640" s="1572"/>
      <c r="KTY640" s="1572"/>
      <c r="KTZ640" s="1572"/>
      <c r="KUA640" s="1572"/>
      <c r="KUB640" s="1572"/>
      <c r="KUC640" s="1572" t="s">
        <v>885</v>
      </c>
      <c r="KUD640" s="1572"/>
      <c r="KUE640" s="1572"/>
      <c r="KUF640" s="1572"/>
      <c r="KUG640" s="1572"/>
      <c r="KUH640" s="1572"/>
      <c r="KUI640" s="1572"/>
      <c r="KUJ640" s="1572"/>
      <c r="KUK640" s="1572" t="s">
        <v>885</v>
      </c>
      <c r="KUL640" s="1572"/>
      <c r="KUM640" s="1572"/>
      <c r="KUN640" s="1572"/>
      <c r="KUO640" s="1572"/>
      <c r="KUP640" s="1572"/>
      <c r="KUQ640" s="1572"/>
      <c r="KUR640" s="1572"/>
      <c r="KUS640" s="1572" t="s">
        <v>885</v>
      </c>
      <c r="KUT640" s="1572"/>
      <c r="KUU640" s="1572"/>
      <c r="KUV640" s="1572"/>
      <c r="KUW640" s="1572"/>
      <c r="KUX640" s="1572"/>
      <c r="KUY640" s="1572"/>
      <c r="KUZ640" s="1572"/>
      <c r="KVA640" s="1572" t="s">
        <v>885</v>
      </c>
      <c r="KVB640" s="1572"/>
      <c r="KVC640" s="1572"/>
      <c r="KVD640" s="1572"/>
      <c r="KVE640" s="1572"/>
      <c r="KVF640" s="1572"/>
      <c r="KVG640" s="1572"/>
      <c r="KVH640" s="1572"/>
      <c r="KVI640" s="1572" t="s">
        <v>885</v>
      </c>
      <c r="KVJ640" s="1572"/>
      <c r="KVK640" s="1572"/>
      <c r="KVL640" s="1572"/>
      <c r="KVM640" s="1572"/>
      <c r="KVN640" s="1572"/>
      <c r="KVO640" s="1572"/>
      <c r="KVP640" s="1572"/>
      <c r="KVQ640" s="1572" t="s">
        <v>885</v>
      </c>
      <c r="KVR640" s="1572"/>
      <c r="KVS640" s="1572"/>
      <c r="KVT640" s="1572"/>
      <c r="KVU640" s="1572"/>
      <c r="KVV640" s="1572"/>
      <c r="KVW640" s="1572"/>
      <c r="KVX640" s="1572"/>
      <c r="KVY640" s="1572" t="s">
        <v>885</v>
      </c>
      <c r="KVZ640" s="1572"/>
      <c r="KWA640" s="1572"/>
      <c r="KWB640" s="1572"/>
      <c r="KWC640" s="1572"/>
      <c r="KWD640" s="1572"/>
      <c r="KWE640" s="1572"/>
      <c r="KWF640" s="1572"/>
      <c r="KWG640" s="1572" t="s">
        <v>885</v>
      </c>
      <c r="KWH640" s="1572"/>
      <c r="KWI640" s="1572"/>
      <c r="KWJ640" s="1572"/>
      <c r="KWK640" s="1572"/>
      <c r="KWL640" s="1572"/>
      <c r="KWM640" s="1572"/>
      <c r="KWN640" s="1572"/>
      <c r="KWO640" s="1572" t="s">
        <v>885</v>
      </c>
      <c r="KWP640" s="1572"/>
      <c r="KWQ640" s="1572"/>
      <c r="KWR640" s="1572"/>
      <c r="KWS640" s="1572"/>
      <c r="KWT640" s="1572"/>
      <c r="KWU640" s="1572"/>
      <c r="KWV640" s="1572"/>
      <c r="KWW640" s="1572" t="s">
        <v>885</v>
      </c>
      <c r="KWX640" s="1572"/>
      <c r="KWY640" s="1572"/>
      <c r="KWZ640" s="1572"/>
      <c r="KXA640" s="1572"/>
      <c r="KXB640" s="1572"/>
      <c r="KXC640" s="1572"/>
      <c r="KXD640" s="1572"/>
      <c r="KXE640" s="1572" t="s">
        <v>885</v>
      </c>
      <c r="KXF640" s="1572"/>
      <c r="KXG640" s="1572"/>
      <c r="KXH640" s="1572"/>
      <c r="KXI640" s="1572"/>
      <c r="KXJ640" s="1572"/>
      <c r="KXK640" s="1572"/>
      <c r="KXL640" s="1572"/>
      <c r="KXM640" s="1572" t="s">
        <v>885</v>
      </c>
      <c r="KXN640" s="1572"/>
      <c r="KXO640" s="1572"/>
      <c r="KXP640" s="1572"/>
      <c r="KXQ640" s="1572"/>
      <c r="KXR640" s="1572"/>
      <c r="KXS640" s="1572"/>
      <c r="KXT640" s="1572"/>
      <c r="KXU640" s="1572" t="s">
        <v>885</v>
      </c>
      <c r="KXV640" s="1572"/>
      <c r="KXW640" s="1572"/>
      <c r="KXX640" s="1572"/>
      <c r="KXY640" s="1572"/>
      <c r="KXZ640" s="1572"/>
      <c r="KYA640" s="1572"/>
      <c r="KYB640" s="1572"/>
      <c r="KYC640" s="1572" t="s">
        <v>885</v>
      </c>
      <c r="KYD640" s="1572"/>
      <c r="KYE640" s="1572"/>
      <c r="KYF640" s="1572"/>
      <c r="KYG640" s="1572"/>
      <c r="KYH640" s="1572"/>
      <c r="KYI640" s="1572"/>
      <c r="KYJ640" s="1572"/>
      <c r="KYK640" s="1572" t="s">
        <v>885</v>
      </c>
      <c r="KYL640" s="1572"/>
      <c r="KYM640" s="1572"/>
      <c r="KYN640" s="1572"/>
      <c r="KYO640" s="1572"/>
      <c r="KYP640" s="1572"/>
      <c r="KYQ640" s="1572"/>
      <c r="KYR640" s="1572"/>
      <c r="KYS640" s="1572" t="s">
        <v>885</v>
      </c>
      <c r="KYT640" s="1572"/>
      <c r="KYU640" s="1572"/>
      <c r="KYV640" s="1572"/>
      <c r="KYW640" s="1572"/>
      <c r="KYX640" s="1572"/>
      <c r="KYY640" s="1572"/>
      <c r="KYZ640" s="1572"/>
      <c r="KZA640" s="1572" t="s">
        <v>885</v>
      </c>
      <c r="KZB640" s="1572"/>
      <c r="KZC640" s="1572"/>
      <c r="KZD640" s="1572"/>
      <c r="KZE640" s="1572"/>
      <c r="KZF640" s="1572"/>
      <c r="KZG640" s="1572"/>
      <c r="KZH640" s="1572"/>
      <c r="KZI640" s="1572" t="s">
        <v>885</v>
      </c>
      <c r="KZJ640" s="1572"/>
      <c r="KZK640" s="1572"/>
      <c r="KZL640" s="1572"/>
      <c r="KZM640" s="1572"/>
      <c r="KZN640" s="1572"/>
      <c r="KZO640" s="1572"/>
      <c r="KZP640" s="1572"/>
      <c r="KZQ640" s="1572" t="s">
        <v>885</v>
      </c>
      <c r="KZR640" s="1572"/>
      <c r="KZS640" s="1572"/>
      <c r="KZT640" s="1572"/>
      <c r="KZU640" s="1572"/>
      <c r="KZV640" s="1572"/>
      <c r="KZW640" s="1572"/>
      <c r="KZX640" s="1572"/>
      <c r="KZY640" s="1572" t="s">
        <v>885</v>
      </c>
      <c r="KZZ640" s="1572"/>
      <c r="LAA640" s="1572"/>
      <c r="LAB640" s="1572"/>
      <c r="LAC640" s="1572"/>
      <c r="LAD640" s="1572"/>
      <c r="LAE640" s="1572"/>
      <c r="LAF640" s="1572"/>
      <c r="LAG640" s="1572" t="s">
        <v>885</v>
      </c>
      <c r="LAH640" s="1572"/>
      <c r="LAI640" s="1572"/>
      <c r="LAJ640" s="1572"/>
      <c r="LAK640" s="1572"/>
      <c r="LAL640" s="1572"/>
      <c r="LAM640" s="1572"/>
      <c r="LAN640" s="1572"/>
      <c r="LAO640" s="1572" t="s">
        <v>885</v>
      </c>
      <c r="LAP640" s="1572"/>
      <c r="LAQ640" s="1572"/>
      <c r="LAR640" s="1572"/>
      <c r="LAS640" s="1572"/>
      <c r="LAT640" s="1572"/>
      <c r="LAU640" s="1572"/>
      <c r="LAV640" s="1572"/>
      <c r="LAW640" s="1572" t="s">
        <v>885</v>
      </c>
      <c r="LAX640" s="1572"/>
      <c r="LAY640" s="1572"/>
      <c r="LAZ640" s="1572"/>
      <c r="LBA640" s="1572"/>
      <c r="LBB640" s="1572"/>
      <c r="LBC640" s="1572"/>
      <c r="LBD640" s="1572"/>
      <c r="LBE640" s="1572" t="s">
        <v>885</v>
      </c>
      <c r="LBF640" s="1572"/>
      <c r="LBG640" s="1572"/>
      <c r="LBH640" s="1572"/>
      <c r="LBI640" s="1572"/>
      <c r="LBJ640" s="1572"/>
      <c r="LBK640" s="1572"/>
      <c r="LBL640" s="1572"/>
      <c r="LBM640" s="1572" t="s">
        <v>885</v>
      </c>
      <c r="LBN640" s="1572"/>
      <c r="LBO640" s="1572"/>
      <c r="LBP640" s="1572"/>
      <c r="LBQ640" s="1572"/>
      <c r="LBR640" s="1572"/>
      <c r="LBS640" s="1572"/>
      <c r="LBT640" s="1572"/>
      <c r="LBU640" s="1572" t="s">
        <v>885</v>
      </c>
      <c r="LBV640" s="1572"/>
      <c r="LBW640" s="1572"/>
      <c r="LBX640" s="1572"/>
      <c r="LBY640" s="1572"/>
      <c r="LBZ640" s="1572"/>
      <c r="LCA640" s="1572"/>
      <c r="LCB640" s="1572"/>
      <c r="LCC640" s="1572" t="s">
        <v>885</v>
      </c>
      <c r="LCD640" s="1572"/>
      <c r="LCE640" s="1572"/>
      <c r="LCF640" s="1572"/>
      <c r="LCG640" s="1572"/>
      <c r="LCH640" s="1572"/>
      <c r="LCI640" s="1572"/>
      <c r="LCJ640" s="1572"/>
      <c r="LCK640" s="1572" t="s">
        <v>885</v>
      </c>
      <c r="LCL640" s="1572"/>
      <c r="LCM640" s="1572"/>
      <c r="LCN640" s="1572"/>
      <c r="LCO640" s="1572"/>
      <c r="LCP640" s="1572"/>
      <c r="LCQ640" s="1572"/>
      <c r="LCR640" s="1572"/>
      <c r="LCS640" s="1572" t="s">
        <v>885</v>
      </c>
      <c r="LCT640" s="1572"/>
      <c r="LCU640" s="1572"/>
      <c r="LCV640" s="1572"/>
      <c r="LCW640" s="1572"/>
      <c r="LCX640" s="1572"/>
      <c r="LCY640" s="1572"/>
      <c r="LCZ640" s="1572"/>
      <c r="LDA640" s="1572" t="s">
        <v>885</v>
      </c>
      <c r="LDB640" s="1572"/>
      <c r="LDC640" s="1572"/>
      <c r="LDD640" s="1572"/>
      <c r="LDE640" s="1572"/>
      <c r="LDF640" s="1572"/>
      <c r="LDG640" s="1572"/>
      <c r="LDH640" s="1572"/>
      <c r="LDI640" s="1572" t="s">
        <v>885</v>
      </c>
      <c r="LDJ640" s="1572"/>
      <c r="LDK640" s="1572"/>
      <c r="LDL640" s="1572"/>
      <c r="LDM640" s="1572"/>
      <c r="LDN640" s="1572"/>
      <c r="LDO640" s="1572"/>
      <c r="LDP640" s="1572"/>
      <c r="LDQ640" s="1572" t="s">
        <v>885</v>
      </c>
      <c r="LDR640" s="1572"/>
      <c r="LDS640" s="1572"/>
      <c r="LDT640" s="1572"/>
      <c r="LDU640" s="1572"/>
      <c r="LDV640" s="1572"/>
      <c r="LDW640" s="1572"/>
      <c r="LDX640" s="1572"/>
      <c r="LDY640" s="1572" t="s">
        <v>885</v>
      </c>
      <c r="LDZ640" s="1572"/>
      <c r="LEA640" s="1572"/>
      <c r="LEB640" s="1572"/>
      <c r="LEC640" s="1572"/>
      <c r="LED640" s="1572"/>
      <c r="LEE640" s="1572"/>
      <c r="LEF640" s="1572"/>
      <c r="LEG640" s="1572" t="s">
        <v>885</v>
      </c>
      <c r="LEH640" s="1572"/>
      <c r="LEI640" s="1572"/>
      <c r="LEJ640" s="1572"/>
      <c r="LEK640" s="1572"/>
      <c r="LEL640" s="1572"/>
      <c r="LEM640" s="1572"/>
      <c r="LEN640" s="1572"/>
      <c r="LEO640" s="1572" t="s">
        <v>885</v>
      </c>
      <c r="LEP640" s="1572"/>
      <c r="LEQ640" s="1572"/>
      <c r="LER640" s="1572"/>
      <c r="LES640" s="1572"/>
      <c r="LET640" s="1572"/>
      <c r="LEU640" s="1572"/>
      <c r="LEV640" s="1572"/>
      <c r="LEW640" s="1572" t="s">
        <v>885</v>
      </c>
      <c r="LEX640" s="1572"/>
      <c r="LEY640" s="1572"/>
      <c r="LEZ640" s="1572"/>
      <c r="LFA640" s="1572"/>
      <c r="LFB640" s="1572"/>
      <c r="LFC640" s="1572"/>
      <c r="LFD640" s="1572"/>
      <c r="LFE640" s="1572" t="s">
        <v>885</v>
      </c>
      <c r="LFF640" s="1572"/>
      <c r="LFG640" s="1572"/>
      <c r="LFH640" s="1572"/>
      <c r="LFI640" s="1572"/>
      <c r="LFJ640" s="1572"/>
      <c r="LFK640" s="1572"/>
      <c r="LFL640" s="1572"/>
      <c r="LFM640" s="1572" t="s">
        <v>885</v>
      </c>
      <c r="LFN640" s="1572"/>
      <c r="LFO640" s="1572"/>
      <c r="LFP640" s="1572"/>
      <c r="LFQ640" s="1572"/>
      <c r="LFR640" s="1572"/>
      <c r="LFS640" s="1572"/>
      <c r="LFT640" s="1572"/>
      <c r="LFU640" s="1572" t="s">
        <v>885</v>
      </c>
      <c r="LFV640" s="1572"/>
      <c r="LFW640" s="1572"/>
      <c r="LFX640" s="1572"/>
      <c r="LFY640" s="1572"/>
      <c r="LFZ640" s="1572"/>
      <c r="LGA640" s="1572"/>
      <c r="LGB640" s="1572"/>
      <c r="LGC640" s="1572" t="s">
        <v>885</v>
      </c>
      <c r="LGD640" s="1572"/>
      <c r="LGE640" s="1572"/>
      <c r="LGF640" s="1572"/>
      <c r="LGG640" s="1572"/>
      <c r="LGH640" s="1572"/>
      <c r="LGI640" s="1572"/>
      <c r="LGJ640" s="1572"/>
      <c r="LGK640" s="1572" t="s">
        <v>885</v>
      </c>
      <c r="LGL640" s="1572"/>
      <c r="LGM640" s="1572"/>
      <c r="LGN640" s="1572"/>
      <c r="LGO640" s="1572"/>
      <c r="LGP640" s="1572"/>
      <c r="LGQ640" s="1572"/>
      <c r="LGR640" s="1572"/>
      <c r="LGS640" s="1572" t="s">
        <v>885</v>
      </c>
      <c r="LGT640" s="1572"/>
      <c r="LGU640" s="1572"/>
      <c r="LGV640" s="1572"/>
      <c r="LGW640" s="1572"/>
      <c r="LGX640" s="1572"/>
      <c r="LGY640" s="1572"/>
      <c r="LGZ640" s="1572"/>
      <c r="LHA640" s="1572" t="s">
        <v>885</v>
      </c>
      <c r="LHB640" s="1572"/>
      <c r="LHC640" s="1572"/>
      <c r="LHD640" s="1572"/>
      <c r="LHE640" s="1572"/>
      <c r="LHF640" s="1572"/>
      <c r="LHG640" s="1572"/>
      <c r="LHH640" s="1572"/>
      <c r="LHI640" s="1572" t="s">
        <v>885</v>
      </c>
      <c r="LHJ640" s="1572"/>
      <c r="LHK640" s="1572"/>
      <c r="LHL640" s="1572"/>
      <c r="LHM640" s="1572"/>
      <c r="LHN640" s="1572"/>
      <c r="LHO640" s="1572"/>
      <c r="LHP640" s="1572"/>
      <c r="LHQ640" s="1572" t="s">
        <v>885</v>
      </c>
      <c r="LHR640" s="1572"/>
      <c r="LHS640" s="1572"/>
      <c r="LHT640" s="1572"/>
      <c r="LHU640" s="1572"/>
      <c r="LHV640" s="1572"/>
      <c r="LHW640" s="1572"/>
      <c r="LHX640" s="1572"/>
      <c r="LHY640" s="1572" t="s">
        <v>885</v>
      </c>
      <c r="LHZ640" s="1572"/>
      <c r="LIA640" s="1572"/>
      <c r="LIB640" s="1572"/>
      <c r="LIC640" s="1572"/>
      <c r="LID640" s="1572"/>
      <c r="LIE640" s="1572"/>
      <c r="LIF640" s="1572"/>
      <c r="LIG640" s="1572" t="s">
        <v>885</v>
      </c>
      <c r="LIH640" s="1572"/>
      <c r="LII640" s="1572"/>
      <c r="LIJ640" s="1572"/>
      <c r="LIK640" s="1572"/>
      <c r="LIL640" s="1572"/>
      <c r="LIM640" s="1572"/>
      <c r="LIN640" s="1572"/>
      <c r="LIO640" s="1572" t="s">
        <v>885</v>
      </c>
      <c r="LIP640" s="1572"/>
      <c r="LIQ640" s="1572"/>
      <c r="LIR640" s="1572"/>
      <c r="LIS640" s="1572"/>
      <c r="LIT640" s="1572"/>
      <c r="LIU640" s="1572"/>
      <c r="LIV640" s="1572"/>
      <c r="LIW640" s="1572" t="s">
        <v>885</v>
      </c>
      <c r="LIX640" s="1572"/>
      <c r="LIY640" s="1572"/>
      <c r="LIZ640" s="1572"/>
      <c r="LJA640" s="1572"/>
      <c r="LJB640" s="1572"/>
      <c r="LJC640" s="1572"/>
      <c r="LJD640" s="1572"/>
      <c r="LJE640" s="1572" t="s">
        <v>885</v>
      </c>
      <c r="LJF640" s="1572"/>
      <c r="LJG640" s="1572"/>
      <c r="LJH640" s="1572"/>
      <c r="LJI640" s="1572"/>
      <c r="LJJ640" s="1572"/>
      <c r="LJK640" s="1572"/>
      <c r="LJL640" s="1572"/>
      <c r="LJM640" s="1572" t="s">
        <v>885</v>
      </c>
      <c r="LJN640" s="1572"/>
      <c r="LJO640" s="1572"/>
      <c r="LJP640" s="1572"/>
      <c r="LJQ640" s="1572"/>
      <c r="LJR640" s="1572"/>
      <c r="LJS640" s="1572"/>
      <c r="LJT640" s="1572"/>
      <c r="LJU640" s="1572" t="s">
        <v>885</v>
      </c>
      <c r="LJV640" s="1572"/>
      <c r="LJW640" s="1572"/>
      <c r="LJX640" s="1572"/>
      <c r="LJY640" s="1572"/>
      <c r="LJZ640" s="1572"/>
      <c r="LKA640" s="1572"/>
      <c r="LKB640" s="1572"/>
      <c r="LKC640" s="1572" t="s">
        <v>885</v>
      </c>
      <c r="LKD640" s="1572"/>
      <c r="LKE640" s="1572"/>
      <c r="LKF640" s="1572"/>
      <c r="LKG640" s="1572"/>
      <c r="LKH640" s="1572"/>
      <c r="LKI640" s="1572"/>
      <c r="LKJ640" s="1572"/>
      <c r="LKK640" s="1572" t="s">
        <v>885</v>
      </c>
      <c r="LKL640" s="1572"/>
      <c r="LKM640" s="1572"/>
      <c r="LKN640" s="1572"/>
      <c r="LKO640" s="1572"/>
      <c r="LKP640" s="1572"/>
      <c r="LKQ640" s="1572"/>
      <c r="LKR640" s="1572"/>
      <c r="LKS640" s="1572" t="s">
        <v>885</v>
      </c>
      <c r="LKT640" s="1572"/>
      <c r="LKU640" s="1572"/>
      <c r="LKV640" s="1572"/>
      <c r="LKW640" s="1572"/>
      <c r="LKX640" s="1572"/>
      <c r="LKY640" s="1572"/>
      <c r="LKZ640" s="1572"/>
      <c r="LLA640" s="1572" t="s">
        <v>885</v>
      </c>
      <c r="LLB640" s="1572"/>
      <c r="LLC640" s="1572"/>
      <c r="LLD640" s="1572"/>
      <c r="LLE640" s="1572"/>
      <c r="LLF640" s="1572"/>
      <c r="LLG640" s="1572"/>
      <c r="LLH640" s="1572"/>
      <c r="LLI640" s="1572" t="s">
        <v>885</v>
      </c>
      <c r="LLJ640" s="1572"/>
      <c r="LLK640" s="1572"/>
      <c r="LLL640" s="1572"/>
      <c r="LLM640" s="1572"/>
      <c r="LLN640" s="1572"/>
      <c r="LLO640" s="1572"/>
      <c r="LLP640" s="1572"/>
      <c r="LLQ640" s="1572" t="s">
        <v>885</v>
      </c>
      <c r="LLR640" s="1572"/>
      <c r="LLS640" s="1572"/>
      <c r="LLT640" s="1572"/>
      <c r="LLU640" s="1572"/>
      <c r="LLV640" s="1572"/>
      <c r="LLW640" s="1572"/>
      <c r="LLX640" s="1572"/>
      <c r="LLY640" s="1572" t="s">
        <v>885</v>
      </c>
      <c r="LLZ640" s="1572"/>
      <c r="LMA640" s="1572"/>
      <c r="LMB640" s="1572"/>
      <c r="LMC640" s="1572"/>
      <c r="LMD640" s="1572"/>
      <c r="LME640" s="1572"/>
      <c r="LMF640" s="1572"/>
      <c r="LMG640" s="1572" t="s">
        <v>885</v>
      </c>
      <c r="LMH640" s="1572"/>
      <c r="LMI640" s="1572"/>
      <c r="LMJ640" s="1572"/>
      <c r="LMK640" s="1572"/>
      <c r="LML640" s="1572"/>
      <c r="LMM640" s="1572"/>
      <c r="LMN640" s="1572"/>
      <c r="LMO640" s="1572" t="s">
        <v>885</v>
      </c>
      <c r="LMP640" s="1572"/>
      <c r="LMQ640" s="1572"/>
      <c r="LMR640" s="1572"/>
      <c r="LMS640" s="1572"/>
      <c r="LMT640" s="1572"/>
      <c r="LMU640" s="1572"/>
      <c r="LMV640" s="1572"/>
      <c r="LMW640" s="1572" t="s">
        <v>885</v>
      </c>
      <c r="LMX640" s="1572"/>
      <c r="LMY640" s="1572"/>
      <c r="LMZ640" s="1572"/>
      <c r="LNA640" s="1572"/>
      <c r="LNB640" s="1572"/>
      <c r="LNC640" s="1572"/>
      <c r="LND640" s="1572"/>
      <c r="LNE640" s="1572" t="s">
        <v>885</v>
      </c>
      <c r="LNF640" s="1572"/>
      <c r="LNG640" s="1572"/>
      <c r="LNH640" s="1572"/>
      <c r="LNI640" s="1572"/>
      <c r="LNJ640" s="1572"/>
      <c r="LNK640" s="1572"/>
      <c r="LNL640" s="1572"/>
      <c r="LNM640" s="1572" t="s">
        <v>885</v>
      </c>
      <c r="LNN640" s="1572"/>
      <c r="LNO640" s="1572"/>
      <c r="LNP640" s="1572"/>
      <c r="LNQ640" s="1572"/>
      <c r="LNR640" s="1572"/>
      <c r="LNS640" s="1572"/>
      <c r="LNT640" s="1572"/>
      <c r="LNU640" s="1572" t="s">
        <v>885</v>
      </c>
      <c r="LNV640" s="1572"/>
      <c r="LNW640" s="1572"/>
      <c r="LNX640" s="1572"/>
      <c r="LNY640" s="1572"/>
      <c r="LNZ640" s="1572"/>
      <c r="LOA640" s="1572"/>
      <c r="LOB640" s="1572"/>
      <c r="LOC640" s="1572" t="s">
        <v>885</v>
      </c>
      <c r="LOD640" s="1572"/>
      <c r="LOE640" s="1572"/>
      <c r="LOF640" s="1572"/>
      <c r="LOG640" s="1572"/>
      <c r="LOH640" s="1572"/>
      <c r="LOI640" s="1572"/>
      <c r="LOJ640" s="1572"/>
      <c r="LOK640" s="1572" t="s">
        <v>885</v>
      </c>
      <c r="LOL640" s="1572"/>
      <c r="LOM640" s="1572"/>
      <c r="LON640" s="1572"/>
      <c r="LOO640" s="1572"/>
      <c r="LOP640" s="1572"/>
      <c r="LOQ640" s="1572"/>
      <c r="LOR640" s="1572"/>
      <c r="LOS640" s="1572" t="s">
        <v>885</v>
      </c>
      <c r="LOT640" s="1572"/>
      <c r="LOU640" s="1572"/>
      <c r="LOV640" s="1572"/>
      <c r="LOW640" s="1572"/>
      <c r="LOX640" s="1572"/>
      <c r="LOY640" s="1572"/>
      <c r="LOZ640" s="1572"/>
      <c r="LPA640" s="1572" t="s">
        <v>885</v>
      </c>
      <c r="LPB640" s="1572"/>
      <c r="LPC640" s="1572"/>
      <c r="LPD640" s="1572"/>
      <c r="LPE640" s="1572"/>
      <c r="LPF640" s="1572"/>
      <c r="LPG640" s="1572"/>
      <c r="LPH640" s="1572"/>
      <c r="LPI640" s="1572" t="s">
        <v>885</v>
      </c>
      <c r="LPJ640" s="1572"/>
      <c r="LPK640" s="1572"/>
      <c r="LPL640" s="1572"/>
      <c r="LPM640" s="1572"/>
      <c r="LPN640" s="1572"/>
      <c r="LPO640" s="1572"/>
      <c r="LPP640" s="1572"/>
      <c r="LPQ640" s="1572" t="s">
        <v>885</v>
      </c>
      <c r="LPR640" s="1572"/>
      <c r="LPS640" s="1572"/>
      <c r="LPT640" s="1572"/>
      <c r="LPU640" s="1572"/>
      <c r="LPV640" s="1572"/>
      <c r="LPW640" s="1572"/>
      <c r="LPX640" s="1572"/>
      <c r="LPY640" s="1572" t="s">
        <v>885</v>
      </c>
      <c r="LPZ640" s="1572"/>
      <c r="LQA640" s="1572"/>
      <c r="LQB640" s="1572"/>
      <c r="LQC640" s="1572"/>
      <c r="LQD640" s="1572"/>
      <c r="LQE640" s="1572"/>
      <c r="LQF640" s="1572"/>
      <c r="LQG640" s="1572" t="s">
        <v>885</v>
      </c>
      <c r="LQH640" s="1572"/>
      <c r="LQI640" s="1572"/>
      <c r="LQJ640" s="1572"/>
      <c r="LQK640" s="1572"/>
      <c r="LQL640" s="1572"/>
      <c r="LQM640" s="1572"/>
      <c r="LQN640" s="1572"/>
      <c r="LQO640" s="1572" t="s">
        <v>885</v>
      </c>
      <c r="LQP640" s="1572"/>
      <c r="LQQ640" s="1572"/>
      <c r="LQR640" s="1572"/>
      <c r="LQS640" s="1572"/>
      <c r="LQT640" s="1572"/>
      <c r="LQU640" s="1572"/>
      <c r="LQV640" s="1572"/>
      <c r="LQW640" s="1572" t="s">
        <v>885</v>
      </c>
      <c r="LQX640" s="1572"/>
      <c r="LQY640" s="1572"/>
      <c r="LQZ640" s="1572"/>
      <c r="LRA640" s="1572"/>
      <c r="LRB640" s="1572"/>
      <c r="LRC640" s="1572"/>
      <c r="LRD640" s="1572"/>
      <c r="LRE640" s="1572" t="s">
        <v>885</v>
      </c>
      <c r="LRF640" s="1572"/>
      <c r="LRG640" s="1572"/>
      <c r="LRH640" s="1572"/>
      <c r="LRI640" s="1572"/>
      <c r="LRJ640" s="1572"/>
      <c r="LRK640" s="1572"/>
      <c r="LRL640" s="1572"/>
      <c r="LRM640" s="1572" t="s">
        <v>885</v>
      </c>
      <c r="LRN640" s="1572"/>
      <c r="LRO640" s="1572"/>
      <c r="LRP640" s="1572"/>
      <c r="LRQ640" s="1572"/>
      <c r="LRR640" s="1572"/>
      <c r="LRS640" s="1572"/>
      <c r="LRT640" s="1572"/>
      <c r="LRU640" s="1572" t="s">
        <v>885</v>
      </c>
      <c r="LRV640" s="1572"/>
      <c r="LRW640" s="1572"/>
      <c r="LRX640" s="1572"/>
      <c r="LRY640" s="1572"/>
      <c r="LRZ640" s="1572"/>
      <c r="LSA640" s="1572"/>
      <c r="LSB640" s="1572"/>
      <c r="LSC640" s="1572" t="s">
        <v>885</v>
      </c>
      <c r="LSD640" s="1572"/>
      <c r="LSE640" s="1572"/>
      <c r="LSF640" s="1572"/>
      <c r="LSG640" s="1572"/>
      <c r="LSH640" s="1572"/>
      <c r="LSI640" s="1572"/>
      <c r="LSJ640" s="1572"/>
      <c r="LSK640" s="1572" t="s">
        <v>885</v>
      </c>
      <c r="LSL640" s="1572"/>
      <c r="LSM640" s="1572"/>
      <c r="LSN640" s="1572"/>
      <c r="LSO640" s="1572"/>
      <c r="LSP640" s="1572"/>
      <c r="LSQ640" s="1572"/>
      <c r="LSR640" s="1572"/>
      <c r="LSS640" s="1572" t="s">
        <v>885</v>
      </c>
      <c r="LST640" s="1572"/>
      <c r="LSU640" s="1572"/>
      <c r="LSV640" s="1572"/>
      <c r="LSW640" s="1572"/>
      <c r="LSX640" s="1572"/>
      <c r="LSY640" s="1572"/>
      <c r="LSZ640" s="1572"/>
      <c r="LTA640" s="1572" t="s">
        <v>885</v>
      </c>
      <c r="LTB640" s="1572"/>
      <c r="LTC640" s="1572"/>
      <c r="LTD640" s="1572"/>
      <c r="LTE640" s="1572"/>
      <c r="LTF640" s="1572"/>
      <c r="LTG640" s="1572"/>
      <c r="LTH640" s="1572"/>
      <c r="LTI640" s="1572" t="s">
        <v>885</v>
      </c>
      <c r="LTJ640" s="1572"/>
      <c r="LTK640" s="1572"/>
      <c r="LTL640" s="1572"/>
      <c r="LTM640" s="1572"/>
      <c r="LTN640" s="1572"/>
      <c r="LTO640" s="1572"/>
      <c r="LTP640" s="1572"/>
      <c r="LTQ640" s="1572" t="s">
        <v>885</v>
      </c>
      <c r="LTR640" s="1572"/>
      <c r="LTS640" s="1572"/>
      <c r="LTT640" s="1572"/>
      <c r="LTU640" s="1572"/>
      <c r="LTV640" s="1572"/>
      <c r="LTW640" s="1572"/>
      <c r="LTX640" s="1572"/>
      <c r="LTY640" s="1572" t="s">
        <v>885</v>
      </c>
      <c r="LTZ640" s="1572"/>
      <c r="LUA640" s="1572"/>
      <c r="LUB640" s="1572"/>
      <c r="LUC640" s="1572"/>
      <c r="LUD640" s="1572"/>
      <c r="LUE640" s="1572"/>
      <c r="LUF640" s="1572"/>
      <c r="LUG640" s="1572" t="s">
        <v>885</v>
      </c>
      <c r="LUH640" s="1572"/>
      <c r="LUI640" s="1572"/>
      <c r="LUJ640" s="1572"/>
      <c r="LUK640" s="1572"/>
      <c r="LUL640" s="1572"/>
      <c r="LUM640" s="1572"/>
      <c r="LUN640" s="1572"/>
      <c r="LUO640" s="1572" t="s">
        <v>885</v>
      </c>
      <c r="LUP640" s="1572"/>
      <c r="LUQ640" s="1572"/>
      <c r="LUR640" s="1572"/>
      <c r="LUS640" s="1572"/>
      <c r="LUT640" s="1572"/>
      <c r="LUU640" s="1572"/>
      <c r="LUV640" s="1572"/>
      <c r="LUW640" s="1572" t="s">
        <v>885</v>
      </c>
      <c r="LUX640" s="1572"/>
      <c r="LUY640" s="1572"/>
      <c r="LUZ640" s="1572"/>
      <c r="LVA640" s="1572"/>
      <c r="LVB640" s="1572"/>
      <c r="LVC640" s="1572"/>
      <c r="LVD640" s="1572"/>
      <c r="LVE640" s="1572" t="s">
        <v>885</v>
      </c>
      <c r="LVF640" s="1572"/>
      <c r="LVG640" s="1572"/>
      <c r="LVH640" s="1572"/>
      <c r="LVI640" s="1572"/>
      <c r="LVJ640" s="1572"/>
      <c r="LVK640" s="1572"/>
      <c r="LVL640" s="1572"/>
      <c r="LVM640" s="1572" t="s">
        <v>885</v>
      </c>
      <c r="LVN640" s="1572"/>
      <c r="LVO640" s="1572"/>
      <c r="LVP640" s="1572"/>
      <c r="LVQ640" s="1572"/>
      <c r="LVR640" s="1572"/>
      <c r="LVS640" s="1572"/>
      <c r="LVT640" s="1572"/>
      <c r="LVU640" s="1572" t="s">
        <v>885</v>
      </c>
      <c r="LVV640" s="1572"/>
      <c r="LVW640" s="1572"/>
      <c r="LVX640" s="1572"/>
      <c r="LVY640" s="1572"/>
      <c r="LVZ640" s="1572"/>
      <c r="LWA640" s="1572"/>
      <c r="LWB640" s="1572"/>
      <c r="LWC640" s="1572" t="s">
        <v>885</v>
      </c>
      <c r="LWD640" s="1572"/>
      <c r="LWE640" s="1572"/>
      <c r="LWF640" s="1572"/>
      <c r="LWG640" s="1572"/>
      <c r="LWH640" s="1572"/>
      <c r="LWI640" s="1572"/>
      <c r="LWJ640" s="1572"/>
      <c r="LWK640" s="1572" t="s">
        <v>885</v>
      </c>
      <c r="LWL640" s="1572"/>
      <c r="LWM640" s="1572"/>
      <c r="LWN640" s="1572"/>
      <c r="LWO640" s="1572"/>
      <c r="LWP640" s="1572"/>
      <c r="LWQ640" s="1572"/>
      <c r="LWR640" s="1572"/>
      <c r="LWS640" s="1572" t="s">
        <v>885</v>
      </c>
      <c r="LWT640" s="1572"/>
      <c r="LWU640" s="1572"/>
      <c r="LWV640" s="1572"/>
      <c r="LWW640" s="1572"/>
      <c r="LWX640" s="1572"/>
      <c r="LWY640" s="1572"/>
      <c r="LWZ640" s="1572"/>
      <c r="LXA640" s="1572" t="s">
        <v>885</v>
      </c>
      <c r="LXB640" s="1572"/>
      <c r="LXC640" s="1572"/>
      <c r="LXD640" s="1572"/>
      <c r="LXE640" s="1572"/>
      <c r="LXF640" s="1572"/>
      <c r="LXG640" s="1572"/>
      <c r="LXH640" s="1572"/>
      <c r="LXI640" s="1572" t="s">
        <v>885</v>
      </c>
      <c r="LXJ640" s="1572"/>
      <c r="LXK640" s="1572"/>
      <c r="LXL640" s="1572"/>
      <c r="LXM640" s="1572"/>
      <c r="LXN640" s="1572"/>
      <c r="LXO640" s="1572"/>
      <c r="LXP640" s="1572"/>
      <c r="LXQ640" s="1572" t="s">
        <v>885</v>
      </c>
      <c r="LXR640" s="1572"/>
      <c r="LXS640" s="1572"/>
      <c r="LXT640" s="1572"/>
      <c r="LXU640" s="1572"/>
      <c r="LXV640" s="1572"/>
      <c r="LXW640" s="1572"/>
      <c r="LXX640" s="1572"/>
      <c r="LXY640" s="1572" t="s">
        <v>885</v>
      </c>
      <c r="LXZ640" s="1572"/>
      <c r="LYA640" s="1572"/>
      <c r="LYB640" s="1572"/>
      <c r="LYC640" s="1572"/>
      <c r="LYD640" s="1572"/>
      <c r="LYE640" s="1572"/>
      <c r="LYF640" s="1572"/>
      <c r="LYG640" s="1572" t="s">
        <v>885</v>
      </c>
      <c r="LYH640" s="1572"/>
      <c r="LYI640" s="1572"/>
      <c r="LYJ640" s="1572"/>
      <c r="LYK640" s="1572"/>
      <c r="LYL640" s="1572"/>
      <c r="LYM640" s="1572"/>
      <c r="LYN640" s="1572"/>
      <c r="LYO640" s="1572" t="s">
        <v>885</v>
      </c>
      <c r="LYP640" s="1572"/>
      <c r="LYQ640" s="1572"/>
      <c r="LYR640" s="1572"/>
      <c r="LYS640" s="1572"/>
      <c r="LYT640" s="1572"/>
      <c r="LYU640" s="1572"/>
      <c r="LYV640" s="1572"/>
      <c r="LYW640" s="1572" t="s">
        <v>885</v>
      </c>
      <c r="LYX640" s="1572"/>
      <c r="LYY640" s="1572"/>
      <c r="LYZ640" s="1572"/>
      <c r="LZA640" s="1572"/>
      <c r="LZB640" s="1572"/>
      <c r="LZC640" s="1572"/>
      <c r="LZD640" s="1572"/>
      <c r="LZE640" s="1572" t="s">
        <v>885</v>
      </c>
      <c r="LZF640" s="1572"/>
      <c r="LZG640" s="1572"/>
      <c r="LZH640" s="1572"/>
      <c r="LZI640" s="1572"/>
      <c r="LZJ640" s="1572"/>
      <c r="LZK640" s="1572"/>
      <c r="LZL640" s="1572"/>
      <c r="LZM640" s="1572" t="s">
        <v>885</v>
      </c>
      <c r="LZN640" s="1572"/>
      <c r="LZO640" s="1572"/>
      <c r="LZP640" s="1572"/>
      <c r="LZQ640" s="1572"/>
      <c r="LZR640" s="1572"/>
      <c r="LZS640" s="1572"/>
      <c r="LZT640" s="1572"/>
      <c r="LZU640" s="1572" t="s">
        <v>885</v>
      </c>
      <c r="LZV640" s="1572"/>
      <c r="LZW640" s="1572"/>
      <c r="LZX640" s="1572"/>
      <c r="LZY640" s="1572"/>
      <c r="LZZ640" s="1572"/>
      <c r="MAA640" s="1572"/>
      <c r="MAB640" s="1572"/>
      <c r="MAC640" s="1572" t="s">
        <v>885</v>
      </c>
      <c r="MAD640" s="1572"/>
      <c r="MAE640" s="1572"/>
      <c r="MAF640" s="1572"/>
      <c r="MAG640" s="1572"/>
      <c r="MAH640" s="1572"/>
      <c r="MAI640" s="1572"/>
      <c r="MAJ640" s="1572"/>
      <c r="MAK640" s="1572" t="s">
        <v>885</v>
      </c>
      <c r="MAL640" s="1572"/>
      <c r="MAM640" s="1572"/>
      <c r="MAN640" s="1572"/>
      <c r="MAO640" s="1572"/>
      <c r="MAP640" s="1572"/>
      <c r="MAQ640" s="1572"/>
      <c r="MAR640" s="1572"/>
      <c r="MAS640" s="1572" t="s">
        <v>885</v>
      </c>
      <c r="MAT640" s="1572"/>
      <c r="MAU640" s="1572"/>
      <c r="MAV640" s="1572"/>
      <c r="MAW640" s="1572"/>
      <c r="MAX640" s="1572"/>
      <c r="MAY640" s="1572"/>
      <c r="MAZ640" s="1572"/>
      <c r="MBA640" s="1572" t="s">
        <v>885</v>
      </c>
      <c r="MBB640" s="1572"/>
      <c r="MBC640" s="1572"/>
      <c r="MBD640" s="1572"/>
      <c r="MBE640" s="1572"/>
      <c r="MBF640" s="1572"/>
      <c r="MBG640" s="1572"/>
      <c r="MBH640" s="1572"/>
      <c r="MBI640" s="1572" t="s">
        <v>885</v>
      </c>
      <c r="MBJ640" s="1572"/>
      <c r="MBK640" s="1572"/>
      <c r="MBL640" s="1572"/>
      <c r="MBM640" s="1572"/>
      <c r="MBN640" s="1572"/>
      <c r="MBO640" s="1572"/>
      <c r="MBP640" s="1572"/>
      <c r="MBQ640" s="1572" t="s">
        <v>885</v>
      </c>
      <c r="MBR640" s="1572"/>
      <c r="MBS640" s="1572"/>
      <c r="MBT640" s="1572"/>
      <c r="MBU640" s="1572"/>
      <c r="MBV640" s="1572"/>
      <c r="MBW640" s="1572"/>
      <c r="MBX640" s="1572"/>
      <c r="MBY640" s="1572" t="s">
        <v>885</v>
      </c>
      <c r="MBZ640" s="1572"/>
      <c r="MCA640" s="1572"/>
      <c r="MCB640" s="1572"/>
      <c r="MCC640" s="1572"/>
      <c r="MCD640" s="1572"/>
      <c r="MCE640" s="1572"/>
      <c r="MCF640" s="1572"/>
      <c r="MCG640" s="1572" t="s">
        <v>885</v>
      </c>
      <c r="MCH640" s="1572"/>
      <c r="MCI640" s="1572"/>
      <c r="MCJ640" s="1572"/>
      <c r="MCK640" s="1572"/>
      <c r="MCL640" s="1572"/>
      <c r="MCM640" s="1572"/>
      <c r="MCN640" s="1572"/>
      <c r="MCO640" s="1572" t="s">
        <v>885</v>
      </c>
      <c r="MCP640" s="1572"/>
      <c r="MCQ640" s="1572"/>
      <c r="MCR640" s="1572"/>
      <c r="MCS640" s="1572"/>
      <c r="MCT640" s="1572"/>
      <c r="MCU640" s="1572"/>
      <c r="MCV640" s="1572"/>
      <c r="MCW640" s="1572" t="s">
        <v>885</v>
      </c>
      <c r="MCX640" s="1572"/>
      <c r="MCY640" s="1572"/>
      <c r="MCZ640" s="1572"/>
      <c r="MDA640" s="1572"/>
      <c r="MDB640" s="1572"/>
      <c r="MDC640" s="1572"/>
      <c r="MDD640" s="1572"/>
      <c r="MDE640" s="1572" t="s">
        <v>885</v>
      </c>
      <c r="MDF640" s="1572"/>
      <c r="MDG640" s="1572"/>
      <c r="MDH640" s="1572"/>
      <c r="MDI640" s="1572"/>
      <c r="MDJ640" s="1572"/>
      <c r="MDK640" s="1572"/>
      <c r="MDL640" s="1572"/>
      <c r="MDM640" s="1572" t="s">
        <v>885</v>
      </c>
      <c r="MDN640" s="1572"/>
      <c r="MDO640" s="1572"/>
      <c r="MDP640" s="1572"/>
      <c r="MDQ640" s="1572"/>
      <c r="MDR640" s="1572"/>
      <c r="MDS640" s="1572"/>
      <c r="MDT640" s="1572"/>
      <c r="MDU640" s="1572" t="s">
        <v>885</v>
      </c>
      <c r="MDV640" s="1572"/>
      <c r="MDW640" s="1572"/>
      <c r="MDX640" s="1572"/>
      <c r="MDY640" s="1572"/>
      <c r="MDZ640" s="1572"/>
      <c r="MEA640" s="1572"/>
      <c r="MEB640" s="1572"/>
      <c r="MEC640" s="1572" t="s">
        <v>885</v>
      </c>
      <c r="MED640" s="1572"/>
      <c r="MEE640" s="1572"/>
      <c r="MEF640" s="1572"/>
      <c r="MEG640" s="1572"/>
      <c r="MEH640" s="1572"/>
      <c r="MEI640" s="1572"/>
      <c r="MEJ640" s="1572"/>
      <c r="MEK640" s="1572" t="s">
        <v>885</v>
      </c>
      <c r="MEL640" s="1572"/>
      <c r="MEM640" s="1572"/>
      <c r="MEN640" s="1572"/>
      <c r="MEO640" s="1572"/>
      <c r="MEP640" s="1572"/>
      <c r="MEQ640" s="1572"/>
      <c r="MER640" s="1572"/>
      <c r="MES640" s="1572" t="s">
        <v>885</v>
      </c>
      <c r="MET640" s="1572"/>
      <c r="MEU640" s="1572"/>
      <c r="MEV640" s="1572"/>
      <c r="MEW640" s="1572"/>
      <c r="MEX640" s="1572"/>
      <c r="MEY640" s="1572"/>
      <c r="MEZ640" s="1572"/>
      <c r="MFA640" s="1572" t="s">
        <v>885</v>
      </c>
      <c r="MFB640" s="1572"/>
      <c r="MFC640" s="1572"/>
      <c r="MFD640" s="1572"/>
      <c r="MFE640" s="1572"/>
      <c r="MFF640" s="1572"/>
      <c r="MFG640" s="1572"/>
      <c r="MFH640" s="1572"/>
      <c r="MFI640" s="1572" t="s">
        <v>885</v>
      </c>
      <c r="MFJ640" s="1572"/>
      <c r="MFK640" s="1572"/>
      <c r="MFL640" s="1572"/>
      <c r="MFM640" s="1572"/>
      <c r="MFN640" s="1572"/>
      <c r="MFO640" s="1572"/>
      <c r="MFP640" s="1572"/>
      <c r="MFQ640" s="1572" t="s">
        <v>885</v>
      </c>
      <c r="MFR640" s="1572"/>
      <c r="MFS640" s="1572"/>
      <c r="MFT640" s="1572"/>
      <c r="MFU640" s="1572"/>
      <c r="MFV640" s="1572"/>
      <c r="MFW640" s="1572"/>
      <c r="MFX640" s="1572"/>
      <c r="MFY640" s="1572" t="s">
        <v>885</v>
      </c>
      <c r="MFZ640" s="1572"/>
      <c r="MGA640" s="1572"/>
      <c r="MGB640" s="1572"/>
      <c r="MGC640" s="1572"/>
      <c r="MGD640" s="1572"/>
      <c r="MGE640" s="1572"/>
      <c r="MGF640" s="1572"/>
      <c r="MGG640" s="1572" t="s">
        <v>885</v>
      </c>
      <c r="MGH640" s="1572"/>
      <c r="MGI640" s="1572"/>
      <c r="MGJ640" s="1572"/>
      <c r="MGK640" s="1572"/>
      <c r="MGL640" s="1572"/>
      <c r="MGM640" s="1572"/>
      <c r="MGN640" s="1572"/>
      <c r="MGO640" s="1572" t="s">
        <v>885</v>
      </c>
      <c r="MGP640" s="1572"/>
      <c r="MGQ640" s="1572"/>
      <c r="MGR640" s="1572"/>
      <c r="MGS640" s="1572"/>
      <c r="MGT640" s="1572"/>
      <c r="MGU640" s="1572"/>
      <c r="MGV640" s="1572"/>
      <c r="MGW640" s="1572" t="s">
        <v>885</v>
      </c>
      <c r="MGX640" s="1572"/>
      <c r="MGY640" s="1572"/>
      <c r="MGZ640" s="1572"/>
      <c r="MHA640" s="1572"/>
      <c r="MHB640" s="1572"/>
      <c r="MHC640" s="1572"/>
      <c r="MHD640" s="1572"/>
      <c r="MHE640" s="1572" t="s">
        <v>885</v>
      </c>
      <c r="MHF640" s="1572"/>
      <c r="MHG640" s="1572"/>
      <c r="MHH640" s="1572"/>
      <c r="MHI640" s="1572"/>
      <c r="MHJ640" s="1572"/>
      <c r="MHK640" s="1572"/>
      <c r="MHL640" s="1572"/>
      <c r="MHM640" s="1572" t="s">
        <v>885</v>
      </c>
      <c r="MHN640" s="1572"/>
      <c r="MHO640" s="1572"/>
      <c r="MHP640" s="1572"/>
      <c r="MHQ640" s="1572"/>
      <c r="MHR640" s="1572"/>
      <c r="MHS640" s="1572"/>
      <c r="MHT640" s="1572"/>
      <c r="MHU640" s="1572" t="s">
        <v>885</v>
      </c>
      <c r="MHV640" s="1572"/>
      <c r="MHW640" s="1572"/>
      <c r="MHX640" s="1572"/>
      <c r="MHY640" s="1572"/>
      <c r="MHZ640" s="1572"/>
      <c r="MIA640" s="1572"/>
      <c r="MIB640" s="1572"/>
      <c r="MIC640" s="1572" t="s">
        <v>885</v>
      </c>
      <c r="MID640" s="1572"/>
      <c r="MIE640" s="1572"/>
      <c r="MIF640" s="1572"/>
      <c r="MIG640" s="1572"/>
      <c r="MIH640" s="1572"/>
      <c r="MII640" s="1572"/>
      <c r="MIJ640" s="1572"/>
      <c r="MIK640" s="1572" t="s">
        <v>885</v>
      </c>
      <c r="MIL640" s="1572"/>
      <c r="MIM640" s="1572"/>
      <c r="MIN640" s="1572"/>
      <c r="MIO640" s="1572"/>
      <c r="MIP640" s="1572"/>
      <c r="MIQ640" s="1572"/>
      <c r="MIR640" s="1572"/>
      <c r="MIS640" s="1572" t="s">
        <v>885</v>
      </c>
      <c r="MIT640" s="1572"/>
      <c r="MIU640" s="1572"/>
      <c r="MIV640" s="1572"/>
      <c r="MIW640" s="1572"/>
      <c r="MIX640" s="1572"/>
      <c r="MIY640" s="1572"/>
      <c r="MIZ640" s="1572"/>
      <c r="MJA640" s="1572" t="s">
        <v>885</v>
      </c>
      <c r="MJB640" s="1572"/>
      <c r="MJC640" s="1572"/>
      <c r="MJD640" s="1572"/>
      <c r="MJE640" s="1572"/>
      <c r="MJF640" s="1572"/>
      <c r="MJG640" s="1572"/>
      <c r="MJH640" s="1572"/>
      <c r="MJI640" s="1572" t="s">
        <v>885</v>
      </c>
      <c r="MJJ640" s="1572"/>
      <c r="MJK640" s="1572"/>
      <c r="MJL640" s="1572"/>
      <c r="MJM640" s="1572"/>
      <c r="MJN640" s="1572"/>
      <c r="MJO640" s="1572"/>
      <c r="MJP640" s="1572"/>
      <c r="MJQ640" s="1572" t="s">
        <v>885</v>
      </c>
      <c r="MJR640" s="1572"/>
      <c r="MJS640" s="1572"/>
      <c r="MJT640" s="1572"/>
      <c r="MJU640" s="1572"/>
      <c r="MJV640" s="1572"/>
      <c r="MJW640" s="1572"/>
      <c r="MJX640" s="1572"/>
      <c r="MJY640" s="1572" t="s">
        <v>885</v>
      </c>
      <c r="MJZ640" s="1572"/>
      <c r="MKA640" s="1572"/>
      <c r="MKB640" s="1572"/>
      <c r="MKC640" s="1572"/>
      <c r="MKD640" s="1572"/>
      <c r="MKE640" s="1572"/>
      <c r="MKF640" s="1572"/>
      <c r="MKG640" s="1572" t="s">
        <v>885</v>
      </c>
      <c r="MKH640" s="1572"/>
      <c r="MKI640" s="1572"/>
      <c r="MKJ640" s="1572"/>
      <c r="MKK640" s="1572"/>
      <c r="MKL640" s="1572"/>
      <c r="MKM640" s="1572"/>
      <c r="MKN640" s="1572"/>
      <c r="MKO640" s="1572" t="s">
        <v>885</v>
      </c>
      <c r="MKP640" s="1572"/>
      <c r="MKQ640" s="1572"/>
      <c r="MKR640" s="1572"/>
      <c r="MKS640" s="1572"/>
      <c r="MKT640" s="1572"/>
      <c r="MKU640" s="1572"/>
      <c r="MKV640" s="1572"/>
      <c r="MKW640" s="1572" t="s">
        <v>885</v>
      </c>
      <c r="MKX640" s="1572"/>
      <c r="MKY640" s="1572"/>
      <c r="MKZ640" s="1572"/>
      <c r="MLA640" s="1572"/>
      <c r="MLB640" s="1572"/>
      <c r="MLC640" s="1572"/>
      <c r="MLD640" s="1572"/>
      <c r="MLE640" s="1572" t="s">
        <v>885</v>
      </c>
      <c r="MLF640" s="1572"/>
      <c r="MLG640" s="1572"/>
      <c r="MLH640" s="1572"/>
      <c r="MLI640" s="1572"/>
      <c r="MLJ640" s="1572"/>
      <c r="MLK640" s="1572"/>
      <c r="MLL640" s="1572"/>
      <c r="MLM640" s="1572" t="s">
        <v>885</v>
      </c>
      <c r="MLN640" s="1572"/>
      <c r="MLO640" s="1572"/>
      <c r="MLP640" s="1572"/>
      <c r="MLQ640" s="1572"/>
      <c r="MLR640" s="1572"/>
      <c r="MLS640" s="1572"/>
      <c r="MLT640" s="1572"/>
      <c r="MLU640" s="1572" t="s">
        <v>885</v>
      </c>
      <c r="MLV640" s="1572"/>
      <c r="MLW640" s="1572"/>
      <c r="MLX640" s="1572"/>
      <c r="MLY640" s="1572"/>
      <c r="MLZ640" s="1572"/>
      <c r="MMA640" s="1572"/>
      <c r="MMB640" s="1572"/>
      <c r="MMC640" s="1572" t="s">
        <v>885</v>
      </c>
      <c r="MMD640" s="1572"/>
      <c r="MME640" s="1572"/>
      <c r="MMF640" s="1572"/>
      <c r="MMG640" s="1572"/>
      <c r="MMH640" s="1572"/>
      <c r="MMI640" s="1572"/>
      <c r="MMJ640" s="1572"/>
      <c r="MMK640" s="1572" t="s">
        <v>885</v>
      </c>
      <c r="MML640" s="1572"/>
      <c r="MMM640" s="1572"/>
      <c r="MMN640" s="1572"/>
      <c r="MMO640" s="1572"/>
      <c r="MMP640" s="1572"/>
      <c r="MMQ640" s="1572"/>
      <c r="MMR640" s="1572"/>
      <c r="MMS640" s="1572" t="s">
        <v>885</v>
      </c>
      <c r="MMT640" s="1572"/>
      <c r="MMU640" s="1572"/>
      <c r="MMV640" s="1572"/>
      <c r="MMW640" s="1572"/>
      <c r="MMX640" s="1572"/>
      <c r="MMY640" s="1572"/>
      <c r="MMZ640" s="1572"/>
      <c r="MNA640" s="1572" t="s">
        <v>885</v>
      </c>
      <c r="MNB640" s="1572"/>
      <c r="MNC640" s="1572"/>
      <c r="MND640" s="1572"/>
      <c r="MNE640" s="1572"/>
      <c r="MNF640" s="1572"/>
      <c r="MNG640" s="1572"/>
      <c r="MNH640" s="1572"/>
      <c r="MNI640" s="1572" t="s">
        <v>885</v>
      </c>
      <c r="MNJ640" s="1572"/>
      <c r="MNK640" s="1572"/>
      <c r="MNL640" s="1572"/>
      <c r="MNM640" s="1572"/>
      <c r="MNN640" s="1572"/>
      <c r="MNO640" s="1572"/>
      <c r="MNP640" s="1572"/>
      <c r="MNQ640" s="1572" t="s">
        <v>885</v>
      </c>
      <c r="MNR640" s="1572"/>
      <c r="MNS640" s="1572"/>
      <c r="MNT640" s="1572"/>
      <c r="MNU640" s="1572"/>
      <c r="MNV640" s="1572"/>
      <c r="MNW640" s="1572"/>
      <c r="MNX640" s="1572"/>
      <c r="MNY640" s="1572" t="s">
        <v>885</v>
      </c>
      <c r="MNZ640" s="1572"/>
      <c r="MOA640" s="1572"/>
      <c r="MOB640" s="1572"/>
      <c r="MOC640" s="1572"/>
      <c r="MOD640" s="1572"/>
      <c r="MOE640" s="1572"/>
      <c r="MOF640" s="1572"/>
      <c r="MOG640" s="1572" t="s">
        <v>885</v>
      </c>
      <c r="MOH640" s="1572"/>
      <c r="MOI640" s="1572"/>
      <c r="MOJ640" s="1572"/>
      <c r="MOK640" s="1572"/>
      <c r="MOL640" s="1572"/>
      <c r="MOM640" s="1572"/>
      <c r="MON640" s="1572"/>
      <c r="MOO640" s="1572" t="s">
        <v>885</v>
      </c>
      <c r="MOP640" s="1572"/>
      <c r="MOQ640" s="1572"/>
      <c r="MOR640" s="1572"/>
      <c r="MOS640" s="1572"/>
      <c r="MOT640" s="1572"/>
      <c r="MOU640" s="1572"/>
      <c r="MOV640" s="1572"/>
      <c r="MOW640" s="1572" t="s">
        <v>885</v>
      </c>
      <c r="MOX640" s="1572"/>
      <c r="MOY640" s="1572"/>
      <c r="MOZ640" s="1572"/>
      <c r="MPA640" s="1572"/>
      <c r="MPB640" s="1572"/>
      <c r="MPC640" s="1572"/>
      <c r="MPD640" s="1572"/>
      <c r="MPE640" s="1572" t="s">
        <v>885</v>
      </c>
      <c r="MPF640" s="1572"/>
      <c r="MPG640" s="1572"/>
      <c r="MPH640" s="1572"/>
      <c r="MPI640" s="1572"/>
      <c r="MPJ640" s="1572"/>
      <c r="MPK640" s="1572"/>
      <c r="MPL640" s="1572"/>
      <c r="MPM640" s="1572" t="s">
        <v>885</v>
      </c>
      <c r="MPN640" s="1572"/>
      <c r="MPO640" s="1572"/>
      <c r="MPP640" s="1572"/>
      <c r="MPQ640" s="1572"/>
      <c r="MPR640" s="1572"/>
      <c r="MPS640" s="1572"/>
      <c r="MPT640" s="1572"/>
      <c r="MPU640" s="1572" t="s">
        <v>885</v>
      </c>
      <c r="MPV640" s="1572"/>
      <c r="MPW640" s="1572"/>
      <c r="MPX640" s="1572"/>
      <c r="MPY640" s="1572"/>
      <c r="MPZ640" s="1572"/>
      <c r="MQA640" s="1572"/>
      <c r="MQB640" s="1572"/>
      <c r="MQC640" s="1572" t="s">
        <v>885</v>
      </c>
      <c r="MQD640" s="1572"/>
      <c r="MQE640" s="1572"/>
      <c r="MQF640" s="1572"/>
      <c r="MQG640" s="1572"/>
      <c r="MQH640" s="1572"/>
      <c r="MQI640" s="1572"/>
      <c r="MQJ640" s="1572"/>
      <c r="MQK640" s="1572" t="s">
        <v>885</v>
      </c>
      <c r="MQL640" s="1572"/>
      <c r="MQM640" s="1572"/>
      <c r="MQN640" s="1572"/>
      <c r="MQO640" s="1572"/>
      <c r="MQP640" s="1572"/>
      <c r="MQQ640" s="1572"/>
      <c r="MQR640" s="1572"/>
      <c r="MQS640" s="1572" t="s">
        <v>885</v>
      </c>
      <c r="MQT640" s="1572"/>
      <c r="MQU640" s="1572"/>
      <c r="MQV640" s="1572"/>
      <c r="MQW640" s="1572"/>
      <c r="MQX640" s="1572"/>
      <c r="MQY640" s="1572"/>
      <c r="MQZ640" s="1572"/>
      <c r="MRA640" s="1572" t="s">
        <v>885</v>
      </c>
      <c r="MRB640" s="1572"/>
      <c r="MRC640" s="1572"/>
      <c r="MRD640" s="1572"/>
      <c r="MRE640" s="1572"/>
      <c r="MRF640" s="1572"/>
      <c r="MRG640" s="1572"/>
      <c r="MRH640" s="1572"/>
      <c r="MRI640" s="1572" t="s">
        <v>885</v>
      </c>
      <c r="MRJ640" s="1572"/>
      <c r="MRK640" s="1572"/>
      <c r="MRL640" s="1572"/>
      <c r="MRM640" s="1572"/>
      <c r="MRN640" s="1572"/>
      <c r="MRO640" s="1572"/>
      <c r="MRP640" s="1572"/>
      <c r="MRQ640" s="1572" t="s">
        <v>885</v>
      </c>
      <c r="MRR640" s="1572"/>
      <c r="MRS640" s="1572"/>
      <c r="MRT640" s="1572"/>
      <c r="MRU640" s="1572"/>
      <c r="MRV640" s="1572"/>
      <c r="MRW640" s="1572"/>
      <c r="MRX640" s="1572"/>
      <c r="MRY640" s="1572" t="s">
        <v>885</v>
      </c>
      <c r="MRZ640" s="1572"/>
      <c r="MSA640" s="1572"/>
      <c r="MSB640" s="1572"/>
      <c r="MSC640" s="1572"/>
      <c r="MSD640" s="1572"/>
      <c r="MSE640" s="1572"/>
      <c r="MSF640" s="1572"/>
      <c r="MSG640" s="1572" t="s">
        <v>885</v>
      </c>
      <c r="MSH640" s="1572"/>
      <c r="MSI640" s="1572"/>
      <c r="MSJ640" s="1572"/>
      <c r="MSK640" s="1572"/>
      <c r="MSL640" s="1572"/>
      <c r="MSM640" s="1572"/>
      <c r="MSN640" s="1572"/>
      <c r="MSO640" s="1572" t="s">
        <v>885</v>
      </c>
      <c r="MSP640" s="1572"/>
      <c r="MSQ640" s="1572"/>
      <c r="MSR640" s="1572"/>
      <c r="MSS640" s="1572"/>
      <c r="MST640" s="1572"/>
      <c r="MSU640" s="1572"/>
      <c r="MSV640" s="1572"/>
      <c r="MSW640" s="1572" t="s">
        <v>885</v>
      </c>
      <c r="MSX640" s="1572"/>
      <c r="MSY640" s="1572"/>
      <c r="MSZ640" s="1572"/>
      <c r="MTA640" s="1572"/>
      <c r="MTB640" s="1572"/>
      <c r="MTC640" s="1572"/>
      <c r="MTD640" s="1572"/>
      <c r="MTE640" s="1572" t="s">
        <v>885</v>
      </c>
      <c r="MTF640" s="1572"/>
      <c r="MTG640" s="1572"/>
      <c r="MTH640" s="1572"/>
      <c r="MTI640" s="1572"/>
      <c r="MTJ640" s="1572"/>
      <c r="MTK640" s="1572"/>
      <c r="MTL640" s="1572"/>
      <c r="MTM640" s="1572" t="s">
        <v>885</v>
      </c>
      <c r="MTN640" s="1572"/>
      <c r="MTO640" s="1572"/>
      <c r="MTP640" s="1572"/>
      <c r="MTQ640" s="1572"/>
      <c r="MTR640" s="1572"/>
      <c r="MTS640" s="1572"/>
      <c r="MTT640" s="1572"/>
      <c r="MTU640" s="1572" t="s">
        <v>885</v>
      </c>
      <c r="MTV640" s="1572"/>
      <c r="MTW640" s="1572"/>
      <c r="MTX640" s="1572"/>
      <c r="MTY640" s="1572"/>
      <c r="MTZ640" s="1572"/>
      <c r="MUA640" s="1572"/>
      <c r="MUB640" s="1572"/>
      <c r="MUC640" s="1572" t="s">
        <v>885</v>
      </c>
      <c r="MUD640" s="1572"/>
      <c r="MUE640" s="1572"/>
      <c r="MUF640" s="1572"/>
      <c r="MUG640" s="1572"/>
      <c r="MUH640" s="1572"/>
      <c r="MUI640" s="1572"/>
      <c r="MUJ640" s="1572"/>
      <c r="MUK640" s="1572" t="s">
        <v>885</v>
      </c>
      <c r="MUL640" s="1572"/>
      <c r="MUM640" s="1572"/>
      <c r="MUN640" s="1572"/>
      <c r="MUO640" s="1572"/>
      <c r="MUP640" s="1572"/>
      <c r="MUQ640" s="1572"/>
      <c r="MUR640" s="1572"/>
      <c r="MUS640" s="1572" t="s">
        <v>885</v>
      </c>
      <c r="MUT640" s="1572"/>
      <c r="MUU640" s="1572"/>
      <c r="MUV640" s="1572"/>
      <c r="MUW640" s="1572"/>
      <c r="MUX640" s="1572"/>
      <c r="MUY640" s="1572"/>
      <c r="MUZ640" s="1572"/>
      <c r="MVA640" s="1572" t="s">
        <v>885</v>
      </c>
      <c r="MVB640" s="1572"/>
      <c r="MVC640" s="1572"/>
      <c r="MVD640" s="1572"/>
      <c r="MVE640" s="1572"/>
      <c r="MVF640" s="1572"/>
      <c r="MVG640" s="1572"/>
      <c r="MVH640" s="1572"/>
      <c r="MVI640" s="1572" t="s">
        <v>885</v>
      </c>
      <c r="MVJ640" s="1572"/>
      <c r="MVK640" s="1572"/>
      <c r="MVL640" s="1572"/>
      <c r="MVM640" s="1572"/>
      <c r="MVN640" s="1572"/>
      <c r="MVO640" s="1572"/>
      <c r="MVP640" s="1572"/>
      <c r="MVQ640" s="1572" t="s">
        <v>885</v>
      </c>
      <c r="MVR640" s="1572"/>
      <c r="MVS640" s="1572"/>
      <c r="MVT640" s="1572"/>
      <c r="MVU640" s="1572"/>
      <c r="MVV640" s="1572"/>
      <c r="MVW640" s="1572"/>
      <c r="MVX640" s="1572"/>
      <c r="MVY640" s="1572" t="s">
        <v>885</v>
      </c>
      <c r="MVZ640" s="1572"/>
      <c r="MWA640" s="1572"/>
      <c r="MWB640" s="1572"/>
      <c r="MWC640" s="1572"/>
      <c r="MWD640" s="1572"/>
      <c r="MWE640" s="1572"/>
      <c r="MWF640" s="1572"/>
      <c r="MWG640" s="1572" t="s">
        <v>885</v>
      </c>
      <c r="MWH640" s="1572"/>
      <c r="MWI640" s="1572"/>
      <c r="MWJ640" s="1572"/>
      <c r="MWK640" s="1572"/>
      <c r="MWL640" s="1572"/>
      <c r="MWM640" s="1572"/>
      <c r="MWN640" s="1572"/>
      <c r="MWO640" s="1572" t="s">
        <v>885</v>
      </c>
      <c r="MWP640" s="1572"/>
      <c r="MWQ640" s="1572"/>
      <c r="MWR640" s="1572"/>
      <c r="MWS640" s="1572"/>
      <c r="MWT640" s="1572"/>
      <c r="MWU640" s="1572"/>
      <c r="MWV640" s="1572"/>
      <c r="MWW640" s="1572" t="s">
        <v>885</v>
      </c>
      <c r="MWX640" s="1572"/>
      <c r="MWY640" s="1572"/>
      <c r="MWZ640" s="1572"/>
      <c r="MXA640" s="1572"/>
      <c r="MXB640" s="1572"/>
      <c r="MXC640" s="1572"/>
      <c r="MXD640" s="1572"/>
      <c r="MXE640" s="1572" t="s">
        <v>885</v>
      </c>
      <c r="MXF640" s="1572"/>
      <c r="MXG640" s="1572"/>
      <c r="MXH640" s="1572"/>
      <c r="MXI640" s="1572"/>
      <c r="MXJ640" s="1572"/>
      <c r="MXK640" s="1572"/>
      <c r="MXL640" s="1572"/>
      <c r="MXM640" s="1572" t="s">
        <v>885</v>
      </c>
      <c r="MXN640" s="1572"/>
      <c r="MXO640" s="1572"/>
      <c r="MXP640" s="1572"/>
      <c r="MXQ640" s="1572"/>
      <c r="MXR640" s="1572"/>
      <c r="MXS640" s="1572"/>
      <c r="MXT640" s="1572"/>
      <c r="MXU640" s="1572" t="s">
        <v>885</v>
      </c>
      <c r="MXV640" s="1572"/>
      <c r="MXW640" s="1572"/>
      <c r="MXX640" s="1572"/>
      <c r="MXY640" s="1572"/>
      <c r="MXZ640" s="1572"/>
      <c r="MYA640" s="1572"/>
      <c r="MYB640" s="1572"/>
      <c r="MYC640" s="1572" t="s">
        <v>885</v>
      </c>
      <c r="MYD640" s="1572"/>
      <c r="MYE640" s="1572"/>
      <c r="MYF640" s="1572"/>
      <c r="MYG640" s="1572"/>
      <c r="MYH640" s="1572"/>
      <c r="MYI640" s="1572"/>
      <c r="MYJ640" s="1572"/>
      <c r="MYK640" s="1572" t="s">
        <v>885</v>
      </c>
      <c r="MYL640" s="1572"/>
      <c r="MYM640" s="1572"/>
      <c r="MYN640" s="1572"/>
      <c r="MYO640" s="1572"/>
      <c r="MYP640" s="1572"/>
      <c r="MYQ640" s="1572"/>
      <c r="MYR640" s="1572"/>
      <c r="MYS640" s="1572" t="s">
        <v>885</v>
      </c>
      <c r="MYT640" s="1572"/>
      <c r="MYU640" s="1572"/>
      <c r="MYV640" s="1572"/>
      <c r="MYW640" s="1572"/>
      <c r="MYX640" s="1572"/>
      <c r="MYY640" s="1572"/>
      <c r="MYZ640" s="1572"/>
      <c r="MZA640" s="1572" t="s">
        <v>885</v>
      </c>
      <c r="MZB640" s="1572"/>
      <c r="MZC640" s="1572"/>
      <c r="MZD640" s="1572"/>
      <c r="MZE640" s="1572"/>
      <c r="MZF640" s="1572"/>
      <c r="MZG640" s="1572"/>
      <c r="MZH640" s="1572"/>
      <c r="MZI640" s="1572" t="s">
        <v>885</v>
      </c>
      <c r="MZJ640" s="1572"/>
      <c r="MZK640" s="1572"/>
      <c r="MZL640" s="1572"/>
      <c r="MZM640" s="1572"/>
      <c r="MZN640" s="1572"/>
      <c r="MZO640" s="1572"/>
      <c r="MZP640" s="1572"/>
      <c r="MZQ640" s="1572" t="s">
        <v>885</v>
      </c>
      <c r="MZR640" s="1572"/>
      <c r="MZS640" s="1572"/>
      <c r="MZT640" s="1572"/>
      <c r="MZU640" s="1572"/>
      <c r="MZV640" s="1572"/>
      <c r="MZW640" s="1572"/>
      <c r="MZX640" s="1572"/>
      <c r="MZY640" s="1572" t="s">
        <v>885</v>
      </c>
      <c r="MZZ640" s="1572"/>
      <c r="NAA640" s="1572"/>
      <c r="NAB640" s="1572"/>
      <c r="NAC640" s="1572"/>
      <c r="NAD640" s="1572"/>
      <c r="NAE640" s="1572"/>
      <c r="NAF640" s="1572"/>
      <c r="NAG640" s="1572" t="s">
        <v>885</v>
      </c>
      <c r="NAH640" s="1572"/>
      <c r="NAI640" s="1572"/>
      <c r="NAJ640" s="1572"/>
      <c r="NAK640" s="1572"/>
      <c r="NAL640" s="1572"/>
      <c r="NAM640" s="1572"/>
      <c r="NAN640" s="1572"/>
      <c r="NAO640" s="1572" t="s">
        <v>885</v>
      </c>
      <c r="NAP640" s="1572"/>
      <c r="NAQ640" s="1572"/>
      <c r="NAR640" s="1572"/>
      <c r="NAS640" s="1572"/>
      <c r="NAT640" s="1572"/>
      <c r="NAU640" s="1572"/>
      <c r="NAV640" s="1572"/>
      <c r="NAW640" s="1572" t="s">
        <v>885</v>
      </c>
      <c r="NAX640" s="1572"/>
      <c r="NAY640" s="1572"/>
      <c r="NAZ640" s="1572"/>
      <c r="NBA640" s="1572"/>
      <c r="NBB640" s="1572"/>
      <c r="NBC640" s="1572"/>
      <c r="NBD640" s="1572"/>
      <c r="NBE640" s="1572" t="s">
        <v>885</v>
      </c>
      <c r="NBF640" s="1572"/>
      <c r="NBG640" s="1572"/>
      <c r="NBH640" s="1572"/>
      <c r="NBI640" s="1572"/>
      <c r="NBJ640" s="1572"/>
      <c r="NBK640" s="1572"/>
      <c r="NBL640" s="1572"/>
      <c r="NBM640" s="1572" t="s">
        <v>885</v>
      </c>
      <c r="NBN640" s="1572"/>
      <c r="NBO640" s="1572"/>
      <c r="NBP640" s="1572"/>
      <c r="NBQ640" s="1572"/>
      <c r="NBR640" s="1572"/>
      <c r="NBS640" s="1572"/>
      <c r="NBT640" s="1572"/>
      <c r="NBU640" s="1572" t="s">
        <v>885</v>
      </c>
      <c r="NBV640" s="1572"/>
      <c r="NBW640" s="1572"/>
      <c r="NBX640" s="1572"/>
      <c r="NBY640" s="1572"/>
      <c r="NBZ640" s="1572"/>
      <c r="NCA640" s="1572"/>
      <c r="NCB640" s="1572"/>
      <c r="NCC640" s="1572" t="s">
        <v>885</v>
      </c>
      <c r="NCD640" s="1572"/>
      <c r="NCE640" s="1572"/>
      <c r="NCF640" s="1572"/>
      <c r="NCG640" s="1572"/>
      <c r="NCH640" s="1572"/>
      <c r="NCI640" s="1572"/>
      <c r="NCJ640" s="1572"/>
      <c r="NCK640" s="1572" t="s">
        <v>885</v>
      </c>
      <c r="NCL640" s="1572"/>
      <c r="NCM640" s="1572"/>
      <c r="NCN640" s="1572"/>
      <c r="NCO640" s="1572"/>
      <c r="NCP640" s="1572"/>
      <c r="NCQ640" s="1572"/>
      <c r="NCR640" s="1572"/>
      <c r="NCS640" s="1572" t="s">
        <v>885</v>
      </c>
      <c r="NCT640" s="1572"/>
      <c r="NCU640" s="1572"/>
      <c r="NCV640" s="1572"/>
      <c r="NCW640" s="1572"/>
      <c r="NCX640" s="1572"/>
      <c r="NCY640" s="1572"/>
      <c r="NCZ640" s="1572"/>
      <c r="NDA640" s="1572" t="s">
        <v>885</v>
      </c>
      <c r="NDB640" s="1572"/>
      <c r="NDC640" s="1572"/>
      <c r="NDD640" s="1572"/>
      <c r="NDE640" s="1572"/>
      <c r="NDF640" s="1572"/>
      <c r="NDG640" s="1572"/>
      <c r="NDH640" s="1572"/>
      <c r="NDI640" s="1572" t="s">
        <v>885</v>
      </c>
      <c r="NDJ640" s="1572"/>
      <c r="NDK640" s="1572"/>
      <c r="NDL640" s="1572"/>
      <c r="NDM640" s="1572"/>
      <c r="NDN640" s="1572"/>
      <c r="NDO640" s="1572"/>
      <c r="NDP640" s="1572"/>
      <c r="NDQ640" s="1572" t="s">
        <v>885</v>
      </c>
      <c r="NDR640" s="1572"/>
      <c r="NDS640" s="1572"/>
      <c r="NDT640" s="1572"/>
      <c r="NDU640" s="1572"/>
      <c r="NDV640" s="1572"/>
      <c r="NDW640" s="1572"/>
      <c r="NDX640" s="1572"/>
      <c r="NDY640" s="1572" t="s">
        <v>885</v>
      </c>
      <c r="NDZ640" s="1572"/>
      <c r="NEA640" s="1572"/>
      <c r="NEB640" s="1572"/>
      <c r="NEC640" s="1572"/>
      <c r="NED640" s="1572"/>
      <c r="NEE640" s="1572"/>
      <c r="NEF640" s="1572"/>
      <c r="NEG640" s="1572" t="s">
        <v>885</v>
      </c>
      <c r="NEH640" s="1572"/>
      <c r="NEI640" s="1572"/>
      <c r="NEJ640" s="1572"/>
      <c r="NEK640" s="1572"/>
      <c r="NEL640" s="1572"/>
      <c r="NEM640" s="1572"/>
      <c r="NEN640" s="1572"/>
      <c r="NEO640" s="1572" t="s">
        <v>885</v>
      </c>
      <c r="NEP640" s="1572"/>
      <c r="NEQ640" s="1572"/>
      <c r="NER640" s="1572"/>
      <c r="NES640" s="1572"/>
      <c r="NET640" s="1572"/>
      <c r="NEU640" s="1572"/>
      <c r="NEV640" s="1572"/>
      <c r="NEW640" s="1572" t="s">
        <v>885</v>
      </c>
      <c r="NEX640" s="1572"/>
      <c r="NEY640" s="1572"/>
      <c r="NEZ640" s="1572"/>
      <c r="NFA640" s="1572"/>
      <c r="NFB640" s="1572"/>
      <c r="NFC640" s="1572"/>
      <c r="NFD640" s="1572"/>
      <c r="NFE640" s="1572" t="s">
        <v>885</v>
      </c>
      <c r="NFF640" s="1572"/>
      <c r="NFG640" s="1572"/>
      <c r="NFH640" s="1572"/>
      <c r="NFI640" s="1572"/>
      <c r="NFJ640" s="1572"/>
      <c r="NFK640" s="1572"/>
      <c r="NFL640" s="1572"/>
      <c r="NFM640" s="1572" t="s">
        <v>885</v>
      </c>
      <c r="NFN640" s="1572"/>
      <c r="NFO640" s="1572"/>
      <c r="NFP640" s="1572"/>
      <c r="NFQ640" s="1572"/>
      <c r="NFR640" s="1572"/>
      <c r="NFS640" s="1572"/>
      <c r="NFT640" s="1572"/>
      <c r="NFU640" s="1572" t="s">
        <v>885</v>
      </c>
      <c r="NFV640" s="1572"/>
      <c r="NFW640" s="1572"/>
      <c r="NFX640" s="1572"/>
      <c r="NFY640" s="1572"/>
      <c r="NFZ640" s="1572"/>
      <c r="NGA640" s="1572"/>
      <c r="NGB640" s="1572"/>
      <c r="NGC640" s="1572" t="s">
        <v>885</v>
      </c>
      <c r="NGD640" s="1572"/>
      <c r="NGE640" s="1572"/>
      <c r="NGF640" s="1572"/>
      <c r="NGG640" s="1572"/>
      <c r="NGH640" s="1572"/>
      <c r="NGI640" s="1572"/>
      <c r="NGJ640" s="1572"/>
      <c r="NGK640" s="1572" t="s">
        <v>885</v>
      </c>
      <c r="NGL640" s="1572"/>
      <c r="NGM640" s="1572"/>
      <c r="NGN640" s="1572"/>
      <c r="NGO640" s="1572"/>
      <c r="NGP640" s="1572"/>
      <c r="NGQ640" s="1572"/>
      <c r="NGR640" s="1572"/>
      <c r="NGS640" s="1572" t="s">
        <v>885</v>
      </c>
      <c r="NGT640" s="1572"/>
      <c r="NGU640" s="1572"/>
      <c r="NGV640" s="1572"/>
      <c r="NGW640" s="1572"/>
      <c r="NGX640" s="1572"/>
      <c r="NGY640" s="1572"/>
      <c r="NGZ640" s="1572"/>
      <c r="NHA640" s="1572" t="s">
        <v>885</v>
      </c>
      <c r="NHB640" s="1572"/>
      <c r="NHC640" s="1572"/>
      <c r="NHD640" s="1572"/>
      <c r="NHE640" s="1572"/>
      <c r="NHF640" s="1572"/>
      <c r="NHG640" s="1572"/>
      <c r="NHH640" s="1572"/>
      <c r="NHI640" s="1572" t="s">
        <v>885</v>
      </c>
      <c r="NHJ640" s="1572"/>
      <c r="NHK640" s="1572"/>
      <c r="NHL640" s="1572"/>
      <c r="NHM640" s="1572"/>
      <c r="NHN640" s="1572"/>
      <c r="NHO640" s="1572"/>
      <c r="NHP640" s="1572"/>
      <c r="NHQ640" s="1572" t="s">
        <v>885</v>
      </c>
      <c r="NHR640" s="1572"/>
      <c r="NHS640" s="1572"/>
      <c r="NHT640" s="1572"/>
      <c r="NHU640" s="1572"/>
      <c r="NHV640" s="1572"/>
      <c r="NHW640" s="1572"/>
      <c r="NHX640" s="1572"/>
      <c r="NHY640" s="1572" t="s">
        <v>885</v>
      </c>
      <c r="NHZ640" s="1572"/>
      <c r="NIA640" s="1572"/>
      <c r="NIB640" s="1572"/>
      <c r="NIC640" s="1572"/>
      <c r="NID640" s="1572"/>
      <c r="NIE640" s="1572"/>
      <c r="NIF640" s="1572"/>
      <c r="NIG640" s="1572" t="s">
        <v>885</v>
      </c>
      <c r="NIH640" s="1572"/>
      <c r="NII640" s="1572"/>
      <c r="NIJ640" s="1572"/>
      <c r="NIK640" s="1572"/>
      <c r="NIL640" s="1572"/>
      <c r="NIM640" s="1572"/>
      <c r="NIN640" s="1572"/>
      <c r="NIO640" s="1572" t="s">
        <v>885</v>
      </c>
      <c r="NIP640" s="1572"/>
      <c r="NIQ640" s="1572"/>
      <c r="NIR640" s="1572"/>
      <c r="NIS640" s="1572"/>
      <c r="NIT640" s="1572"/>
      <c r="NIU640" s="1572"/>
      <c r="NIV640" s="1572"/>
      <c r="NIW640" s="1572" t="s">
        <v>885</v>
      </c>
      <c r="NIX640" s="1572"/>
      <c r="NIY640" s="1572"/>
      <c r="NIZ640" s="1572"/>
      <c r="NJA640" s="1572"/>
      <c r="NJB640" s="1572"/>
      <c r="NJC640" s="1572"/>
      <c r="NJD640" s="1572"/>
      <c r="NJE640" s="1572" t="s">
        <v>885</v>
      </c>
      <c r="NJF640" s="1572"/>
      <c r="NJG640" s="1572"/>
      <c r="NJH640" s="1572"/>
      <c r="NJI640" s="1572"/>
      <c r="NJJ640" s="1572"/>
      <c r="NJK640" s="1572"/>
      <c r="NJL640" s="1572"/>
      <c r="NJM640" s="1572" t="s">
        <v>885</v>
      </c>
      <c r="NJN640" s="1572"/>
      <c r="NJO640" s="1572"/>
      <c r="NJP640" s="1572"/>
      <c r="NJQ640" s="1572"/>
      <c r="NJR640" s="1572"/>
      <c r="NJS640" s="1572"/>
      <c r="NJT640" s="1572"/>
      <c r="NJU640" s="1572" t="s">
        <v>885</v>
      </c>
      <c r="NJV640" s="1572"/>
      <c r="NJW640" s="1572"/>
      <c r="NJX640" s="1572"/>
      <c r="NJY640" s="1572"/>
      <c r="NJZ640" s="1572"/>
      <c r="NKA640" s="1572"/>
      <c r="NKB640" s="1572"/>
      <c r="NKC640" s="1572" t="s">
        <v>885</v>
      </c>
      <c r="NKD640" s="1572"/>
      <c r="NKE640" s="1572"/>
      <c r="NKF640" s="1572"/>
      <c r="NKG640" s="1572"/>
      <c r="NKH640" s="1572"/>
      <c r="NKI640" s="1572"/>
      <c r="NKJ640" s="1572"/>
      <c r="NKK640" s="1572" t="s">
        <v>885</v>
      </c>
      <c r="NKL640" s="1572"/>
      <c r="NKM640" s="1572"/>
      <c r="NKN640" s="1572"/>
      <c r="NKO640" s="1572"/>
      <c r="NKP640" s="1572"/>
      <c r="NKQ640" s="1572"/>
      <c r="NKR640" s="1572"/>
      <c r="NKS640" s="1572" t="s">
        <v>885</v>
      </c>
      <c r="NKT640" s="1572"/>
      <c r="NKU640" s="1572"/>
      <c r="NKV640" s="1572"/>
      <c r="NKW640" s="1572"/>
      <c r="NKX640" s="1572"/>
      <c r="NKY640" s="1572"/>
      <c r="NKZ640" s="1572"/>
      <c r="NLA640" s="1572" t="s">
        <v>885</v>
      </c>
      <c r="NLB640" s="1572"/>
      <c r="NLC640" s="1572"/>
      <c r="NLD640" s="1572"/>
      <c r="NLE640" s="1572"/>
      <c r="NLF640" s="1572"/>
      <c r="NLG640" s="1572"/>
      <c r="NLH640" s="1572"/>
      <c r="NLI640" s="1572" t="s">
        <v>885</v>
      </c>
      <c r="NLJ640" s="1572"/>
      <c r="NLK640" s="1572"/>
      <c r="NLL640" s="1572"/>
      <c r="NLM640" s="1572"/>
      <c r="NLN640" s="1572"/>
      <c r="NLO640" s="1572"/>
      <c r="NLP640" s="1572"/>
      <c r="NLQ640" s="1572" t="s">
        <v>885</v>
      </c>
      <c r="NLR640" s="1572"/>
      <c r="NLS640" s="1572"/>
      <c r="NLT640" s="1572"/>
      <c r="NLU640" s="1572"/>
      <c r="NLV640" s="1572"/>
      <c r="NLW640" s="1572"/>
      <c r="NLX640" s="1572"/>
      <c r="NLY640" s="1572" t="s">
        <v>885</v>
      </c>
      <c r="NLZ640" s="1572"/>
      <c r="NMA640" s="1572"/>
      <c r="NMB640" s="1572"/>
      <c r="NMC640" s="1572"/>
      <c r="NMD640" s="1572"/>
      <c r="NME640" s="1572"/>
      <c r="NMF640" s="1572"/>
      <c r="NMG640" s="1572" t="s">
        <v>885</v>
      </c>
      <c r="NMH640" s="1572"/>
      <c r="NMI640" s="1572"/>
      <c r="NMJ640" s="1572"/>
      <c r="NMK640" s="1572"/>
      <c r="NML640" s="1572"/>
      <c r="NMM640" s="1572"/>
      <c r="NMN640" s="1572"/>
      <c r="NMO640" s="1572" t="s">
        <v>885</v>
      </c>
      <c r="NMP640" s="1572"/>
      <c r="NMQ640" s="1572"/>
      <c r="NMR640" s="1572"/>
      <c r="NMS640" s="1572"/>
      <c r="NMT640" s="1572"/>
      <c r="NMU640" s="1572"/>
      <c r="NMV640" s="1572"/>
      <c r="NMW640" s="1572" t="s">
        <v>885</v>
      </c>
      <c r="NMX640" s="1572"/>
      <c r="NMY640" s="1572"/>
      <c r="NMZ640" s="1572"/>
      <c r="NNA640" s="1572"/>
      <c r="NNB640" s="1572"/>
      <c r="NNC640" s="1572"/>
      <c r="NND640" s="1572"/>
      <c r="NNE640" s="1572" t="s">
        <v>885</v>
      </c>
      <c r="NNF640" s="1572"/>
      <c r="NNG640" s="1572"/>
      <c r="NNH640" s="1572"/>
      <c r="NNI640" s="1572"/>
      <c r="NNJ640" s="1572"/>
      <c r="NNK640" s="1572"/>
      <c r="NNL640" s="1572"/>
      <c r="NNM640" s="1572" t="s">
        <v>885</v>
      </c>
      <c r="NNN640" s="1572"/>
      <c r="NNO640" s="1572"/>
      <c r="NNP640" s="1572"/>
      <c r="NNQ640" s="1572"/>
      <c r="NNR640" s="1572"/>
      <c r="NNS640" s="1572"/>
      <c r="NNT640" s="1572"/>
      <c r="NNU640" s="1572" t="s">
        <v>885</v>
      </c>
      <c r="NNV640" s="1572"/>
      <c r="NNW640" s="1572"/>
      <c r="NNX640" s="1572"/>
      <c r="NNY640" s="1572"/>
      <c r="NNZ640" s="1572"/>
      <c r="NOA640" s="1572"/>
      <c r="NOB640" s="1572"/>
      <c r="NOC640" s="1572" t="s">
        <v>885</v>
      </c>
      <c r="NOD640" s="1572"/>
      <c r="NOE640" s="1572"/>
      <c r="NOF640" s="1572"/>
      <c r="NOG640" s="1572"/>
      <c r="NOH640" s="1572"/>
      <c r="NOI640" s="1572"/>
      <c r="NOJ640" s="1572"/>
      <c r="NOK640" s="1572" t="s">
        <v>885</v>
      </c>
      <c r="NOL640" s="1572"/>
      <c r="NOM640" s="1572"/>
      <c r="NON640" s="1572"/>
      <c r="NOO640" s="1572"/>
      <c r="NOP640" s="1572"/>
      <c r="NOQ640" s="1572"/>
      <c r="NOR640" s="1572"/>
      <c r="NOS640" s="1572" t="s">
        <v>885</v>
      </c>
      <c r="NOT640" s="1572"/>
      <c r="NOU640" s="1572"/>
      <c r="NOV640" s="1572"/>
      <c r="NOW640" s="1572"/>
      <c r="NOX640" s="1572"/>
      <c r="NOY640" s="1572"/>
      <c r="NOZ640" s="1572"/>
      <c r="NPA640" s="1572" t="s">
        <v>885</v>
      </c>
      <c r="NPB640" s="1572"/>
      <c r="NPC640" s="1572"/>
      <c r="NPD640" s="1572"/>
      <c r="NPE640" s="1572"/>
      <c r="NPF640" s="1572"/>
      <c r="NPG640" s="1572"/>
      <c r="NPH640" s="1572"/>
      <c r="NPI640" s="1572" t="s">
        <v>885</v>
      </c>
      <c r="NPJ640" s="1572"/>
      <c r="NPK640" s="1572"/>
      <c r="NPL640" s="1572"/>
      <c r="NPM640" s="1572"/>
      <c r="NPN640" s="1572"/>
      <c r="NPO640" s="1572"/>
      <c r="NPP640" s="1572"/>
      <c r="NPQ640" s="1572" t="s">
        <v>885</v>
      </c>
      <c r="NPR640" s="1572"/>
      <c r="NPS640" s="1572"/>
      <c r="NPT640" s="1572"/>
      <c r="NPU640" s="1572"/>
      <c r="NPV640" s="1572"/>
      <c r="NPW640" s="1572"/>
      <c r="NPX640" s="1572"/>
      <c r="NPY640" s="1572" t="s">
        <v>885</v>
      </c>
      <c r="NPZ640" s="1572"/>
      <c r="NQA640" s="1572"/>
      <c r="NQB640" s="1572"/>
      <c r="NQC640" s="1572"/>
      <c r="NQD640" s="1572"/>
      <c r="NQE640" s="1572"/>
      <c r="NQF640" s="1572"/>
      <c r="NQG640" s="1572" t="s">
        <v>885</v>
      </c>
      <c r="NQH640" s="1572"/>
      <c r="NQI640" s="1572"/>
      <c r="NQJ640" s="1572"/>
      <c r="NQK640" s="1572"/>
      <c r="NQL640" s="1572"/>
      <c r="NQM640" s="1572"/>
      <c r="NQN640" s="1572"/>
      <c r="NQO640" s="1572" t="s">
        <v>885</v>
      </c>
      <c r="NQP640" s="1572"/>
      <c r="NQQ640" s="1572"/>
      <c r="NQR640" s="1572"/>
      <c r="NQS640" s="1572"/>
      <c r="NQT640" s="1572"/>
      <c r="NQU640" s="1572"/>
      <c r="NQV640" s="1572"/>
      <c r="NQW640" s="1572" t="s">
        <v>885</v>
      </c>
      <c r="NQX640" s="1572"/>
      <c r="NQY640" s="1572"/>
      <c r="NQZ640" s="1572"/>
      <c r="NRA640" s="1572"/>
      <c r="NRB640" s="1572"/>
      <c r="NRC640" s="1572"/>
      <c r="NRD640" s="1572"/>
      <c r="NRE640" s="1572" t="s">
        <v>885</v>
      </c>
      <c r="NRF640" s="1572"/>
      <c r="NRG640" s="1572"/>
      <c r="NRH640" s="1572"/>
      <c r="NRI640" s="1572"/>
      <c r="NRJ640" s="1572"/>
      <c r="NRK640" s="1572"/>
      <c r="NRL640" s="1572"/>
      <c r="NRM640" s="1572" t="s">
        <v>885</v>
      </c>
      <c r="NRN640" s="1572"/>
      <c r="NRO640" s="1572"/>
      <c r="NRP640" s="1572"/>
      <c r="NRQ640" s="1572"/>
      <c r="NRR640" s="1572"/>
      <c r="NRS640" s="1572"/>
      <c r="NRT640" s="1572"/>
      <c r="NRU640" s="1572" t="s">
        <v>885</v>
      </c>
      <c r="NRV640" s="1572"/>
      <c r="NRW640" s="1572"/>
      <c r="NRX640" s="1572"/>
      <c r="NRY640" s="1572"/>
      <c r="NRZ640" s="1572"/>
      <c r="NSA640" s="1572"/>
      <c r="NSB640" s="1572"/>
      <c r="NSC640" s="1572" t="s">
        <v>885</v>
      </c>
      <c r="NSD640" s="1572"/>
      <c r="NSE640" s="1572"/>
      <c r="NSF640" s="1572"/>
      <c r="NSG640" s="1572"/>
      <c r="NSH640" s="1572"/>
      <c r="NSI640" s="1572"/>
      <c r="NSJ640" s="1572"/>
      <c r="NSK640" s="1572" t="s">
        <v>885</v>
      </c>
      <c r="NSL640" s="1572"/>
      <c r="NSM640" s="1572"/>
      <c r="NSN640" s="1572"/>
      <c r="NSO640" s="1572"/>
      <c r="NSP640" s="1572"/>
      <c r="NSQ640" s="1572"/>
      <c r="NSR640" s="1572"/>
      <c r="NSS640" s="1572" t="s">
        <v>885</v>
      </c>
      <c r="NST640" s="1572"/>
      <c r="NSU640" s="1572"/>
      <c r="NSV640" s="1572"/>
      <c r="NSW640" s="1572"/>
      <c r="NSX640" s="1572"/>
      <c r="NSY640" s="1572"/>
      <c r="NSZ640" s="1572"/>
      <c r="NTA640" s="1572" t="s">
        <v>885</v>
      </c>
      <c r="NTB640" s="1572"/>
      <c r="NTC640" s="1572"/>
      <c r="NTD640" s="1572"/>
      <c r="NTE640" s="1572"/>
      <c r="NTF640" s="1572"/>
      <c r="NTG640" s="1572"/>
      <c r="NTH640" s="1572"/>
      <c r="NTI640" s="1572" t="s">
        <v>885</v>
      </c>
      <c r="NTJ640" s="1572"/>
      <c r="NTK640" s="1572"/>
      <c r="NTL640" s="1572"/>
      <c r="NTM640" s="1572"/>
      <c r="NTN640" s="1572"/>
      <c r="NTO640" s="1572"/>
      <c r="NTP640" s="1572"/>
      <c r="NTQ640" s="1572" t="s">
        <v>885</v>
      </c>
      <c r="NTR640" s="1572"/>
      <c r="NTS640" s="1572"/>
      <c r="NTT640" s="1572"/>
      <c r="NTU640" s="1572"/>
      <c r="NTV640" s="1572"/>
      <c r="NTW640" s="1572"/>
      <c r="NTX640" s="1572"/>
      <c r="NTY640" s="1572" t="s">
        <v>885</v>
      </c>
      <c r="NTZ640" s="1572"/>
      <c r="NUA640" s="1572"/>
      <c r="NUB640" s="1572"/>
      <c r="NUC640" s="1572"/>
      <c r="NUD640" s="1572"/>
      <c r="NUE640" s="1572"/>
      <c r="NUF640" s="1572"/>
      <c r="NUG640" s="1572" t="s">
        <v>885</v>
      </c>
      <c r="NUH640" s="1572"/>
      <c r="NUI640" s="1572"/>
      <c r="NUJ640" s="1572"/>
      <c r="NUK640" s="1572"/>
      <c r="NUL640" s="1572"/>
      <c r="NUM640" s="1572"/>
      <c r="NUN640" s="1572"/>
      <c r="NUO640" s="1572" t="s">
        <v>885</v>
      </c>
      <c r="NUP640" s="1572"/>
      <c r="NUQ640" s="1572"/>
      <c r="NUR640" s="1572"/>
      <c r="NUS640" s="1572"/>
      <c r="NUT640" s="1572"/>
      <c r="NUU640" s="1572"/>
      <c r="NUV640" s="1572"/>
      <c r="NUW640" s="1572" t="s">
        <v>885</v>
      </c>
      <c r="NUX640" s="1572"/>
      <c r="NUY640" s="1572"/>
      <c r="NUZ640" s="1572"/>
      <c r="NVA640" s="1572"/>
      <c r="NVB640" s="1572"/>
      <c r="NVC640" s="1572"/>
      <c r="NVD640" s="1572"/>
      <c r="NVE640" s="1572" t="s">
        <v>885</v>
      </c>
      <c r="NVF640" s="1572"/>
      <c r="NVG640" s="1572"/>
      <c r="NVH640" s="1572"/>
      <c r="NVI640" s="1572"/>
      <c r="NVJ640" s="1572"/>
      <c r="NVK640" s="1572"/>
      <c r="NVL640" s="1572"/>
      <c r="NVM640" s="1572" t="s">
        <v>885</v>
      </c>
      <c r="NVN640" s="1572"/>
      <c r="NVO640" s="1572"/>
      <c r="NVP640" s="1572"/>
      <c r="NVQ640" s="1572"/>
      <c r="NVR640" s="1572"/>
      <c r="NVS640" s="1572"/>
      <c r="NVT640" s="1572"/>
      <c r="NVU640" s="1572" t="s">
        <v>885</v>
      </c>
      <c r="NVV640" s="1572"/>
      <c r="NVW640" s="1572"/>
      <c r="NVX640" s="1572"/>
      <c r="NVY640" s="1572"/>
      <c r="NVZ640" s="1572"/>
      <c r="NWA640" s="1572"/>
      <c r="NWB640" s="1572"/>
      <c r="NWC640" s="1572" t="s">
        <v>885</v>
      </c>
      <c r="NWD640" s="1572"/>
      <c r="NWE640" s="1572"/>
      <c r="NWF640" s="1572"/>
      <c r="NWG640" s="1572"/>
      <c r="NWH640" s="1572"/>
      <c r="NWI640" s="1572"/>
      <c r="NWJ640" s="1572"/>
      <c r="NWK640" s="1572" t="s">
        <v>885</v>
      </c>
      <c r="NWL640" s="1572"/>
      <c r="NWM640" s="1572"/>
      <c r="NWN640" s="1572"/>
      <c r="NWO640" s="1572"/>
      <c r="NWP640" s="1572"/>
      <c r="NWQ640" s="1572"/>
      <c r="NWR640" s="1572"/>
      <c r="NWS640" s="1572" t="s">
        <v>885</v>
      </c>
      <c r="NWT640" s="1572"/>
      <c r="NWU640" s="1572"/>
      <c r="NWV640" s="1572"/>
      <c r="NWW640" s="1572"/>
      <c r="NWX640" s="1572"/>
      <c r="NWY640" s="1572"/>
      <c r="NWZ640" s="1572"/>
      <c r="NXA640" s="1572" t="s">
        <v>885</v>
      </c>
      <c r="NXB640" s="1572"/>
      <c r="NXC640" s="1572"/>
      <c r="NXD640" s="1572"/>
      <c r="NXE640" s="1572"/>
      <c r="NXF640" s="1572"/>
      <c r="NXG640" s="1572"/>
      <c r="NXH640" s="1572"/>
      <c r="NXI640" s="1572" t="s">
        <v>885</v>
      </c>
      <c r="NXJ640" s="1572"/>
      <c r="NXK640" s="1572"/>
      <c r="NXL640" s="1572"/>
      <c r="NXM640" s="1572"/>
      <c r="NXN640" s="1572"/>
      <c r="NXO640" s="1572"/>
      <c r="NXP640" s="1572"/>
      <c r="NXQ640" s="1572" t="s">
        <v>885</v>
      </c>
      <c r="NXR640" s="1572"/>
      <c r="NXS640" s="1572"/>
      <c r="NXT640" s="1572"/>
      <c r="NXU640" s="1572"/>
      <c r="NXV640" s="1572"/>
      <c r="NXW640" s="1572"/>
      <c r="NXX640" s="1572"/>
      <c r="NXY640" s="1572" t="s">
        <v>885</v>
      </c>
      <c r="NXZ640" s="1572"/>
      <c r="NYA640" s="1572"/>
      <c r="NYB640" s="1572"/>
      <c r="NYC640" s="1572"/>
      <c r="NYD640" s="1572"/>
      <c r="NYE640" s="1572"/>
      <c r="NYF640" s="1572"/>
      <c r="NYG640" s="1572" t="s">
        <v>885</v>
      </c>
      <c r="NYH640" s="1572"/>
      <c r="NYI640" s="1572"/>
      <c r="NYJ640" s="1572"/>
      <c r="NYK640" s="1572"/>
      <c r="NYL640" s="1572"/>
      <c r="NYM640" s="1572"/>
      <c r="NYN640" s="1572"/>
      <c r="NYO640" s="1572" t="s">
        <v>885</v>
      </c>
      <c r="NYP640" s="1572"/>
      <c r="NYQ640" s="1572"/>
      <c r="NYR640" s="1572"/>
      <c r="NYS640" s="1572"/>
      <c r="NYT640" s="1572"/>
      <c r="NYU640" s="1572"/>
      <c r="NYV640" s="1572"/>
      <c r="NYW640" s="1572" t="s">
        <v>885</v>
      </c>
      <c r="NYX640" s="1572"/>
      <c r="NYY640" s="1572"/>
      <c r="NYZ640" s="1572"/>
      <c r="NZA640" s="1572"/>
      <c r="NZB640" s="1572"/>
      <c r="NZC640" s="1572"/>
      <c r="NZD640" s="1572"/>
      <c r="NZE640" s="1572" t="s">
        <v>885</v>
      </c>
      <c r="NZF640" s="1572"/>
      <c r="NZG640" s="1572"/>
      <c r="NZH640" s="1572"/>
      <c r="NZI640" s="1572"/>
      <c r="NZJ640" s="1572"/>
      <c r="NZK640" s="1572"/>
      <c r="NZL640" s="1572"/>
      <c r="NZM640" s="1572" t="s">
        <v>885</v>
      </c>
      <c r="NZN640" s="1572"/>
      <c r="NZO640" s="1572"/>
      <c r="NZP640" s="1572"/>
      <c r="NZQ640" s="1572"/>
      <c r="NZR640" s="1572"/>
      <c r="NZS640" s="1572"/>
      <c r="NZT640" s="1572"/>
      <c r="NZU640" s="1572" t="s">
        <v>885</v>
      </c>
      <c r="NZV640" s="1572"/>
      <c r="NZW640" s="1572"/>
      <c r="NZX640" s="1572"/>
      <c r="NZY640" s="1572"/>
      <c r="NZZ640" s="1572"/>
      <c r="OAA640" s="1572"/>
      <c r="OAB640" s="1572"/>
      <c r="OAC640" s="1572" t="s">
        <v>885</v>
      </c>
      <c r="OAD640" s="1572"/>
      <c r="OAE640" s="1572"/>
      <c r="OAF640" s="1572"/>
      <c r="OAG640" s="1572"/>
      <c r="OAH640" s="1572"/>
      <c r="OAI640" s="1572"/>
      <c r="OAJ640" s="1572"/>
      <c r="OAK640" s="1572" t="s">
        <v>885</v>
      </c>
      <c r="OAL640" s="1572"/>
      <c r="OAM640" s="1572"/>
      <c r="OAN640" s="1572"/>
      <c r="OAO640" s="1572"/>
      <c r="OAP640" s="1572"/>
      <c r="OAQ640" s="1572"/>
      <c r="OAR640" s="1572"/>
      <c r="OAS640" s="1572" t="s">
        <v>885</v>
      </c>
      <c r="OAT640" s="1572"/>
      <c r="OAU640" s="1572"/>
      <c r="OAV640" s="1572"/>
      <c r="OAW640" s="1572"/>
      <c r="OAX640" s="1572"/>
      <c r="OAY640" s="1572"/>
      <c r="OAZ640" s="1572"/>
      <c r="OBA640" s="1572" t="s">
        <v>885</v>
      </c>
      <c r="OBB640" s="1572"/>
      <c r="OBC640" s="1572"/>
      <c r="OBD640" s="1572"/>
      <c r="OBE640" s="1572"/>
      <c r="OBF640" s="1572"/>
      <c r="OBG640" s="1572"/>
      <c r="OBH640" s="1572"/>
      <c r="OBI640" s="1572" t="s">
        <v>885</v>
      </c>
      <c r="OBJ640" s="1572"/>
      <c r="OBK640" s="1572"/>
      <c r="OBL640" s="1572"/>
      <c r="OBM640" s="1572"/>
      <c r="OBN640" s="1572"/>
      <c r="OBO640" s="1572"/>
      <c r="OBP640" s="1572"/>
      <c r="OBQ640" s="1572" t="s">
        <v>885</v>
      </c>
      <c r="OBR640" s="1572"/>
      <c r="OBS640" s="1572"/>
      <c r="OBT640" s="1572"/>
      <c r="OBU640" s="1572"/>
      <c r="OBV640" s="1572"/>
      <c r="OBW640" s="1572"/>
      <c r="OBX640" s="1572"/>
      <c r="OBY640" s="1572" t="s">
        <v>885</v>
      </c>
      <c r="OBZ640" s="1572"/>
      <c r="OCA640" s="1572"/>
      <c r="OCB640" s="1572"/>
      <c r="OCC640" s="1572"/>
      <c r="OCD640" s="1572"/>
      <c r="OCE640" s="1572"/>
      <c r="OCF640" s="1572"/>
      <c r="OCG640" s="1572" t="s">
        <v>885</v>
      </c>
      <c r="OCH640" s="1572"/>
      <c r="OCI640" s="1572"/>
      <c r="OCJ640" s="1572"/>
      <c r="OCK640" s="1572"/>
      <c r="OCL640" s="1572"/>
      <c r="OCM640" s="1572"/>
      <c r="OCN640" s="1572"/>
      <c r="OCO640" s="1572" t="s">
        <v>885</v>
      </c>
      <c r="OCP640" s="1572"/>
      <c r="OCQ640" s="1572"/>
      <c r="OCR640" s="1572"/>
      <c r="OCS640" s="1572"/>
      <c r="OCT640" s="1572"/>
      <c r="OCU640" s="1572"/>
      <c r="OCV640" s="1572"/>
      <c r="OCW640" s="1572" t="s">
        <v>885</v>
      </c>
      <c r="OCX640" s="1572"/>
      <c r="OCY640" s="1572"/>
      <c r="OCZ640" s="1572"/>
      <c r="ODA640" s="1572"/>
      <c r="ODB640" s="1572"/>
      <c r="ODC640" s="1572"/>
      <c r="ODD640" s="1572"/>
      <c r="ODE640" s="1572" t="s">
        <v>885</v>
      </c>
      <c r="ODF640" s="1572"/>
      <c r="ODG640" s="1572"/>
      <c r="ODH640" s="1572"/>
      <c r="ODI640" s="1572"/>
      <c r="ODJ640" s="1572"/>
      <c r="ODK640" s="1572"/>
      <c r="ODL640" s="1572"/>
      <c r="ODM640" s="1572" t="s">
        <v>885</v>
      </c>
      <c r="ODN640" s="1572"/>
      <c r="ODO640" s="1572"/>
      <c r="ODP640" s="1572"/>
      <c r="ODQ640" s="1572"/>
      <c r="ODR640" s="1572"/>
      <c r="ODS640" s="1572"/>
      <c r="ODT640" s="1572"/>
      <c r="ODU640" s="1572" t="s">
        <v>885</v>
      </c>
      <c r="ODV640" s="1572"/>
      <c r="ODW640" s="1572"/>
      <c r="ODX640" s="1572"/>
      <c r="ODY640" s="1572"/>
      <c r="ODZ640" s="1572"/>
      <c r="OEA640" s="1572"/>
      <c r="OEB640" s="1572"/>
      <c r="OEC640" s="1572" t="s">
        <v>885</v>
      </c>
      <c r="OED640" s="1572"/>
      <c r="OEE640" s="1572"/>
      <c r="OEF640" s="1572"/>
      <c r="OEG640" s="1572"/>
      <c r="OEH640" s="1572"/>
      <c r="OEI640" s="1572"/>
      <c r="OEJ640" s="1572"/>
      <c r="OEK640" s="1572" t="s">
        <v>885</v>
      </c>
      <c r="OEL640" s="1572"/>
      <c r="OEM640" s="1572"/>
      <c r="OEN640" s="1572"/>
      <c r="OEO640" s="1572"/>
      <c r="OEP640" s="1572"/>
      <c r="OEQ640" s="1572"/>
      <c r="OER640" s="1572"/>
      <c r="OES640" s="1572" t="s">
        <v>885</v>
      </c>
      <c r="OET640" s="1572"/>
      <c r="OEU640" s="1572"/>
      <c r="OEV640" s="1572"/>
      <c r="OEW640" s="1572"/>
      <c r="OEX640" s="1572"/>
      <c r="OEY640" s="1572"/>
      <c r="OEZ640" s="1572"/>
      <c r="OFA640" s="1572" t="s">
        <v>885</v>
      </c>
      <c r="OFB640" s="1572"/>
      <c r="OFC640" s="1572"/>
      <c r="OFD640" s="1572"/>
      <c r="OFE640" s="1572"/>
      <c r="OFF640" s="1572"/>
      <c r="OFG640" s="1572"/>
      <c r="OFH640" s="1572"/>
      <c r="OFI640" s="1572" t="s">
        <v>885</v>
      </c>
      <c r="OFJ640" s="1572"/>
      <c r="OFK640" s="1572"/>
      <c r="OFL640" s="1572"/>
      <c r="OFM640" s="1572"/>
      <c r="OFN640" s="1572"/>
      <c r="OFO640" s="1572"/>
      <c r="OFP640" s="1572"/>
      <c r="OFQ640" s="1572" t="s">
        <v>885</v>
      </c>
      <c r="OFR640" s="1572"/>
      <c r="OFS640" s="1572"/>
      <c r="OFT640" s="1572"/>
      <c r="OFU640" s="1572"/>
      <c r="OFV640" s="1572"/>
      <c r="OFW640" s="1572"/>
      <c r="OFX640" s="1572"/>
      <c r="OFY640" s="1572" t="s">
        <v>885</v>
      </c>
      <c r="OFZ640" s="1572"/>
      <c r="OGA640" s="1572"/>
      <c r="OGB640" s="1572"/>
      <c r="OGC640" s="1572"/>
      <c r="OGD640" s="1572"/>
      <c r="OGE640" s="1572"/>
      <c r="OGF640" s="1572"/>
      <c r="OGG640" s="1572" t="s">
        <v>885</v>
      </c>
      <c r="OGH640" s="1572"/>
      <c r="OGI640" s="1572"/>
      <c r="OGJ640" s="1572"/>
      <c r="OGK640" s="1572"/>
      <c r="OGL640" s="1572"/>
      <c r="OGM640" s="1572"/>
      <c r="OGN640" s="1572"/>
      <c r="OGO640" s="1572" t="s">
        <v>885</v>
      </c>
      <c r="OGP640" s="1572"/>
      <c r="OGQ640" s="1572"/>
      <c r="OGR640" s="1572"/>
      <c r="OGS640" s="1572"/>
      <c r="OGT640" s="1572"/>
      <c r="OGU640" s="1572"/>
      <c r="OGV640" s="1572"/>
      <c r="OGW640" s="1572" t="s">
        <v>885</v>
      </c>
      <c r="OGX640" s="1572"/>
      <c r="OGY640" s="1572"/>
      <c r="OGZ640" s="1572"/>
      <c r="OHA640" s="1572"/>
      <c r="OHB640" s="1572"/>
      <c r="OHC640" s="1572"/>
      <c r="OHD640" s="1572"/>
      <c r="OHE640" s="1572" t="s">
        <v>885</v>
      </c>
      <c r="OHF640" s="1572"/>
      <c r="OHG640" s="1572"/>
      <c r="OHH640" s="1572"/>
      <c r="OHI640" s="1572"/>
      <c r="OHJ640" s="1572"/>
      <c r="OHK640" s="1572"/>
      <c r="OHL640" s="1572"/>
      <c r="OHM640" s="1572" t="s">
        <v>885</v>
      </c>
      <c r="OHN640" s="1572"/>
      <c r="OHO640" s="1572"/>
      <c r="OHP640" s="1572"/>
      <c r="OHQ640" s="1572"/>
      <c r="OHR640" s="1572"/>
      <c r="OHS640" s="1572"/>
      <c r="OHT640" s="1572"/>
      <c r="OHU640" s="1572" t="s">
        <v>885</v>
      </c>
      <c r="OHV640" s="1572"/>
      <c r="OHW640" s="1572"/>
      <c r="OHX640" s="1572"/>
      <c r="OHY640" s="1572"/>
      <c r="OHZ640" s="1572"/>
      <c r="OIA640" s="1572"/>
      <c r="OIB640" s="1572"/>
      <c r="OIC640" s="1572" t="s">
        <v>885</v>
      </c>
      <c r="OID640" s="1572"/>
      <c r="OIE640" s="1572"/>
      <c r="OIF640" s="1572"/>
      <c r="OIG640" s="1572"/>
      <c r="OIH640" s="1572"/>
      <c r="OII640" s="1572"/>
      <c r="OIJ640" s="1572"/>
      <c r="OIK640" s="1572" t="s">
        <v>885</v>
      </c>
      <c r="OIL640" s="1572"/>
      <c r="OIM640" s="1572"/>
      <c r="OIN640" s="1572"/>
      <c r="OIO640" s="1572"/>
      <c r="OIP640" s="1572"/>
      <c r="OIQ640" s="1572"/>
      <c r="OIR640" s="1572"/>
      <c r="OIS640" s="1572" t="s">
        <v>885</v>
      </c>
      <c r="OIT640" s="1572"/>
      <c r="OIU640" s="1572"/>
      <c r="OIV640" s="1572"/>
      <c r="OIW640" s="1572"/>
      <c r="OIX640" s="1572"/>
      <c r="OIY640" s="1572"/>
      <c r="OIZ640" s="1572"/>
      <c r="OJA640" s="1572" t="s">
        <v>885</v>
      </c>
      <c r="OJB640" s="1572"/>
      <c r="OJC640" s="1572"/>
      <c r="OJD640" s="1572"/>
      <c r="OJE640" s="1572"/>
      <c r="OJF640" s="1572"/>
      <c r="OJG640" s="1572"/>
      <c r="OJH640" s="1572"/>
      <c r="OJI640" s="1572" t="s">
        <v>885</v>
      </c>
      <c r="OJJ640" s="1572"/>
      <c r="OJK640" s="1572"/>
      <c r="OJL640" s="1572"/>
      <c r="OJM640" s="1572"/>
      <c r="OJN640" s="1572"/>
      <c r="OJO640" s="1572"/>
      <c r="OJP640" s="1572"/>
      <c r="OJQ640" s="1572" t="s">
        <v>885</v>
      </c>
      <c r="OJR640" s="1572"/>
      <c r="OJS640" s="1572"/>
      <c r="OJT640" s="1572"/>
      <c r="OJU640" s="1572"/>
      <c r="OJV640" s="1572"/>
      <c r="OJW640" s="1572"/>
      <c r="OJX640" s="1572"/>
      <c r="OJY640" s="1572" t="s">
        <v>885</v>
      </c>
      <c r="OJZ640" s="1572"/>
      <c r="OKA640" s="1572"/>
      <c r="OKB640" s="1572"/>
      <c r="OKC640" s="1572"/>
      <c r="OKD640" s="1572"/>
      <c r="OKE640" s="1572"/>
      <c r="OKF640" s="1572"/>
      <c r="OKG640" s="1572" t="s">
        <v>885</v>
      </c>
      <c r="OKH640" s="1572"/>
      <c r="OKI640" s="1572"/>
      <c r="OKJ640" s="1572"/>
      <c r="OKK640" s="1572"/>
      <c r="OKL640" s="1572"/>
      <c r="OKM640" s="1572"/>
      <c r="OKN640" s="1572"/>
      <c r="OKO640" s="1572" t="s">
        <v>885</v>
      </c>
      <c r="OKP640" s="1572"/>
      <c r="OKQ640" s="1572"/>
      <c r="OKR640" s="1572"/>
      <c r="OKS640" s="1572"/>
      <c r="OKT640" s="1572"/>
      <c r="OKU640" s="1572"/>
      <c r="OKV640" s="1572"/>
      <c r="OKW640" s="1572" t="s">
        <v>885</v>
      </c>
      <c r="OKX640" s="1572"/>
      <c r="OKY640" s="1572"/>
      <c r="OKZ640" s="1572"/>
      <c r="OLA640" s="1572"/>
      <c r="OLB640" s="1572"/>
      <c r="OLC640" s="1572"/>
      <c r="OLD640" s="1572"/>
      <c r="OLE640" s="1572" t="s">
        <v>885</v>
      </c>
      <c r="OLF640" s="1572"/>
      <c r="OLG640" s="1572"/>
      <c r="OLH640" s="1572"/>
      <c r="OLI640" s="1572"/>
      <c r="OLJ640" s="1572"/>
      <c r="OLK640" s="1572"/>
      <c r="OLL640" s="1572"/>
      <c r="OLM640" s="1572" t="s">
        <v>885</v>
      </c>
      <c r="OLN640" s="1572"/>
      <c r="OLO640" s="1572"/>
      <c r="OLP640" s="1572"/>
      <c r="OLQ640" s="1572"/>
      <c r="OLR640" s="1572"/>
      <c r="OLS640" s="1572"/>
      <c r="OLT640" s="1572"/>
      <c r="OLU640" s="1572" t="s">
        <v>885</v>
      </c>
      <c r="OLV640" s="1572"/>
      <c r="OLW640" s="1572"/>
      <c r="OLX640" s="1572"/>
      <c r="OLY640" s="1572"/>
      <c r="OLZ640" s="1572"/>
      <c r="OMA640" s="1572"/>
      <c r="OMB640" s="1572"/>
      <c r="OMC640" s="1572" t="s">
        <v>885</v>
      </c>
      <c r="OMD640" s="1572"/>
      <c r="OME640" s="1572"/>
      <c r="OMF640" s="1572"/>
      <c r="OMG640" s="1572"/>
      <c r="OMH640" s="1572"/>
      <c r="OMI640" s="1572"/>
      <c r="OMJ640" s="1572"/>
      <c r="OMK640" s="1572" t="s">
        <v>885</v>
      </c>
      <c r="OML640" s="1572"/>
      <c r="OMM640" s="1572"/>
      <c r="OMN640" s="1572"/>
      <c r="OMO640" s="1572"/>
      <c r="OMP640" s="1572"/>
      <c r="OMQ640" s="1572"/>
      <c r="OMR640" s="1572"/>
      <c r="OMS640" s="1572" t="s">
        <v>885</v>
      </c>
      <c r="OMT640" s="1572"/>
      <c r="OMU640" s="1572"/>
      <c r="OMV640" s="1572"/>
      <c r="OMW640" s="1572"/>
      <c r="OMX640" s="1572"/>
      <c r="OMY640" s="1572"/>
      <c r="OMZ640" s="1572"/>
      <c r="ONA640" s="1572" t="s">
        <v>885</v>
      </c>
      <c r="ONB640" s="1572"/>
      <c r="ONC640" s="1572"/>
      <c r="OND640" s="1572"/>
      <c r="ONE640" s="1572"/>
      <c r="ONF640" s="1572"/>
      <c r="ONG640" s="1572"/>
      <c r="ONH640" s="1572"/>
      <c r="ONI640" s="1572" t="s">
        <v>885</v>
      </c>
      <c r="ONJ640" s="1572"/>
      <c r="ONK640" s="1572"/>
      <c r="ONL640" s="1572"/>
      <c r="ONM640" s="1572"/>
      <c r="ONN640" s="1572"/>
      <c r="ONO640" s="1572"/>
      <c r="ONP640" s="1572"/>
      <c r="ONQ640" s="1572" t="s">
        <v>885</v>
      </c>
      <c r="ONR640" s="1572"/>
      <c r="ONS640" s="1572"/>
      <c r="ONT640" s="1572"/>
      <c r="ONU640" s="1572"/>
      <c r="ONV640" s="1572"/>
      <c r="ONW640" s="1572"/>
      <c r="ONX640" s="1572"/>
      <c r="ONY640" s="1572" t="s">
        <v>885</v>
      </c>
      <c r="ONZ640" s="1572"/>
      <c r="OOA640" s="1572"/>
      <c r="OOB640" s="1572"/>
      <c r="OOC640" s="1572"/>
      <c r="OOD640" s="1572"/>
      <c r="OOE640" s="1572"/>
      <c r="OOF640" s="1572"/>
      <c r="OOG640" s="1572" t="s">
        <v>885</v>
      </c>
      <c r="OOH640" s="1572"/>
      <c r="OOI640" s="1572"/>
      <c r="OOJ640" s="1572"/>
      <c r="OOK640" s="1572"/>
      <c r="OOL640" s="1572"/>
      <c r="OOM640" s="1572"/>
      <c r="OON640" s="1572"/>
      <c r="OOO640" s="1572" t="s">
        <v>885</v>
      </c>
      <c r="OOP640" s="1572"/>
      <c r="OOQ640" s="1572"/>
      <c r="OOR640" s="1572"/>
      <c r="OOS640" s="1572"/>
      <c r="OOT640" s="1572"/>
      <c r="OOU640" s="1572"/>
      <c r="OOV640" s="1572"/>
      <c r="OOW640" s="1572" t="s">
        <v>885</v>
      </c>
      <c r="OOX640" s="1572"/>
      <c r="OOY640" s="1572"/>
      <c r="OOZ640" s="1572"/>
      <c r="OPA640" s="1572"/>
      <c r="OPB640" s="1572"/>
      <c r="OPC640" s="1572"/>
      <c r="OPD640" s="1572"/>
      <c r="OPE640" s="1572" t="s">
        <v>885</v>
      </c>
      <c r="OPF640" s="1572"/>
      <c r="OPG640" s="1572"/>
      <c r="OPH640" s="1572"/>
      <c r="OPI640" s="1572"/>
      <c r="OPJ640" s="1572"/>
      <c r="OPK640" s="1572"/>
      <c r="OPL640" s="1572"/>
      <c r="OPM640" s="1572" t="s">
        <v>885</v>
      </c>
      <c r="OPN640" s="1572"/>
      <c r="OPO640" s="1572"/>
      <c r="OPP640" s="1572"/>
      <c r="OPQ640" s="1572"/>
      <c r="OPR640" s="1572"/>
      <c r="OPS640" s="1572"/>
      <c r="OPT640" s="1572"/>
      <c r="OPU640" s="1572" t="s">
        <v>885</v>
      </c>
      <c r="OPV640" s="1572"/>
      <c r="OPW640" s="1572"/>
      <c r="OPX640" s="1572"/>
      <c r="OPY640" s="1572"/>
      <c r="OPZ640" s="1572"/>
      <c r="OQA640" s="1572"/>
      <c r="OQB640" s="1572"/>
      <c r="OQC640" s="1572" t="s">
        <v>885</v>
      </c>
      <c r="OQD640" s="1572"/>
      <c r="OQE640" s="1572"/>
      <c r="OQF640" s="1572"/>
      <c r="OQG640" s="1572"/>
      <c r="OQH640" s="1572"/>
      <c r="OQI640" s="1572"/>
      <c r="OQJ640" s="1572"/>
      <c r="OQK640" s="1572" t="s">
        <v>885</v>
      </c>
      <c r="OQL640" s="1572"/>
      <c r="OQM640" s="1572"/>
      <c r="OQN640" s="1572"/>
      <c r="OQO640" s="1572"/>
      <c r="OQP640" s="1572"/>
      <c r="OQQ640" s="1572"/>
      <c r="OQR640" s="1572"/>
      <c r="OQS640" s="1572" t="s">
        <v>885</v>
      </c>
      <c r="OQT640" s="1572"/>
      <c r="OQU640" s="1572"/>
      <c r="OQV640" s="1572"/>
      <c r="OQW640" s="1572"/>
      <c r="OQX640" s="1572"/>
      <c r="OQY640" s="1572"/>
      <c r="OQZ640" s="1572"/>
      <c r="ORA640" s="1572" t="s">
        <v>885</v>
      </c>
      <c r="ORB640" s="1572"/>
      <c r="ORC640" s="1572"/>
      <c r="ORD640" s="1572"/>
      <c r="ORE640" s="1572"/>
      <c r="ORF640" s="1572"/>
      <c r="ORG640" s="1572"/>
      <c r="ORH640" s="1572"/>
      <c r="ORI640" s="1572" t="s">
        <v>885</v>
      </c>
      <c r="ORJ640" s="1572"/>
      <c r="ORK640" s="1572"/>
      <c r="ORL640" s="1572"/>
      <c r="ORM640" s="1572"/>
      <c r="ORN640" s="1572"/>
      <c r="ORO640" s="1572"/>
      <c r="ORP640" s="1572"/>
      <c r="ORQ640" s="1572" t="s">
        <v>885</v>
      </c>
      <c r="ORR640" s="1572"/>
      <c r="ORS640" s="1572"/>
      <c r="ORT640" s="1572"/>
      <c r="ORU640" s="1572"/>
      <c r="ORV640" s="1572"/>
      <c r="ORW640" s="1572"/>
      <c r="ORX640" s="1572"/>
      <c r="ORY640" s="1572" t="s">
        <v>885</v>
      </c>
      <c r="ORZ640" s="1572"/>
      <c r="OSA640" s="1572"/>
      <c r="OSB640" s="1572"/>
      <c r="OSC640" s="1572"/>
      <c r="OSD640" s="1572"/>
      <c r="OSE640" s="1572"/>
      <c r="OSF640" s="1572"/>
      <c r="OSG640" s="1572" t="s">
        <v>885</v>
      </c>
      <c r="OSH640" s="1572"/>
      <c r="OSI640" s="1572"/>
      <c r="OSJ640" s="1572"/>
      <c r="OSK640" s="1572"/>
      <c r="OSL640" s="1572"/>
      <c r="OSM640" s="1572"/>
      <c r="OSN640" s="1572"/>
      <c r="OSO640" s="1572" t="s">
        <v>885</v>
      </c>
      <c r="OSP640" s="1572"/>
      <c r="OSQ640" s="1572"/>
      <c r="OSR640" s="1572"/>
      <c r="OSS640" s="1572"/>
      <c r="OST640" s="1572"/>
      <c r="OSU640" s="1572"/>
      <c r="OSV640" s="1572"/>
      <c r="OSW640" s="1572" t="s">
        <v>885</v>
      </c>
      <c r="OSX640" s="1572"/>
      <c r="OSY640" s="1572"/>
      <c r="OSZ640" s="1572"/>
      <c r="OTA640" s="1572"/>
      <c r="OTB640" s="1572"/>
      <c r="OTC640" s="1572"/>
      <c r="OTD640" s="1572"/>
      <c r="OTE640" s="1572" t="s">
        <v>885</v>
      </c>
      <c r="OTF640" s="1572"/>
      <c r="OTG640" s="1572"/>
      <c r="OTH640" s="1572"/>
      <c r="OTI640" s="1572"/>
      <c r="OTJ640" s="1572"/>
      <c r="OTK640" s="1572"/>
      <c r="OTL640" s="1572"/>
      <c r="OTM640" s="1572" t="s">
        <v>885</v>
      </c>
      <c r="OTN640" s="1572"/>
      <c r="OTO640" s="1572"/>
      <c r="OTP640" s="1572"/>
      <c r="OTQ640" s="1572"/>
      <c r="OTR640" s="1572"/>
      <c r="OTS640" s="1572"/>
      <c r="OTT640" s="1572"/>
      <c r="OTU640" s="1572" t="s">
        <v>885</v>
      </c>
      <c r="OTV640" s="1572"/>
      <c r="OTW640" s="1572"/>
      <c r="OTX640" s="1572"/>
      <c r="OTY640" s="1572"/>
      <c r="OTZ640" s="1572"/>
      <c r="OUA640" s="1572"/>
      <c r="OUB640" s="1572"/>
      <c r="OUC640" s="1572" t="s">
        <v>885</v>
      </c>
      <c r="OUD640" s="1572"/>
      <c r="OUE640" s="1572"/>
      <c r="OUF640" s="1572"/>
      <c r="OUG640" s="1572"/>
      <c r="OUH640" s="1572"/>
      <c r="OUI640" s="1572"/>
      <c r="OUJ640" s="1572"/>
      <c r="OUK640" s="1572" t="s">
        <v>885</v>
      </c>
      <c r="OUL640" s="1572"/>
      <c r="OUM640" s="1572"/>
      <c r="OUN640" s="1572"/>
      <c r="OUO640" s="1572"/>
      <c r="OUP640" s="1572"/>
      <c r="OUQ640" s="1572"/>
      <c r="OUR640" s="1572"/>
      <c r="OUS640" s="1572" t="s">
        <v>885</v>
      </c>
      <c r="OUT640" s="1572"/>
      <c r="OUU640" s="1572"/>
      <c r="OUV640" s="1572"/>
      <c r="OUW640" s="1572"/>
      <c r="OUX640" s="1572"/>
      <c r="OUY640" s="1572"/>
      <c r="OUZ640" s="1572"/>
      <c r="OVA640" s="1572" t="s">
        <v>885</v>
      </c>
      <c r="OVB640" s="1572"/>
      <c r="OVC640" s="1572"/>
      <c r="OVD640" s="1572"/>
      <c r="OVE640" s="1572"/>
      <c r="OVF640" s="1572"/>
      <c r="OVG640" s="1572"/>
      <c r="OVH640" s="1572"/>
      <c r="OVI640" s="1572" t="s">
        <v>885</v>
      </c>
      <c r="OVJ640" s="1572"/>
      <c r="OVK640" s="1572"/>
      <c r="OVL640" s="1572"/>
      <c r="OVM640" s="1572"/>
      <c r="OVN640" s="1572"/>
      <c r="OVO640" s="1572"/>
      <c r="OVP640" s="1572"/>
      <c r="OVQ640" s="1572" t="s">
        <v>885</v>
      </c>
      <c r="OVR640" s="1572"/>
      <c r="OVS640" s="1572"/>
      <c r="OVT640" s="1572"/>
      <c r="OVU640" s="1572"/>
      <c r="OVV640" s="1572"/>
      <c r="OVW640" s="1572"/>
      <c r="OVX640" s="1572"/>
      <c r="OVY640" s="1572" t="s">
        <v>885</v>
      </c>
      <c r="OVZ640" s="1572"/>
      <c r="OWA640" s="1572"/>
      <c r="OWB640" s="1572"/>
      <c r="OWC640" s="1572"/>
      <c r="OWD640" s="1572"/>
      <c r="OWE640" s="1572"/>
      <c r="OWF640" s="1572"/>
      <c r="OWG640" s="1572" t="s">
        <v>885</v>
      </c>
      <c r="OWH640" s="1572"/>
      <c r="OWI640" s="1572"/>
      <c r="OWJ640" s="1572"/>
      <c r="OWK640" s="1572"/>
      <c r="OWL640" s="1572"/>
      <c r="OWM640" s="1572"/>
      <c r="OWN640" s="1572"/>
      <c r="OWO640" s="1572" t="s">
        <v>885</v>
      </c>
      <c r="OWP640" s="1572"/>
      <c r="OWQ640" s="1572"/>
      <c r="OWR640" s="1572"/>
      <c r="OWS640" s="1572"/>
      <c r="OWT640" s="1572"/>
      <c r="OWU640" s="1572"/>
      <c r="OWV640" s="1572"/>
      <c r="OWW640" s="1572" t="s">
        <v>885</v>
      </c>
      <c r="OWX640" s="1572"/>
      <c r="OWY640" s="1572"/>
      <c r="OWZ640" s="1572"/>
      <c r="OXA640" s="1572"/>
      <c r="OXB640" s="1572"/>
      <c r="OXC640" s="1572"/>
      <c r="OXD640" s="1572"/>
      <c r="OXE640" s="1572" t="s">
        <v>885</v>
      </c>
      <c r="OXF640" s="1572"/>
      <c r="OXG640" s="1572"/>
      <c r="OXH640" s="1572"/>
      <c r="OXI640" s="1572"/>
      <c r="OXJ640" s="1572"/>
      <c r="OXK640" s="1572"/>
      <c r="OXL640" s="1572"/>
      <c r="OXM640" s="1572" t="s">
        <v>885</v>
      </c>
      <c r="OXN640" s="1572"/>
      <c r="OXO640" s="1572"/>
      <c r="OXP640" s="1572"/>
      <c r="OXQ640" s="1572"/>
      <c r="OXR640" s="1572"/>
      <c r="OXS640" s="1572"/>
      <c r="OXT640" s="1572"/>
      <c r="OXU640" s="1572" t="s">
        <v>885</v>
      </c>
      <c r="OXV640" s="1572"/>
      <c r="OXW640" s="1572"/>
      <c r="OXX640" s="1572"/>
      <c r="OXY640" s="1572"/>
      <c r="OXZ640" s="1572"/>
      <c r="OYA640" s="1572"/>
      <c r="OYB640" s="1572"/>
      <c r="OYC640" s="1572" t="s">
        <v>885</v>
      </c>
      <c r="OYD640" s="1572"/>
      <c r="OYE640" s="1572"/>
      <c r="OYF640" s="1572"/>
      <c r="OYG640" s="1572"/>
      <c r="OYH640" s="1572"/>
      <c r="OYI640" s="1572"/>
      <c r="OYJ640" s="1572"/>
      <c r="OYK640" s="1572" t="s">
        <v>885</v>
      </c>
      <c r="OYL640" s="1572"/>
      <c r="OYM640" s="1572"/>
      <c r="OYN640" s="1572"/>
      <c r="OYO640" s="1572"/>
      <c r="OYP640" s="1572"/>
      <c r="OYQ640" s="1572"/>
      <c r="OYR640" s="1572"/>
      <c r="OYS640" s="1572" t="s">
        <v>885</v>
      </c>
      <c r="OYT640" s="1572"/>
      <c r="OYU640" s="1572"/>
      <c r="OYV640" s="1572"/>
      <c r="OYW640" s="1572"/>
      <c r="OYX640" s="1572"/>
      <c r="OYY640" s="1572"/>
      <c r="OYZ640" s="1572"/>
      <c r="OZA640" s="1572" t="s">
        <v>885</v>
      </c>
      <c r="OZB640" s="1572"/>
      <c r="OZC640" s="1572"/>
      <c r="OZD640" s="1572"/>
      <c r="OZE640" s="1572"/>
      <c r="OZF640" s="1572"/>
      <c r="OZG640" s="1572"/>
      <c r="OZH640" s="1572"/>
      <c r="OZI640" s="1572" t="s">
        <v>885</v>
      </c>
      <c r="OZJ640" s="1572"/>
      <c r="OZK640" s="1572"/>
      <c r="OZL640" s="1572"/>
      <c r="OZM640" s="1572"/>
      <c r="OZN640" s="1572"/>
      <c r="OZO640" s="1572"/>
      <c r="OZP640" s="1572"/>
      <c r="OZQ640" s="1572" t="s">
        <v>885</v>
      </c>
      <c r="OZR640" s="1572"/>
      <c r="OZS640" s="1572"/>
      <c r="OZT640" s="1572"/>
      <c r="OZU640" s="1572"/>
      <c r="OZV640" s="1572"/>
      <c r="OZW640" s="1572"/>
      <c r="OZX640" s="1572"/>
      <c r="OZY640" s="1572" t="s">
        <v>885</v>
      </c>
      <c r="OZZ640" s="1572"/>
      <c r="PAA640" s="1572"/>
      <c r="PAB640" s="1572"/>
      <c r="PAC640" s="1572"/>
      <c r="PAD640" s="1572"/>
      <c r="PAE640" s="1572"/>
      <c r="PAF640" s="1572"/>
      <c r="PAG640" s="1572" t="s">
        <v>885</v>
      </c>
      <c r="PAH640" s="1572"/>
      <c r="PAI640" s="1572"/>
      <c r="PAJ640" s="1572"/>
      <c r="PAK640" s="1572"/>
      <c r="PAL640" s="1572"/>
      <c r="PAM640" s="1572"/>
      <c r="PAN640" s="1572"/>
      <c r="PAO640" s="1572" t="s">
        <v>885</v>
      </c>
      <c r="PAP640" s="1572"/>
      <c r="PAQ640" s="1572"/>
      <c r="PAR640" s="1572"/>
      <c r="PAS640" s="1572"/>
      <c r="PAT640" s="1572"/>
      <c r="PAU640" s="1572"/>
      <c r="PAV640" s="1572"/>
      <c r="PAW640" s="1572" t="s">
        <v>885</v>
      </c>
      <c r="PAX640" s="1572"/>
      <c r="PAY640" s="1572"/>
      <c r="PAZ640" s="1572"/>
      <c r="PBA640" s="1572"/>
      <c r="PBB640" s="1572"/>
      <c r="PBC640" s="1572"/>
      <c r="PBD640" s="1572"/>
      <c r="PBE640" s="1572" t="s">
        <v>885</v>
      </c>
      <c r="PBF640" s="1572"/>
      <c r="PBG640" s="1572"/>
      <c r="PBH640" s="1572"/>
      <c r="PBI640" s="1572"/>
      <c r="PBJ640" s="1572"/>
      <c r="PBK640" s="1572"/>
      <c r="PBL640" s="1572"/>
      <c r="PBM640" s="1572" t="s">
        <v>885</v>
      </c>
      <c r="PBN640" s="1572"/>
      <c r="PBO640" s="1572"/>
      <c r="PBP640" s="1572"/>
      <c r="PBQ640" s="1572"/>
      <c r="PBR640" s="1572"/>
      <c r="PBS640" s="1572"/>
      <c r="PBT640" s="1572"/>
      <c r="PBU640" s="1572" t="s">
        <v>885</v>
      </c>
      <c r="PBV640" s="1572"/>
      <c r="PBW640" s="1572"/>
      <c r="PBX640" s="1572"/>
      <c r="PBY640" s="1572"/>
      <c r="PBZ640" s="1572"/>
      <c r="PCA640" s="1572"/>
      <c r="PCB640" s="1572"/>
      <c r="PCC640" s="1572" t="s">
        <v>885</v>
      </c>
      <c r="PCD640" s="1572"/>
      <c r="PCE640" s="1572"/>
      <c r="PCF640" s="1572"/>
      <c r="PCG640" s="1572"/>
      <c r="PCH640" s="1572"/>
      <c r="PCI640" s="1572"/>
      <c r="PCJ640" s="1572"/>
      <c r="PCK640" s="1572" t="s">
        <v>885</v>
      </c>
      <c r="PCL640" s="1572"/>
      <c r="PCM640" s="1572"/>
      <c r="PCN640" s="1572"/>
      <c r="PCO640" s="1572"/>
      <c r="PCP640" s="1572"/>
      <c r="PCQ640" s="1572"/>
      <c r="PCR640" s="1572"/>
      <c r="PCS640" s="1572" t="s">
        <v>885</v>
      </c>
      <c r="PCT640" s="1572"/>
      <c r="PCU640" s="1572"/>
      <c r="PCV640" s="1572"/>
      <c r="PCW640" s="1572"/>
      <c r="PCX640" s="1572"/>
      <c r="PCY640" s="1572"/>
      <c r="PCZ640" s="1572"/>
      <c r="PDA640" s="1572" t="s">
        <v>885</v>
      </c>
      <c r="PDB640" s="1572"/>
      <c r="PDC640" s="1572"/>
      <c r="PDD640" s="1572"/>
      <c r="PDE640" s="1572"/>
      <c r="PDF640" s="1572"/>
      <c r="PDG640" s="1572"/>
      <c r="PDH640" s="1572"/>
      <c r="PDI640" s="1572" t="s">
        <v>885</v>
      </c>
      <c r="PDJ640" s="1572"/>
      <c r="PDK640" s="1572"/>
      <c r="PDL640" s="1572"/>
      <c r="PDM640" s="1572"/>
      <c r="PDN640" s="1572"/>
      <c r="PDO640" s="1572"/>
      <c r="PDP640" s="1572"/>
      <c r="PDQ640" s="1572" t="s">
        <v>885</v>
      </c>
      <c r="PDR640" s="1572"/>
      <c r="PDS640" s="1572"/>
      <c r="PDT640" s="1572"/>
      <c r="PDU640" s="1572"/>
      <c r="PDV640" s="1572"/>
      <c r="PDW640" s="1572"/>
      <c r="PDX640" s="1572"/>
      <c r="PDY640" s="1572" t="s">
        <v>885</v>
      </c>
      <c r="PDZ640" s="1572"/>
      <c r="PEA640" s="1572"/>
      <c r="PEB640" s="1572"/>
      <c r="PEC640" s="1572"/>
      <c r="PED640" s="1572"/>
      <c r="PEE640" s="1572"/>
      <c r="PEF640" s="1572"/>
      <c r="PEG640" s="1572" t="s">
        <v>885</v>
      </c>
      <c r="PEH640" s="1572"/>
      <c r="PEI640" s="1572"/>
      <c r="PEJ640" s="1572"/>
      <c r="PEK640" s="1572"/>
      <c r="PEL640" s="1572"/>
      <c r="PEM640" s="1572"/>
      <c r="PEN640" s="1572"/>
      <c r="PEO640" s="1572" t="s">
        <v>885</v>
      </c>
      <c r="PEP640" s="1572"/>
      <c r="PEQ640" s="1572"/>
      <c r="PER640" s="1572"/>
      <c r="PES640" s="1572"/>
      <c r="PET640" s="1572"/>
      <c r="PEU640" s="1572"/>
      <c r="PEV640" s="1572"/>
      <c r="PEW640" s="1572" t="s">
        <v>885</v>
      </c>
      <c r="PEX640" s="1572"/>
      <c r="PEY640" s="1572"/>
      <c r="PEZ640" s="1572"/>
      <c r="PFA640" s="1572"/>
      <c r="PFB640" s="1572"/>
      <c r="PFC640" s="1572"/>
      <c r="PFD640" s="1572"/>
      <c r="PFE640" s="1572" t="s">
        <v>885</v>
      </c>
      <c r="PFF640" s="1572"/>
      <c r="PFG640" s="1572"/>
      <c r="PFH640" s="1572"/>
      <c r="PFI640" s="1572"/>
      <c r="PFJ640" s="1572"/>
      <c r="PFK640" s="1572"/>
      <c r="PFL640" s="1572"/>
      <c r="PFM640" s="1572" t="s">
        <v>885</v>
      </c>
      <c r="PFN640" s="1572"/>
      <c r="PFO640" s="1572"/>
      <c r="PFP640" s="1572"/>
      <c r="PFQ640" s="1572"/>
      <c r="PFR640" s="1572"/>
      <c r="PFS640" s="1572"/>
      <c r="PFT640" s="1572"/>
      <c r="PFU640" s="1572" t="s">
        <v>885</v>
      </c>
      <c r="PFV640" s="1572"/>
      <c r="PFW640" s="1572"/>
      <c r="PFX640" s="1572"/>
      <c r="PFY640" s="1572"/>
      <c r="PFZ640" s="1572"/>
      <c r="PGA640" s="1572"/>
      <c r="PGB640" s="1572"/>
      <c r="PGC640" s="1572" t="s">
        <v>885</v>
      </c>
      <c r="PGD640" s="1572"/>
      <c r="PGE640" s="1572"/>
      <c r="PGF640" s="1572"/>
      <c r="PGG640" s="1572"/>
      <c r="PGH640" s="1572"/>
      <c r="PGI640" s="1572"/>
      <c r="PGJ640" s="1572"/>
      <c r="PGK640" s="1572" t="s">
        <v>885</v>
      </c>
      <c r="PGL640" s="1572"/>
      <c r="PGM640" s="1572"/>
      <c r="PGN640" s="1572"/>
      <c r="PGO640" s="1572"/>
      <c r="PGP640" s="1572"/>
      <c r="PGQ640" s="1572"/>
      <c r="PGR640" s="1572"/>
      <c r="PGS640" s="1572" t="s">
        <v>885</v>
      </c>
      <c r="PGT640" s="1572"/>
      <c r="PGU640" s="1572"/>
      <c r="PGV640" s="1572"/>
      <c r="PGW640" s="1572"/>
      <c r="PGX640" s="1572"/>
      <c r="PGY640" s="1572"/>
      <c r="PGZ640" s="1572"/>
      <c r="PHA640" s="1572" t="s">
        <v>885</v>
      </c>
      <c r="PHB640" s="1572"/>
      <c r="PHC640" s="1572"/>
      <c r="PHD640" s="1572"/>
      <c r="PHE640" s="1572"/>
      <c r="PHF640" s="1572"/>
      <c r="PHG640" s="1572"/>
      <c r="PHH640" s="1572"/>
      <c r="PHI640" s="1572" t="s">
        <v>885</v>
      </c>
      <c r="PHJ640" s="1572"/>
      <c r="PHK640" s="1572"/>
      <c r="PHL640" s="1572"/>
      <c r="PHM640" s="1572"/>
      <c r="PHN640" s="1572"/>
      <c r="PHO640" s="1572"/>
      <c r="PHP640" s="1572"/>
      <c r="PHQ640" s="1572" t="s">
        <v>885</v>
      </c>
      <c r="PHR640" s="1572"/>
      <c r="PHS640" s="1572"/>
      <c r="PHT640" s="1572"/>
      <c r="PHU640" s="1572"/>
      <c r="PHV640" s="1572"/>
      <c r="PHW640" s="1572"/>
      <c r="PHX640" s="1572"/>
      <c r="PHY640" s="1572" t="s">
        <v>885</v>
      </c>
      <c r="PHZ640" s="1572"/>
      <c r="PIA640" s="1572"/>
      <c r="PIB640" s="1572"/>
      <c r="PIC640" s="1572"/>
      <c r="PID640" s="1572"/>
      <c r="PIE640" s="1572"/>
      <c r="PIF640" s="1572"/>
      <c r="PIG640" s="1572" t="s">
        <v>885</v>
      </c>
      <c r="PIH640" s="1572"/>
      <c r="PII640" s="1572"/>
      <c r="PIJ640" s="1572"/>
      <c r="PIK640" s="1572"/>
      <c r="PIL640" s="1572"/>
      <c r="PIM640" s="1572"/>
      <c r="PIN640" s="1572"/>
      <c r="PIO640" s="1572" t="s">
        <v>885</v>
      </c>
      <c r="PIP640" s="1572"/>
      <c r="PIQ640" s="1572"/>
      <c r="PIR640" s="1572"/>
      <c r="PIS640" s="1572"/>
      <c r="PIT640" s="1572"/>
      <c r="PIU640" s="1572"/>
      <c r="PIV640" s="1572"/>
      <c r="PIW640" s="1572" t="s">
        <v>885</v>
      </c>
      <c r="PIX640" s="1572"/>
      <c r="PIY640" s="1572"/>
      <c r="PIZ640" s="1572"/>
      <c r="PJA640" s="1572"/>
      <c r="PJB640" s="1572"/>
      <c r="PJC640" s="1572"/>
      <c r="PJD640" s="1572"/>
      <c r="PJE640" s="1572" t="s">
        <v>885</v>
      </c>
      <c r="PJF640" s="1572"/>
      <c r="PJG640" s="1572"/>
      <c r="PJH640" s="1572"/>
      <c r="PJI640" s="1572"/>
      <c r="PJJ640" s="1572"/>
      <c r="PJK640" s="1572"/>
      <c r="PJL640" s="1572"/>
      <c r="PJM640" s="1572" t="s">
        <v>885</v>
      </c>
      <c r="PJN640" s="1572"/>
      <c r="PJO640" s="1572"/>
      <c r="PJP640" s="1572"/>
      <c r="PJQ640" s="1572"/>
      <c r="PJR640" s="1572"/>
      <c r="PJS640" s="1572"/>
      <c r="PJT640" s="1572"/>
      <c r="PJU640" s="1572" t="s">
        <v>885</v>
      </c>
      <c r="PJV640" s="1572"/>
      <c r="PJW640" s="1572"/>
      <c r="PJX640" s="1572"/>
      <c r="PJY640" s="1572"/>
      <c r="PJZ640" s="1572"/>
      <c r="PKA640" s="1572"/>
      <c r="PKB640" s="1572"/>
      <c r="PKC640" s="1572" t="s">
        <v>885</v>
      </c>
      <c r="PKD640" s="1572"/>
      <c r="PKE640" s="1572"/>
      <c r="PKF640" s="1572"/>
      <c r="PKG640" s="1572"/>
      <c r="PKH640" s="1572"/>
      <c r="PKI640" s="1572"/>
      <c r="PKJ640" s="1572"/>
      <c r="PKK640" s="1572" t="s">
        <v>885</v>
      </c>
      <c r="PKL640" s="1572"/>
      <c r="PKM640" s="1572"/>
      <c r="PKN640" s="1572"/>
      <c r="PKO640" s="1572"/>
      <c r="PKP640" s="1572"/>
      <c r="PKQ640" s="1572"/>
      <c r="PKR640" s="1572"/>
      <c r="PKS640" s="1572" t="s">
        <v>885</v>
      </c>
      <c r="PKT640" s="1572"/>
      <c r="PKU640" s="1572"/>
      <c r="PKV640" s="1572"/>
      <c r="PKW640" s="1572"/>
      <c r="PKX640" s="1572"/>
      <c r="PKY640" s="1572"/>
      <c r="PKZ640" s="1572"/>
      <c r="PLA640" s="1572" t="s">
        <v>885</v>
      </c>
      <c r="PLB640" s="1572"/>
      <c r="PLC640" s="1572"/>
      <c r="PLD640" s="1572"/>
      <c r="PLE640" s="1572"/>
      <c r="PLF640" s="1572"/>
      <c r="PLG640" s="1572"/>
      <c r="PLH640" s="1572"/>
      <c r="PLI640" s="1572" t="s">
        <v>885</v>
      </c>
      <c r="PLJ640" s="1572"/>
      <c r="PLK640" s="1572"/>
      <c r="PLL640" s="1572"/>
      <c r="PLM640" s="1572"/>
      <c r="PLN640" s="1572"/>
      <c r="PLO640" s="1572"/>
      <c r="PLP640" s="1572"/>
      <c r="PLQ640" s="1572" t="s">
        <v>885</v>
      </c>
      <c r="PLR640" s="1572"/>
      <c r="PLS640" s="1572"/>
      <c r="PLT640" s="1572"/>
      <c r="PLU640" s="1572"/>
      <c r="PLV640" s="1572"/>
      <c r="PLW640" s="1572"/>
      <c r="PLX640" s="1572"/>
      <c r="PLY640" s="1572" t="s">
        <v>885</v>
      </c>
      <c r="PLZ640" s="1572"/>
      <c r="PMA640" s="1572"/>
      <c r="PMB640" s="1572"/>
      <c r="PMC640" s="1572"/>
      <c r="PMD640" s="1572"/>
      <c r="PME640" s="1572"/>
      <c r="PMF640" s="1572"/>
      <c r="PMG640" s="1572" t="s">
        <v>885</v>
      </c>
      <c r="PMH640" s="1572"/>
      <c r="PMI640" s="1572"/>
      <c r="PMJ640" s="1572"/>
      <c r="PMK640" s="1572"/>
      <c r="PML640" s="1572"/>
      <c r="PMM640" s="1572"/>
      <c r="PMN640" s="1572"/>
      <c r="PMO640" s="1572" t="s">
        <v>885</v>
      </c>
      <c r="PMP640" s="1572"/>
      <c r="PMQ640" s="1572"/>
      <c r="PMR640" s="1572"/>
      <c r="PMS640" s="1572"/>
      <c r="PMT640" s="1572"/>
      <c r="PMU640" s="1572"/>
      <c r="PMV640" s="1572"/>
      <c r="PMW640" s="1572" t="s">
        <v>885</v>
      </c>
      <c r="PMX640" s="1572"/>
      <c r="PMY640" s="1572"/>
      <c r="PMZ640" s="1572"/>
      <c r="PNA640" s="1572"/>
      <c r="PNB640" s="1572"/>
      <c r="PNC640" s="1572"/>
      <c r="PND640" s="1572"/>
      <c r="PNE640" s="1572" t="s">
        <v>885</v>
      </c>
      <c r="PNF640" s="1572"/>
      <c r="PNG640" s="1572"/>
      <c r="PNH640" s="1572"/>
      <c r="PNI640" s="1572"/>
      <c r="PNJ640" s="1572"/>
      <c r="PNK640" s="1572"/>
      <c r="PNL640" s="1572"/>
      <c r="PNM640" s="1572" t="s">
        <v>885</v>
      </c>
      <c r="PNN640" s="1572"/>
      <c r="PNO640" s="1572"/>
      <c r="PNP640" s="1572"/>
      <c r="PNQ640" s="1572"/>
      <c r="PNR640" s="1572"/>
      <c r="PNS640" s="1572"/>
      <c r="PNT640" s="1572"/>
      <c r="PNU640" s="1572" t="s">
        <v>885</v>
      </c>
      <c r="PNV640" s="1572"/>
      <c r="PNW640" s="1572"/>
      <c r="PNX640" s="1572"/>
      <c r="PNY640" s="1572"/>
      <c r="PNZ640" s="1572"/>
      <c r="POA640" s="1572"/>
      <c r="POB640" s="1572"/>
      <c r="POC640" s="1572" t="s">
        <v>885</v>
      </c>
      <c r="POD640" s="1572"/>
      <c r="POE640" s="1572"/>
      <c r="POF640" s="1572"/>
      <c r="POG640" s="1572"/>
      <c r="POH640" s="1572"/>
      <c r="POI640" s="1572"/>
      <c r="POJ640" s="1572"/>
      <c r="POK640" s="1572" t="s">
        <v>885</v>
      </c>
      <c r="POL640" s="1572"/>
      <c r="POM640" s="1572"/>
      <c r="PON640" s="1572"/>
      <c r="POO640" s="1572"/>
      <c r="POP640" s="1572"/>
      <c r="POQ640" s="1572"/>
      <c r="POR640" s="1572"/>
      <c r="POS640" s="1572" t="s">
        <v>885</v>
      </c>
      <c r="POT640" s="1572"/>
      <c r="POU640" s="1572"/>
      <c r="POV640" s="1572"/>
      <c r="POW640" s="1572"/>
      <c r="POX640" s="1572"/>
      <c r="POY640" s="1572"/>
      <c r="POZ640" s="1572"/>
      <c r="PPA640" s="1572" t="s">
        <v>885</v>
      </c>
      <c r="PPB640" s="1572"/>
      <c r="PPC640" s="1572"/>
      <c r="PPD640" s="1572"/>
      <c r="PPE640" s="1572"/>
      <c r="PPF640" s="1572"/>
      <c r="PPG640" s="1572"/>
      <c r="PPH640" s="1572"/>
      <c r="PPI640" s="1572" t="s">
        <v>885</v>
      </c>
      <c r="PPJ640" s="1572"/>
      <c r="PPK640" s="1572"/>
      <c r="PPL640" s="1572"/>
      <c r="PPM640" s="1572"/>
      <c r="PPN640" s="1572"/>
      <c r="PPO640" s="1572"/>
      <c r="PPP640" s="1572"/>
      <c r="PPQ640" s="1572" t="s">
        <v>885</v>
      </c>
      <c r="PPR640" s="1572"/>
      <c r="PPS640" s="1572"/>
      <c r="PPT640" s="1572"/>
      <c r="PPU640" s="1572"/>
      <c r="PPV640" s="1572"/>
      <c r="PPW640" s="1572"/>
      <c r="PPX640" s="1572"/>
      <c r="PPY640" s="1572" t="s">
        <v>885</v>
      </c>
      <c r="PPZ640" s="1572"/>
      <c r="PQA640" s="1572"/>
      <c r="PQB640" s="1572"/>
      <c r="PQC640" s="1572"/>
      <c r="PQD640" s="1572"/>
      <c r="PQE640" s="1572"/>
      <c r="PQF640" s="1572"/>
      <c r="PQG640" s="1572" t="s">
        <v>885</v>
      </c>
      <c r="PQH640" s="1572"/>
      <c r="PQI640" s="1572"/>
      <c r="PQJ640" s="1572"/>
      <c r="PQK640" s="1572"/>
      <c r="PQL640" s="1572"/>
      <c r="PQM640" s="1572"/>
      <c r="PQN640" s="1572"/>
      <c r="PQO640" s="1572" t="s">
        <v>885</v>
      </c>
      <c r="PQP640" s="1572"/>
      <c r="PQQ640" s="1572"/>
      <c r="PQR640" s="1572"/>
      <c r="PQS640" s="1572"/>
      <c r="PQT640" s="1572"/>
      <c r="PQU640" s="1572"/>
      <c r="PQV640" s="1572"/>
      <c r="PQW640" s="1572" t="s">
        <v>885</v>
      </c>
      <c r="PQX640" s="1572"/>
      <c r="PQY640" s="1572"/>
      <c r="PQZ640" s="1572"/>
      <c r="PRA640" s="1572"/>
      <c r="PRB640" s="1572"/>
      <c r="PRC640" s="1572"/>
      <c r="PRD640" s="1572"/>
      <c r="PRE640" s="1572" t="s">
        <v>885</v>
      </c>
      <c r="PRF640" s="1572"/>
      <c r="PRG640" s="1572"/>
      <c r="PRH640" s="1572"/>
      <c r="PRI640" s="1572"/>
      <c r="PRJ640" s="1572"/>
      <c r="PRK640" s="1572"/>
      <c r="PRL640" s="1572"/>
      <c r="PRM640" s="1572" t="s">
        <v>885</v>
      </c>
      <c r="PRN640" s="1572"/>
      <c r="PRO640" s="1572"/>
      <c r="PRP640" s="1572"/>
      <c r="PRQ640" s="1572"/>
      <c r="PRR640" s="1572"/>
      <c r="PRS640" s="1572"/>
      <c r="PRT640" s="1572"/>
      <c r="PRU640" s="1572" t="s">
        <v>885</v>
      </c>
      <c r="PRV640" s="1572"/>
      <c r="PRW640" s="1572"/>
      <c r="PRX640" s="1572"/>
      <c r="PRY640" s="1572"/>
      <c r="PRZ640" s="1572"/>
      <c r="PSA640" s="1572"/>
      <c r="PSB640" s="1572"/>
      <c r="PSC640" s="1572" t="s">
        <v>885</v>
      </c>
      <c r="PSD640" s="1572"/>
      <c r="PSE640" s="1572"/>
      <c r="PSF640" s="1572"/>
      <c r="PSG640" s="1572"/>
      <c r="PSH640" s="1572"/>
      <c r="PSI640" s="1572"/>
      <c r="PSJ640" s="1572"/>
      <c r="PSK640" s="1572" t="s">
        <v>885</v>
      </c>
      <c r="PSL640" s="1572"/>
      <c r="PSM640" s="1572"/>
      <c r="PSN640" s="1572"/>
      <c r="PSO640" s="1572"/>
      <c r="PSP640" s="1572"/>
      <c r="PSQ640" s="1572"/>
      <c r="PSR640" s="1572"/>
      <c r="PSS640" s="1572" t="s">
        <v>885</v>
      </c>
      <c r="PST640" s="1572"/>
      <c r="PSU640" s="1572"/>
      <c r="PSV640" s="1572"/>
      <c r="PSW640" s="1572"/>
      <c r="PSX640" s="1572"/>
      <c r="PSY640" s="1572"/>
      <c r="PSZ640" s="1572"/>
      <c r="PTA640" s="1572" t="s">
        <v>885</v>
      </c>
      <c r="PTB640" s="1572"/>
      <c r="PTC640" s="1572"/>
      <c r="PTD640" s="1572"/>
      <c r="PTE640" s="1572"/>
      <c r="PTF640" s="1572"/>
      <c r="PTG640" s="1572"/>
      <c r="PTH640" s="1572"/>
      <c r="PTI640" s="1572" t="s">
        <v>885</v>
      </c>
      <c r="PTJ640" s="1572"/>
      <c r="PTK640" s="1572"/>
      <c r="PTL640" s="1572"/>
      <c r="PTM640" s="1572"/>
      <c r="PTN640" s="1572"/>
      <c r="PTO640" s="1572"/>
      <c r="PTP640" s="1572"/>
      <c r="PTQ640" s="1572" t="s">
        <v>885</v>
      </c>
      <c r="PTR640" s="1572"/>
      <c r="PTS640" s="1572"/>
      <c r="PTT640" s="1572"/>
      <c r="PTU640" s="1572"/>
      <c r="PTV640" s="1572"/>
      <c r="PTW640" s="1572"/>
      <c r="PTX640" s="1572"/>
      <c r="PTY640" s="1572" t="s">
        <v>885</v>
      </c>
      <c r="PTZ640" s="1572"/>
      <c r="PUA640" s="1572"/>
      <c r="PUB640" s="1572"/>
      <c r="PUC640" s="1572"/>
      <c r="PUD640" s="1572"/>
      <c r="PUE640" s="1572"/>
      <c r="PUF640" s="1572"/>
      <c r="PUG640" s="1572" t="s">
        <v>885</v>
      </c>
      <c r="PUH640" s="1572"/>
      <c r="PUI640" s="1572"/>
      <c r="PUJ640" s="1572"/>
      <c r="PUK640" s="1572"/>
      <c r="PUL640" s="1572"/>
      <c r="PUM640" s="1572"/>
      <c r="PUN640" s="1572"/>
      <c r="PUO640" s="1572" t="s">
        <v>885</v>
      </c>
      <c r="PUP640" s="1572"/>
      <c r="PUQ640" s="1572"/>
      <c r="PUR640" s="1572"/>
      <c r="PUS640" s="1572"/>
      <c r="PUT640" s="1572"/>
      <c r="PUU640" s="1572"/>
      <c r="PUV640" s="1572"/>
      <c r="PUW640" s="1572" t="s">
        <v>885</v>
      </c>
      <c r="PUX640" s="1572"/>
      <c r="PUY640" s="1572"/>
      <c r="PUZ640" s="1572"/>
      <c r="PVA640" s="1572"/>
      <c r="PVB640" s="1572"/>
      <c r="PVC640" s="1572"/>
      <c r="PVD640" s="1572"/>
      <c r="PVE640" s="1572" t="s">
        <v>885</v>
      </c>
      <c r="PVF640" s="1572"/>
      <c r="PVG640" s="1572"/>
      <c r="PVH640" s="1572"/>
      <c r="PVI640" s="1572"/>
      <c r="PVJ640" s="1572"/>
      <c r="PVK640" s="1572"/>
      <c r="PVL640" s="1572"/>
      <c r="PVM640" s="1572" t="s">
        <v>885</v>
      </c>
      <c r="PVN640" s="1572"/>
      <c r="PVO640" s="1572"/>
      <c r="PVP640" s="1572"/>
      <c r="PVQ640" s="1572"/>
      <c r="PVR640" s="1572"/>
      <c r="PVS640" s="1572"/>
      <c r="PVT640" s="1572"/>
      <c r="PVU640" s="1572" t="s">
        <v>885</v>
      </c>
      <c r="PVV640" s="1572"/>
      <c r="PVW640" s="1572"/>
      <c r="PVX640" s="1572"/>
      <c r="PVY640" s="1572"/>
      <c r="PVZ640" s="1572"/>
      <c r="PWA640" s="1572"/>
      <c r="PWB640" s="1572"/>
      <c r="PWC640" s="1572" t="s">
        <v>885</v>
      </c>
      <c r="PWD640" s="1572"/>
      <c r="PWE640" s="1572"/>
      <c r="PWF640" s="1572"/>
      <c r="PWG640" s="1572"/>
      <c r="PWH640" s="1572"/>
      <c r="PWI640" s="1572"/>
      <c r="PWJ640" s="1572"/>
      <c r="PWK640" s="1572" t="s">
        <v>885</v>
      </c>
      <c r="PWL640" s="1572"/>
      <c r="PWM640" s="1572"/>
      <c r="PWN640" s="1572"/>
      <c r="PWO640" s="1572"/>
      <c r="PWP640" s="1572"/>
      <c r="PWQ640" s="1572"/>
      <c r="PWR640" s="1572"/>
      <c r="PWS640" s="1572" t="s">
        <v>885</v>
      </c>
      <c r="PWT640" s="1572"/>
      <c r="PWU640" s="1572"/>
      <c r="PWV640" s="1572"/>
      <c r="PWW640" s="1572"/>
      <c r="PWX640" s="1572"/>
      <c r="PWY640" s="1572"/>
      <c r="PWZ640" s="1572"/>
      <c r="PXA640" s="1572" t="s">
        <v>885</v>
      </c>
      <c r="PXB640" s="1572"/>
      <c r="PXC640" s="1572"/>
      <c r="PXD640" s="1572"/>
      <c r="PXE640" s="1572"/>
      <c r="PXF640" s="1572"/>
      <c r="PXG640" s="1572"/>
      <c r="PXH640" s="1572"/>
      <c r="PXI640" s="1572" t="s">
        <v>885</v>
      </c>
      <c r="PXJ640" s="1572"/>
      <c r="PXK640" s="1572"/>
      <c r="PXL640" s="1572"/>
      <c r="PXM640" s="1572"/>
      <c r="PXN640" s="1572"/>
      <c r="PXO640" s="1572"/>
      <c r="PXP640" s="1572"/>
      <c r="PXQ640" s="1572" t="s">
        <v>885</v>
      </c>
      <c r="PXR640" s="1572"/>
      <c r="PXS640" s="1572"/>
      <c r="PXT640" s="1572"/>
      <c r="PXU640" s="1572"/>
      <c r="PXV640" s="1572"/>
      <c r="PXW640" s="1572"/>
      <c r="PXX640" s="1572"/>
      <c r="PXY640" s="1572" t="s">
        <v>885</v>
      </c>
      <c r="PXZ640" s="1572"/>
      <c r="PYA640" s="1572"/>
      <c r="PYB640" s="1572"/>
      <c r="PYC640" s="1572"/>
      <c r="PYD640" s="1572"/>
      <c r="PYE640" s="1572"/>
      <c r="PYF640" s="1572"/>
      <c r="PYG640" s="1572" t="s">
        <v>885</v>
      </c>
      <c r="PYH640" s="1572"/>
      <c r="PYI640" s="1572"/>
      <c r="PYJ640" s="1572"/>
      <c r="PYK640" s="1572"/>
      <c r="PYL640" s="1572"/>
      <c r="PYM640" s="1572"/>
      <c r="PYN640" s="1572"/>
      <c r="PYO640" s="1572" t="s">
        <v>885</v>
      </c>
      <c r="PYP640" s="1572"/>
      <c r="PYQ640" s="1572"/>
      <c r="PYR640" s="1572"/>
      <c r="PYS640" s="1572"/>
      <c r="PYT640" s="1572"/>
      <c r="PYU640" s="1572"/>
      <c r="PYV640" s="1572"/>
      <c r="PYW640" s="1572" t="s">
        <v>885</v>
      </c>
      <c r="PYX640" s="1572"/>
      <c r="PYY640" s="1572"/>
      <c r="PYZ640" s="1572"/>
      <c r="PZA640" s="1572"/>
      <c r="PZB640" s="1572"/>
      <c r="PZC640" s="1572"/>
      <c r="PZD640" s="1572"/>
      <c r="PZE640" s="1572" t="s">
        <v>885</v>
      </c>
      <c r="PZF640" s="1572"/>
      <c r="PZG640" s="1572"/>
      <c r="PZH640" s="1572"/>
      <c r="PZI640" s="1572"/>
      <c r="PZJ640" s="1572"/>
      <c r="PZK640" s="1572"/>
      <c r="PZL640" s="1572"/>
      <c r="PZM640" s="1572" t="s">
        <v>885</v>
      </c>
      <c r="PZN640" s="1572"/>
      <c r="PZO640" s="1572"/>
      <c r="PZP640" s="1572"/>
      <c r="PZQ640" s="1572"/>
      <c r="PZR640" s="1572"/>
      <c r="PZS640" s="1572"/>
      <c r="PZT640" s="1572"/>
      <c r="PZU640" s="1572" t="s">
        <v>885</v>
      </c>
      <c r="PZV640" s="1572"/>
      <c r="PZW640" s="1572"/>
      <c r="PZX640" s="1572"/>
      <c r="PZY640" s="1572"/>
      <c r="PZZ640" s="1572"/>
      <c r="QAA640" s="1572"/>
      <c r="QAB640" s="1572"/>
      <c r="QAC640" s="1572" t="s">
        <v>885</v>
      </c>
      <c r="QAD640" s="1572"/>
      <c r="QAE640" s="1572"/>
      <c r="QAF640" s="1572"/>
      <c r="QAG640" s="1572"/>
      <c r="QAH640" s="1572"/>
      <c r="QAI640" s="1572"/>
      <c r="QAJ640" s="1572"/>
      <c r="QAK640" s="1572" t="s">
        <v>885</v>
      </c>
      <c r="QAL640" s="1572"/>
      <c r="QAM640" s="1572"/>
      <c r="QAN640" s="1572"/>
      <c r="QAO640" s="1572"/>
      <c r="QAP640" s="1572"/>
      <c r="QAQ640" s="1572"/>
      <c r="QAR640" s="1572"/>
      <c r="QAS640" s="1572" t="s">
        <v>885</v>
      </c>
      <c r="QAT640" s="1572"/>
      <c r="QAU640" s="1572"/>
      <c r="QAV640" s="1572"/>
      <c r="QAW640" s="1572"/>
      <c r="QAX640" s="1572"/>
      <c r="QAY640" s="1572"/>
      <c r="QAZ640" s="1572"/>
      <c r="QBA640" s="1572" t="s">
        <v>885</v>
      </c>
      <c r="QBB640" s="1572"/>
      <c r="QBC640" s="1572"/>
      <c r="QBD640" s="1572"/>
      <c r="QBE640" s="1572"/>
      <c r="QBF640" s="1572"/>
      <c r="QBG640" s="1572"/>
      <c r="QBH640" s="1572"/>
      <c r="QBI640" s="1572" t="s">
        <v>885</v>
      </c>
      <c r="QBJ640" s="1572"/>
      <c r="QBK640" s="1572"/>
      <c r="QBL640" s="1572"/>
      <c r="QBM640" s="1572"/>
      <c r="QBN640" s="1572"/>
      <c r="QBO640" s="1572"/>
      <c r="QBP640" s="1572"/>
      <c r="QBQ640" s="1572" t="s">
        <v>885</v>
      </c>
      <c r="QBR640" s="1572"/>
      <c r="QBS640" s="1572"/>
      <c r="QBT640" s="1572"/>
      <c r="QBU640" s="1572"/>
      <c r="QBV640" s="1572"/>
      <c r="QBW640" s="1572"/>
      <c r="QBX640" s="1572"/>
      <c r="QBY640" s="1572" t="s">
        <v>885</v>
      </c>
      <c r="QBZ640" s="1572"/>
      <c r="QCA640" s="1572"/>
      <c r="QCB640" s="1572"/>
      <c r="QCC640" s="1572"/>
      <c r="QCD640" s="1572"/>
      <c r="QCE640" s="1572"/>
      <c r="QCF640" s="1572"/>
      <c r="QCG640" s="1572" t="s">
        <v>885</v>
      </c>
      <c r="QCH640" s="1572"/>
      <c r="QCI640" s="1572"/>
      <c r="QCJ640" s="1572"/>
      <c r="QCK640" s="1572"/>
      <c r="QCL640" s="1572"/>
      <c r="QCM640" s="1572"/>
      <c r="QCN640" s="1572"/>
      <c r="QCO640" s="1572" t="s">
        <v>885</v>
      </c>
      <c r="QCP640" s="1572"/>
      <c r="QCQ640" s="1572"/>
      <c r="QCR640" s="1572"/>
      <c r="QCS640" s="1572"/>
      <c r="QCT640" s="1572"/>
      <c r="QCU640" s="1572"/>
      <c r="QCV640" s="1572"/>
      <c r="QCW640" s="1572" t="s">
        <v>885</v>
      </c>
      <c r="QCX640" s="1572"/>
      <c r="QCY640" s="1572"/>
      <c r="QCZ640" s="1572"/>
      <c r="QDA640" s="1572"/>
      <c r="QDB640" s="1572"/>
      <c r="QDC640" s="1572"/>
      <c r="QDD640" s="1572"/>
      <c r="QDE640" s="1572" t="s">
        <v>885</v>
      </c>
      <c r="QDF640" s="1572"/>
      <c r="QDG640" s="1572"/>
      <c r="QDH640" s="1572"/>
      <c r="QDI640" s="1572"/>
      <c r="QDJ640" s="1572"/>
      <c r="QDK640" s="1572"/>
      <c r="QDL640" s="1572"/>
      <c r="QDM640" s="1572" t="s">
        <v>885</v>
      </c>
      <c r="QDN640" s="1572"/>
      <c r="QDO640" s="1572"/>
      <c r="QDP640" s="1572"/>
      <c r="QDQ640" s="1572"/>
      <c r="QDR640" s="1572"/>
      <c r="QDS640" s="1572"/>
      <c r="QDT640" s="1572"/>
      <c r="QDU640" s="1572" t="s">
        <v>885</v>
      </c>
      <c r="QDV640" s="1572"/>
      <c r="QDW640" s="1572"/>
      <c r="QDX640" s="1572"/>
      <c r="QDY640" s="1572"/>
      <c r="QDZ640" s="1572"/>
      <c r="QEA640" s="1572"/>
      <c r="QEB640" s="1572"/>
      <c r="QEC640" s="1572" t="s">
        <v>885</v>
      </c>
      <c r="QED640" s="1572"/>
      <c r="QEE640" s="1572"/>
      <c r="QEF640" s="1572"/>
      <c r="QEG640" s="1572"/>
      <c r="QEH640" s="1572"/>
      <c r="QEI640" s="1572"/>
      <c r="QEJ640" s="1572"/>
      <c r="QEK640" s="1572" t="s">
        <v>885</v>
      </c>
      <c r="QEL640" s="1572"/>
      <c r="QEM640" s="1572"/>
      <c r="QEN640" s="1572"/>
      <c r="QEO640" s="1572"/>
      <c r="QEP640" s="1572"/>
      <c r="QEQ640" s="1572"/>
      <c r="QER640" s="1572"/>
      <c r="QES640" s="1572" t="s">
        <v>885</v>
      </c>
      <c r="QET640" s="1572"/>
      <c r="QEU640" s="1572"/>
      <c r="QEV640" s="1572"/>
      <c r="QEW640" s="1572"/>
      <c r="QEX640" s="1572"/>
      <c r="QEY640" s="1572"/>
      <c r="QEZ640" s="1572"/>
      <c r="QFA640" s="1572" t="s">
        <v>885</v>
      </c>
      <c r="QFB640" s="1572"/>
      <c r="QFC640" s="1572"/>
      <c r="QFD640" s="1572"/>
      <c r="QFE640" s="1572"/>
      <c r="QFF640" s="1572"/>
      <c r="QFG640" s="1572"/>
      <c r="QFH640" s="1572"/>
      <c r="QFI640" s="1572" t="s">
        <v>885</v>
      </c>
      <c r="QFJ640" s="1572"/>
      <c r="QFK640" s="1572"/>
      <c r="QFL640" s="1572"/>
      <c r="QFM640" s="1572"/>
      <c r="QFN640" s="1572"/>
      <c r="QFO640" s="1572"/>
      <c r="QFP640" s="1572"/>
      <c r="QFQ640" s="1572" t="s">
        <v>885</v>
      </c>
      <c r="QFR640" s="1572"/>
      <c r="QFS640" s="1572"/>
      <c r="QFT640" s="1572"/>
      <c r="QFU640" s="1572"/>
      <c r="QFV640" s="1572"/>
      <c r="QFW640" s="1572"/>
      <c r="QFX640" s="1572"/>
      <c r="QFY640" s="1572" t="s">
        <v>885</v>
      </c>
      <c r="QFZ640" s="1572"/>
      <c r="QGA640" s="1572"/>
      <c r="QGB640" s="1572"/>
      <c r="QGC640" s="1572"/>
      <c r="QGD640" s="1572"/>
      <c r="QGE640" s="1572"/>
      <c r="QGF640" s="1572"/>
      <c r="QGG640" s="1572" t="s">
        <v>885</v>
      </c>
      <c r="QGH640" s="1572"/>
      <c r="QGI640" s="1572"/>
      <c r="QGJ640" s="1572"/>
      <c r="QGK640" s="1572"/>
      <c r="QGL640" s="1572"/>
      <c r="QGM640" s="1572"/>
      <c r="QGN640" s="1572"/>
      <c r="QGO640" s="1572" t="s">
        <v>885</v>
      </c>
      <c r="QGP640" s="1572"/>
      <c r="QGQ640" s="1572"/>
      <c r="QGR640" s="1572"/>
      <c r="QGS640" s="1572"/>
      <c r="QGT640" s="1572"/>
      <c r="QGU640" s="1572"/>
      <c r="QGV640" s="1572"/>
      <c r="QGW640" s="1572" t="s">
        <v>885</v>
      </c>
      <c r="QGX640" s="1572"/>
      <c r="QGY640" s="1572"/>
      <c r="QGZ640" s="1572"/>
      <c r="QHA640" s="1572"/>
      <c r="QHB640" s="1572"/>
      <c r="QHC640" s="1572"/>
      <c r="QHD640" s="1572"/>
      <c r="QHE640" s="1572" t="s">
        <v>885</v>
      </c>
      <c r="QHF640" s="1572"/>
      <c r="QHG640" s="1572"/>
      <c r="QHH640" s="1572"/>
      <c r="QHI640" s="1572"/>
      <c r="QHJ640" s="1572"/>
      <c r="QHK640" s="1572"/>
      <c r="QHL640" s="1572"/>
      <c r="QHM640" s="1572" t="s">
        <v>885</v>
      </c>
      <c r="QHN640" s="1572"/>
      <c r="QHO640" s="1572"/>
      <c r="QHP640" s="1572"/>
      <c r="QHQ640" s="1572"/>
      <c r="QHR640" s="1572"/>
      <c r="QHS640" s="1572"/>
      <c r="QHT640" s="1572"/>
      <c r="QHU640" s="1572" t="s">
        <v>885</v>
      </c>
      <c r="QHV640" s="1572"/>
      <c r="QHW640" s="1572"/>
      <c r="QHX640" s="1572"/>
      <c r="QHY640" s="1572"/>
      <c r="QHZ640" s="1572"/>
      <c r="QIA640" s="1572"/>
      <c r="QIB640" s="1572"/>
      <c r="QIC640" s="1572" t="s">
        <v>885</v>
      </c>
      <c r="QID640" s="1572"/>
      <c r="QIE640" s="1572"/>
      <c r="QIF640" s="1572"/>
      <c r="QIG640" s="1572"/>
      <c r="QIH640" s="1572"/>
      <c r="QII640" s="1572"/>
      <c r="QIJ640" s="1572"/>
      <c r="QIK640" s="1572" t="s">
        <v>885</v>
      </c>
      <c r="QIL640" s="1572"/>
      <c r="QIM640" s="1572"/>
      <c r="QIN640" s="1572"/>
      <c r="QIO640" s="1572"/>
      <c r="QIP640" s="1572"/>
      <c r="QIQ640" s="1572"/>
      <c r="QIR640" s="1572"/>
      <c r="QIS640" s="1572" t="s">
        <v>885</v>
      </c>
      <c r="QIT640" s="1572"/>
      <c r="QIU640" s="1572"/>
      <c r="QIV640" s="1572"/>
      <c r="QIW640" s="1572"/>
      <c r="QIX640" s="1572"/>
      <c r="QIY640" s="1572"/>
      <c r="QIZ640" s="1572"/>
      <c r="QJA640" s="1572" t="s">
        <v>885</v>
      </c>
      <c r="QJB640" s="1572"/>
      <c r="QJC640" s="1572"/>
      <c r="QJD640" s="1572"/>
      <c r="QJE640" s="1572"/>
      <c r="QJF640" s="1572"/>
      <c r="QJG640" s="1572"/>
      <c r="QJH640" s="1572"/>
      <c r="QJI640" s="1572" t="s">
        <v>885</v>
      </c>
      <c r="QJJ640" s="1572"/>
      <c r="QJK640" s="1572"/>
      <c r="QJL640" s="1572"/>
      <c r="QJM640" s="1572"/>
      <c r="QJN640" s="1572"/>
      <c r="QJO640" s="1572"/>
      <c r="QJP640" s="1572"/>
      <c r="QJQ640" s="1572" t="s">
        <v>885</v>
      </c>
      <c r="QJR640" s="1572"/>
      <c r="QJS640" s="1572"/>
      <c r="QJT640" s="1572"/>
      <c r="QJU640" s="1572"/>
      <c r="QJV640" s="1572"/>
      <c r="QJW640" s="1572"/>
      <c r="QJX640" s="1572"/>
      <c r="QJY640" s="1572" t="s">
        <v>885</v>
      </c>
      <c r="QJZ640" s="1572"/>
      <c r="QKA640" s="1572"/>
      <c r="QKB640" s="1572"/>
      <c r="QKC640" s="1572"/>
      <c r="QKD640" s="1572"/>
      <c r="QKE640" s="1572"/>
      <c r="QKF640" s="1572"/>
      <c r="QKG640" s="1572" t="s">
        <v>885</v>
      </c>
      <c r="QKH640" s="1572"/>
      <c r="QKI640" s="1572"/>
      <c r="QKJ640" s="1572"/>
      <c r="QKK640" s="1572"/>
      <c r="QKL640" s="1572"/>
      <c r="QKM640" s="1572"/>
      <c r="QKN640" s="1572"/>
      <c r="QKO640" s="1572" t="s">
        <v>885</v>
      </c>
      <c r="QKP640" s="1572"/>
      <c r="QKQ640" s="1572"/>
      <c r="QKR640" s="1572"/>
      <c r="QKS640" s="1572"/>
      <c r="QKT640" s="1572"/>
      <c r="QKU640" s="1572"/>
      <c r="QKV640" s="1572"/>
      <c r="QKW640" s="1572" t="s">
        <v>885</v>
      </c>
      <c r="QKX640" s="1572"/>
      <c r="QKY640" s="1572"/>
      <c r="QKZ640" s="1572"/>
      <c r="QLA640" s="1572"/>
      <c r="QLB640" s="1572"/>
      <c r="QLC640" s="1572"/>
      <c r="QLD640" s="1572"/>
      <c r="QLE640" s="1572" t="s">
        <v>885</v>
      </c>
      <c r="QLF640" s="1572"/>
      <c r="QLG640" s="1572"/>
      <c r="QLH640" s="1572"/>
      <c r="QLI640" s="1572"/>
      <c r="QLJ640" s="1572"/>
      <c r="QLK640" s="1572"/>
      <c r="QLL640" s="1572"/>
      <c r="QLM640" s="1572" t="s">
        <v>885</v>
      </c>
      <c r="QLN640" s="1572"/>
      <c r="QLO640" s="1572"/>
      <c r="QLP640" s="1572"/>
      <c r="QLQ640" s="1572"/>
      <c r="QLR640" s="1572"/>
      <c r="QLS640" s="1572"/>
      <c r="QLT640" s="1572"/>
      <c r="QLU640" s="1572" t="s">
        <v>885</v>
      </c>
      <c r="QLV640" s="1572"/>
      <c r="QLW640" s="1572"/>
      <c r="QLX640" s="1572"/>
      <c r="QLY640" s="1572"/>
      <c r="QLZ640" s="1572"/>
      <c r="QMA640" s="1572"/>
      <c r="QMB640" s="1572"/>
      <c r="QMC640" s="1572" t="s">
        <v>885</v>
      </c>
      <c r="QMD640" s="1572"/>
      <c r="QME640" s="1572"/>
      <c r="QMF640" s="1572"/>
      <c r="QMG640" s="1572"/>
      <c r="QMH640" s="1572"/>
      <c r="QMI640" s="1572"/>
      <c r="QMJ640" s="1572"/>
      <c r="QMK640" s="1572" t="s">
        <v>885</v>
      </c>
      <c r="QML640" s="1572"/>
      <c r="QMM640" s="1572"/>
      <c r="QMN640" s="1572"/>
      <c r="QMO640" s="1572"/>
      <c r="QMP640" s="1572"/>
      <c r="QMQ640" s="1572"/>
      <c r="QMR640" s="1572"/>
      <c r="QMS640" s="1572" t="s">
        <v>885</v>
      </c>
      <c r="QMT640" s="1572"/>
      <c r="QMU640" s="1572"/>
      <c r="QMV640" s="1572"/>
      <c r="QMW640" s="1572"/>
      <c r="QMX640" s="1572"/>
      <c r="QMY640" s="1572"/>
      <c r="QMZ640" s="1572"/>
      <c r="QNA640" s="1572" t="s">
        <v>885</v>
      </c>
      <c r="QNB640" s="1572"/>
      <c r="QNC640" s="1572"/>
      <c r="QND640" s="1572"/>
      <c r="QNE640" s="1572"/>
      <c r="QNF640" s="1572"/>
      <c r="QNG640" s="1572"/>
      <c r="QNH640" s="1572"/>
      <c r="QNI640" s="1572" t="s">
        <v>885</v>
      </c>
      <c r="QNJ640" s="1572"/>
      <c r="QNK640" s="1572"/>
      <c r="QNL640" s="1572"/>
      <c r="QNM640" s="1572"/>
      <c r="QNN640" s="1572"/>
      <c r="QNO640" s="1572"/>
      <c r="QNP640" s="1572"/>
      <c r="QNQ640" s="1572" t="s">
        <v>885</v>
      </c>
      <c r="QNR640" s="1572"/>
      <c r="QNS640" s="1572"/>
      <c r="QNT640" s="1572"/>
      <c r="QNU640" s="1572"/>
      <c r="QNV640" s="1572"/>
      <c r="QNW640" s="1572"/>
      <c r="QNX640" s="1572"/>
      <c r="QNY640" s="1572" t="s">
        <v>885</v>
      </c>
      <c r="QNZ640" s="1572"/>
      <c r="QOA640" s="1572"/>
      <c r="QOB640" s="1572"/>
      <c r="QOC640" s="1572"/>
      <c r="QOD640" s="1572"/>
      <c r="QOE640" s="1572"/>
      <c r="QOF640" s="1572"/>
      <c r="QOG640" s="1572" t="s">
        <v>885</v>
      </c>
      <c r="QOH640" s="1572"/>
      <c r="QOI640" s="1572"/>
      <c r="QOJ640" s="1572"/>
      <c r="QOK640" s="1572"/>
      <c r="QOL640" s="1572"/>
      <c r="QOM640" s="1572"/>
      <c r="QON640" s="1572"/>
      <c r="QOO640" s="1572" t="s">
        <v>885</v>
      </c>
      <c r="QOP640" s="1572"/>
      <c r="QOQ640" s="1572"/>
      <c r="QOR640" s="1572"/>
      <c r="QOS640" s="1572"/>
      <c r="QOT640" s="1572"/>
      <c r="QOU640" s="1572"/>
      <c r="QOV640" s="1572"/>
      <c r="QOW640" s="1572" t="s">
        <v>885</v>
      </c>
      <c r="QOX640" s="1572"/>
      <c r="QOY640" s="1572"/>
      <c r="QOZ640" s="1572"/>
      <c r="QPA640" s="1572"/>
      <c r="QPB640" s="1572"/>
      <c r="QPC640" s="1572"/>
      <c r="QPD640" s="1572"/>
      <c r="QPE640" s="1572" t="s">
        <v>885</v>
      </c>
      <c r="QPF640" s="1572"/>
      <c r="QPG640" s="1572"/>
      <c r="QPH640" s="1572"/>
      <c r="QPI640" s="1572"/>
      <c r="QPJ640" s="1572"/>
      <c r="QPK640" s="1572"/>
      <c r="QPL640" s="1572"/>
      <c r="QPM640" s="1572" t="s">
        <v>885</v>
      </c>
      <c r="QPN640" s="1572"/>
      <c r="QPO640" s="1572"/>
      <c r="QPP640" s="1572"/>
      <c r="QPQ640" s="1572"/>
      <c r="QPR640" s="1572"/>
      <c r="QPS640" s="1572"/>
      <c r="QPT640" s="1572"/>
      <c r="QPU640" s="1572" t="s">
        <v>885</v>
      </c>
      <c r="QPV640" s="1572"/>
      <c r="QPW640" s="1572"/>
      <c r="QPX640" s="1572"/>
      <c r="QPY640" s="1572"/>
      <c r="QPZ640" s="1572"/>
      <c r="QQA640" s="1572"/>
      <c r="QQB640" s="1572"/>
      <c r="QQC640" s="1572" t="s">
        <v>885</v>
      </c>
      <c r="QQD640" s="1572"/>
      <c r="QQE640" s="1572"/>
      <c r="QQF640" s="1572"/>
      <c r="QQG640" s="1572"/>
      <c r="QQH640" s="1572"/>
      <c r="QQI640" s="1572"/>
      <c r="QQJ640" s="1572"/>
      <c r="QQK640" s="1572" t="s">
        <v>885</v>
      </c>
      <c r="QQL640" s="1572"/>
      <c r="QQM640" s="1572"/>
      <c r="QQN640" s="1572"/>
      <c r="QQO640" s="1572"/>
      <c r="QQP640" s="1572"/>
      <c r="QQQ640" s="1572"/>
      <c r="QQR640" s="1572"/>
      <c r="QQS640" s="1572" t="s">
        <v>885</v>
      </c>
      <c r="QQT640" s="1572"/>
      <c r="QQU640" s="1572"/>
      <c r="QQV640" s="1572"/>
      <c r="QQW640" s="1572"/>
      <c r="QQX640" s="1572"/>
      <c r="QQY640" s="1572"/>
      <c r="QQZ640" s="1572"/>
      <c r="QRA640" s="1572" t="s">
        <v>885</v>
      </c>
      <c r="QRB640" s="1572"/>
      <c r="QRC640" s="1572"/>
      <c r="QRD640" s="1572"/>
      <c r="QRE640" s="1572"/>
      <c r="QRF640" s="1572"/>
      <c r="QRG640" s="1572"/>
      <c r="QRH640" s="1572"/>
      <c r="QRI640" s="1572" t="s">
        <v>885</v>
      </c>
      <c r="QRJ640" s="1572"/>
      <c r="QRK640" s="1572"/>
      <c r="QRL640" s="1572"/>
      <c r="QRM640" s="1572"/>
      <c r="QRN640" s="1572"/>
      <c r="QRO640" s="1572"/>
      <c r="QRP640" s="1572"/>
      <c r="QRQ640" s="1572" t="s">
        <v>885</v>
      </c>
      <c r="QRR640" s="1572"/>
      <c r="QRS640" s="1572"/>
      <c r="QRT640" s="1572"/>
      <c r="QRU640" s="1572"/>
      <c r="QRV640" s="1572"/>
      <c r="QRW640" s="1572"/>
      <c r="QRX640" s="1572"/>
      <c r="QRY640" s="1572" t="s">
        <v>885</v>
      </c>
      <c r="QRZ640" s="1572"/>
      <c r="QSA640" s="1572"/>
      <c r="QSB640" s="1572"/>
      <c r="QSC640" s="1572"/>
      <c r="QSD640" s="1572"/>
      <c r="QSE640" s="1572"/>
      <c r="QSF640" s="1572"/>
      <c r="QSG640" s="1572" t="s">
        <v>885</v>
      </c>
      <c r="QSH640" s="1572"/>
      <c r="QSI640" s="1572"/>
      <c r="QSJ640" s="1572"/>
      <c r="QSK640" s="1572"/>
      <c r="QSL640" s="1572"/>
      <c r="QSM640" s="1572"/>
      <c r="QSN640" s="1572"/>
      <c r="QSO640" s="1572" t="s">
        <v>885</v>
      </c>
      <c r="QSP640" s="1572"/>
      <c r="QSQ640" s="1572"/>
      <c r="QSR640" s="1572"/>
      <c r="QSS640" s="1572"/>
      <c r="QST640" s="1572"/>
      <c r="QSU640" s="1572"/>
      <c r="QSV640" s="1572"/>
      <c r="QSW640" s="1572" t="s">
        <v>885</v>
      </c>
      <c r="QSX640" s="1572"/>
      <c r="QSY640" s="1572"/>
      <c r="QSZ640" s="1572"/>
      <c r="QTA640" s="1572"/>
      <c r="QTB640" s="1572"/>
      <c r="QTC640" s="1572"/>
      <c r="QTD640" s="1572"/>
      <c r="QTE640" s="1572" t="s">
        <v>885</v>
      </c>
      <c r="QTF640" s="1572"/>
      <c r="QTG640" s="1572"/>
      <c r="QTH640" s="1572"/>
      <c r="QTI640" s="1572"/>
      <c r="QTJ640" s="1572"/>
      <c r="QTK640" s="1572"/>
      <c r="QTL640" s="1572"/>
      <c r="QTM640" s="1572" t="s">
        <v>885</v>
      </c>
      <c r="QTN640" s="1572"/>
      <c r="QTO640" s="1572"/>
      <c r="QTP640" s="1572"/>
      <c r="QTQ640" s="1572"/>
      <c r="QTR640" s="1572"/>
      <c r="QTS640" s="1572"/>
      <c r="QTT640" s="1572"/>
      <c r="QTU640" s="1572" t="s">
        <v>885</v>
      </c>
      <c r="QTV640" s="1572"/>
      <c r="QTW640" s="1572"/>
      <c r="QTX640" s="1572"/>
      <c r="QTY640" s="1572"/>
      <c r="QTZ640" s="1572"/>
      <c r="QUA640" s="1572"/>
      <c r="QUB640" s="1572"/>
      <c r="QUC640" s="1572" t="s">
        <v>885</v>
      </c>
      <c r="QUD640" s="1572"/>
      <c r="QUE640" s="1572"/>
      <c r="QUF640" s="1572"/>
      <c r="QUG640" s="1572"/>
      <c r="QUH640" s="1572"/>
      <c r="QUI640" s="1572"/>
      <c r="QUJ640" s="1572"/>
      <c r="QUK640" s="1572" t="s">
        <v>885</v>
      </c>
      <c r="QUL640" s="1572"/>
      <c r="QUM640" s="1572"/>
      <c r="QUN640" s="1572"/>
      <c r="QUO640" s="1572"/>
      <c r="QUP640" s="1572"/>
      <c r="QUQ640" s="1572"/>
      <c r="QUR640" s="1572"/>
      <c r="QUS640" s="1572" t="s">
        <v>885</v>
      </c>
      <c r="QUT640" s="1572"/>
      <c r="QUU640" s="1572"/>
      <c r="QUV640" s="1572"/>
      <c r="QUW640" s="1572"/>
      <c r="QUX640" s="1572"/>
      <c r="QUY640" s="1572"/>
      <c r="QUZ640" s="1572"/>
      <c r="QVA640" s="1572" t="s">
        <v>885</v>
      </c>
      <c r="QVB640" s="1572"/>
      <c r="QVC640" s="1572"/>
      <c r="QVD640" s="1572"/>
      <c r="QVE640" s="1572"/>
      <c r="QVF640" s="1572"/>
      <c r="QVG640" s="1572"/>
      <c r="QVH640" s="1572"/>
      <c r="QVI640" s="1572" t="s">
        <v>885</v>
      </c>
      <c r="QVJ640" s="1572"/>
      <c r="QVK640" s="1572"/>
      <c r="QVL640" s="1572"/>
      <c r="QVM640" s="1572"/>
      <c r="QVN640" s="1572"/>
      <c r="QVO640" s="1572"/>
      <c r="QVP640" s="1572"/>
      <c r="QVQ640" s="1572" t="s">
        <v>885</v>
      </c>
      <c r="QVR640" s="1572"/>
      <c r="QVS640" s="1572"/>
      <c r="QVT640" s="1572"/>
      <c r="QVU640" s="1572"/>
      <c r="QVV640" s="1572"/>
      <c r="QVW640" s="1572"/>
      <c r="QVX640" s="1572"/>
      <c r="QVY640" s="1572" t="s">
        <v>885</v>
      </c>
      <c r="QVZ640" s="1572"/>
      <c r="QWA640" s="1572"/>
      <c r="QWB640" s="1572"/>
      <c r="QWC640" s="1572"/>
      <c r="QWD640" s="1572"/>
      <c r="QWE640" s="1572"/>
      <c r="QWF640" s="1572"/>
      <c r="QWG640" s="1572" t="s">
        <v>885</v>
      </c>
      <c r="QWH640" s="1572"/>
      <c r="QWI640" s="1572"/>
      <c r="QWJ640" s="1572"/>
      <c r="QWK640" s="1572"/>
      <c r="QWL640" s="1572"/>
      <c r="QWM640" s="1572"/>
      <c r="QWN640" s="1572"/>
      <c r="QWO640" s="1572" t="s">
        <v>885</v>
      </c>
      <c r="QWP640" s="1572"/>
      <c r="QWQ640" s="1572"/>
      <c r="QWR640" s="1572"/>
      <c r="QWS640" s="1572"/>
      <c r="QWT640" s="1572"/>
      <c r="QWU640" s="1572"/>
      <c r="QWV640" s="1572"/>
      <c r="QWW640" s="1572" t="s">
        <v>885</v>
      </c>
      <c r="QWX640" s="1572"/>
      <c r="QWY640" s="1572"/>
      <c r="QWZ640" s="1572"/>
      <c r="QXA640" s="1572"/>
      <c r="QXB640" s="1572"/>
      <c r="QXC640" s="1572"/>
      <c r="QXD640" s="1572"/>
      <c r="QXE640" s="1572" t="s">
        <v>885</v>
      </c>
      <c r="QXF640" s="1572"/>
      <c r="QXG640" s="1572"/>
      <c r="QXH640" s="1572"/>
      <c r="QXI640" s="1572"/>
      <c r="QXJ640" s="1572"/>
      <c r="QXK640" s="1572"/>
      <c r="QXL640" s="1572"/>
      <c r="QXM640" s="1572" t="s">
        <v>885</v>
      </c>
      <c r="QXN640" s="1572"/>
      <c r="QXO640" s="1572"/>
      <c r="QXP640" s="1572"/>
      <c r="QXQ640" s="1572"/>
      <c r="QXR640" s="1572"/>
      <c r="QXS640" s="1572"/>
      <c r="QXT640" s="1572"/>
      <c r="QXU640" s="1572" t="s">
        <v>885</v>
      </c>
      <c r="QXV640" s="1572"/>
      <c r="QXW640" s="1572"/>
      <c r="QXX640" s="1572"/>
      <c r="QXY640" s="1572"/>
      <c r="QXZ640" s="1572"/>
      <c r="QYA640" s="1572"/>
      <c r="QYB640" s="1572"/>
      <c r="QYC640" s="1572" t="s">
        <v>885</v>
      </c>
      <c r="QYD640" s="1572"/>
      <c r="QYE640" s="1572"/>
      <c r="QYF640" s="1572"/>
      <c r="QYG640" s="1572"/>
      <c r="QYH640" s="1572"/>
      <c r="QYI640" s="1572"/>
      <c r="QYJ640" s="1572"/>
      <c r="QYK640" s="1572" t="s">
        <v>885</v>
      </c>
      <c r="QYL640" s="1572"/>
      <c r="QYM640" s="1572"/>
      <c r="QYN640" s="1572"/>
      <c r="QYO640" s="1572"/>
      <c r="QYP640" s="1572"/>
      <c r="QYQ640" s="1572"/>
      <c r="QYR640" s="1572"/>
      <c r="QYS640" s="1572" t="s">
        <v>885</v>
      </c>
      <c r="QYT640" s="1572"/>
      <c r="QYU640" s="1572"/>
      <c r="QYV640" s="1572"/>
      <c r="QYW640" s="1572"/>
      <c r="QYX640" s="1572"/>
      <c r="QYY640" s="1572"/>
      <c r="QYZ640" s="1572"/>
      <c r="QZA640" s="1572" t="s">
        <v>885</v>
      </c>
      <c r="QZB640" s="1572"/>
      <c r="QZC640" s="1572"/>
      <c r="QZD640" s="1572"/>
      <c r="QZE640" s="1572"/>
      <c r="QZF640" s="1572"/>
      <c r="QZG640" s="1572"/>
      <c r="QZH640" s="1572"/>
      <c r="QZI640" s="1572" t="s">
        <v>885</v>
      </c>
      <c r="QZJ640" s="1572"/>
      <c r="QZK640" s="1572"/>
      <c r="QZL640" s="1572"/>
      <c r="QZM640" s="1572"/>
      <c r="QZN640" s="1572"/>
      <c r="QZO640" s="1572"/>
      <c r="QZP640" s="1572"/>
      <c r="QZQ640" s="1572" t="s">
        <v>885</v>
      </c>
      <c r="QZR640" s="1572"/>
      <c r="QZS640" s="1572"/>
      <c r="QZT640" s="1572"/>
      <c r="QZU640" s="1572"/>
      <c r="QZV640" s="1572"/>
      <c r="QZW640" s="1572"/>
      <c r="QZX640" s="1572"/>
      <c r="QZY640" s="1572" t="s">
        <v>885</v>
      </c>
      <c r="QZZ640" s="1572"/>
      <c r="RAA640" s="1572"/>
      <c r="RAB640" s="1572"/>
      <c r="RAC640" s="1572"/>
      <c r="RAD640" s="1572"/>
      <c r="RAE640" s="1572"/>
      <c r="RAF640" s="1572"/>
      <c r="RAG640" s="1572" t="s">
        <v>885</v>
      </c>
      <c r="RAH640" s="1572"/>
      <c r="RAI640" s="1572"/>
      <c r="RAJ640" s="1572"/>
      <c r="RAK640" s="1572"/>
      <c r="RAL640" s="1572"/>
      <c r="RAM640" s="1572"/>
      <c r="RAN640" s="1572"/>
      <c r="RAO640" s="1572" t="s">
        <v>885</v>
      </c>
      <c r="RAP640" s="1572"/>
      <c r="RAQ640" s="1572"/>
      <c r="RAR640" s="1572"/>
      <c r="RAS640" s="1572"/>
      <c r="RAT640" s="1572"/>
      <c r="RAU640" s="1572"/>
      <c r="RAV640" s="1572"/>
      <c r="RAW640" s="1572" t="s">
        <v>885</v>
      </c>
      <c r="RAX640" s="1572"/>
      <c r="RAY640" s="1572"/>
      <c r="RAZ640" s="1572"/>
      <c r="RBA640" s="1572"/>
      <c r="RBB640" s="1572"/>
      <c r="RBC640" s="1572"/>
      <c r="RBD640" s="1572"/>
      <c r="RBE640" s="1572" t="s">
        <v>885</v>
      </c>
      <c r="RBF640" s="1572"/>
      <c r="RBG640" s="1572"/>
      <c r="RBH640" s="1572"/>
      <c r="RBI640" s="1572"/>
      <c r="RBJ640" s="1572"/>
      <c r="RBK640" s="1572"/>
      <c r="RBL640" s="1572"/>
      <c r="RBM640" s="1572" t="s">
        <v>885</v>
      </c>
      <c r="RBN640" s="1572"/>
      <c r="RBO640" s="1572"/>
      <c r="RBP640" s="1572"/>
      <c r="RBQ640" s="1572"/>
      <c r="RBR640" s="1572"/>
      <c r="RBS640" s="1572"/>
      <c r="RBT640" s="1572"/>
      <c r="RBU640" s="1572" t="s">
        <v>885</v>
      </c>
      <c r="RBV640" s="1572"/>
      <c r="RBW640" s="1572"/>
      <c r="RBX640" s="1572"/>
      <c r="RBY640" s="1572"/>
      <c r="RBZ640" s="1572"/>
      <c r="RCA640" s="1572"/>
      <c r="RCB640" s="1572"/>
      <c r="RCC640" s="1572" t="s">
        <v>885</v>
      </c>
      <c r="RCD640" s="1572"/>
      <c r="RCE640" s="1572"/>
      <c r="RCF640" s="1572"/>
      <c r="RCG640" s="1572"/>
      <c r="RCH640" s="1572"/>
      <c r="RCI640" s="1572"/>
      <c r="RCJ640" s="1572"/>
      <c r="RCK640" s="1572" t="s">
        <v>885</v>
      </c>
      <c r="RCL640" s="1572"/>
      <c r="RCM640" s="1572"/>
      <c r="RCN640" s="1572"/>
      <c r="RCO640" s="1572"/>
      <c r="RCP640" s="1572"/>
      <c r="RCQ640" s="1572"/>
      <c r="RCR640" s="1572"/>
      <c r="RCS640" s="1572" t="s">
        <v>885</v>
      </c>
      <c r="RCT640" s="1572"/>
      <c r="RCU640" s="1572"/>
      <c r="RCV640" s="1572"/>
      <c r="RCW640" s="1572"/>
      <c r="RCX640" s="1572"/>
      <c r="RCY640" s="1572"/>
      <c r="RCZ640" s="1572"/>
      <c r="RDA640" s="1572" t="s">
        <v>885</v>
      </c>
      <c r="RDB640" s="1572"/>
      <c r="RDC640" s="1572"/>
      <c r="RDD640" s="1572"/>
      <c r="RDE640" s="1572"/>
      <c r="RDF640" s="1572"/>
      <c r="RDG640" s="1572"/>
      <c r="RDH640" s="1572"/>
      <c r="RDI640" s="1572" t="s">
        <v>885</v>
      </c>
      <c r="RDJ640" s="1572"/>
      <c r="RDK640" s="1572"/>
      <c r="RDL640" s="1572"/>
      <c r="RDM640" s="1572"/>
      <c r="RDN640" s="1572"/>
      <c r="RDO640" s="1572"/>
      <c r="RDP640" s="1572"/>
      <c r="RDQ640" s="1572" t="s">
        <v>885</v>
      </c>
      <c r="RDR640" s="1572"/>
      <c r="RDS640" s="1572"/>
      <c r="RDT640" s="1572"/>
      <c r="RDU640" s="1572"/>
      <c r="RDV640" s="1572"/>
      <c r="RDW640" s="1572"/>
      <c r="RDX640" s="1572"/>
      <c r="RDY640" s="1572" t="s">
        <v>885</v>
      </c>
      <c r="RDZ640" s="1572"/>
      <c r="REA640" s="1572"/>
      <c r="REB640" s="1572"/>
      <c r="REC640" s="1572"/>
      <c r="RED640" s="1572"/>
      <c r="REE640" s="1572"/>
      <c r="REF640" s="1572"/>
      <c r="REG640" s="1572" t="s">
        <v>885</v>
      </c>
      <c r="REH640" s="1572"/>
      <c r="REI640" s="1572"/>
      <c r="REJ640" s="1572"/>
      <c r="REK640" s="1572"/>
      <c r="REL640" s="1572"/>
      <c r="REM640" s="1572"/>
      <c r="REN640" s="1572"/>
      <c r="REO640" s="1572" t="s">
        <v>885</v>
      </c>
      <c r="REP640" s="1572"/>
      <c r="REQ640" s="1572"/>
      <c r="RER640" s="1572"/>
      <c r="RES640" s="1572"/>
      <c r="RET640" s="1572"/>
      <c r="REU640" s="1572"/>
      <c r="REV640" s="1572"/>
      <c r="REW640" s="1572" t="s">
        <v>885</v>
      </c>
      <c r="REX640" s="1572"/>
      <c r="REY640" s="1572"/>
      <c r="REZ640" s="1572"/>
      <c r="RFA640" s="1572"/>
      <c r="RFB640" s="1572"/>
      <c r="RFC640" s="1572"/>
      <c r="RFD640" s="1572"/>
      <c r="RFE640" s="1572" t="s">
        <v>885</v>
      </c>
      <c r="RFF640" s="1572"/>
      <c r="RFG640" s="1572"/>
      <c r="RFH640" s="1572"/>
      <c r="RFI640" s="1572"/>
      <c r="RFJ640" s="1572"/>
      <c r="RFK640" s="1572"/>
      <c r="RFL640" s="1572"/>
      <c r="RFM640" s="1572" t="s">
        <v>885</v>
      </c>
      <c r="RFN640" s="1572"/>
      <c r="RFO640" s="1572"/>
      <c r="RFP640" s="1572"/>
      <c r="RFQ640" s="1572"/>
      <c r="RFR640" s="1572"/>
      <c r="RFS640" s="1572"/>
      <c r="RFT640" s="1572"/>
      <c r="RFU640" s="1572" t="s">
        <v>885</v>
      </c>
      <c r="RFV640" s="1572"/>
      <c r="RFW640" s="1572"/>
      <c r="RFX640" s="1572"/>
      <c r="RFY640" s="1572"/>
      <c r="RFZ640" s="1572"/>
      <c r="RGA640" s="1572"/>
      <c r="RGB640" s="1572"/>
      <c r="RGC640" s="1572" t="s">
        <v>885</v>
      </c>
      <c r="RGD640" s="1572"/>
      <c r="RGE640" s="1572"/>
      <c r="RGF640" s="1572"/>
      <c r="RGG640" s="1572"/>
      <c r="RGH640" s="1572"/>
      <c r="RGI640" s="1572"/>
      <c r="RGJ640" s="1572"/>
      <c r="RGK640" s="1572" t="s">
        <v>885</v>
      </c>
      <c r="RGL640" s="1572"/>
      <c r="RGM640" s="1572"/>
      <c r="RGN640" s="1572"/>
      <c r="RGO640" s="1572"/>
      <c r="RGP640" s="1572"/>
      <c r="RGQ640" s="1572"/>
      <c r="RGR640" s="1572"/>
      <c r="RGS640" s="1572" t="s">
        <v>885</v>
      </c>
      <c r="RGT640" s="1572"/>
      <c r="RGU640" s="1572"/>
      <c r="RGV640" s="1572"/>
      <c r="RGW640" s="1572"/>
      <c r="RGX640" s="1572"/>
      <c r="RGY640" s="1572"/>
      <c r="RGZ640" s="1572"/>
      <c r="RHA640" s="1572" t="s">
        <v>885</v>
      </c>
      <c r="RHB640" s="1572"/>
      <c r="RHC640" s="1572"/>
      <c r="RHD640" s="1572"/>
      <c r="RHE640" s="1572"/>
      <c r="RHF640" s="1572"/>
      <c r="RHG640" s="1572"/>
      <c r="RHH640" s="1572"/>
      <c r="RHI640" s="1572" t="s">
        <v>885</v>
      </c>
      <c r="RHJ640" s="1572"/>
      <c r="RHK640" s="1572"/>
      <c r="RHL640" s="1572"/>
      <c r="RHM640" s="1572"/>
      <c r="RHN640" s="1572"/>
      <c r="RHO640" s="1572"/>
      <c r="RHP640" s="1572"/>
      <c r="RHQ640" s="1572" t="s">
        <v>885</v>
      </c>
      <c r="RHR640" s="1572"/>
      <c r="RHS640" s="1572"/>
      <c r="RHT640" s="1572"/>
      <c r="RHU640" s="1572"/>
      <c r="RHV640" s="1572"/>
      <c r="RHW640" s="1572"/>
      <c r="RHX640" s="1572"/>
      <c r="RHY640" s="1572" t="s">
        <v>885</v>
      </c>
      <c r="RHZ640" s="1572"/>
      <c r="RIA640" s="1572"/>
      <c r="RIB640" s="1572"/>
      <c r="RIC640" s="1572"/>
      <c r="RID640" s="1572"/>
      <c r="RIE640" s="1572"/>
      <c r="RIF640" s="1572"/>
      <c r="RIG640" s="1572" t="s">
        <v>885</v>
      </c>
      <c r="RIH640" s="1572"/>
      <c r="RII640" s="1572"/>
      <c r="RIJ640" s="1572"/>
      <c r="RIK640" s="1572"/>
      <c r="RIL640" s="1572"/>
      <c r="RIM640" s="1572"/>
      <c r="RIN640" s="1572"/>
      <c r="RIO640" s="1572" t="s">
        <v>885</v>
      </c>
      <c r="RIP640" s="1572"/>
      <c r="RIQ640" s="1572"/>
      <c r="RIR640" s="1572"/>
      <c r="RIS640" s="1572"/>
      <c r="RIT640" s="1572"/>
      <c r="RIU640" s="1572"/>
      <c r="RIV640" s="1572"/>
      <c r="RIW640" s="1572" t="s">
        <v>885</v>
      </c>
      <c r="RIX640" s="1572"/>
      <c r="RIY640" s="1572"/>
      <c r="RIZ640" s="1572"/>
      <c r="RJA640" s="1572"/>
      <c r="RJB640" s="1572"/>
      <c r="RJC640" s="1572"/>
      <c r="RJD640" s="1572"/>
      <c r="RJE640" s="1572" t="s">
        <v>885</v>
      </c>
      <c r="RJF640" s="1572"/>
      <c r="RJG640" s="1572"/>
      <c r="RJH640" s="1572"/>
      <c r="RJI640" s="1572"/>
      <c r="RJJ640" s="1572"/>
      <c r="RJK640" s="1572"/>
      <c r="RJL640" s="1572"/>
      <c r="RJM640" s="1572" t="s">
        <v>885</v>
      </c>
      <c r="RJN640" s="1572"/>
      <c r="RJO640" s="1572"/>
      <c r="RJP640" s="1572"/>
      <c r="RJQ640" s="1572"/>
      <c r="RJR640" s="1572"/>
      <c r="RJS640" s="1572"/>
      <c r="RJT640" s="1572"/>
      <c r="RJU640" s="1572" t="s">
        <v>885</v>
      </c>
      <c r="RJV640" s="1572"/>
      <c r="RJW640" s="1572"/>
      <c r="RJX640" s="1572"/>
      <c r="RJY640" s="1572"/>
      <c r="RJZ640" s="1572"/>
      <c r="RKA640" s="1572"/>
      <c r="RKB640" s="1572"/>
      <c r="RKC640" s="1572" t="s">
        <v>885</v>
      </c>
      <c r="RKD640" s="1572"/>
      <c r="RKE640" s="1572"/>
      <c r="RKF640" s="1572"/>
      <c r="RKG640" s="1572"/>
      <c r="RKH640" s="1572"/>
      <c r="RKI640" s="1572"/>
      <c r="RKJ640" s="1572"/>
      <c r="RKK640" s="1572" t="s">
        <v>885</v>
      </c>
      <c r="RKL640" s="1572"/>
      <c r="RKM640" s="1572"/>
      <c r="RKN640" s="1572"/>
      <c r="RKO640" s="1572"/>
      <c r="RKP640" s="1572"/>
      <c r="RKQ640" s="1572"/>
      <c r="RKR640" s="1572"/>
      <c r="RKS640" s="1572" t="s">
        <v>885</v>
      </c>
      <c r="RKT640" s="1572"/>
      <c r="RKU640" s="1572"/>
      <c r="RKV640" s="1572"/>
      <c r="RKW640" s="1572"/>
      <c r="RKX640" s="1572"/>
      <c r="RKY640" s="1572"/>
      <c r="RKZ640" s="1572"/>
      <c r="RLA640" s="1572" t="s">
        <v>885</v>
      </c>
      <c r="RLB640" s="1572"/>
      <c r="RLC640" s="1572"/>
      <c r="RLD640" s="1572"/>
      <c r="RLE640" s="1572"/>
      <c r="RLF640" s="1572"/>
      <c r="RLG640" s="1572"/>
      <c r="RLH640" s="1572"/>
      <c r="RLI640" s="1572" t="s">
        <v>885</v>
      </c>
      <c r="RLJ640" s="1572"/>
      <c r="RLK640" s="1572"/>
      <c r="RLL640" s="1572"/>
      <c r="RLM640" s="1572"/>
      <c r="RLN640" s="1572"/>
      <c r="RLO640" s="1572"/>
      <c r="RLP640" s="1572"/>
      <c r="RLQ640" s="1572" t="s">
        <v>885</v>
      </c>
      <c r="RLR640" s="1572"/>
      <c r="RLS640" s="1572"/>
      <c r="RLT640" s="1572"/>
      <c r="RLU640" s="1572"/>
      <c r="RLV640" s="1572"/>
      <c r="RLW640" s="1572"/>
      <c r="RLX640" s="1572"/>
      <c r="RLY640" s="1572" t="s">
        <v>885</v>
      </c>
      <c r="RLZ640" s="1572"/>
      <c r="RMA640" s="1572"/>
      <c r="RMB640" s="1572"/>
      <c r="RMC640" s="1572"/>
      <c r="RMD640" s="1572"/>
      <c r="RME640" s="1572"/>
      <c r="RMF640" s="1572"/>
      <c r="RMG640" s="1572" t="s">
        <v>885</v>
      </c>
      <c r="RMH640" s="1572"/>
      <c r="RMI640" s="1572"/>
      <c r="RMJ640" s="1572"/>
      <c r="RMK640" s="1572"/>
      <c r="RML640" s="1572"/>
      <c r="RMM640" s="1572"/>
      <c r="RMN640" s="1572"/>
      <c r="RMO640" s="1572" t="s">
        <v>885</v>
      </c>
      <c r="RMP640" s="1572"/>
      <c r="RMQ640" s="1572"/>
      <c r="RMR640" s="1572"/>
      <c r="RMS640" s="1572"/>
      <c r="RMT640" s="1572"/>
      <c r="RMU640" s="1572"/>
      <c r="RMV640" s="1572"/>
      <c r="RMW640" s="1572" t="s">
        <v>885</v>
      </c>
      <c r="RMX640" s="1572"/>
      <c r="RMY640" s="1572"/>
      <c r="RMZ640" s="1572"/>
      <c r="RNA640" s="1572"/>
      <c r="RNB640" s="1572"/>
      <c r="RNC640" s="1572"/>
      <c r="RND640" s="1572"/>
      <c r="RNE640" s="1572" t="s">
        <v>885</v>
      </c>
      <c r="RNF640" s="1572"/>
      <c r="RNG640" s="1572"/>
      <c r="RNH640" s="1572"/>
      <c r="RNI640" s="1572"/>
      <c r="RNJ640" s="1572"/>
      <c r="RNK640" s="1572"/>
      <c r="RNL640" s="1572"/>
      <c r="RNM640" s="1572" t="s">
        <v>885</v>
      </c>
      <c r="RNN640" s="1572"/>
      <c r="RNO640" s="1572"/>
      <c r="RNP640" s="1572"/>
      <c r="RNQ640" s="1572"/>
      <c r="RNR640" s="1572"/>
      <c r="RNS640" s="1572"/>
      <c r="RNT640" s="1572"/>
      <c r="RNU640" s="1572" t="s">
        <v>885</v>
      </c>
      <c r="RNV640" s="1572"/>
      <c r="RNW640" s="1572"/>
      <c r="RNX640" s="1572"/>
      <c r="RNY640" s="1572"/>
      <c r="RNZ640" s="1572"/>
      <c r="ROA640" s="1572"/>
      <c r="ROB640" s="1572"/>
      <c r="ROC640" s="1572" t="s">
        <v>885</v>
      </c>
      <c r="ROD640" s="1572"/>
      <c r="ROE640" s="1572"/>
      <c r="ROF640" s="1572"/>
      <c r="ROG640" s="1572"/>
      <c r="ROH640" s="1572"/>
      <c r="ROI640" s="1572"/>
      <c r="ROJ640" s="1572"/>
      <c r="ROK640" s="1572" t="s">
        <v>885</v>
      </c>
      <c r="ROL640" s="1572"/>
      <c r="ROM640" s="1572"/>
      <c r="RON640" s="1572"/>
      <c r="ROO640" s="1572"/>
      <c r="ROP640" s="1572"/>
      <c r="ROQ640" s="1572"/>
      <c r="ROR640" s="1572"/>
      <c r="ROS640" s="1572" t="s">
        <v>885</v>
      </c>
      <c r="ROT640" s="1572"/>
      <c r="ROU640" s="1572"/>
      <c r="ROV640" s="1572"/>
      <c r="ROW640" s="1572"/>
      <c r="ROX640" s="1572"/>
      <c r="ROY640" s="1572"/>
      <c r="ROZ640" s="1572"/>
      <c r="RPA640" s="1572" t="s">
        <v>885</v>
      </c>
      <c r="RPB640" s="1572"/>
      <c r="RPC640" s="1572"/>
      <c r="RPD640" s="1572"/>
      <c r="RPE640" s="1572"/>
      <c r="RPF640" s="1572"/>
      <c r="RPG640" s="1572"/>
      <c r="RPH640" s="1572"/>
      <c r="RPI640" s="1572" t="s">
        <v>885</v>
      </c>
      <c r="RPJ640" s="1572"/>
      <c r="RPK640" s="1572"/>
      <c r="RPL640" s="1572"/>
      <c r="RPM640" s="1572"/>
      <c r="RPN640" s="1572"/>
      <c r="RPO640" s="1572"/>
      <c r="RPP640" s="1572"/>
      <c r="RPQ640" s="1572" t="s">
        <v>885</v>
      </c>
      <c r="RPR640" s="1572"/>
      <c r="RPS640" s="1572"/>
      <c r="RPT640" s="1572"/>
      <c r="RPU640" s="1572"/>
      <c r="RPV640" s="1572"/>
      <c r="RPW640" s="1572"/>
      <c r="RPX640" s="1572"/>
      <c r="RPY640" s="1572" t="s">
        <v>885</v>
      </c>
      <c r="RPZ640" s="1572"/>
      <c r="RQA640" s="1572"/>
      <c r="RQB640" s="1572"/>
      <c r="RQC640" s="1572"/>
      <c r="RQD640" s="1572"/>
      <c r="RQE640" s="1572"/>
      <c r="RQF640" s="1572"/>
      <c r="RQG640" s="1572" t="s">
        <v>885</v>
      </c>
      <c r="RQH640" s="1572"/>
      <c r="RQI640" s="1572"/>
      <c r="RQJ640" s="1572"/>
      <c r="RQK640" s="1572"/>
      <c r="RQL640" s="1572"/>
      <c r="RQM640" s="1572"/>
      <c r="RQN640" s="1572"/>
      <c r="RQO640" s="1572" t="s">
        <v>885</v>
      </c>
      <c r="RQP640" s="1572"/>
      <c r="RQQ640" s="1572"/>
      <c r="RQR640" s="1572"/>
      <c r="RQS640" s="1572"/>
      <c r="RQT640" s="1572"/>
      <c r="RQU640" s="1572"/>
      <c r="RQV640" s="1572"/>
      <c r="RQW640" s="1572" t="s">
        <v>885</v>
      </c>
      <c r="RQX640" s="1572"/>
      <c r="RQY640" s="1572"/>
      <c r="RQZ640" s="1572"/>
      <c r="RRA640" s="1572"/>
      <c r="RRB640" s="1572"/>
      <c r="RRC640" s="1572"/>
      <c r="RRD640" s="1572"/>
      <c r="RRE640" s="1572" t="s">
        <v>885</v>
      </c>
      <c r="RRF640" s="1572"/>
      <c r="RRG640" s="1572"/>
      <c r="RRH640" s="1572"/>
      <c r="RRI640" s="1572"/>
      <c r="RRJ640" s="1572"/>
      <c r="RRK640" s="1572"/>
      <c r="RRL640" s="1572"/>
      <c r="RRM640" s="1572" t="s">
        <v>885</v>
      </c>
      <c r="RRN640" s="1572"/>
      <c r="RRO640" s="1572"/>
      <c r="RRP640" s="1572"/>
      <c r="RRQ640" s="1572"/>
      <c r="RRR640" s="1572"/>
      <c r="RRS640" s="1572"/>
      <c r="RRT640" s="1572"/>
      <c r="RRU640" s="1572" t="s">
        <v>885</v>
      </c>
      <c r="RRV640" s="1572"/>
      <c r="RRW640" s="1572"/>
      <c r="RRX640" s="1572"/>
      <c r="RRY640" s="1572"/>
      <c r="RRZ640" s="1572"/>
      <c r="RSA640" s="1572"/>
      <c r="RSB640" s="1572"/>
      <c r="RSC640" s="1572" t="s">
        <v>885</v>
      </c>
      <c r="RSD640" s="1572"/>
      <c r="RSE640" s="1572"/>
      <c r="RSF640" s="1572"/>
      <c r="RSG640" s="1572"/>
      <c r="RSH640" s="1572"/>
      <c r="RSI640" s="1572"/>
      <c r="RSJ640" s="1572"/>
      <c r="RSK640" s="1572" t="s">
        <v>885</v>
      </c>
      <c r="RSL640" s="1572"/>
      <c r="RSM640" s="1572"/>
      <c r="RSN640" s="1572"/>
      <c r="RSO640" s="1572"/>
      <c r="RSP640" s="1572"/>
      <c r="RSQ640" s="1572"/>
      <c r="RSR640" s="1572"/>
      <c r="RSS640" s="1572" t="s">
        <v>885</v>
      </c>
      <c r="RST640" s="1572"/>
      <c r="RSU640" s="1572"/>
      <c r="RSV640" s="1572"/>
      <c r="RSW640" s="1572"/>
      <c r="RSX640" s="1572"/>
      <c r="RSY640" s="1572"/>
      <c r="RSZ640" s="1572"/>
      <c r="RTA640" s="1572" t="s">
        <v>885</v>
      </c>
      <c r="RTB640" s="1572"/>
      <c r="RTC640" s="1572"/>
      <c r="RTD640" s="1572"/>
      <c r="RTE640" s="1572"/>
      <c r="RTF640" s="1572"/>
      <c r="RTG640" s="1572"/>
      <c r="RTH640" s="1572"/>
      <c r="RTI640" s="1572" t="s">
        <v>885</v>
      </c>
      <c r="RTJ640" s="1572"/>
      <c r="RTK640" s="1572"/>
      <c r="RTL640" s="1572"/>
      <c r="RTM640" s="1572"/>
      <c r="RTN640" s="1572"/>
      <c r="RTO640" s="1572"/>
      <c r="RTP640" s="1572"/>
      <c r="RTQ640" s="1572" t="s">
        <v>885</v>
      </c>
      <c r="RTR640" s="1572"/>
      <c r="RTS640" s="1572"/>
      <c r="RTT640" s="1572"/>
      <c r="RTU640" s="1572"/>
      <c r="RTV640" s="1572"/>
      <c r="RTW640" s="1572"/>
      <c r="RTX640" s="1572"/>
      <c r="RTY640" s="1572" t="s">
        <v>885</v>
      </c>
      <c r="RTZ640" s="1572"/>
      <c r="RUA640" s="1572"/>
      <c r="RUB640" s="1572"/>
      <c r="RUC640" s="1572"/>
      <c r="RUD640" s="1572"/>
      <c r="RUE640" s="1572"/>
      <c r="RUF640" s="1572"/>
      <c r="RUG640" s="1572" t="s">
        <v>885</v>
      </c>
      <c r="RUH640" s="1572"/>
      <c r="RUI640" s="1572"/>
      <c r="RUJ640" s="1572"/>
      <c r="RUK640" s="1572"/>
      <c r="RUL640" s="1572"/>
      <c r="RUM640" s="1572"/>
      <c r="RUN640" s="1572"/>
      <c r="RUO640" s="1572" t="s">
        <v>885</v>
      </c>
      <c r="RUP640" s="1572"/>
      <c r="RUQ640" s="1572"/>
      <c r="RUR640" s="1572"/>
      <c r="RUS640" s="1572"/>
      <c r="RUT640" s="1572"/>
      <c r="RUU640" s="1572"/>
      <c r="RUV640" s="1572"/>
      <c r="RUW640" s="1572" t="s">
        <v>885</v>
      </c>
      <c r="RUX640" s="1572"/>
      <c r="RUY640" s="1572"/>
      <c r="RUZ640" s="1572"/>
      <c r="RVA640" s="1572"/>
      <c r="RVB640" s="1572"/>
      <c r="RVC640" s="1572"/>
      <c r="RVD640" s="1572"/>
      <c r="RVE640" s="1572" t="s">
        <v>885</v>
      </c>
      <c r="RVF640" s="1572"/>
      <c r="RVG640" s="1572"/>
      <c r="RVH640" s="1572"/>
      <c r="RVI640" s="1572"/>
      <c r="RVJ640" s="1572"/>
      <c r="RVK640" s="1572"/>
      <c r="RVL640" s="1572"/>
      <c r="RVM640" s="1572" t="s">
        <v>885</v>
      </c>
      <c r="RVN640" s="1572"/>
      <c r="RVO640" s="1572"/>
      <c r="RVP640" s="1572"/>
      <c r="RVQ640" s="1572"/>
      <c r="RVR640" s="1572"/>
      <c r="RVS640" s="1572"/>
      <c r="RVT640" s="1572"/>
      <c r="RVU640" s="1572" t="s">
        <v>885</v>
      </c>
      <c r="RVV640" s="1572"/>
      <c r="RVW640" s="1572"/>
      <c r="RVX640" s="1572"/>
      <c r="RVY640" s="1572"/>
      <c r="RVZ640" s="1572"/>
      <c r="RWA640" s="1572"/>
      <c r="RWB640" s="1572"/>
      <c r="RWC640" s="1572" t="s">
        <v>885</v>
      </c>
      <c r="RWD640" s="1572"/>
      <c r="RWE640" s="1572"/>
      <c r="RWF640" s="1572"/>
      <c r="RWG640" s="1572"/>
      <c r="RWH640" s="1572"/>
      <c r="RWI640" s="1572"/>
      <c r="RWJ640" s="1572"/>
      <c r="RWK640" s="1572" t="s">
        <v>885</v>
      </c>
      <c r="RWL640" s="1572"/>
      <c r="RWM640" s="1572"/>
      <c r="RWN640" s="1572"/>
      <c r="RWO640" s="1572"/>
      <c r="RWP640" s="1572"/>
      <c r="RWQ640" s="1572"/>
      <c r="RWR640" s="1572"/>
      <c r="RWS640" s="1572" t="s">
        <v>885</v>
      </c>
      <c r="RWT640" s="1572"/>
      <c r="RWU640" s="1572"/>
      <c r="RWV640" s="1572"/>
      <c r="RWW640" s="1572"/>
      <c r="RWX640" s="1572"/>
      <c r="RWY640" s="1572"/>
      <c r="RWZ640" s="1572"/>
      <c r="RXA640" s="1572" t="s">
        <v>885</v>
      </c>
      <c r="RXB640" s="1572"/>
      <c r="RXC640" s="1572"/>
      <c r="RXD640" s="1572"/>
      <c r="RXE640" s="1572"/>
      <c r="RXF640" s="1572"/>
      <c r="RXG640" s="1572"/>
      <c r="RXH640" s="1572"/>
      <c r="RXI640" s="1572" t="s">
        <v>885</v>
      </c>
      <c r="RXJ640" s="1572"/>
      <c r="RXK640" s="1572"/>
      <c r="RXL640" s="1572"/>
      <c r="RXM640" s="1572"/>
      <c r="RXN640" s="1572"/>
      <c r="RXO640" s="1572"/>
      <c r="RXP640" s="1572"/>
      <c r="RXQ640" s="1572" t="s">
        <v>885</v>
      </c>
      <c r="RXR640" s="1572"/>
      <c r="RXS640" s="1572"/>
      <c r="RXT640" s="1572"/>
      <c r="RXU640" s="1572"/>
      <c r="RXV640" s="1572"/>
      <c r="RXW640" s="1572"/>
      <c r="RXX640" s="1572"/>
      <c r="RXY640" s="1572" t="s">
        <v>885</v>
      </c>
      <c r="RXZ640" s="1572"/>
      <c r="RYA640" s="1572"/>
      <c r="RYB640" s="1572"/>
      <c r="RYC640" s="1572"/>
      <c r="RYD640" s="1572"/>
      <c r="RYE640" s="1572"/>
      <c r="RYF640" s="1572"/>
      <c r="RYG640" s="1572" t="s">
        <v>885</v>
      </c>
      <c r="RYH640" s="1572"/>
      <c r="RYI640" s="1572"/>
      <c r="RYJ640" s="1572"/>
      <c r="RYK640" s="1572"/>
      <c r="RYL640" s="1572"/>
      <c r="RYM640" s="1572"/>
      <c r="RYN640" s="1572"/>
      <c r="RYO640" s="1572" t="s">
        <v>885</v>
      </c>
      <c r="RYP640" s="1572"/>
      <c r="RYQ640" s="1572"/>
      <c r="RYR640" s="1572"/>
      <c r="RYS640" s="1572"/>
      <c r="RYT640" s="1572"/>
      <c r="RYU640" s="1572"/>
      <c r="RYV640" s="1572"/>
      <c r="RYW640" s="1572" t="s">
        <v>885</v>
      </c>
      <c r="RYX640" s="1572"/>
      <c r="RYY640" s="1572"/>
      <c r="RYZ640" s="1572"/>
      <c r="RZA640" s="1572"/>
      <c r="RZB640" s="1572"/>
      <c r="RZC640" s="1572"/>
      <c r="RZD640" s="1572"/>
      <c r="RZE640" s="1572" t="s">
        <v>885</v>
      </c>
      <c r="RZF640" s="1572"/>
      <c r="RZG640" s="1572"/>
      <c r="RZH640" s="1572"/>
      <c r="RZI640" s="1572"/>
      <c r="RZJ640" s="1572"/>
      <c r="RZK640" s="1572"/>
      <c r="RZL640" s="1572"/>
      <c r="RZM640" s="1572" t="s">
        <v>885</v>
      </c>
      <c r="RZN640" s="1572"/>
      <c r="RZO640" s="1572"/>
      <c r="RZP640" s="1572"/>
      <c r="RZQ640" s="1572"/>
      <c r="RZR640" s="1572"/>
      <c r="RZS640" s="1572"/>
      <c r="RZT640" s="1572"/>
      <c r="RZU640" s="1572" t="s">
        <v>885</v>
      </c>
      <c r="RZV640" s="1572"/>
      <c r="RZW640" s="1572"/>
      <c r="RZX640" s="1572"/>
      <c r="RZY640" s="1572"/>
      <c r="RZZ640" s="1572"/>
      <c r="SAA640" s="1572"/>
      <c r="SAB640" s="1572"/>
      <c r="SAC640" s="1572" t="s">
        <v>885</v>
      </c>
      <c r="SAD640" s="1572"/>
      <c r="SAE640" s="1572"/>
      <c r="SAF640" s="1572"/>
      <c r="SAG640" s="1572"/>
      <c r="SAH640" s="1572"/>
      <c r="SAI640" s="1572"/>
      <c r="SAJ640" s="1572"/>
      <c r="SAK640" s="1572" t="s">
        <v>885</v>
      </c>
      <c r="SAL640" s="1572"/>
      <c r="SAM640" s="1572"/>
      <c r="SAN640" s="1572"/>
      <c r="SAO640" s="1572"/>
      <c r="SAP640" s="1572"/>
      <c r="SAQ640" s="1572"/>
      <c r="SAR640" s="1572"/>
      <c r="SAS640" s="1572" t="s">
        <v>885</v>
      </c>
      <c r="SAT640" s="1572"/>
      <c r="SAU640" s="1572"/>
      <c r="SAV640" s="1572"/>
      <c r="SAW640" s="1572"/>
      <c r="SAX640" s="1572"/>
      <c r="SAY640" s="1572"/>
      <c r="SAZ640" s="1572"/>
      <c r="SBA640" s="1572" t="s">
        <v>885</v>
      </c>
      <c r="SBB640" s="1572"/>
      <c r="SBC640" s="1572"/>
      <c r="SBD640" s="1572"/>
      <c r="SBE640" s="1572"/>
      <c r="SBF640" s="1572"/>
      <c r="SBG640" s="1572"/>
      <c r="SBH640" s="1572"/>
      <c r="SBI640" s="1572" t="s">
        <v>885</v>
      </c>
      <c r="SBJ640" s="1572"/>
      <c r="SBK640" s="1572"/>
      <c r="SBL640" s="1572"/>
      <c r="SBM640" s="1572"/>
      <c r="SBN640" s="1572"/>
      <c r="SBO640" s="1572"/>
      <c r="SBP640" s="1572"/>
      <c r="SBQ640" s="1572" t="s">
        <v>885</v>
      </c>
      <c r="SBR640" s="1572"/>
      <c r="SBS640" s="1572"/>
      <c r="SBT640" s="1572"/>
      <c r="SBU640" s="1572"/>
      <c r="SBV640" s="1572"/>
      <c r="SBW640" s="1572"/>
      <c r="SBX640" s="1572"/>
      <c r="SBY640" s="1572" t="s">
        <v>885</v>
      </c>
      <c r="SBZ640" s="1572"/>
      <c r="SCA640" s="1572"/>
      <c r="SCB640" s="1572"/>
      <c r="SCC640" s="1572"/>
      <c r="SCD640" s="1572"/>
      <c r="SCE640" s="1572"/>
      <c r="SCF640" s="1572"/>
      <c r="SCG640" s="1572" t="s">
        <v>885</v>
      </c>
      <c r="SCH640" s="1572"/>
      <c r="SCI640" s="1572"/>
      <c r="SCJ640" s="1572"/>
      <c r="SCK640" s="1572"/>
      <c r="SCL640" s="1572"/>
      <c r="SCM640" s="1572"/>
      <c r="SCN640" s="1572"/>
      <c r="SCO640" s="1572" t="s">
        <v>885</v>
      </c>
      <c r="SCP640" s="1572"/>
      <c r="SCQ640" s="1572"/>
      <c r="SCR640" s="1572"/>
      <c r="SCS640" s="1572"/>
      <c r="SCT640" s="1572"/>
      <c r="SCU640" s="1572"/>
      <c r="SCV640" s="1572"/>
      <c r="SCW640" s="1572" t="s">
        <v>885</v>
      </c>
      <c r="SCX640" s="1572"/>
      <c r="SCY640" s="1572"/>
      <c r="SCZ640" s="1572"/>
      <c r="SDA640" s="1572"/>
      <c r="SDB640" s="1572"/>
      <c r="SDC640" s="1572"/>
      <c r="SDD640" s="1572"/>
      <c r="SDE640" s="1572" t="s">
        <v>885</v>
      </c>
      <c r="SDF640" s="1572"/>
      <c r="SDG640" s="1572"/>
      <c r="SDH640" s="1572"/>
      <c r="SDI640" s="1572"/>
      <c r="SDJ640" s="1572"/>
      <c r="SDK640" s="1572"/>
      <c r="SDL640" s="1572"/>
      <c r="SDM640" s="1572" t="s">
        <v>885</v>
      </c>
      <c r="SDN640" s="1572"/>
      <c r="SDO640" s="1572"/>
      <c r="SDP640" s="1572"/>
      <c r="SDQ640" s="1572"/>
      <c r="SDR640" s="1572"/>
      <c r="SDS640" s="1572"/>
      <c r="SDT640" s="1572"/>
      <c r="SDU640" s="1572" t="s">
        <v>885</v>
      </c>
      <c r="SDV640" s="1572"/>
      <c r="SDW640" s="1572"/>
      <c r="SDX640" s="1572"/>
      <c r="SDY640" s="1572"/>
      <c r="SDZ640" s="1572"/>
      <c r="SEA640" s="1572"/>
      <c r="SEB640" s="1572"/>
      <c r="SEC640" s="1572" t="s">
        <v>885</v>
      </c>
      <c r="SED640" s="1572"/>
      <c r="SEE640" s="1572"/>
      <c r="SEF640" s="1572"/>
      <c r="SEG640" s="1572"/>
      <c r="SEH640" s="1572"/>
      <c r="SEI640" s="1572"/>
      <c r="SEJ640" s="1572"/>
      <c r="SEK640" s="1572" t="s">
        <v>885</v>
      </c>
      <c r="SEL640" s="1572"/>
      <c r="SEM640" s="1572"/>
      <c r="SEN640" s="1572"/>
      <c r="SEO640" s="1572"/>
      <c r="SEP640" s="1572"/>
      <c r="SEQ640" s="1572"/>
      <c r="SER640" s="1572"/>
      <c r="SES640" s="1572" t="s">
        <v>885</v>
      </c>
      <c r="SET640" s="1572"/>
      <c r="SEU640" s="1572"/>
      <c r="SEV640" s="1572"/>
      <c r="SEW640" s="1572"/>
      <c r="SEX640" s="1572"/>
      <c r="SEY640" s="1572"/>
      <c r="SEZ640" s="1572"/>
      <c r="SFA640" s="1572" t="s">
        <v>885</v>
      </c>
      <c r="SFB640" s="1572"/>
      <c r="SFC640" s="1572"/>
      <c r="SFD640" s="1572"/>
      <c r="SFE640" s="1572"/>
      <c r="SFF640" s="1572"/>
      <c r="SFG640" s="1572"/>
      <c r="SFH640" s="1572"/>
      <c r="SFI640" s="1572" t="s">
        <v>885</v>
      </c>
      <c r="SFJ640" s="1572"/>
      <c r="SFK640" s="1572"/>
      <c r="SFL640" s="1572"/>
      <c r="SFM640" s="1572"/>
      <c r="SFN640" s="1572"/>
      <c r="SFO640" s="1572"/>
      <c r="SFP640" s="1572"/>
      <c r="SFQ640" s="1572" t="s">
        <v>885</v>
      </c>
      <c r="SFR640" s="1572"/>
      <c r="SFS640" s="1572"/>
      <c r="SFT640" s="1572"/>
      <c r="SFU640" s="1572"/>
      <c r="SFV640" s="1572"/>
      <c r="SFW640" s="1572"/>
      <c r="SFX640" s="1572"/>
      <c r="SFY640" s="1572" t="s">
        <v>885</v>
      </c>
      <c r="SFZ640" s="1572"/>
      <c r="SGA640" s="1572"/>
      <c r="SGB640" s="1572"/>
      <c r="SGC640" s="1572"/>
      <c r="SGD640" s="1572"/>
      <c r="SGE640" s="1572"/>
      <c r="SGF640" s="1572"/>
      <c r="SGG640" s="1572" t="s">
        <v>885</v>
      </c>
      <c r="SGH640" s="1572"/>
      <c r="SGI640" s="1572"/>
      <c r="SGJ640" s="1572"/>
      <c r="SGK640" s="1572"/>
      <c r="SGL640" s="1572"/>
      <c r="SGM640" s="1572"/>
      <c r="SGN640" s="1572"/>
      <c r="SGO640" s="1572" t="s">
        <v>885</v>
      </c>
      <c r="SGP640" s="1572"/>
      <c r="SGQ640" s="1572"/>
      <c r="SGR640" s="1572"/>
      <c r="SGS640" s="1572"/>
      <c r="SGT640" s="1572"/>
      <c r="SGU640" s="1572"/>
      <c r="SGV640" s="1572"/>
      <c r="SGW640" s="1572" t="s">
        <v>885</v>
      </c>
      <c r="SGX640" s="1572"/>
      <c r="SGY640" s="1572"/>
      <c r="SGZ640" s="1572"/>
      <c r="SHA640" s="1572"/>
      <c r="SHB640" s="1572"/>
      <c r="SHC640" s="1572"/>
      <c r="SHD640" s="1572"/>
      <c r="SHE640" s="1572" t="s">
        <v>885</v>
      </c>
      <c r="SHF640" s="1572"/>
      <c r="SHG640" s="1572"/>
      <c r="SHH640" s="1572"/>
      <c r="SHI640" s="1572"/>
      <c r="SHJ640" s="1572"/>
      <c r="SHK640" s="1572"/>
      <c r="SHL640" s="1572"/>
      <c r="SHM640" s="1572" t="s">
        <v>885</v>
      </c>
      <c r="SHN640" s="1572"/>
      <c r="SHO640" s="1572"/>
      <c r="SHP640" s="1572"/>
      <c r="SHQ640" s="1572"/>
      <c r="SHR640" s="1572"/>
      <c r="SHS640" s="1572"/>
      <c r="SHT640" s="1572"/>
      <c r="SHU640" s="1572" t="s">
        <v>885</v>
      </c>
      <c r="SHV640" s="1572"/>
      <c r="SHW640" s="1572"/>
      <c r="SHX640" s="1572"/>
      <c r="SHY640" s="1572"/>
      <c r="SHZ640" s="1572"/>
      <c r="SIA640" s="1572"/>
      <c r="SIB640" s="1572"/>
      <c r="SIC640" s="1572" t="s">
        <v>885</v>
      </c>
      <c r="SID640" s="1572"/>
      <c r="SIE640" s="1572"/>
      <c r="SIF640" s="1572"/>
      <c r="SIG640" s="1572"/>
      <c r="SIH640" s="1572"/>
      <c r="SII640" s="1572"/>
      <c r="SIJ640" s="1572"/>
      <c r="SIK640" s="1572" t="s">
        <v>885</v>
      </c>
      <c r="SIL640" s="1572"/>
      <c r="SIM640" s="1572"/>
      <c r="SIN640" s="1572"/>
      <c r="SIO640" s="1572"/>
      <c r="SIP640" s="1572"/>
      <c r="SIQ640" s="1572"/>
      <c r="SIR640" s="1572"/>
      <c r="SIS640" s="1572" t="s">
        <v>885</v>
      </c>
      <c r="SIT640" s="1572"/>
      <c r="SIU640" s="1572"/>
      <c r="SIV640" s="1572"/>
      <c r="SIW640" s="1572"/>
      <c r="SIX640" s="1572"/>
      <c r="SIY640" s="1572"/>
      <c r="SIZ640" s="1572"/>
      <c r="SJA640" s="1572" t="s">
        <v>885</v>
      </c>
      <c r="SJB640" s="1572"/>
      <c r="SJC640" s="1572"/>
      <c r="SJD640" s="1572"/>
      <c r="SJE640" s="1572"/>
      <c r="SJF640" s="1572"/>
      <c r="SJG640" s="1572"/>
      <c r="SJH640" s="1572"/>
      <c r="SJI640" s="1572" t="s">
        <v>885</v>
      </c>
      <c r="SJJ640" s="1572"/>
      <c r="SJK640" s="1572"/>
      <c r="SJL640" s="1572"/>
      <c r="SJM640" s="1572"/>
      <c r="SJN640" s="1572"/>
      <c r="SJO640" s="1572"/>
      <c r="SJP640" s="1572"/>
      <c r="SJQ640" s="1572" t="s">
        <v>885</v>
      </c>
      <c r="SJR640" s="1572"/>
      <c r="SJS640" s="1572"/>
      <c r="SJT640" s="1572"/>
      <c r="SJU640" s="1572"/>
      <c r="SJV640" s="1572"/>
      <c r="SJW640" s="1572"/>
      <c r="SJX640" s="1572"/>
      <c r="SJY640" s="1572" t="s">
        <v>885</v>
      </c>
      <c r="SJZ640" s="1572"/>
      <c r="SKA640" s="1572"/>
      <c r="SKB640" s="1572"/>
      <c r="SKC640" s="1572"/>
      <c r="SKD640" s="1572"/>
      <c r="SKE640" s="1572"/>
      <c r="SKF640" s="1572"/>
      <c r="SKG640" s="1572" t="s">
        <v>885</v>
      </c>
      <c r="SKH640" s="1572"/>
      <c r="SKI640" s="1572"/>
      <c r="SKJ640" s="1572"/>
      <c r="SKK640" s="1572"/>
      <c r="SKL640" s="1572"/>
      <c r="SKM640" s="1572"/>
      <c r="SKN640" s="1572"/>
      <c r="SKO640" s="1572" t="s">
        <v>885</v>
      </c>
      <c r="SKP640" s="1572"/>
      <c r="SKQ640" s="1572"/>
      <c r="SKR640" s="1572"/>
      <c r="SKS640" s="1572"/>
      <c r="SKT640" s="1572"/>
      <c r="SKU640" s="1572"/>
      <c r="SKV640" s="1572"/>
      <c r="SKW640" s="1572" t="s">
        <v>885</v>
      </c>
      <c r="SKX640" s="1572"/>
      <c r="SKY640" s="1572"/>
      <c r="SKZ640" s="1572"/>
      <c r="SLA640" s="1572"/>
      <c r="SLB640" s="1572"/>
      <c r="SLC640" s="1572"/>
      <c r="SLD640" s="1572"/>
      <c r="SLE640" s="1572" t="s">
        <v>885</v>
      </c>
      <c r="SLF640" s="1572"/>
      <c r="SLG640" s="1572"/>
      <c r="SLH640" s="1572"/>
      <c r="SLI640" s="1572"/>
      <c r="SLJ640" s="1572"/>
      <c r="SLK640" s="1572"/>
      <c r="SLL640" s="1572"/>
      <c r="SLM640" s="1572" t="s">
        <v>885</v>
      </c>
      <c r="SLN640" s="1572"/>
      <c r="SLO640" s="1572"/>
      <c r="SLP640" s="1572"/>
      <c r="SLQ640" s="1572"/>
      <c r="SLR640" s="1572"/>
      <c r="SLS640" s="1572"/>
      <c r="SLT640" s="1572"/>
      <c r="SLU640" s="1572" t="s">
        <v>885</v>
      </c>
      <c r="SLV640" s="1572"/>
      <c r="SLW640" s="1572"/>
      <c r="SLX640" s="1572"/>
      <c r="SLY640" s="1572"/>
      <c r="SLZ640" s="1572"/>
      <c r="SMA640" s="1572"/>
      <c r="SMB640" s="1572"/>
      <c r="SMC640" s="1572" t="s">
        <v>885</v>
      </c>
      <c r="SMD640" s="1572"/>
      <c r="SME640" s="1572"/>
      <c r="SMF640" s="1572"/>
      <c r="SMG640" s="1572"/>
      <c r="SMH640" s="1572"/>
      <c r="SMI640" s="1572"/>
      <c r="SMJ640" s="1572"/>
      <c r="SMK640" s="1572" t="s">
        <v>885</v>
      </c>
      <c r="SML640" s="1572"/>
      <c r="SMM640" s="1572"/>
      <c r="SMN640" s="1572"/>
      <c r="SMO640" s="1572"/>
      <c r="SMP640" s="1572"/>
      <c r="SMQ640" s="1572"/>
      <c r="SMR640" s="1572"/>
      <c r="SMS640" s="1572" t="s">
        <v>885</v>
      </c>
      <c r="SMT640" s="1572"/>
      <c r="SMU640" s="1572"/>
      <c r="SMV640" s="1572"/>
      <c r="SMW640" s="1572"/>
      <c r="SMX640" s="1572"/>
      <c r="SMY640" s="1572"/>
      <c r="SMZ640" s="1572"/>
      <c r="SNA640" s="1572" t="s">
        <v>885</v>
      </c>
      <c r="SNB640" s="1572"/>
      <c r="SNC640" s="1572"/>
      <c r="SND640" s="1572"/>
      <c r="SNE640" s="1572"/>
      <c r="SNF640" s="1572"/>
      <c r="SNG640" s="1572"/>
      <c r="SNH640" s="1572"/>
      <c r="SNI640" s="1572" t="s">
        <v>885</v>
      </c>
      <c r="SNJ640" s="1572"/>
      <c r="SNK640" s="1572"/>
      <c r="SNL640" s="1572"/>
      <c r="SNM640" s="1572"/>
      <c r="SNN640" s="1572"/>
      <c r="SNO640" s="1572"/>
      <c r="SNP640" s="1572"/>
      <c r="SNQ640" s="1572" t="s">
        <v>885</v>
      </c>
      <c r="SNR640" s="1572"/>
      <c r="SNS640" s="1572"/>
      <c r="SNT640" s="1572"/>
      <c r="SNU640" s="1572"/>
      <c r="SNV640" s="1572"/>
      <c r="SNW640" s="1572"/>
      <c r="SNX640" s="1572"/>
      <c r="SNY640" s="1572" t="s">
        <v>885</v>
      </c>
      <c r="SNZ640" s="1572"/>
      <c r="SOA640" s="1572"/>
      <c r="SOB640" s="1572"/>
      <c r="SOC640" s="1572"/>
      <c r="SOD640" s="1572"/>
      <c r="SOE640" s="1572"/>
      <c r="SOF640" s="1572"/>
      <c r="SOG640" s="1572" t="s">
        <v>885</v>
      </c>
      <c r="SOH640" s="1572"/>
      <c r="SOI640" s="1572"/>
      <c r="SOJ640" s="1572"/>
      <c r="SOK640" s="1572"/>
      <c r="SOL640" s="1572"/>
      <c r="SOM640" s="1572"/>
      <c r="SON640" s="1572"/>
      <c r="SOO640" s="1572" t="s">
        <v>885</v>
      </c>
      <c r="SOP640" s="1572"/>
      <c r="SOQ640" s="1572"/>
      <c r="SOR640" s="1572"/>
      <c r="SOS640" s="1572"/>
      <c r="SOT640" s="1572"/>
      <c r="SOU640" s="1572"/>
      <c r="SOV640" s="1572"/>
      <c r="SOW640" s="1572" t="s">
        <v>885</v>
      </c>
      <c r="SOX640" s="1572"/>
      <c r="SOY640" s="1572"/>
      <c r="SOZ640" s="1572"/>
      <c r="SPA640" s="1572"/>
      <c r="SPB640" s="1572"/>
      <c r="SPC640" s="1572"/>
      <c r="SPD640" s="1572"/>
      <c r="SPE640" s="1572" t="s">
        <v>885</v>
      </c>
      <c r="SPF640" s="1572"/>
      <c r="SPG640" s="1572"/>
      <c r="SPH640" s="1572"/>
      <c r="SPI640" s="1572"/>
      <c r="SPJ640" s="1572"/>
      <c r="SPK640" s="1572"/>
      <c r="SPL640" s="1572"/>
      <c r="SPM640" s="1572" t="s">
        <v>885</v>
      </c>
      <c r="SPN640" s="1572"/>
      <c r="SPO640" s="1572"/>
      <c r="SPP640" s="1572"/>
      <c r="SPQ640" s="1572"/>
      <c r="SPR640" s="1572"/>
      <c r="SPS640" s="1572"/>
      <c r="SPT640" s="1572"/>
      <c r="SPU640" s="1572" t="s">
        <v>885</v>
      </c>
      <c r="SPV640" s="1572"/>
      <c r="SPW640" s="1572"/>
      <c r="SPX640" s="1572"/>
      <c r="SPY640" s="1572"/>
      <c r="SPZ640" s="1572"/>
      <c r="SQA640" s="1572"/>
      <c r="SQB640" s="1572"/>
      <c r="SQC640" s="1572" t="s">
        <v>885</v>
      </c>
      <c r="SQD640" s="1572"/>
      <c r="SQE640" s="1572"/>
      <c r="SQF640" s="1572"/>
      <c r="SQG640" s="1572"/>
      <c r="SQH640" s="1572"/>
      <c r="SQI640" s="1572"/>
      <c r="SQJ640" s="1572"/>
      <c r="SQK640" s="1572" t="s">
        <v>885</v>
      </c>
      <c r="SQL640" s="1572"/>
      <c r="SQM640" s="1572"/>
      <c r="SQN640" s="1572"/>
      <c r="SQO640" s="1572"/>
      <c r="SQP640" s="1572"/>
      <c r="SQQ640" s="1572"/>
      <c r="SQR640" s="1572"/>
      <c r="SQS640" s="1572" t="s">
        <v>885</v>
      </c>
      <c r="SQT640" s="1572"/>
      <c r="SQU640" s="1572"/>
      <c r="SQV640" s="1572"/>
      <c r="SQW640" s="1572"/>
      <c r="SQX640" s="1572"/>
      <c r="SQY640" s="1572"/>
      <c r="SQZ640" s="1572"/>
      <c r="SRA640" s="1572" t="s">
        <v>885</v>
      </c>
      <c r="SRB640" s="1572"/>
      <c r="SRC640" s="1572"/>
      <c r="SRD640" s="1572"/>
      <c r="SRE640" s="1572"/>
      <c r="SRF640" s="1572"/>
      <c r="SRG640" s="1572"/>
      <c r="SRH640" s="1572"/>
      <c r="SRI640" s="1572" t="s">
        <v>885</v>
      </c>
      <c r="SRJ640" s="1572"/>
      <c r="SRK640" s="1572"/>
      <c r="SRL640" s="1572"/>
      <c r="SRM640" s="1572"/>
      <c r="SRN640" s="1572"/>
      <c r="SRO640" s="1572"/>
      <c r="SRP640" s="1572"/>
      <c r="SRQ640" s="1572" t="s">
        <v>885</v>
      </c>
      <c r="SRR640" s="1572"/>
      <c r="SRS640" s="1572"/>
      <c r="SRT640" s="1572"/>
      <c r="SRU640" s="1572"/>
      <c r="SRV640" s="1572"/>
      <c r="SRW640" s="1572"/>
      <c r="SRX640" s="1572"/>
      <c r="SRY640" s="1572" t="s">
        <v>885</v>
      </c>
      <c r="SRZ640" s="1572"/>
      <c r="SSA640" s="1572"/>
      <c r="SSB640" s="1572"/>
      <c r="SSC640" s="1572"/>
      <c r="SSD640" s="1572"/>
      <c r="SSE640" s="1572"/>
      <c r="SSF640" s="1572"/>
      <c r="SSG640" s="1572" t="s">
        <v>885</v>
      </c>
      <c r="SSH640" s="1572"/>
      <c r="SSI640" s="1572"/>
      <c r="SSJ640" s="1572"/>
      <c r="SSK640" s="1572"/>
      <c r="SSL640" s="1572"/>
      <c r="SSM640" s="1572"/>
      <c r="SSN640" s="1572"/>
      <c r="SSO640" s="1572" t="s">
        <v>885</v>
      </c>
      <c r="SSP640" s="1572"/>
      <c r="SSQ640" s="1572"/>
      <c r="SSR640" s="1572"/>
      <c r="SSS640" s="1572"/>
      <c r="SST640" s="1572"/>
      <c r="SSU640" s="1572"/>
      <c r="SSV640" s="1572"/>
      <c r="SSW640" s="1572" t="s">
        <v>885</v>
      </c>
      <c r="SSX640" s="1572"/>
      <c r="SSY640" s="1572"/>
      <c r="SSZ640" s="1572"/>
      <c r="STA640" s="1572"/>
      <c r="STB640" s="1572"/>
      <c r="STC640" s="1572"/>
      <c r="STD640" s="1572"/>
      <c r="STE640" s="1572" t="s">
        <v>885</v>
      </c>
      <c r="STF640" s="1572"/>
      <c r="STG640" s="1572"/>
      <c r="STH640" s="1572"/>
      <c r="STI640" s="1572"/>
      <c r="STJ640" s="1572"/>
      <c r="STK640" s="1572"/>
      <c r="STL640" s="1572"/>
      <c r="STM640" s="1572" t="s">
        <v>885</v>
      </c>
      <c r="STN640" s="1572"/>
      <c r="STO640" s="1572"/>
      <c r="STP640" s="1572"/>
      <c r="STQ640" s="1572"/>
      <c r="STR640" s="1572"/>
      <c r="STS640" s="1572"/>
      <c r="STT640" s="1572"/>
      <c r="STU640" s="1572" t="s">
        <v>885</v>
      </c>
      <c r="STV640" s="1572"/>
      <c r="STW640" s="1572"/>
      <c r="STX640" s="1572"/>
      <c r="STY640" s="1572"/>
      <c r="STZ640" s="1572"/>
      <c r="SUA640" s="1572"/>
      <c r="SUB640" s="1572"/>
      <c r="SUC640" s="1572" t="s">
        <v>885</v>
      </c>
      <c r="SUD640" s="1572"/>
      <c r="SUE640" s="1572"/>
      <c r="SUF640" s="1572"/>
      <c r="SUG640" s="1572"/>
      <c r="SUH640" s="1572"/>
      <c r="SUI640" s="1572"/>
      <c r="SUJ640" s="1572"/>
      <c r="SUK640" s="1572" t="s">
        <v>885</v>
      </c>
      <c r="SUL640" s="1572"/>
      <c r="SUM640" s="1572"/>
      <c r="SUN640" s="1572"/>
      <c r="SUO640" s="1572"/>
      <c r="SUP640" s="1572"/>
      <c r="SUQ640" s="1572"/>
      <c r="SUR640" s="1572"/>
      <c r="SUS640" s="1572" t="s">
        <v>885</v>
      </c>
      <c r="SUT640" s="1572"/>
      <c r="SUU640" s="1572"/>
      <c r="SUV640" s="1572"/>
      <c r="SUW640" s="1572"/>
      <c r="SUX640" s="1572"/>
      <c r="SUY640" s="1572"/>
      <c r="SUZ640" s="1572"/>
      <c r="SVA640" s="1572" t="s">
        <v>885</v>
      </c>
      <c r="SVB640" s="1572"/>
      <c r="SVC640" s="1572"/>
      <c r="SVD640" s="1572"/>
      <c r="SVE640" s="1572"/>
      <c r="SVF640" s="1572"/>
      <c r="SVG640" s="1572"/>
      <c r="SVH640" s="1572"/>
      <c r="SVI640" s="1572" t="s">
        <v>885</v>
      </c>
      <c r="SVJ640" s="1572"/>
      <c r="SVK640" s="1572"/>
      <c r="SVL640" s="1572"/>
      <c r="SVM640" s="1572"/>
      <c r="SVN640" s="1572"/>
      <c r="SVO640" s="1572"/>
      <c r="SVP640" s="1572"/>
      <c r="SVQ640" s="1572" t="s">
        <v>885</v>
      </c>
      <c r="SVR640" s="1572"/>
      <c r="SVS640" s="1572"/>
      <c r="SVT640" s="1572"/>
      <c r="SVU640" s="1572"/>
      <c r="SVV640" s="1572"/>
      <c r="SVW640" s="1572"/>
      <c r="SVX640" s="1572"/>
      <c r="SVY640" s="1572" t="s">
        <v>885</v>
      </c>
      <c r="SVZ640" s="1572"/>
      <c r="SWA640" s="1572"/>
      <c r="SWB640" s="1572"/>
      <c r="SWC640" s="1572"/>
      <c r="SWD640" s="1572"/>
      <c r="SWE640" s="1572"/>
      <c r="SWF640" s="1572"/>
      <c r="SWG640" s="1572" t="s">
        <v>885</v>
      </c>
      <c r="SWH640" s="1572"/>
      <c r="SWI640" s="1572"/>
      <c r="SWJ640" s="1572"/>
      <c r="SWK640" s="1572"/>
      <c r="SWL640" s="1572"/>
      <c r="SWM640" s="1572"/>
      <c r="SWN640" s="1572"/>
      <c r="SWO640" s="1572" t="s">
        <v>885</v>
      </c>
      <c r="SWP640" s="1572"/>
      <c r="SWQ640" s="1572"/>
      <c r="SWR640" s="1572"/>
      <c r="SWS640" s="1572"/>
      <c r="SWT640" s="1572"/>
      <c r="SWU640" s="1572"/>
      <c r="SWV640" s="1572"/>
      <c r="SWW640" s="1572" t="s">
        <v>885</v>
      </c>
      <c r="SWX640" s="1572"/>
      <c r="SWY640" s="1572"/>
      <c r="SWZ640" s="1572"/>
      <c r="SXA640" s="1572"/>
      <c r="SXB640" s="1572"/>
      <c r="SXC640" s="1572"/>
      <c r="SXD640" s="1572"/>
      <c r="SXE640" s="1572" t="s">
        <v>885</v>
      </c>
      <c r="SXF640" s="1572"/>
      <c r="SXG640" s="1572"/>
      <c r="SXH640" s="1572"/>
      <c r="SXI640" s="1572"/>
      <c r="SXJ640" s="1572"/>
      <c r="SXK640" s="1572"/>
      <c r="SXL640" s="1572"/>
      <c r="SXM640" s="1572" t="s">
        <v>885</v>
      </c>
      <c r="SXN640" s="1572"/>
      <c r="SXO640" s="1572"/>
      <c r="SXP640" s="1572"/>
      <c r="SXQ640" s="1572"/>
      <c r="SXR640" s="1572"/>
      <c r="SXS640" s="1572"/>
      <c r="SXT640" s="1572"/>
      <c r="SXU640" s="1572" t="s">
        <v>885</v>
      </c>
      <c r="SXV640" s="1572"/>
      <c r="SXW640" s="1572"/>
      <c r="SXX640" s="1572"/>
      <c r="SXY640" s="1572"/>
      <c r="SXZ640" s="1572"/>
      <c r="SYA640" s="1572"/>
      <c r="SYB640" s="1572"/>
      <c r="SYC640" s="1572" t="s">
        <v>885</v>
      </c>
      <c r="SYD640" s="1572"/>
      <c r="SYE640" s="1572"/>
      <c r="SYF640" s="1572"/>
      <c r="SYG640" s="1572"/>
      <c r="SYH640" s="1572"/>
      <c r="SYI640" s="1572"/>
      <c r="SYJ640" s="1572"/>
      <c r="SYK640" s="1572" t="s">
        <v>885</v>
      </c>
      <c r="SYL640" s="1572"/>
      <c r="SYM640" s="1572"/>
      <c r="SYN640" s="1572"/>
      <c r="SYO640" s="1572"/>
      <c r="SYP640" s="1572"/>
      <c r="SYQ640" s="1572"/>
      <c r="SYR640" s="1572"/>
      <c r="SYS640" s="1572" t="s">
        <v>885</v>
      </c>
      <c r="SYT640" s="1572"/>
      <c r="SYU640" s="1572"/>
      <c r="SYV640" s="1572"/>
      <c r="SYW640" s="1572"/>
      <c r="SYX640" s="1572"/>
      <c r="SYY640" s="1572"/>
      <c r="SYZ640" s="1572"/>
      <c r="SZA640" s="1572" t="s">
        <v>885</v>
      </c>
      <c r="SZB640" s="1572"/>
      <c r="SZC640" s="1572"/>
      <c r="SZD640" s="1572"/>
      <c r="SZE640" s="1572"/>
      <c r="SZF640" s="1572"/>
      <c r="SZG640" s="1572"/>
      <c r="SZH640" s="1572"/>
      <c r="SZI640" s="1572" t="s">
        <v>885</v>
      </c>
      <c r="SZJ640" s="1572"/>
      <c r="SZK640" s="1572"/>
      <c r="SZL640" s="1572"/>
      <c r="SZM640" s="1572"/>
      <c r="SZN640" s="1572"/>
      <c r="SZO640" s="1572"/>
      <c r="SZP640" s="1572"/>
      <c r="SZQ640" s="1572" t="s">
        <v>885</v>
      </c>
      <c r="SZR640" s="1572"/>
      <c r="SZS640" s="1572"/>
      <c r="SZT640" s="1572"/>
      <c r="SZU640" s="1572"/>
      <c r="SZV640" s="1572"/>
      <c r="SZW640" s="1572"/>
      <c r="SZX640" s="1572"/>
      <c r="SZY640" s="1572" t="s">
        <v>885</v>
      </c>
      <c r="SZZ640" s="1572"/>
      <c r="TAA640" s="1572"/>
      <c r="TAB640" s="1572"/>
      <c r="TAC640" s="1572"/>
      <c r="TAD640" s="1572"/>
      <c r="TAE640" s="1572"/>
      <c r="TAF640" s="1572"/>
      <c r="TAG640" s="1572" t="s">
        <v>885</v>
      </c>
      <c r="TAH640" s="1572"/>
      <c r="TAI640" s="1572"/>
      <c r="TAJ640" s="1572"/>
      <c r="TAK640" s="1572"/>
      <c r="TAL640" s="1572"/>
      <c r="TAM640" s="1572"/>
      <c r="TAN640" s="1572"/>
      <c r="TAO640" s="1572" t="s">
        <v>885</v>
      </c>
      <c r="TAP640" s="1572"/>
      <c r="TAQ640" s="1572"/>
      <c r="TAR640" s="1572"/>
      <c r="TAS640" s="1572"/>
      <c r="TAT640" s="1572"/>
      <c r="TAU640" s="1572"/>
      <c r="TAV640" s="1572"/>
      <c r="TAW640" s="1572" t="s">
        <v>885</v>
      </c>
      <c r="TAX640" s="1572"/>
      <c r="TAY640" s="1572"/>
      <c r="TAZ640" s="1572"/>
      <c r="TBA640" s="1572"/>
      <c r="TBB640" s="1572"/>
      <c r="TBC640" s="1572"/>
      <c r="TBD640" s="1572"/>
      <c r="TBE640" s="1572" t="s">
        <v>885</v>
      </c>
      <c r="TBF640" s="1572"/>
      <c r="TBG640" s="1572"/>
      <c r="TBH640" s="1572"/>
      <c r="TBI640" s="1572"/>
      <c r="TBJ640" s="1572"/>
      <c r="TBK640" s="1572"/>
      <c r="TBL640" s="1572"/>
      <c r="TBM640" s="1572" t="s">
        <v>885</v>
      </c>
      <c r="TBN640" s="1572"/>
      <c r="TBO640" s="1572"/>
      <c r="TBP640" s="1572"/>
      <c r="TBQ640" s="1572"/>
      <c r="TBR640" s="1572"/>
      <c r="TBS640" s="1572"/>
      <c r="TBT640" s="1572"/>
      <c r="TBU640" s="1572" t="s">
        <v>885</v>
      </c>
      <c r="TBV640" s="1572"/>
      <c r="TBW640" s="1572"/>
      <c r="TBX640" s="1572"/>
      <c r="TBY640" s="1572"/>
      <c r="TBZ640" s="1572"/>
      <c r="TCA640" s="1572"/>
      <c r="TCB640" s="1572"/>
      <c r="TCC640" s="1572" t="s">
        <v>885</v>
      </c>
      <c r="TCD640" s="1572"/>
      <c r="TCE640" s="1572"/>
      <c r="TCF640" s="1572"/>
      <c r="TCG640" s="1572"/>
      <c r="TCH640" s="1572"/>
      <c r="TCI640" s="1572"/>
      <c r="TCJ640" s="1572"/>
      <c r="TCK640" s="1572" t="s">
        <v>885</v>
      </c>
      <c r="TCL640" s="1572"/>
      <c r="TCM640" s="1572"/>
      <c r="TCN640" s="1572"/>
      <c r="TCO640" s="1572"/>
      <c r="TCP640" s="1572"/>
      <c r="TCQ640" s="1572"/>
      <c r="TCR640" s="1572"/>
      <c r="TCS640" s="1572" t="s">
        <v>885</v>
      </c>
      <c r="TCT640" s="1572"/>
      <c r="TCU640" s="1572"/>
      <c r="TCV640" s="1572"/>
      <c r="TCW640" s="1572"/>
      <c r="TCX640" s="1572"/>
      <c r="TCY640" s="1572"/>
      <c r="TCZ640" s="1572"/>
      <c r="TDA640" s="1572" t="s">
        <v>885</v>
      </c>
      <c r="TDB640" s="1572"/>
      <c r="TDC640" s="1572"/>
      <c r="TDD640" s="1572"/>
      <c r="TDE640" s="1572"/>
      <c r="TDF640" s="1572"/>
      <c r="TDG640" s="1572"/>
      <c r="TDH640" s="1572"/>
      <c r="TDI640" s="1572" t="s">
        <v>885</v>
      </c>
      <c r="TDJ640" s="1572"/>
      <c r="TDK640" s="1572"/>
      <c r="TDL640" s="1572"/>
      <c r="TDM640" s="1572"/>
      <c r="TDN640" s="1572"/>
      <c r="TDO640" s="1572"/>
      <c r="TDP640" s="1572"/>
      <c r="TDQ640" s="1572" t="s">
        <v>885</v>
      </c>
      <c r="TDR640" s="1572"/>
      <c r="TDS640" s="1572"/>
      <c r="TDT640" s="1572"/>
      <c r="TDU640" s="1572"/>
      <c r="TDV640" s="1572"/>
      <c r="TDW640" s="1572"/>
      <c r="TDX640" s="1572"/>
      <c r="TDY640" s="1572" t="s">
        <v>885</v>
      </c>
      <c r="TDZ640" s="1572"/>
      <c r="TEA640" s="1572"/>
      <c r="TEB640" s="1572"/>
      <c r="TEC640" s="1572"/>
      <c r="TED640" s="1572"/>
      <c r="TEE640" s="1572"/>
      <c r="TEF640" s="1572"/>
      <c r="TEG640" s="1572" t="s">
        <v>885</v>
      </c>
      <c r="TEH640" s="1572"/>
      <c r="TEI640" s="1572"/>
      <c r="TEJ640" s="1572"/>
      <c r="TEK640" s="1572"/>
      <c r="TEL640" s="1572"/>
      <c r="TEM640" s="1572"/>
      <c r="TEN640" s="1572"/>
      <c r="TEO640" s="1572" t="s">
        <v>885</v>
      </c>
      <c r="TEP640" s="1572"/>
      <c r="TEQ640" s="1572"/>
      <c r="TER640" s="1572"/>
      <c r="TES640" s="1572"/>
      <c r="TET640" s="1572"/>
      <c r="TEU640" s="1572"/>
      <c r="TEV640" s="1572"/>
      <c r="TEW640" s="1572" t="s">
        <v>885</v>
      </c>
      <c r="TEX640" s="1572"/>
      <c r="TEY640" s="1572"/>
      <c r="TEZ640" s="1572"/>
      <c r="TFA640" s="1572"/>
      <c r="TFB640" s="1572"/>
      <c r="TFC640" s="1572"/>
      <c r="TFD640" s="1572"/>
      <c r="TFE640" s="1572" t="s">
        <v>885</v>
      </c>
      <c r="TFF640" s="1572"/>
      <c r="TFG640" s="1572"/>
      <c r="TFH640" s="1572"/>
      <c r="TFI640" s="1572"/>
      <c r="TFJ640" s="1572"/>
      <c r="TFK640" s="1572"/>
      <c r="TFL640" s="1572"/>
      <c r="TFM640" s="1572" t="s">
        <v>885</v>
      </c>
      <c r="TFN640" s="1572"/>
      <c r="TFO640" s="1572"/>
      <c r="TFP640" s="1572"/>
      <c r="TFQ640" s="1572"/>
      <c r="TFR640" s="1572"/>
      <c r="TFS640" s="1572"/>
      <c r="TFT640" s="1572"/>
      <c r="TFU640" s="1572" t="s">
        <v>885</v>
      </c>
      <c r="TFV640" s="1572"/>
      <c r="TFW640" s="1572"/>
      <c r="TFX640" s="1572"/>
      <c r="TFY640" s="1572"/>
      <c r="TFZ640" s="1572"/>
      <c r="TGA640" s="1572"/>
      <c r="TGB640" s="1572"/>
      <c r="TGC640" s="1572" t="s">
        <v>885</v>
      </c>
      <c r="TGD640" s="1572"/>
      <c r="TGE640" s="1572"/>
      <c r="TGF640" s="1572"/>
      <c r="TGG640" s="1572"/>
      <c r="TGH640" s="1572"/>
      <c r="TGI640" s="1572"/>
      <c r="TGJ640" s="1572"/>
      <c r="TGK640" s="1572" t="s">
        <v>885</v>
      </c>
      <c r="TGL640" s="1572"/>
      <c r="TGM640" s="1572"/>
      <c r="TGN640" s="1572"/>
      <c r="TGO640" s="1572"/>
      <c r="TGP640" s="1572"/>
      <c r="TGQ640" s="1572"/>
      <c r="TGR640" s="1572"/>
      <c r="TGS640" s="1572" t="s">
        <v>885</v>
      </c>
      <c r="TGT640" s="1572"/>
      <c r="TGU640" s="1572"/>
      <c r="TGV640" s="1572"/>
      <c r="TGW640" s="1572"/>
      <c r="TGX640" s="1572"/>
      <c r="TGY640" s="1572"/>
      <c r="TGZ640" s="1572"/>
      <c r="THA640" s="1572" t="s">
        <v>885</v>
      </c>
      <c r="THB640" s="1572"/>
      <c r="THC640" s="1572"/>
      <c r="THD640" s="1572"/>
      <c r="THE640" s="1572"/>
      <c r="THF640" s="1572"/>
      <c r="THG640" s="1572"/>
      <c r="THH640" s="1572"/>
      <c r="THI640" s="1572" t="s">
        <v>885</v>
      </c>
      <c r="THJ640" s="1572"/>
      <c r="THK640" s="1572"/>
      <c r="THL640" s="1572"/>
      <c r="THM640" s="1572"/>
      <c r="THN640" s="1572"/>
      <c r="THO640" s="1572"/>
      <c r="THP640" s="1572"/>
      <c r="THQ640" s="1572" t="s">
        <v>885</v>
      </c>
      <c r="THR640" s="1572"/>
      <c r="THS640" s="1572"/>
      <c r="THT640" s="1572"/>
      <c r="THU640" s="1572"/>
      <c r="THV640" s="1572"/>
      <c r="THW640" s="1572"/>
      <c r="THX640" s="1572"/>
      <c r="THY640" s="1572" t="s">
        <v>885</v>
      </c>
      <c r="THZ640" s="1572"/>
      <c r="TIA640" s="1572"/>
      <c r="TIB640" s="1572"/>
      <c r="TIC640" s="1572"/>
      <c r="TID640" s="1572"/>
      <c r="TIE640" s="1572"/>
      <c r="TIF640" s="1572"/>
      <c r="TIG640" s="1572" t="s">
        <v>885</v>
      </c>
      <c r="TIH640" s="1572"/>
      <c r="TII640" s="1572"/>
      <c r="TIJ640" s="1572"/>
      <c r="TIK640" s="1572"/>
      <c r="TIL640" s="1572"/>
      <c r="TIM640" s="1572"/>
      <c r="TIN640" s="1572"/>
      <c r="TIO640" s="1572" t="s">
        <v>885</v>
      </c>
      <c r="TIP640" s="1572"/>
      <c r="TIQ640" s="1572"/>
      <c r="TIR640" s="1572"/>
      <c r="TIS640" s="1572"/>
      <c r="TIT640" s="1572"/>
      <c r="TIU640" s="1572"/>
      <c r="TIV640" s="1572"/>
      <c r="TIW640" s="1572" t="s">
        <v>885</v>
      </c>
      <c r="TIX640" s="1572"/>
      <c r="TIY640" s="1572"/>
      <c r="TIZ640" s="1572"/>
      <c r="TJA640" s="1572"/>
      <c r="TJB640" s="1572"/>
      <c r="TJC640" s="1572"/>
      <c r="TJD640" s="1572"/>
      <c r="TJE640" s="1572" t="s">
        <v>885</v>
      </c>
      <c r="TJF640" s="1572"/>
      <c r="TJG640" s="1572"/>
      <c r="TJH640" s="1572"/>
      <c r="TJI640" s="1572"/>
      <c r="TJJ640" s="1572"/>
      <c r="TJK640" s="1572"/>
      <c r="TJL640" s="1572"/>
      <c r="TJM640" s="1572" t="s">
        <v>885</v>
      </c>
      <c r="TJN640" s="1572"/>
      <c r="TJO640" s="1572"/>
      <c r="TJP640" s="1572"/>
      <c r="TJQ640" s="1572"/>
      <c r="TJR640" s="1572"/>
      <c r="TJS640" s="1572"/>
      <c r="TJT640" s="1572"/>
      <c r="TJU640" s="1572" t="s">
        <v>885</v>
      </c>
      <c r="TJV640" s="1572"/>
      <c r="TJW640" s="1572"/>
      <c r="TJX640" s="1572"/>
      <c r="TJY640" s="1572"/>
      <c r="TJZ640" s="1572"/>
      <c r="TKA640" s="1572"/>
      <c r="TKB640" s="1572"/>
      <c r="TKC640" s="1572" t="s">
        <v>885</v>
      </c>
      <c r="TKD640" s="1572"/>
      <c r="TKE640" s="1572"/>
      <c r="TKF640" s="1572"/>
      <c r="TKG640" s="1572"/>
      <c r="TKH640" s="1572"/>
      <c r="TKI640" s="1572"/>
      <c r="TKJ640" s="1572"/>
      <c r="TKK640" s="1572" t="s">
        <v>885</v>
      </c>
      <c r="TKL640" s="1572"/>
      <c r="TKM640" s="1572"/>
      <c r="TKN640" s="1572"/>
      <c r="TKO640" s="1572"/>
      <c r="TKP640" s="1572"/>
      <c r="TKQ640" s="1572"/>
      <c r="TKR640" s="1572"/>
      <c r="TKS640" s="1572" t="s">
        <v>885</v>
      </c>
      <c r="TKT640" s="1572"/>
      <c r="TKU640" s="1572"/>
      <c r="TKV640" s="1572"/>
      <c r="TKW640" s="1572"/>
      <c r="TKX640" s="1572"/>
      <c r="TKY640" s="1572"/>
      <c r="TKZ640" s="1572"/>
      <c r="TLA640" s="1572" t="s">
        <v>885</v>
      </c>
      <c r="TLB640" s="1572"/>
      <c r="TLC640" s="1572"/>
      <c r="TLD640" s="1572"/>
      <c r="TLE640" s="1572"/>
      <c r="TLF640" s="1572"/>
      <c r="TLG640" s="1572"/>
      <c r="TLH640" s="1572"/>
      <c r="TLI640" s="1572" t="s">
        <v>885</v>
      </c>
      <c r="TLJ640" s="1572"/>
      <c r="TLK640" s="1572"/>
      <c r="TLL640" s="1572"/>
      <c r="TLM640" s="1572"/>
      <c r="TLN640" s="1572"/>
      <c r="TLO640" s="1572"/>
      <c r="TLP640" s="1572"/>
      <c r="TLQ640" s="1572" t="s">
        <v>885</v>
      </c>
      <c r="TLR640" s="1572"/>
      <c r="TLS640" s="1572"/>
      <c r="TLT640" s="1572"/>
      <c r="TLU640" s="1572"/>
      <c r="TLV640" s="1572"/>
      <c r="TLW640" s="1572"/>
      <c r="TLX640" s="1572"/>
      <c r="TLY640" s="1572" t="s">
        <v>885</v>
      </c>
      <c r="TLZ640" s="1572"/>
      <c r="TMA640" s="1572"/>
      <c r="TMB640" s="1572"/>
      <c r="TMC640" s="1572"/>
      <c r="TMD640" s="1572"/>
      <c r="TME640" s="1572"/>
      <c r="TMF640" s="1572"/>
      <c r="TMG640" s="1572" t="s">
        <v>885</v>
      </c>
      <c r="TMH640" s="1572"/>
      <c r="TMI640" s="1572"/>
      <c r="TMJ640" s="1572"/>
      <c r="TMK640" s="1572"/>
      <c r="TML640" s="1572"/>
      <c r="TMM640" s="1572"/>
      <c r="TMN640" s="1572"/>
      <c r="TMO640" s="1572" t="s">
        <v>885</v>
      </c>
      <c r="TMP640" s="1572"/>
      <c r="TMQ640" s="1572"/>
      <c r="TMR640" s="1572"/>
      <c r="TMS640" s="1572"/>
      <c r="TMT640" s="1572"/>
      <c r="TMU640" s="1572"/>
      <c r="TMV640" s="1572"/>
      <c r="TMW640" s="1572" t="s">
        <v>885</v>
      </c>
      <c r="TMX640" s="1572"/>
      <c r="TMY640" s="1572"/>
      <c r="TMZ640" s="1572"/>
      <c r="TNA640" s="1572"/>
      <c r="TNB640" s="1572"/>
      <c r="TNC640" s="1572"/>
      <c r="TND640" s="1572"/>
      <c r="TNE640" s="1572" t="s">
        <v>885</v>
      </c>
      <c r="TNF640" s="1572"/>
      <c r="TNG640" s="1572"/>
      <c r="TNH640" s="1572"/>
      <c r="TNI640" s="1572"/>
      <c r="TNJ640" s="1572"/>
      <c r="TNK640" s="1572"/>
      <c r="TNL640" s="1572"/>
      <c r="TNM640" s="1572" t="s">
        <v>885</v>
      </c>
      <c r="TNN640" s="1572"/>
      <c r="TNO640" s="1572"/>
      <c r="TNP640" s="1572"/>
      <c r="TNQ640" s="1572"/>
      <c r="TNR640" s="1572"/>
      <c r="TNS640" s="1572"/>
      <c r="TNT640" s="1572"/>
      <c r="TNU640" s="1572" t="s">
        <v>885</v>
      </c>
      <c r="TNV640" s="1572"/>
      <c r="TNW640" s="1572"/>
      <c r="TNX640" s="1572"/>
      <c r="TNY640" s="1572"/>
      <c r="TNZ640" s="1572"/>
      <c r="TOA640" s="1572"/>
      <c r="TOB640" s="1572"/>
      <c r="TOC640" s="1572" t="s">
        <v>885</v>
      </c>
      <c r="TOD640" s="1572"/>
      <c r="TOE640" s="1572"/>
      <c r="TOF640" s="1572"/>
      <c r="TOG640" s="1572"/>
      <c r="TOH640" s="1572"/>
      <c r="TOI640" s="1572"/>
      <c r="TOJ640" s="1572"/>
      <c r="TOK640" s="1572" t="s">
        <v>885</v>
      </c>
      <c r="TOL640" s="1572"/>
      <c r="TOM640" s="1572"/>
      <c r="TON640" s="1572"/>
      <c r="TOO640" s="1572"/>
      <c r="TOP640" s="1572"/>
      <c r="TOQ640" s="1572"/>
      <c r="TOR640" s="1572"/>
      <c r="TOS640" s="1572" t="s">
        <v>885</v>
      </c>
      <c r="TOT640" s="1572"/>
      <c r="TOU640" s="1572"/>
      <c r="TOV640" s="1572"/>
      <c r="TOW640" s="1572"/>
      <c r="TOX640" s="1572"/>
      <c r="TOY640" s="1572"/>
      <c r="TOZ640" s="1572"/>
      <c r="TPA640" s="1572" t="s">
        <v>885</v>
      </c>
      <c r="TPB640" s="1572"/>
      <c r="TPC640" s="1572"/>
      <c r="TPD640" s="1572"/>
      <c r="TPE640" s="1572"/>
      <c r="TPF640" s="1572"/>
      <c r="TPG640" s="1572"/>
      <c r="TPH640" s="1572"/>
      <c r="TPI640" s="1572" t="s">
        <v>885</v>
      </c>
      <c r="TPJ640" s="1572"/>
      <c r="TPK640" s="1572"/>
      <c r="TPL640" s="1572"/>
      <c r="TPM640" s="1572"/>
      <c r="TPN640" s="1572"/>
      <c r="TPO640" s="1572"/>
      <c r="TPP640" s="1572"/>
      <c r="TPQ640" s="1572" t="s">
        <v>885</v>
      </c>
      <c r="TPR640" s="1572"/>
      <c r="TPS640" s="1572"/>
      <c r="TPT640" s="1572"/>
      <c r="TPU640" s="1572"/>
      <c r="TPV640" s="1572"/>
      <c r="TPW640" s="1572"/>
      <c r="TPX640" s="1572"/>
      <c r="TPY640" s="1572" t="s">
        <v>885</v>
      </c>
      <c r="TPZ640" s="1572"/>
      <c r="TQA640" s="1572"/>
      <c r="TQB640" s="1572"/>
      <c r="TQC640" s="1572"/>
      <c r="TQD640" s="1572"/>
      <c r="TQE640" s="1572"/>
      <c r="TQF640" s="1572"/>
      <c r="TQG640" s="1572" t="s">
        <v>885</v>
      </c>
      <c r="TQH640" s="1572"/>
      <c r="TQI640" s="1572"/>
      <c r="TQJ640" s="1572"/>
      <c r="TQK640" s="1572"/>
      <c r="TQL640" s="1572"/>
      <c r="TQM640" s="1572"/>
      <c r="TQN640" s="1572"/>
      <c r="TQO640" s="1572" t="s">
        <v>885</v>
      </c>
      <c r="TQP640" s="1572"/>
      <c r="TQQ640" s="1572"/>
      <c r="TQR640" s="1572"/>
      <c r="TQS640" s="1572"/>
      <c r="TQT640" s="1572"/>
      <c r="TQU640" s="1572"/>
      <c r="TQV640" s="1572"/>
      <c r="TQW640" s="1572" t="s">
        <v>885</v>
      </c>
      <c r="TQX640" s="1572"/>
      <c r="TQY640" s="1572"/>
      <c r="TQZ640" s="1572"/>
      <c r="TRA640" s="1572"/>
      <c r="TRB640" s="1572"/>
      <c r="TRC640" s="1572"/>
      <c r="TRD640" s="1572"/>
      <c r="TRE640" s="1572" t="s">
        <v>885</v>
      </c>
      <c r="TRF640" s="1572"/>
      <c r="TRG640" s="1572"/>
      <c r="TRH640" s="1572"/>
      <c r="TRI640" s="1572"/>
      <c r="TRJ640" s="1572"/>
      <c r="TRK640" s="1572"/>
      <c r="TRL640" s="1572"/>
      <c r="TRM640" s="1572" t="s">
        <v>885</v>
      </c>
      <c r="TRN640" s="1572"/>
      <c r="TRO640" s="1572"/>
      <c r="TRP640" s="1572"/>
      <c r="TRQ640" s="1572"/>
      <c r="TRR640" s="1572"/>
      <c r="TRS640" s="1572"/>
      <c r="TRT640" s="1572"/>
      <c r="TRU640" s="1572" t="s">
        <v>885</v>
      </c>
      <c r="TRV640" s="1572"/>
      <c r="TRW640" s="1572"/>
      <c r="TRX640" s="1572"/>
      <c r="TRY640" s="1572"/>
      <c r="TRZ640" s="1572"/>
      <c r="TSA640" s="1572"/>
      <c r="TSB640" s="1572"/>
      <c r="TSC640" s="1572" t="s">
        <v>885</v>
      </c>
      <c r="TSD640" s="1572"/>
      <c r="TSE640" s="1572"/>
      <c r="TSF640" s="1572"/>
      <c r="TSG640" s="1572"/>
      <c r="TSH640" s="1572"/>
      <c r="TSI640" s="1572"/>
      <c r="TSJ640" s="1572"/>
      <c r="TSK640" s="1572" t="s">
        <v>885</v>
      </c>
      <c r="TSL640" s="1572"/>
      <c r="TSM640" s="1572"/>
      <c r="TSN640" s="1572"/>
      <c r="TSO640" s="1572"/>
      <c r="TSP640" s="1572"/>
      <c r="TSQ640" s="1572"/>
      <c r="TSR640" s="1572"/>
      <c r="TSS640" s="1572" t="s">
        <v>885</v>
      </c>
      <c r="TST640" s="1572"/>
      <c r="TSU640" s="1572"/>
      <c r="TSV640" s="1572"/>
      <c r="TSW640" s="1572"/>
      <c r="TSX640" s="1572"/>
      <c r="TSY640" s="1572"/>
      <c r="TSZ640" s="1572"/>
      <c r="TTA640" s="1572" t="s">
        <v>885</v>
      </c>
      <c r="TTB640" s="1572"/>
      <c r="TTC640" s="1572"/>
      <c r="TTD640" s="1572"/>
      <c r="TTE640" s="1572"/>
      <c r="TTF640" s="1572"/>
      <c r="TTG640" s="1572"/>
      <c r="TTH640" s="1572"/>
      <c r="TTI640" s="1572" t="s">
        <v>885</v>
      </c>
      <c r="TTJ640" s="1572"/>
      <c r="TTK640" s="1572"/>
      <c r="TTL640" s="1572"/>
      <c r="TTM640" s="1572"/>
      <c r="TTN640" s="1572"/>
      <c r="TTO640" s="1572"/>
      <c r="TTP640" s="1572"/>
      <c r="TTQ640" s="1572" t="s">
        <v>885</v>
      </c>
      <c r="TTR640" s="1572"/>
      <c r="TTS640" s="1572"/>
      <c r="TTT640" s="1572"/>
      <c r="TTU640" s="1572"/>
      <c r="TTV640" s="1572"/>
      <c r="TTW640" s="1572"/>
      <c r="TTX640" s="1572"/>
      <c r="TTY640" s="1572" t="s">
        <v>885</v>
      </c>
      <c r="TTZ640" s="1572"/>
      <c r="TUA640" s="1572"/>
      <c r="TUB640" s="1572"/>
      <c r="TUC640" s="1572"/>
      <c r="TUD640" s="1572"/>
      <c r="TUE640" s="1572"/>
      <c r="TUF640" s="1572"/>
      <c r="TUG640" s="1572" t="s">
        <v>885</v>
      </c>
      <c r="TUH640" s="1572"/>
      <c r="TUI640" s="1572"/>
      <c r="TUJ640" s="1572"/>
      <c r="TUK640" s="1572"/>
      <c r="TUL640" s="1572"/>
      <c r="TUM640" s="1572"/>
      <c r="TUN640" s="1572"/>
      <c r="TUO640" s="1572" t="s">
        <v>885</v>
      </c>
      <c r="TUP640" s="1572"/>
      <c r="TUQ640" s="1572"/>
      <c r="TUR640" s="1572"/>
      <c r="TUS640" s="1572"/>
      <c r="TUT640" s="1572"/>
      <c r="TUU640" s="1572"/>
      <c r="TUV640" s="1572"/>
      <c r="TUW640" s="1572" t="s">
        <v>885</v>
      </c>
      <c r="TUX640" s="1572"/>
      <c r="TUY640" s="1572"/>
      <c r="TUZ640" s="1572"/>
      <c r="TVA640" s="1572"/>
      <c r="TVB640" s="1572"/>
      <c r="TVC640" s="1572"/>
      <c r="TVD640" s="1572"/>
      <c r="TVE640" s="1572" t="s">
        <v>885</v>
      </c>
      <c r="TVF640" s="1572"/>
      <c r="TVG640" s="1572"/>
      <c r="TVH640" s="1572"/>
      <c r="TVI640" s="1572"/>
      <c r="TVJ640" s="1572"/>
      <c r="TVK640" s="1572"/>
      <c r="TVL640" s="1572"/>
      <c r="TVM640" s="1572" t="s">
        <v>885</v>
      </c>
      <c r="TVN640" s="1572"/>
      <c r="TVO640" s="1572"/>
      <c r="TVP640" s="1572"/>
      <c r="TVQ640" s="1572"/>
      <c r="TVR640" s="1572"/>
      <c r="TVS640" s="1572"/>
      <c r="TVT640" s="1572"/>
      <c r="TVU640" s="1572" t="s">
        <v>885</v>
      </c>
      <c r="TVV640" s="1572"/>
      <c r="TVW640" s="1572"/>
      <c r="TVX640" s="1572"/>
      <c r="TVY640" s="1572"/>
      <c r="TVZ640" s="1572"/>
      <c r="TWA640" s="1572"/>
      <c r="TWB640" s="1572"/>
      <c r="TWC640" s="1572" t="s">
        <v>885</v>
      </c>
      <c r="TWD640" s="1572"/>
      <c r="TWE640" s="1572"/>
      <c r="TWF640" s="1572"/>
      <c r="TWG640" s="1572"/>
      <c r="TWH640" s="1572"/>
      <c r="TWI640" s="1572"/>
      <c r="TWJ640" s="1572"/>
      <c r="TWK640" s="1572" t="s">
        <v>885</v>
      </c>
      <c r="TWL640" s="1572"/>
      <c r="TWM640" s="1572"/>
      <c r="TWN640" s="1572"/>
      <c r="TWO640" s="1572"/>
      <c r="TWP640" s="1572"/>
      <c r="TWQ640" s="1572"/>
      <c r="TWR640" s="1572"/>
      <c r="TWS640" s="1572" t="s">
        <v>885</v>
      </c>
      <c r="TWT640" s="1572"/>
      <c r="TWU640" s="1572"/>
      <c r="TWV640" s="1572"/>
      <c r="TWW640" s="1572"/>
      <c r="TWX640" s="1572"/>
      <c r="TWY640" s="1572"/>
      <c r="TWZ640" s="1572"/>
      <c r="TXA640" s="1572" t="s">
        <v>885</v>
      </c>
      <c r="TXB640" s="1572"/>
      <c r="TXC640" s="1572"/>
      <c r="TXD640" s="1572"/>
      <c r="TXE640" s="1572"/>
      <c r="TXF640" s="1572"/>
      <c r="TXG640" s="1572"/>
      <c r="TXH640" s="1572"/>
      <c r="TXI640" s="1572" t="s">
        <v>885</v>
      </c>
      <c r="TXJ640" s="1572"/>
      <c r="TXK640" s="1572"/>
      <c r="TXL640" s="1572"/>
      <c r="TXM640" s="1572"/>
      <c r="TXN640" s="1572"/>
      <c r="TXO640" s="1572"/>
      <c r="TXP640" s="1572"/>
      <c r="TXQ640" s="1572" t="s">
        <v>885</v>
      </c>
      <c r="TXR640" s="1572"/>
      <c r="TXS640" s="1572"/>
      <c r="TXT640" s="1572"/>
      <c r="TXU640" s="1572"/>
      <c r="TXV640" s="1572"/>
      <c r="TXW640" s="1572"/>
      <c r="TXX640" s="1572"/>
      <c r="TXY640" s="1572" t="s">
        <v>885</v>
      </c>
      <c r="TXZ640" s="1572"/>
      <c r="TYA640" s="1572"/>
      <c r="TYB640" s="1572"/>
      <c r="TYC640" s="1572"/>
      <c r="TYD640" s="1572"/>
      <c r="TYE640" s="1572"/>
      <c r="TYF640" s="1572"/>
      <c r="TYG640" s="1572" t="s">
        <v>885</v>
      </c>
      <c r="TYH640" s="1572"/>
      <c r="TYI640" s="1572"/>
      <c r="TYJ640" s="1572"/>
      <c r="TYK640" s="1572"/>
      <c r="TYL640" s="1572"/>
      <c r="TYM640" s="1572"/>
      <c r="TYN640" s="1572"/>
      <c r="TYO640" s="1572" t="s">
        <v>885</v>
      </c>
      <c r="TYP640" s="1572"/>
      <c r="TYQ640" s="1572"/>
      <c r="TYR640" s="1572"/>
      <c r="TYS640" s="1572"/>
      <c r="TYT640" s="1572"/>
      <c r="TYU640" s="1572"/>
      <c r="TYV640" s="1572"/>
      <c r="TYW640" s="1572" t="s">
        <v>885</v>
      </c>
      <c r="TYX640" s="1572"/>
      <c r="TYY640" s="1572"/>
      <c r="TYZ640" s="1572"/>
      <c r="TZA640" s="1572"/>
      <c r="TZB640" s="1572"/>
      <c r="TZC640" s="1572"/>
      <c r="TZD640" s="1572"/>
      <c r="TZE640" s="1572" t="s">
        <v>885</v>
      </c>
      <c r="TZF640" s="1572"/>
      <c r="TZG640" s="1572"/>
      <c r="TZH640" s="1572"/>
      <c r="TZI640" s="1572"/>
      <c r="TZJ640" s="1572"/>
      <c r="TZK640" s="1572"/>
      <c r="TZL640" s="1572"/>
      <c r="TZM640" s="1572" t="s">
        <v>885</v>
      </c>
      <c r="TZN640" s="1572"/>
      <c r="TZO640" s="1572"/>
      <c r="TZP640" s="1572"/>
      <c r="TZQ640" s="1572"/>
      <c r="TZR640" s="1572"/>
      <c r="TZS640" s="1572"/>
      <c r="TZT640" s="1572"/>
      <c r="TZU640" s="1572" t="s">
        <v>885</v>
      </c>
      <c r="TZV640" s="1572"/>
      <c r="TZW640" s="1572"/>
      <c r="TZX640" s="1572"/>
      <c r="TZY640" s="1572"/>
      <c r="TZZ640" s="1572"/>
      <c r="UAA640" s="1572"/>
      <c r="UAB640" s="1572"/>
      <c r="UAC640" s="1572" t="s">
        <v>885</v>
      </c>
      <c r="UAD640" s="1572"/>
      <c r="UAE640" s="1572"/>
      <c r="UAF640" s="1572"/>
      <c r="UAG640" s="1572"/>
      <c r="UAH640" s="1572"/>
      <c r="UAI640" s="1572"/>
      <c r="UAJ640" s="1572"/>
      <c r="UAK640" s="1572" t="s">
        <v>885</v>
      </c>
      <c r="UAL640" s="1572"/>
      <c r="UAM640" s="1572"/>
      <c r="UAN640" s="1572"/>
      <c r="UAO640" s="1572"/>
      <c r="UAP640" s="1572"/>
      <c r="UAQ640" s="1572"/>
      <c r="UAR640" s="1572"/>
      <c r="UAS640" s="1572" t="s">
        <v>885</v>
      </c>
      <c r="UAT640" s="1572"/>
      <c r="UAU640" s="1572"/>
      <c r="UAV640" s="1572"/>
      <c r="UAW640" s="1572"/>
      <c r="UAX640" s="1572"/>
      <c r="UAY640" s="1572"/>
      <c r="UAZ640" s="1572"/>
      <c r="UBA640" s="1572" t="s">
        <v>885</v>
      </c>
      <c r="UBB640" s="1572"/>
      <c r="UBC640" s="1572"/>
      <c r="UBD640" s="1572"/>
      <c r="UBE640" s="1572"/>
      <c r="UBF640" s="1572"/>
      <c r="UBG640" s="1572"/>
      <c r="UBH640" s="1572"/>
      <c r="UBI640" s="1572" t="s">
        <v>885</v>
      </c>
      <c r="UBJ640" s="1572"/>
      <c r="UBK640" s="1572"/>
      <c r="UBL640" s="1572"/>
      <c r="UBM640" s="1572"/>
      <c r="UBN640" s="1572"/>
      <c r="UBO640" s="1572"/>
      <c r="UBP640" s="1572"/>
      <c r="UBQ640" s="1572" t="s">
        <v>885</v>
      </c>
      <c r="UBR640" s="1572"/>
      <c r="UBS640" s="1572"/>
      <c r="UBT640" s="1572"/>
      <c r="UBU640" s="1572"/>
      <c r="UBV640" s="1572"/>
      <c r="UBW640" s="1572"/>
      <c r="UBX640" s="1572"/>
      <c r="UBY640" s="1572" t="s">
        <v>885</v>
      </c>
      <c r="UBZ640" s="1572"/>
      <c r="UCA640" s="1572"/>
      <c r="UCB640" s="1572"/>
      <c r="UCC640" s="1572"/>
      <c r="UCD640" s="1572"/>
      <c r="UCE640" s="1572"/>
      <c r="UCF640" s="1572"/>
      <c r="UCG640" s="1572" t="s">
        <v>885</v>
      </c>
      <c r="UCH640" s="1572"/>
      <c r="UCI640" s="1572"/>
      <c r="UCJ640" s="1572"/>
      <c r="UCK640" s="1572"/>
      <c r="UCL640" s="1572"/>
      <c r="UCM640" s="1572"/>
      <c r="UCN640" s="1572"/>
      <c r="UCO640" s="1572" t="s">
        <v>885</v>
      </c>
      <c r="UCP640" s="1572"/>
      <c r="UCQ640" s="1572"/>
      <c r="UCR640" s="1572"/>
      <c r="UCS640" s="1572"/>
      <c r="UCT640" s="1572"/>
      <c r="UCU640" s="1572"/>
      <c r="UCV640" s="1572"/>
      <c r="UCW640" s="1572" t="s">
        <v>885</v>
      </c>
      <c r="UCX640" s="1572"/>
      <c r="UCY640" s="1572"/>
      <c r="UCZ640" s="1572"/>
      <c r="UDA640" s="1572"/>
      <c r="UDB640" s="1572"/>
      <c r="UDC640" s="1572"/>
      <c r="UDD640" s="1572"/>
      <c r="UDE640" s="1572" t="s">
        <v>885</v>
      </c>
      <c r="UDF640" s="1572"/>
      <c r="UDG640" s="1572"/>
      <c r="UDH640" s="1572"/>
      <c r="UDI640" s="1572"/>
      <c r="UDJ640" s="1572"/>
      <c r="UDK640" s="1572"/>
      <c r="UDL640" s="1572"/>
      <c r="UDM640" s="1572" t="s">
        <v>885</v>
      </c>
      <c r="UDN640" s="1572"/>
      <c r="UDO640" s="1572"/>
      <c r="UDP640" s="1572"/>
      <c r="UDQ640" s="1572"/>
      <c r="UDR640" s="1572"/>
      <c r="UDS640" s="1572"/>
      <c r="UDT640" s="1572"/>
      <c r="UDU640" s="1572" t="s">
        <v>885</v>
      </c>
      <c r="UDV640" s="1572"/>
      <c r="UDW640" s="1572"/>
      <c r="UDX640" s="1572"/>
      <c r="UDY640" s="1572"/>
      <c r="UDZ640" s="1572"/>
      <c r="UEA640" s="1572"/>
      <c r="UEB640" s="1572"/>
      <c r="UEC640" s="1572" t="s">
        <v>885</v>
      </c>
      <c r="UED640" s="1572"/>
      <c r="UEE640" s="1572"/>
      <c r="UEF640" s="1572"/>
      <c r="UEG640" s="1572"/>
      <c r="UEH640" s="1572"/>
      <c r="UEI640" s="1572"/>
      <c r="UEJ640" s="1572"/>
      <c r="UEK640" s="1572" t="s">
        <v>885</v>
      </c>
      <c r="UEL640" s="1572"/>
      <c r="UEM640" s="1572"/>
      <c r="UEN640" s="1572"/>
      <c r="UEO640" s="1572"/>
      <c r="UEP640" s="1572"/>
      <c r="UEQ640" s="1572"/>
      <c r="UER640" s="1572"/>
      <c r="UES640" s="1572" t="s">
        <v>885</v>
      </c>
      <c r="UET640" s="1572"/>
      <c r="UEU640" s="1572"/>
      <c r="UEV640" s="1572"/>
      <c r="UEW640" s="1572"/>
      <c r="UEX640" s="1572"/>
      <c r="UEY640" s="1572"/>
      <c r="UEZ640" s="1572"/>
      <c r="UFA640" s="1572" t="s">
        <v>885</v>
      </c>
      <c r="UFB640" s="1572"/>
      <c r="UFC640" s="1572"/>
      <c r="UFD640" s="1572"/>
      <c r="UFE640" s="1572"/>
      <c r="UFF640" s="1572"/>
      <c r="UFG640" s="1572"/>
      <c r="UFH640" s="1572"/>
      <c r="UFI640" s="1572" t="s">
        <v>885</v>
      </c>
      <c r="UFJ640" s="1572"/>
      <c r="UFK640" s="1572"/>
      <c r="UFL640" s="1572"/>
      <c r="UFM640" s="1572"/>
      <c r="UFN640" s="1572"/>
      <c r="UFO640" s="1572"/>
      <c r="UFP640" s="1572"/>
      <c r="UFQ640" s="1572" t="s">
        <v>885</v>
      </c>
      <c r="UFR640" s="1572"/>
      <c r="UFS640" s="1572"/>
      <c r="UFT640" s="1572"/>
      <c r="UFU640" s="1572"/>
      <c r="UFV640" s="1572"/>
      <c r="UFW640" s="1572"/>
      <c r="UFX640" s="1572"/>
      <c r="UFY640" s="1572" t="s">
        <v>885</v>
      </c>
      <c r="UFZ640" s="1572"/>
      <c r="UGA640" s="1572"/>
      <c r="UGB640" s="1572"/>
      <c r="UGC640" s="1572"/>
      <c r="UGD640" s="1572"/>
      <c r="UGE640" s="1572"/>
      <c r="UGF640" s="1572"/>
      <c r="UGG640" s="1572" t="s">
        <v>885</v>
      </c>
      <c r="UGH640" s="1572"/>
      <c r="UGI640" s="1572"/>
      <c r="UGJ640" s="1572"/>
      <c r="UGK640" s="1572"/>
      <c r="UGL640" s="1572"/>
      <c r="UGM640" s="1572"/>
      <c r="UGN640" s="1572"/>
      <c r="UGO640" s="1572" t="s">
        <v>885</v>
      </c>
      <c r="UGP640" s="1572"/>
      <c r="UGQ640" s="1572"/>
      <c r="UGR640" s="1572"/>
      <c r="UGS640" s="1572"/>
      <c r="UGT640" s="1572"/>
      <c r="UGU640" s="1572"/>
      <c r="UGV640" s="1572"/>
      <c r="UGW640" s="1572" t="s">
        <v>885</v>
      </c>
      <c r="UGX640" s="1572"/>
      <c r="UGY640" s="1572"/>
      <c r="UGZ640" s="1572"/>
      <c r="UHA640" s="1572"/>
      <c r="UHB640" s="1572"/>
      <c r="UHC640" s="1572"/>
      <c r="UHD640" s="1572"/>
      <c r="UHE640" s="1572" t="s">
        <v>885</v>
      </c>
      <c r="UHF640" s="1572"/>
      <c r="UHG640" s="1572"/>
      <c r="UHH640" s="1572"/>
      <c r="UHI640" s="1572"/>
      <c r="UHJ640" s="1572"/>
      <c r="UHK640" s="1572"/>
      <c r="UHL640" s="1572"/>
      <c r="UHM640" s="1572" t="s">
        <v>885</v>
      </c>
      <c r="UHN640" s="1572"/>
      <c r="UHO640" s="1572"/>
      <c r="UHP640" s="1572"/>
      <c r="UHQ640" s="1572"/>
      <c r="UHR640" s="1572"/>
      <c r="UHS640" s="1572"/>
      <c r="UHT640" s="1572"/>
      <c r="UHU640" s="1572" t="s">
        <v>885</v>
      </c>
      <c r="UHV640" s="1572"/>
      <c r="UHW640" s="1572"/>
      <c r="UHX640" s="1572"/>
      <c r="UHY640" s="1572"/>
      <c r="UHZ640" s="1572"/>
      <c r="UIA640" s="1572"/>
      <c r="UIB640" s="1572"/>
      <c r="UIC640" s="1572" t="s">
        <v>885</v>
      </c>
      <c r="UID640" s="1572"/>
      <c r="UIE640" s="1572"/>
      <c r="UIF640" s="1572"/>
      <c r="UIG640" s="1572"/>
      <c r="UIH640" s="1572"/>
      <c r="UII640" s="1572"/>
      <c r="UIJ640" s="1572"/>
      <c r="UIK640" s="1572" t="s">
        <v>885</v>
      </c>
      <c r="UIL640" s="1572"/>
      <c r="UIM640" s="1572"/>
      <c r="UIN640" s="1572"/>
      <c r="UIO640" s="1572"/>
      <c r="UIP640" s="1572"/>
      <c r="UIQ640" s="1572"/>
      <c r="UIR640" s="1572"/>
      <c r="UIS640" s="1572" t="s">
        <v>885</v>
      </c>
      <c r="UIT640" s="1572"/>
      <c r="UIU640" s="1572"/>
      <c r="UIV640" s="1572"/>
      <c r="UIW640" s="1572"/>
      <c r="UIX640" s="1572"/>
      <c r="UIY640" s="1572"/>
      <c r="UIZ640" s="1572"/>
      <c r="UJA640" s="1572" t="s">
        <v>885</v>
      </c>
      <c r="UJB640" s="1572"/>
      <c r="UJC640" s="1572"/>
      <c r="UJD640" s="1572"/>
      <c r="UJE640" s="1572"/>
      <c r="UJF640" s="1572"/>
      <c r="UJG640" s="1572"/>
      <c r="UJH640" s="1572"/>
      <c r="UJI640" s="1572" t="s">
        <v>885</v>
      </c>
      <c r="UJJ640" s="1572"/>
      <c r="UJK640" s="1572"/>
      <c r="UJL640" s="1572"/>
      <c r="UJM640" s="1572"/>
      <c r="UJN640" s="1572"/>
      <c r="UJO640" s="1572"/>
      <c r="UJP640" s="1572"/>
      <c r="UJQ640" s="1572" t="s">
        <v>885</v>
      </c>
      <c r="UJR640" s="1572"/>
      <c r="UJS640" s="1572"/>
      <c r="UJT640" s="1572"/>
      <c r="UJU640" s="1572"/>
      <c r="UJV640" s="1572"/>
      <c r="UJW640" s="1572"/>
      <c r="UJX640" s="1572"/>
      <c r="UJY640" s="1572" t="s">
        <v>885</v>
      </c>
      <c r="UJZ640" s="1572"/>
      <c r="UKA640" s="1572"/>
      <c r="UKB640" s="1572"/>
      <c r="UKC640" s="1572"/>
      <c r="UKD640" s="1572"/>
      <c r="UKE640" s="1572"/>
      <c r="UKF640" s="1572"/>
      <c r="UKG640" s="1572" t="s">
        <v>885</v>
      </c>
      <c r="UKH640" s="1572"/>
      <c r="UKI640" s="1572"/>
      <c r="UKJ640" s="1572"/>
      <c r="UKK640" s="1572"/>
      <c r="UKL640" s="1572"/>
      <c r="UKM640" s="1572"/>
      <c r="UKN640" s="1572"/>
      <c r="UKO640" s="1572" t="s">
        <v>885</v>
      </c>
      <c r="UKP640" s="1572"/>
      <c r="UKQ640" s="1572"/>
      <c r="UKR640" s="1572"/>
      <c r="UKS640" s="1572"/>
      <c r="UKT640" s="1572"/>
      <c r="UKU640" s="1572"/>
      <c r="UKV640" s="1572"/>
      <c r="UKW640" s="1572" t="s">
        <v>885</v>
      </c>
      <c r="UKX640" s="1572"/>
      <c r="UKY640" s="1572"/>
      <c r="UKZ640" s="1572"/>
      <c r="ULA640" s="1572"/>
      <c r="ULB640" s="1572"/>
      <c r="ULC640" s="1572"/>
      <c r="ULD640" s="1572"/>
      <c r="ULE640" s="1572" t="s">
        <v>885</v>
      </c>
      <c r="ULF640" s="1572"/>
      <c r="ULG640" s="1572"/>
      <c r="ULH640" s="1572"/>
      <c r="ULI640" s="1572"/>
      <c r="ULJ640" s="1572"/>
      <c r="ULK640" s="1572"/>
      <c r="ULL640" s="1572"/>
      <c r="ULM640" s="1572" t="s">
        <v>885</v>
      </c>
      <c r="ULN640" s="1572"/>
      <c r="ULO640" s="1572"/>
      <c r="ULP640" s="1572"/>
      <c r="ULQ640" s="1572"/>
      <c r="ULR640" s="1572"/>
      <c r="ULS640" s="1572"/>
      <c r="ULT640" s="1572"/>
      <c r="ULU640" s="1572" t="s">
        <v>885</v>
      </c>
      <c r="ULV640" s="1572"/>
      <c r="ULW640" s="1572"/>
      <c r="ULX640" s="1572"/>
      <c r="ULY640" s="1572"/>
      <c r="ULZ640" s="1572"/>
      <c r="UMA640" s="1572"/>
      <c r="UMB640" s="1572"/>
      <c r="UMC640" s="1572" t="s">
        <v>885</v>
      </c>
      <c r="UMD640" s="1572"/>
      <c r="UME640" s="1572"/>
      <c r="UMF640" s="1572"/>
      <c r="UMG640" s="1572"/>
      <c r="UMH640" s="1572"/>
      <c r="UMI640" s="1572"/>
      <c r="UMJ640" s="1572"/>
      <c r="UMK640" s="1572" t="s">
        <v>885</v>
      </c>
      <c r="UML640" s="1572"/>
      <c r="UMM640" s="1572"/>
      <c r="UMN640" s="1572"/>
      <c r="UMO640" s="1572"/>
      <c r="UMP640" s="1572"/>
      <c r="UMQ640" s="1572"/>
      <c r="UMR640" s="1572"/>
      <c r="UMS640" s="1572" t="s">
        <v>885</v>
      </c>
      <c r="UMT640" s="1572"/>
      <c r="UMU640" s="1572"/>
      <c r="UMV640" s="1572"/>
      <c r="UMW640" s="1572"/>
      <c r="UMX640" s="1572"/>
      <c r="UMY640" s="1572"/>
      <c r="UMZ640" s="1572"/>
      <c r="UNA640" s="1572" t="s">
        <v>885</v>
      </c>
      <c r="UNB640" s="1572"/>
      <c r="UNC640" s="1572"/>
      <c r="UND640" s="1572"/>
      <c r="UNE640" s="1572"/>
      <c r="UNF640" s="1572"/>
      <c r="UNG640" s="1572"/>
      <c r="UNH640" s="1572"/>
      <c r="UNI640" s="1572" t="s">
        <v>885</v>
      </c>
      <c r="UNJ640" s="1572"/>
      <c r="UNK640" s="1572"/>
      <c r="UNL640" s="1572"/>
      <c r="UNM640" s="1572"/>
      <c r="UNN640" s="1572"/>
      <c r="UNO640" s="1572"/>
      <c r="UNP640" s="1572"/>
      <c r="UNQ640" s="1572" t="s">
        <v>885</v>
      </c>
      <c r="UNR640" s="1572"/>
      <c r="UNS640" s="1572"/>
      <c r="UNT640" s="1572"/>
      <c r="UNU640" s="1572"/>
      <c r="UNV640" s="1572"/>
      <c r="UNW640" s="1572"/>
      <c r="UNX640" s="1572"/>
      <c r="UNY640" s="1572" t="s">
        <v>885</v>
      </c>
      <c r="UNZ640" s="1572"/>
      <c r="UOA640" s="1572"/>
      <c r="UOB640" s="1572"/>
      <c r="UOC640" s="1572"/>
      <c r="UOD640" s="1572"/>
      <c r="UOE640" s="1572"/>
      <c r="UOF640" s="1572"/>
      <c r="UOG640" s="1572" t="s">
        <v>885</v>
      </c>
      <c r="UOH640" s="1572"/>
      <c r="UOI640" s="1572"/>
      <c r="UOJ640" s="1572"/>
      <c r="UOK640" s="1572"/>
      <c r="UOL640" s="1572"/>
      <c r="UOM640" s="1572"/>
      <c r="UON640" s="1572"/>
      <c r="UOO640" s="1572" t="s">
        <v>885</v>
      </c>
      <c r="UOP640" s="1572"/>
      <c r="UOQ640" s="1572"/>
      <c r="UOR640" s="1572"/>
      <c r="UOS640" s="1572"/>
      <c r="UOT640" s="1572"/>
      <c r="UOU640" s="1572"/>
      <c r="UOV640" s="1572"/>
      <c r="UOW640" s="1572" t="s">
        <v>885</v>
      </c>
      <c r="UOX640" s="1572"/>
      <c r="UOY640" s="1572"/>
      <c r="UOZ640" s="1572"/>
      <c r="UPA640" s="1572"/>
      <c r="UPB640" s="1572"/>
      <c r="UPC640" s="1572"/>
      <c r="UPD640" s="1572"/>
      <c r="UPE640" s="1572" t="s">
        <v>885</v>
      </c>
      <c r="UPF640" s="1572"/>
      <c r="UPG640" s="1572"/>
      <c r="UPH640" s="1572"/>
      <c r="UPI640" s="1572"/>
      <c r="UPJ640" s="1572"/>
      <c r="UPK640" s="1572"/>
      <c r="UPL640" s="1572"/>
      <c r="UPM640" s="1572" t="s">
        <v>885</v>
      </c>
      <c r="UPN640" s="1572"/>
      <c r="UPO640" s="1572"/>
      <c r="UPP640" s="1572"/>
      <c r="UPQ640" s="1572"/>
      <c r="UPR640" s="1572"/>
      <c r="UPS640" s="1572"/>
      <c r="UPT640" s="1572"/>
      <c r="UPU640" s="1572" t="s">
        <v>885</v>
      </c>
      <c r="UPV640" s="1572"/>
      <c r="UPW640" s="1572"/>
      <c r="UPX640" s="1572"/>
      <c r="UPY640" s="1572"/>
      <c r="UPZ640" s="1572"/>
      <c r="UQA640" s="1572"/>
      <c r="UQB640" s="1572"/>
      <c r="UQC640" s="1572" t="s">
        <v>885</v>
      </c>
      <c r="UQD640" s="1572"/>
      <c r="UQE640" s="1572"/>
      <c r="UQF640" s="1572"/>
      <c r="UQG640" s="1572"/>
      <c r="UQH640" s="1572"/>
      <c r="UQI640" s="1572"/>
      <c r="UQJ640" s="1572"/>
      <c r="UQK640" s="1572" t="s">
        <v>885</v>
      </c>
      <c r="UQL640" s="1572"/>
      <c r="UQM640" s="1572"/>
      <c r="UQN640" s="1572"/>
      <c r="UQO640" s="1572"/>
      <c r="UQP640" s="1572"/>
      <c r="UQQ640" s="1572"/>
      <c r="UQR640" s="1572"/>
      <c r="UQS640" s="1572" t="s">
        <v>885</v>
      </c>
      <c r="UQT640" s="1572"/>
      <c r="UQU640" s="1572"/>
      <c r="UQV640" s="1572"/>
      <c r="UQW640" s="1572"/>
      <c r="UQX640" s="1572"/>
      <c r="UQY640" s="1572"/>
      <c r="UQZ640" s="1572"/>
      <c r="URA640" s="1572" t="s">
        <v>885</v>
      </c>
      <c r="URB640" s="1572"/>
      <c r="URC640" s="1572"/>
      <c r="URD640" s="1572"/>
      <c r="URE640" s="1572"/>
      <c r="URF640" s="1572"/>
      <c r="URG640" s="1572"/>
      <c r="URH640" s="1572"/>
      <c r="URI640" s="1572" t="s">
        <v>885</v>
      </c>
      <c r="URJ640" s="1572"/>
      <c r="URK640" s="1572"/>
      <c r="URL640" s="1572"/>
      <c r="URM640" s="1572"/>
      <c r="URN640" s="1572"/>
      <c r="URO640" s="1572"/>
      <c r="URP640" s="1572"/>
      <c r="URQ640" s="1572" t="s">
        <v>885</v>
      </c>
      <c r="URR640" s="1572"/>
      <c r="URS640" s="1572"/>
      <c r="URT640" s="1572"/>
      <c r="URU640" s="1572"/>
      <c r="URV640" s="1572"/>
      <c r="URW640" s="1572"/>
      <c r="URX640" s="1572"/>
      <c r="URY640" s="1572" t="s">
        <v>885</v>
      </c>
      <c r="URZ640" s="1572"/>
      <c r="USA640" s="1572"/>
      <c r="USB640" s="1572"/>
      <c r="USC640" s="1572"/>
      <c r="USD640" s="1572"/>
      <c r="USE640" s="1572"/>
      <c r="USF640" s="1572"/>
      <c r="USG640" s="1572" t="s">
        <v>885</v>
      </c>
      <c r="USH640" s="1572"/>
      <c r="USI640" s="1572"/>
      <c r="USJ640" s="1572"/>
      <c r="USK640" s="1572"/>
      <c r="USL640" s="1572"/>
      <c r="USM640" s="1572"/>
      <c r="USN640" s="1572"/>
      <c r="USO640" s="1572" t="s">
        <v>885</v>
      </c>
      <c r="USP640" s="1572"/>
      <c r="USQ640" s="1572"/>
      <c r="USR640" s="1572"/>
      <c r="USS640" s="1572"/>
      <c r="UST640" s="1572"/>
      <c r="USU640" s="1572"/>
      <c r="USV640" s="1572"/>
      <c r="USW640" s="1572" t="s">
        <v>885</v>
      </c>
      <c r="USX640" s="1572"/>
      <c r="USY640" s="1572"/>
      <c r="USZ640" s="1572"/>
      <c r="UTA640" s="1572"/>
      <c r="UTB640" s="1572"/>
      <c r="UTC640" s="1572"/>
      <c r="UTD640" s="1572"/>
      <c r="UTE640" s="1572" t="s">
        <v>885</v>
      </c>
      <c r="UTF640" s="1572"/>
      <c r="UTG640" s="1572"/>
      <c r="UTH640" s="1572"/>
      <c r="UTI640" s="1572"/>
      <c r="UTJ640" s="1572"/>
      <c r="UTK640" s="1572"/>
      <c r="UTL640" s="1572"/>
      <c r="UTM640" s="1572" t="s">
        <v>885</v>
      </c>
      <c r="UTN640" s="1572"/>
      <c r="UTO640" s="1572"/>
      <c r="UTP640" s="1572"/>
      <c r="UTQ640" s="1572"/>
      <c r="UTR640" s="1572"/>
      <c r="UTS640" s="1572"/>
      <c r="UTT640" s="1572"/>
      <c r="UTU640" s="1572" t="s">
        <v>885</v>
      </c>
      <c r="UTV640" s="1572"/>
      <c r="UTW640" s="1572"/>
      <c r="UTX640" s="1572"/>
      <c r="UTY640" s="1572"/>
      <c r="UTZ640" s="1572"/>
      <c r="UUA640" s="1572"/>
      <c r="UUB640" s="1572"/>
      <c r="UUC640" s="1572" t="s">
        <v>885</v>
      </c>
      <c r="UUD640" s="1572"/>
      <c r="UUE640" s="1572"/>
      <c r="UUF640" s="1572"/>
      <c r="UUG640" s="1572"/>
      <c r="UUH640" s="1572"/>
      <c r="UUI640" s="1572"/>
      <c r="UUJ640" s="1572"/>
      <c r="UUK640" s="1572" t="s">
        <v>885</v>
      </c>
      <c r="UUL640" s="1572"/>
      <c r="UUM640" s="1572"/>
      <c r="UUN640" s="1572"/>
      <c r="UUO640" s="1572"/>
      <c r="UUP640" s="1572"/>
      <c r="UUQ640" s="1572"/>
      <c r="UUR640" s="1572"/>
      <c r="UUS640" s="1572" t="s">
        <v>885</v>
      </c>
      <c r="UUT640" s="1572"/>
      <c r="UUU640" s="1572"/>
      <c r="UUV640" s="1572"/>
      <c r="UUW640" s="1572"/>
      <c r="UUX640" s="1572"/>
      <c r="UUY640" s="1572"/>
      <c r="UUZ640" s="1572"/>
      <c r="UVA640" s="1572" t="s">
        <v>885</v>
      </c>
      <c r="UVB640" s="1572"/>
      <c r="UVC640" s="1572"/>
      <c r="UVD640" s="1572"/>
      <c r="UVE640" s="1572"/>
      <c r="UVF640" s="1572"/>
      <c r="UVG640" s="1572"/>
      <c r="UVH640" s="1572"/>
      <c r="UVI640" s="1572" t="s">
        <v>885</v>
      </c>
      <c r="UVJ640" s="1572"/>
      <c r="UVK640" s="1572"/>
      <c r="UVL640" s="1572"/>
      <c r="UVM640" s="1572"/>
      <c r="UVN640" s="1572"/>
      <c r="UVO640" s="1572"/>
      <c r="UVP640" s="1572"/>
      <c r="UVQ640" s="1572" t="s">
        <v>885</v>
      </c>
      <c r="UVR640" s="1572"/>
      <c r="UVS640" s="1572"/>
      <c r="UVT640" s="1572"/>
      <c r="UVU640" s="1572"/>
      <c r="UVV640" s="1572"/>
      <c r="UVW640" s="1572"/>
      <c r="UVX640" s="1572"/>
      <c r="UVY640" s="1572" t="s">
        <v>885</v>
      </c>
      <c r="UVZ640" s="1572"/>
      <c r="UWA640" s="1572"/>
      <c r="UWB640" s="1572"/>
      <c r="UWC640" s="1572"/>
      <c r="UWD640" s="1572"/>
      <c r="UWE640" s="1572"/>
      <c r="UWF640" s="1572"/>
      <c r="UWG640" s="1572" t="s">
        <v>885</v>
      </c>
      <c r="UWH640" s="1572"/>
      <c r="UWI640" s="1572"/>
      <c r="UWJ640" s="1572"/>
      <c r="UWK640" s="1572"/>
      <c r="UWL640" s="1572"/>
      <c r="UWM640" s="1572"/>
      <c r="UWN640" s="1572"/>
      <c r="UWO640" s="1572" t="s">
        <v>885</v>
      </c>
      <c r="UWP640" s="1572"/>
      <c r="UWQ640" s="1572"/>
      <c r="UWR640" s="1572"/>
      <c r="UWS640" s="1572"/>
      <c r="UWT640" s="1572"/>
      <c r="UWU640" s="1572"/>
      <c r="UWV640" s="1572"/>
      <c r="UWW640" s="1572" t="s">
        <v>885</v>
      </c>
      <c r="UWX640" s="1572"/>
      <c r="UWY640" s="1572"/>
      <c r="UWZ640" s="1572"/>
      <c r="UXA640" s="1572"/>
      <c r="UXB640" s="1572"/>
      <c r="UXC640" s="1572"/>
      <c r="UXD640" s="1572"/>
      <c r="UXE640" s="1572" t="s">
        <v>885</v>
      </c>
      <c r="UXF640" s="1572"/>
      <c r="UXG640" s="1572"/>
      <c r="UXH640" s="1572"/>
      <c r="UXI640" s="1572"/>
      <c r="UXJ640" s="1572"/>
      <c r="UXK640" s="1572"/>
      <c r="UXL640" s="1572"/>
      <c r="UXM640" s="1572" t="s">
        <v>885</v>
      </c>
      <c r="UXN640" s="1572"/>
      <c r="UXO640" s="1572"/>
      <c r="UXP640" s="1572"/>
      <c r="UXQ640" s="1572"/>
      <c r="UXR640" s="1572"/>
      <c r="UXS640" s="1572"/>
      <c r="UXT640" s="1572"/>
      <c r="UXU640" s="1572" t="s">
        <v>885</v>
      </c>
      <c r="UXV640" s="1572"/>
      <c r="UXW640" s="1572"/>
      <c r="UXX640" s="1572"/>
      <c r="UXY640" s="1572"/>
      <c r="UXZ640" s="1572"/>
      <c r="UYA640" s="1572"/>
      <c r="UYB640" s="1572"/>
      <c r="UYC640" s="1572" t="s">
        <v>885</v>
      </c>
      <c r="UYD640" s="1572"/>
      <c r="UYE640" s="1572"/>
      <c r="UYF640" s="1572"/>
      <c r="UYG640" s="1572"/>
      <c r="UYH640" s="1572"/>
      <c r="UYI640" s="1572"/>
      <c r="UYJ640" s="1572"/>
      <c r="UYK640" s="1572" t="s">
        <v>885</v>
      </c>
      <c r="UYL640" s="1572"/>
      <c r="UYM640" s="1572"/>
      <c r="UYN640" s="1572"/>
      <c r="UYO640" s="1572"/>
      <c r="UYP640" s="1572"/>
      <c r="UYQ640" s="1572"/>
      <c r="UYR640" s="1572"/>
      <c r="UYS640" s="1572" t="s">
        <v>885</v>
      </c>
      <c r="UYT640" s="1572"/>
      <c r="UYU640" s="1572"/>
      <c r="UYV640" s="1572"/>
      <c r="UYW640" s="1572"/>
      <c r="UYX640" s="1572"/>
      <c r="UYY640" s="1572"/>
      <c r="UYZ640" s="1572"/>
      <c r="UZA640" s="1572" t="s">
        <v>885</v>
      </c>
      <c r="UZB640" s="1572"/>
      <c r="UZC640" s="1572"/>
      <c r="UZD640" s="1572"/>
      <c r="UZE640" s="1572"/>
      <c r="UZF640" s="1572"/>
      <c r="UZG640" s="1572"/>
      <c r="UZH640" s="1572"/>
      <c r="UZI640" s="1572" t="s">
        <v>885</v>
      </c>
      <c r="UZJ640" s="1572"/>
      <c r="UZK640" s="1572"/>
      <c r="UZL640" s="1572"/>
      <c r="UZM640" s="1572"/>
      <c r="UZN640" s="1572"/>
      <c r="UZO640" s="1572"/>
      <c r="UZP640" s="1572"/>
      <c r="UZQ640" s="1572" t="s">
        <v>885</v>
      </c>
      <c r="UZR640" s="1572"/>
      <c r="UZS640" s="1572"/>
      <c r="UZT640" s="1572"/>
      <c r="UZU640" s="1572"/>
      <c r="UZV640" s="1572"/>
      <c r="UZW640" s="1572"/>
      <c r="UZX640" s="1572"/>
      <c r="UZY640" s="1572" t="s">
        <v>885</v>
      </c>
      <c r="UZZ640" s="1572"/>
      <c r="VAA640" s="1572"/>
      <c r="VAB640" s="1572"/>
      <c r="VAC640" s="1572"/>
      <c r="VAD640" s="1572"/>
      <c r="VAE640" s="1572"/>
      <c r="VAF640" s="1572"/>
      <c r="VAG640" s="1572" t="s">
        <v>885</v>
      </c>
      <c r="VAH640" s="1572"/>
      <c r="VAI640" s="1572"/>
      <c r="VAJ640" s="1572"/>
      <c r="VAK640" s="1572"/>
      <c r="VAL640" s="1572"/>
      <c r="VAM640" s="1572"/>
      <c r="VAN640" s="1572"/>
      <c r="VAO640" s="1572" t="s">
        <v>885</v>
      </c>
      <c r="VAP640" s="1572"/>
      <c r="VAQ640" s="1572"/>
      <c r="VAR640" s="1572"/>
      <c r="VAS640" s="1572"/>
      <c r="VAT640" s="1572"/>
      <c r="VAU640" s="1572"/>
      <c r="VAV640" s="1572"/>
      <c r="VAW640" s="1572" t="s">
        <v>885</v>
      </c>
      <c r="VAX640" s="1572"/>
      <c r="VAY640" s="1572"/>
      <c r="VAZ640" s="1572"/>
      <c r="VBA640" s="1572"/>
      <c r="VBB640" s="1572"/>
      <c r="VBC640" s="1572"/>
      <c r="VBD640" s="1572"/>
      <c r="VBE640" s="1572" t="s">
        <v>885</v>
      </c>
      <c r="VBF640" s="1572"/>
      <c r="VBG640" s="1572"/>
      <c r="VBH640" s="1572"/>
      <c r="VBI640" s="1572"/>
      <c r="VBJ640" s="1572"/>
      <c r="VBK640" s="1572"/>
      <c r="VBL640" s="1572"/>
      <c r="VBM640" s="1572" t="s">
        <v>885</v>
      </c>
      <c r="VBN640" s="1572"/>
      <c r="VBO640" s="1572"/>
      <c r="VBP640" s="1572"/>
      <c r="VBQ640" s="1572"/>
      <c r="VBR640" s="1572"/>
      <c r="VBS640" s="1572"/>
      <c r="VBT640" s="1572"/>
      <c r="VBU640" s="1572" t="s">
        <v>885</v>
      </c>
      <c r="VBV640" s="1572"/>
      <c r="VBW640" s="1572"/>
      <c r="VBX640" s="1572"/>
      <c r="VBY640" s="1572"/>
      <c r="VBZ640" s="1572"/>
      <c r="VCA640" s="1572"/>
      <c r="VCB640" s="1572"/>
      <c r="VCC640" s="1572" t="s">
        <v>885</v>
      </c>
      <c r="VCD640" s="1572"/>
      <c r="VCE640" s="1572"/>
      <c r="VCF640" s="1572"/>
      <c r="VCG640" s="1572"/>
      <c r="VCH640" s="1572"/>
      <c r="VCI640" s="1572"/>
      <c r="VCJ640" s="1572"/>
      <c r="VCK640" s="1572" t="s">
        <v>885</v>
      </c>
      <c r="VCL640" s="1572"/>
      <c r="VCM640" s="1572"/>
      <c r="VCN640" s="1572"/>
      <c r="VCO640" s="1572"/>
      <c r="VCP640" s="1572"/>
      <c r="VCQ640" s="1572"/>
      <c r="VCR640" s="1572"/>
      <c r="VCS640" s="1572" t="s">
        <v>885</v>
      </c>
      <c r="VCT640" s="1572"/>
      <c r="VCU640" s="1572"/>
      <c r="VCV640" s="1572"/>
      <c r="VCW640" s="1572"/>
      <c r="VCX640" s="1572"/>
      <c r="VCY640" s="1572"/>
      <c r="VCZ640" s="1572"/>
      <c r="VDA640" s="1572" t="s">
        <v>885</v>
      </c>
      <c r="VDB640" s="1572"/>
      <c r="VDC640" s="1572"/>
      <c r="VDD640" s="1572"/>
      <c r="VDE640" s="1572"/>
      <c r="VDF640" s="1572"/>
      <c r="VDG640" s="1572"/>
      <c r="VDH640" s="1572"/>
      <c r="VDI640" s="1572" t="s">
        <v>885</v>
      </c>
      <c r="VDJ640" s="1572"/>
      <c r="VDK640" s="1572"/>
      <c r="VDL640" s="1572"/>
      <c r="VDM640" s="1572"/>
      <c r="VDN640" s="1572"/>
      <c r="VDO640" s="1572"/>
      <c r="VDP640" s="1572"/>
      <c r="VDQ640" s="1572" t="s">
        <v>885</v>
      </c>
      <c r="VDR640" s="1572"/>
      <c r="VDS640" s="1572"/>
      <c r="VDT640" s="1572"/>
      <c r="VDU640" s="1572"/>
      <c r="VDV640" s="1572"/>
      <c r="VDW640" s="1572"/>
      <c r="VDX640" s="1572"/>
      <c r="VDY640" s="1572" t="s">
        <v>885</v>
      </c>
      <c r="VDZ640" s="1572"/>
      <c r="VEA640" s="1572"/>
      <c r="VEB640" s="1572"/>
      <c r="VEC640" s="1572"/>
      <c r="VED640" s="1572"/>
      <c r="VEE640" s="1572"/>
      <c r="VEF640" s="1572"/>
      <c r="VEG640" s="1572" t="s">
        <v>885</v>
      </c>
      <c r="VEH640" s="1572"/>
      <c r="VEI640" s="1572"/>
      <c r="VEJ640" s="1572"/>
      <c r="VEK640" s="1572"/>
      <c r="VEL640" s="1572"/>
      <c r="VEM640" s="1572"/>
      <c r="VEN640" s="1572"/>
      <c r="VEO640" s="1572" t="s">
        <v>885</v>
      </c>
      <c r="VEP640" s="1572"/>
      <c r="VEQ640" s="1572"/>
      <c r="VER640" s="1572"/>
      <c r="VES640" s="1572"/>
      <c r="VET640" s="1572"/>
      <c r="VEU640" s="1572"/>
      <c r="VEV640" s="1572"/>
      <c r="VEW640" s="1572" t="s">
        <v>885</v>
      </c>
      <c r="VEX640" s="1572"/>
      <c r="VEY640" s="1572"/>
      <c r="VEZ640" s="1572"/>
      <c r="VFA640" s="1572"/>
      <c r="VFB640" s="1572"/>
      <c r="VFC640" s="1572"/>
      <c r="VFD640" s="1572"/>
      <c r="VFE640" s="1572" t="s">
        <v>885</v>
      </c>
      <c r="VFF640" s="1572"/>
      <c r="VFG640" s="1572"/>
      <c r="VFH640" s="1572"/>
      <c r="VFI640" s="1572"/>
      <c r="VFJ640" s="1572"/>
      <c r="VFK640" s="1572"/>
      <c r="VFL640" s="1572"/>
      <c r="VFM640" s="1572" t="s">
        <v>885</v>
      </c>
      <c r="VFN640" s="1572"/>
      <c r="VFO640" s="1572"/>
      <c r="VFP640" s="1572"/>
      <c r="VFQ640" s="1572"/>
      <c r="VFR640" s="1572"/>
      <c r="VFS640" s="1572"/>
      <c r="VFT640" s="1572"/>
      <c r="VFU640" s="1572" t="s">
        <v>885</v>
      </c>
      <c r="VFV640" s="1572"/>
      <c r="VFW640" s="1572"/>
      <c r="VFX640" s="1572"/>
      <c r="VFY640" s="1572"/>
      <c r="VFZ640" s="1572"/>
      <c r="VGA640" s="1572"/>
      <c r="VGB640" s="1572"/>
      <c r="VGC640" s="1572" t="s">
        <v>885</v>
      </c>
      <c r="VGD640" s="1572"/>
      <c r="VGE640" s="1572"/>
      <c r="VGF640" s="1572"/>
      <c r="VGG640" s="1572"/>
      <c r="VGH640" s="1572"/>
      <c r="VGI640" s="1572"/>
      <c r="VGJ640" s="1572"/>
      <c r="VGK640" s="1572" t="s">
        <v>885</v>
      </c>
      <c r="VGL640" s="1572"/>
      <c r="VGM640" s="1572"/>
      <c r="VGN640" s="1572"/>
      <c r="VGO640" s="1572"/>
      <c r="VGP640" s="1572"/>
      <c r="VGQ640" s="1572"/>
      <c r="VGR640" s="1572"/>
      <c r="VGS640" s="1572" t="s">
        <v>885</v>
      </c>
      <c r="VGT640" s="1572"/>
      <c r="VGU640" s="1572"/>
      <c r="VGV640" s="1572"/>
      <c r="VGW640" s="1572"/>
      <c r="VGX640" s="1572"/>
      <c r="VGY640" s="1572"/>
      <c r="VGZ640" s="1572"/>
      <c r="VHA640" s="1572" t="s">
        <v>885</v>
      </c>
      <c r="VHB640" s="1572"/>
      <c r="VHC640" s="1572"/>
      <c r="VHD640" s="1572"/>
      <c r="VHE640" s="1572"/>
      <c r="VHF640" s="1572"/>
      <c r="VHG640" s="1572"/>
      <c r="VHH640" s="1572"/>
      <c r="VHI640" s="1572" t="s">
        <v>885</v>
      </c>
      <c r="VHJ640" s="1572"/>
      <c r="VHK640" s="1572"/>
      <c r="VHL640" s="1572"/>
      <c r="VHM640" s="1572"/>
      <c r="VHN640" s="1572"/>
      <c r="VHO640" s="1572"/>
      <c r="VHP640" s="1572"/>
      <c r="VHQ640" s="1572" t="s">
        <v>885</v>
      </c>
      <c r="VHR640" s="1572"/>
      <c r="VHS640" s="1572"/>
      <c r="VHT640" s="1572"/>
      <c r="VHU640" s="1572"/>
      <c r="VHV640" s="1572"/>
      <c r="VHW640" s="1572"/>
      <c r="VHX640" s="1572"/>
      <c r="VHY640" s="1572" t="s">
        <v>885</v>
      </c>
      <c r="VHZ640" s="1572"/>
      <c r="VIA640" s="1572"/>
      <c r="VIB640" s="1572"/>
      <c r="VIC640" s="1572"/>
      <c r="VID640" s="1572"/>
      <c r="VIE640" s="1572"/>
      <c r="VIF640" s="1572"/>
      <c r="VIG640" s="1572" t="s">
        <v>885</v>
      </c>
      <c r="VIH640" s="1572"/>
      <c r="VII640" s="1572"/>
      <c r="VIJ640" s="1572"/>
      <c r="VIK640" s="1572"/>
      <c r="VIL640" s="1572"/>
      <c r="VIM640" s="1572"/>
      <c r="VIN640" s="1572"/>
      <c r="VIO640" s="1572" t="s">
        <v>885</v>
      </c>
      <c r="VIP640" s="1572"/>
      <c r="VIQ640" s="1572"/>
      <c r="VIR640" s="1572"/>
      <c r="VIS640" s="1572"/>
      <c r="VIT640" s="1572"/>
      <c r="VIU640" s="1572"/>
      <c r="VIV640" s="1572"/>
      <c r="VIW640" s="1572" t="s">
        <v>885</v>
      </c>
      <c r="VIX640" s="1572"/>
      <c r="VIY640" s="1572"/>
      <c r="VIZ640" s="1572"/>
      <c r="VJA640" s="1572"/>
      <c r="VJB640" s="1572"/>
      <c r="VJC640" s="1572"/>
      <c r="VJD640" s="1572"/>
      <c r="VJE640" s="1572" t="s">
        <v>885</v>
      </c>
      <c r="VJF640" s="1572"/>
      <c r="VJG640" s="1572"/>
      <c r="VJH640" s="1572"/>
      <c r="VJI640" s="1572"/>
      <c r="VJJ640" s="1572"/>
      <c r="VJK640" s="1572"/>
      <c r="VJL640" s="1572"/>
      <c r="VJM640" s="1572" t="s">
        <v>885</v>
      </c>
      <c r="VJN640" s="1572"/>
      <c r="VJO640" s="1572"/>
      <c r="VJP640" s="1572"/>
      <c r="VJQ640" s="1572"/>
      <c r="VJR640" s="1572"/>
      <c r="VJS640" s="1572"/>
      <c r="VJT640" s="1572"/>
      <c r="VJU640" s="1572" t="s">
        <v>885</v>
      </c>
      <c r="VJV640" s="1572"/>
      <c r="VJW640" s="1572"/>
      <c r="VJX640" s="1572"/>
      <c r="VJY640" s="1572"/>
      <c r="VJZ640" s="1572"/>
      <c r="VKA640" s="1572"/>
      <c r="VKB640" s="1572"/>
      <c r="VKC640" s="1572" t="s">
        <v>885</v>
      </c>
      <c r="VKD640" s="1572"/>
      <c r="VKE640" s="1572"/>
      <c r="VKF640" s="1572"/>
      <c r="VKG640" s="1572"/>
      <c r="VKH640" s="1572"/>
      <c r="VKI640" s="1572"/>
      <c r="VKJ640" s="1572"/>
      <c r="VKK640" s="1572" t="s">
        <v>885</v>
      </c>
      <c r="VKL640" s="1572"/>
      <c r="VKM640" s="1572"/>
      <c r="VKN640" s="1572"/>
      <c r="VKO640" s="1572"/>
      <c r="VKP640" s="1572"/>
      <c r="VKQ640" s="1572"/>
      <c r="VKR640" s="1572"/>
      <c r="VKS640" s="1572" t="s">
        <v>885</v>
      </c>
      <c r="VKT640" s="1572"/>
      <c r="VKU640" s="1572"/>
      <c r="VKV640" s="1572"/>
      <c r="VKW640" s="1572"/>
      <c r="VKX640" s="1572"/>
      <c r="VKY640" s="1572"/>
      <c r="VKZ640" s="1572"/>
      <c r="VLA640" s="1572" t="s">
        <v>885</v>
      </c>
      <c r="VLB640" s="1572"/>
      <c r="VLC640" s="1572"/>
      <c r="VLD640" s="1572"/>
      <c r="VLE640" s="1572"/>
      <c r="VLF640" s="1572"/>
      <c r="VLG640" s="1572"/>
      <c r="VLH640" s="1572"/>
      <c r="VLI640" s="1572" t="s">
        <v>885</v>
      </c>
      <c r="VLJ640" s="1572"/>
      <c r="VLK640" s="1572"/>
      <c r="VLL640" s="1572"/>
      <c r="VLM640" s="1572"/>
      <c r="VLN640" s="1572"/>
      <c r="VLO640" s="1572"/>
      <c r="VLP640" s="1572"/>
      <c r="VLQ640" s="1572" t="s">
        <v>885</v>
      </c>
      <c r="VLR640" s="1572"/>
      <c r="VLS640" s="1572"/>
      <c r="VLT640" s="1572"/>
      <c r="VLU640" s="1572"/>
      <c r="VLV640" s="1572"/>
      <c r="VLW640" s="1572"/>
      <c r="VLX640" s="1572"/>
      <c r="VLY640" s="1572" t="s">
        <v>885</v>
      </c>
      <c r="VLZ640" s="1572"/>
      <c r="VMA640" s="1572"/>
      <c r="VMB640" s="1572"/>
      <c r="VMC640" s="1572"/>
      <c r="VMD640" s="1572"/>
      <c r="VME640" s="1572"/>
      <c r="VMF640" s="1572"/>
      <c r="VMG640" s="1572" t="s">
        <v>885</v>
      </c>
      <c r="VMH640" s="1572"/>
      <c r="VMI640" s="1572"/>
      <c r="VMJ640" s="1572"/>
      <c r="VMK640" s="1572"/>
      <c r="VML640" s="1572"/>
      <c r="VMM640" s="1572"/>
      <c r="VMN640" s="1572"/>
      <c r="VMO640" s="1572" t="s">
        <v>885</v>
      </c>
      <c r="VMP640" s="1572"/>
      <c r="VMQ640" s="1572"/>
      <c r="VMR640" s="1572"/>
      <c r="VMS640" s="1572"/>
      <c r="VMT640" s="1572"/>
      <c r="VMU640" s="1572"/>
      <c r="VMV640" s="1572"/>
      <c r="VMW640" s="1572" t="s">
        <v>885</v>
      </c>
      <c r="VMX640" s="1572"/>
      <c r="VMY640" s="1572"/>
      <c r="VMZ640" s="1572"/>
      <c r="VNA640" s="1572"/>
      <c r="VNB640" s="1572"/>
      <c r="VNC640" s="1572"/>
      <c r="VND640" s="1572"/>
      <c r="VNE640" s="1572" t="s">
        <v>885</v>
      </c>
      <c r="VNF640" s="1572"/>
      <c r="VNG640" s="1572"/>
      <c r="VNH640" s="1572"/>
      <c r="VNI640" s="1572"/>
      <c r="VNJ640" s="1572"/>
      <c r="VNK640" s="1572"/>
      <c r="VNL640" s="1572"/>
      <c r="VNM640" s="1572" t="s">
        <v>885</v>
      </c>
      <c r="VNN640" s="1572"/>
      <c r="VNO640" s="1572"/>
      <c r="VNP640" s="1572"/>
      <c r="VNQ640" s="1572"/>
      <c r="VNR640" s="1572"/>
      <c r="VNS640" s="1572"/>
      <c r="VNT640" s="1572"/>
      <c r="VNU640" s="1572" t="s">
        <v>885</v>
      </c>
      <c r="VNV640" s="1572"/>
      <c r="VNW640" s="1572"/>
      <c r="VNX640" s="1572"/>
      <c r="VNY640" s="1572"/>
      <c r="VNZ640" s="1572"/>
      <c r="VOA640" s="1572"/>
      <c r="VOB640" s="1572"/>
      <c r="VOC640" s="1572" t="s">
        <v>885</v>
      </c>
      <c r="VOD640" s="1572"/>
      <c r="VOE640" s="1572"/>
      <c r="VOF640" s="1572"/>
      <c r="VOG640" s="1572"/>
      <c r="VOH640" s="1572"/>
      <c r="VOI640" s="1572"/>
      <c r="VOJ640" s="1572"/>
      <c r="VOK640" s="1572" t="s">
        <v>885</v>
      </c>
      <c r="VOL640" s="1572"/>
      <c r="VOM640" s="1572"/>
      <c r="VON640" s="1572"/>
      <c r="VOO640" s="1572"/>
      <c r="VOP640" s="1572"/>
      <c r="VOQ640" s="1572"/>
      <c r="VOR640" s="1572"/>
      <c r="VOS640" s="1572" t="s">
        <v>885</v>
      </c>
      <c r="VOT640" s="1572"/>
      <c r="VOU640" s="1572"/>
      <c r="VOV640" s="1572"/>
      <c r="VOW640" s="1572"/>
      <c r="VOX640" s="1572"/>
      <c r="VOY640" s="1572"/>
      <c r="VOZ640" s="1572"/>
      <c r="VPA640" s="1572" t="s">
        <v>885</v>
      </c>
      <c r="VPB640" s="1572"/>
      <c r="VPC640" s="1572"/>
      <c r="VPD640" s="1572"/>
      <c r="VPE640" s="1572"/>
      <c r="VPF640" s="1572"/>
      <c r="VPG640" s="1572"/>
      <c r="VPH640" s="1572"/>
      <c r="VPI640" s="1572" t="s">
        <v>885</v>
      </c>
      <c r="VPJ640" s="1572"/>
      <c r="VPK640" s="1572"/>
      <c r="VPL640" s="1572"/>
      <c r="VPM640" s="1572"/>
      <c r="VPN640" s="1572"/>
      <c r="VPO640" s="1572"/>
      <c r="VPP640" s="1572"/>
      <c r="VPQ640" s="1572" t="s">
        <v>885</v>
      </c>
      <c r="VPR640" s="1572"/>
      <c r="VPS640" s="1572"/>
      <c r="VPT640" s="1572"/>
      <c r="VPU640" s="1572"/>
      <c r="VPV640" s="1572"/>
      <c r="VPW640" s="1572"/>
      <c r="VPX640" s="1572"/>
      <c r="VPY640" s="1572" t="s">
        <v>885</v>
      </c>
      <c r="VPZ640" s="1572"/>
      <c r="VQA640" s="1572"/>
      <c r="VQB640" s="1572"/>
      <c r="VQC640" s="1572"/>
      <c r="VQD640" s="1572"/>
      <c r="VQE640" s="1572"/>
      <c r="VQF640" s="1572"/>
      <c r="VQG640" s="1572" t="s">
        <v>885</v>
      </c>
      <c r="VQH640" s="1572"/>
      <c r="VQI640" s="1572"/>
      <c r="VQJ640" s="1572"/>
      <c r="VQK640" s="1572"/>
      <c r="VQL640" s="1572"/>
      <c r="VQM640" s="1572"/>
      <c r="VQN640" s="1572"/>
      <c r="VQO640" s="1572" t="s">
        <v>885</v>
      </c>
      <c r="VQP640" s="1572"/>
      <c r="VQQ640" s="1572"/>
      <c r="VQR640" s="1572"/>
      <c r="VQS640" s="1572"/>
      <c r="VQT640" s="1572"/>
      <c r="VQU640" s="1572"/>
      <c r="VQV640" s="1572"/>
      <c r="VQW640" s="1572" t="s">
        <v>885</v>
      </c>
      <c r="VQX640" s="1572"/>
      <c r="VQY640" s="1572"/>
      <c r="VQZ640" s="1572"/>
      <c r="VRA640" s="1572"/>
      <c r="VRB640" s="1572"/>
      <c r="VRC640" s="1572"/>
      <c r="VRD640" s="1572"/>
      <c r="VRE640" s="1572" t="s">
        <v>885</v>
      </c>
      <c r="VRF640" s="1572"/>
      <c r="VRG640" s="1572"/>
      <c r="VRH640" s="1572"/>
      <c r="VRI640" s="1572"/>
      <c r="VRJ640" s="1572"/>
      <c r="VRK640" s="1572"/>
      <c r="VRL640" s="1572"/>
      <c r="VRM640" s="1572" t="s">
        <v>885</v>
      </c>
      <c r="VRN640" s="1572"/>
      <c r="VRO640" s="1572"/>
      <c r="VRP640" s="1572"/>
      <c r="VRQ640" s="1572"/>
      <c r="VRR640" s="1572"/>
      <c r="VRS640" s="1572"/>
      <c r="VRT640" s="1572"/>
      <c r="VRU640" s="1572" t="s">
        <v>885</v>
      </c>
      <c r="VRV640" s="1572"/>
      <c r="VRW640" s="1572"/>
      <c r="VRX640" s="1572"/>
      <c r="VRY640" s="1572"/>
      <c r="VRZ640" s="1572"/>
      <c r="VSA640" s="1572"/>
      <c r="VSB640" s="1572"/>
      <c r="VSC640" s="1572" t="s">
        <v>885</v>
      </c>
      <c r="VSD640" s="1572"/>
      <c r="VSE640" s="1572"/>
      <c r="VSF640" s="1572"/>
      <c r="VSG640" s="1572"/>
      <c r="VSH640" s="1572"/>
      <c r="VSI640" s="1572"/>
      <c r="VSJ640" s="1572"/>
      <c r="VSK640" s="1572" t="s">
        <v>885</v>
      </c>
      <c r="VSL640" s="1572"/>
      <c r="VSM640" s="1572"/>
      <c r="VSN640" s="1572"/>
      <c r="VSO640" s="1572"/>
      <c r="VSP640" s="1572"/>
      <c r="VSQ640" s="1572"/>
      <c r="VSR640" s="1572"/>
      <c r="VSS640" s="1572" t="s">
        <v>885</v>
      </c>
      <c r="VST640" s="1572"/>
      <c r="VSU640" s="1572"/>
      <c r="VSV640" s="1572"/>
      <c r="VSW640" s="1572"/>
      <c r="VSX640" s="1572"/>
      <c r="VSY640" s="1572"/>
      <c r="VSZ640" s="1572"/>
      <c r="VTA640" s="1572" t="s">
        <v>885</v>
      </c>
      <c r="VTB640" s="1572"/>
      <c r="VTC640" s="1572"/>
      <c r="VTD640" s="1572"/>
      <c r="VTE640" s="1572"/>
      <c r="VTF640" s="1572"/>
      <c r="VTG640" s="1572"/>
      <c r="VTH640" s="1572"/>
      <c r="VTI640" s="1572" t="s">
        <v>885</v>
      </c>
      <c r="VTJ640" s="1572"/>
      <c r="VTK640" s="1572"/>
      <c r="VTL640" s="1572"/>
      <c r="VTM640" s="1572"/>
      <c r="VTN640" s="1572"/>
      <c r="VTO640" s="1572"/>
      <c r="VTP640" s="1572"/>
      <c r="VTQ640" s="1572" t="s">
        <v>885</v>
      </c>
      <c r="VTR640" s="1572"/>
      <c r="VTS640" s="1572"/>
      <c r="VTT640" s="1572"/>
      <c r="VTU640" s="1572"/>
      <c r="VTV640" s="1572"/>
      <c r="VTW640" s="1572"/>
      <c r="VTX640" s="1572"/>
      <c r="VTY640" s="1572" t="s">
        <v>885</v>
      </c>
      <c r="VTZ640" s="1572"/>
      <c r="VUA640" s="1572"/>
      <c r="VUB640" s="1572"/>
      <c r="VUC640" s="1572"/>
      <c r="VUD640" s="1572"/>
      <c r="VUE640" s="1572"/>
      <c r="VUF640" s="1572"/>
      <c r="VUG640" s="1572" t="s">
        <v>885</v>
      </c>
      <c r="VUH640" s="1572"/>
      <c r="VUI640" s="1572"/>
      <c r="VUJ640" s="1572"/>
      <c r="VUK640" s="1572"/>
      <c r="VUL640" s="1572"/>
      <c r="VUM640" s="1572"/>
      <c r="VUN640" s="1572"/>
      <c r="VUO640" s="1572" t="s">
        <v>885</v>
      </c>
      <c r="VUP640" s="1572"/>
      <c r="VUQ640" s="1572"/>
      <c r="VUR640" s="1572"/>
      <c r="VUS640" s="1572"/>
      <c r="VUT640" s="1572"/>
      <c r="VUU640" s="1572"/>
      <c r="VUV640" s="1572"/>
      <c r="VUW640" s="1572" t="s">
        <v>885</v>
      </c>
      <c r="VUX640" s="1572"/>
      <c r="VUY640" s="1572"/>
      <c r="VUZ640" s="1572"/>
      <c r="VVA640" s="1572"/>
      <c r="VVB640" s="1572"/>
      <c r="VVC640" s="1572"/>
      <c r="VVD640" s="1572"/>
      <c r="VVE640" s="1572" t="s">
        <v>885</v>
      </c>
      <c r="VVF640" s="1572"/>
      <c r="VVG640" s="1572"/>
      <c r="VVH640" s="1572"/>
      <c r="VVI640" s="1572"/>
      <c r="VVJ640" s="1572"/>
      <c r="VVK640" s="1572"/>
      <c r="VVL640" s="1572"/>
      <c r="VVM640" s="1572" t="s">
        <v>885</v>
      </c>
      <c r="VVN640" s="1572"/>
      <c r="VVO640" s="1572"/>
      <c r="VVP640" s="1572"/>
      <c r="VVQ640" s="1572"/>
      <c r="VVR640" s="1572"/>
      <c r="VVS640" s="1572"/>
      <c r="VVT640" s="1572"/>
      <c r="VVU640" s="1572" t="s">
        <v>885</v>
      </c>
      <c r="VVV640" s="1572"/>
      <c r="VVW640" s="1572"/>
      <c r="VVX640" s="1572"/>
      <c r="VVY640" s="1572"/>
      <c r="VVZ640" s="1572"/>
      <c r="VWA640" s="1572"/>
      <c r="VWB640" s="1572"/>
      <c r="VWC640" s="1572" t="s">
        <v>885</v>
      </c>
      <c r="VWD640" s="1572"/>
      <c r="VWE640" s="1572"/>
      <c r="VWF640" s="1572"/>
      <c r="VWG640" s="1572"/>
      <c r="VWH640" s="1572"/>
      <c r="VWI640" s="1572"/>
      <c r="VWJ640" s="1572"/>
      <c r="VWK640" s="1572" t="s">
        <v>885</v>
      </c>
      <c r="VWL640" s="1572"/>
      <c r="VWM640" s="1572"/>
      <c r="VWN640" s="1572"/>
      <c r="VWO640" s="1572"/>
      <c r="VWP640" s="1572"/>
      <c r="VWQ640" s="1572"/>
      <c r="VWR640" s="1572"/>
      <c r="VWS640" s="1572" t="s">
        <v>885</v>
      </c>
      <c r="VWT640" s="1572"/>
      <c r="VWU640" s="1572"/>
      <c r="VWV640" s="1572"/>
      <c r="VWW640" s="1572"/>
      <c r="VWX640" s="1572"/>
      <c r="VWY640" s="1572"/>
      <c r="VWZ640" s="1572"/>
      <c r="VXA640" s="1572" t="s">
        <v>885</v>
      </c>
      <c r="VXB640" s="1572"/>
      <c r="VXC640" s="1572"/>
      <c r="VXD640" s="1572"/>
      <c r="VXE640" s="1572"/>
      <c r="VXF640" s="1572"/>
      <c r="VXG640" s="1572"/>
      <c r="VXH640" s="1572"/>
      <c r="VXI640" s="1572" t="s">
        <v>885</v>
      </c>
      <c r="VXJ640" s="1572"/>
      <c r="VXK640" s="1572"/>
      <c r="VXL640" s="1572"/>
      <c r="VXM640" s="1572"/>
      <c r="VXN640" s="1572"/>
      <c r="VXO640" s="1572"/>
      <c r="VXP640" s="1572"/>
      <c r="VXQ640" s="1572" t="s">
        <v>885</v>
      </c>
      <c r="VXR640" s="1572"/>
      <c r="VXS640" s="1572"/>
      <c r="VXT640" s="1572"/>
      <c r="VXU640" s="1572"/>
      <c r="VXV640" s="1572"/>
      <c r="VXW640" s="1572"/>
      <c r="VXX640" s="1572"/>
      <c r="VXY640" s="1572" t="s">
        <v>885</v>
      </c>
      <c r="VXZ640" s="1572"/>
      <c r="VYA640" s="1572"/>
      <c r="VYB640" s="1572"/>
      <c r="VYC640" s="1572"/>
      <c r="VYD640" s="1572"/>
      <c r="VYE640" s="1572"/>
      <c r="VYF640" s="1572"/>
      <c r="VYG640" s="1572" t="s">
        <v>885</v>
      </c>
      <c r="VYH640" s="1572"/>
      <c r="VYI640" s="1572"/>
      <c r="VYJ640" s="1572"/>
      <c r="VYK640" s="1572"/>
      <c r="VYL640" s="1572"/>
      <c r="VYM640" s="1572"/>
      <c r="VYN640" s="1572"/>
      <c r="VYO640" s="1572" t="s">
        <v>885</v>
      </c>
      <c r="VYP640" s="1572"/>
      <c r="VYQ640" s="1572"/>
      <c r="VYR640" s="1572"/>
      <c r="VYS640" s="1572"/>
      <c r="VYT640" s="1572"/>
      <c r="VYU640" s="1572"/>
      <c r="VYV640" s="1572"/>
      <c r="VYW640" s="1572" t="s">
        <v>885</v>
      </c>
      <c r="VYX640" s="1572"/>
      <c r="VYY640" s="1572"/>
      <c r="VYZ640" s="1572"/>
      <c r="VZA640" s="1572"/>
      <c r="VZB640" s="1572"/>
      <c r="VZC640" s="1572"/>
      <c r="VZD640" s="1572"/>
      <c r="VZE640" s="1572" t="s">
        <v>885</v>
      </c>
      <c r="VZF640" s="1572"/>
      <c r="VZG640" s="1572"/>
      <c r="VZH640" s="1572"/>
      <c r="VZI640" s="1572"/>
      <c r="VZJ640" s="1572"/>
      <c r="VZK640" s="1572"/>
      <c r="VZL640" s="1572"/>
      <c r="VZM640" s="1572" t="s">
        <v>885</v>
      </c>
      <c r="VZN640" s="1572"/>
      <c r="VZO640" s="1572"/>
      <c r="VZP640" s="1572"/>
      <c r="VZQ640" s="1572"/>
      <c r="VZR640" s="1572"/>
      <c r="VZS640" s="1572"/>
      <c r="VZT640" s="1572"/>
      <c r="VZU640" s="1572" t="s">
        <v>885</v>
      </c>
      <c r="VZV640" s="1572"/>
      <c r="VZW640" s="1572"/>
      <c r="VZX640" s="1572"/>
      <c r="VZY640" s="1572"/>
      <c r="VZZ640" s="1572"/>
      <c r="WAA640" s="1572"/>
      <c r="WAB640" s="1572"/>
      <c r="WAC640" s="1572" t="s">
        <v>885</v>
      </c>
      <c r="WAD640" s="1572"/>
      <c r="WAE640" s="1572"/>
      <c r="WAF640" s="1572"/>
      <c r="WAG640" s="1572"/>
      <c r="WAH640" s="1572"/>
      <c r="WAI640" s="1572"/>
      <c r="WAJ640" s="1572"/>
      <c r="WAK640" s="1572" t="s">
        <v>885</v>
      </c>
      <c r="WAL640" s="1572"/>
      <c r="WAM640" s="1572"/>
      <c r="WAN640" s="1572"/>
      <c r="WAO640" s="1572"/>
      <c r="WAP640" s="1572"/>
      <c r="WAQ640" s="1572"/>
      <c r="WAR640" s="1572"/>
      <c r="WAS640" s="1572" t="s">
        <v>885</v>
      </c>
      <c r="WAT640" s="1572"/>
      <c r="WAU640" s="1572"/>
      <c r="WAV640" s="1572"/>
      <c r="WAW640" s="1572"/>
      <c r="WAX640" s="1572"/>
      <c r="WAY640" s="1572"/>
      <c r="WAZ640" s="1572"/>
      <c r="WBA640" s="1572" t="s">
        <v>885</v>
      </c>
      <c r="WBB640" s="1572"/>
      <c r="WBC640" s="1572"/>
      <c r="WBD640" s="1572"/>
      <c r="WBE640" s="1572"/>
      <c r="WBF640" s="1572"/>
      <c r="WBG640" s="1572"/>
      <c r="WBH640" s="1572"/>
      <c r="WBI640" s="1572" t="s">
        <v>885</v>
      </c>
      <c r="WBJ640" s="1572"/>
      <c r="WBK640" s="1572"/>
      <c r="WBL640" s="1572"/>
      <c r="WBM640" s="1572"/>
      <c r="WBN640" s="1572"/>
      <c r="WBO640" s="1572"/>
      <c r="WBP640" s="1572"/>
      <c r="WBQ640" s="1572" t="s">
        <v>885</v>
      </c>
      <c r="WBR640" s="1572"/>
      <c r="WBS640" s="1572"/>
      <c r="WBT640" s="1572"/>
      <c r="WBU640" s="1572"/>
      <c r="WBV640" s="1572"/>
      <c r="WBW640" s="1572"/>
      <c r="WBX640" s="1572"/>
      <c r="WBY640" s="1572" t="s">
        <v>885</v>
      </c>
      <c r="WBZ640" s="1572"/>
      <c r="WCA640" s="1572"/>
      <c r="WCB640" s="1572"/>
      <c r="WCC640" s="1572"/>
      <c r="WCD640" s="1572"/>
      <c r="WCE640" s="1572"/>
      <c r="WCF640" s="1572"/>
      <c r="WCG640" s="1572" t="s">
        <v>885</v>
      </c>
      <c r="WCH640" s="1572"/>
      <c r="WCI640" s="1572"/>
      <c r="WCJ640" s="1572"/>
      <c r="WCK640" s="1572"/>
      <c r="WCL640" s="1572"/>
      <c r="WCM640" s="1572"/>
      <c r="WCN640" s="1572"/>
      <c r="WCO640" s="1572" t="s">
        <v>885</v>
      </c>
      <c r="WCP640" s="1572"/>
      <c r="WCQ640" s="1572"/>
      <c r="WCR640" s="1572"/>
      <c r="WCS640" s="1572"/>
      <c r="WCT640" s="1572"/>
      <c r="WCU640" s="1572"/>
      <c r="WCV640" s="1572"/>
      <c r="WCW640" s="1572" t="s">
        <v>885</v>
      </c>
      <c r="WCX640" s="1572"/>
      <c r="WCY640" s="1572"/>
      <c r="WCZ640" s="1572"/>
      <c r="WDA640" s="1572"/>
      <c r="WDB640" s="1572"/>
      <c r="WDC640" s="1572"/>
      <c r="WDD640" s="1572"/>
      <c r="WDE640" s="1572" t="s">
        <v>885</v>
      </c>
      <c r="WDF640" s="1572"/>
      <c r="WDG640" s="1572"/>
      <c r="WDH640" s="1572"/>
      <c r="WDI640" s="1572"/>
      <c r="WDJ640" s="1572"/>
      <c r="WDK640" s="1572"/>
      <c r="WDL640" s="1572"/>
      <c r="WDM640" s="1572" t="s">
        <v>885</v>
      </c>
      <c r="WDN640" s="1572"/>
      <c r="WDO640" s="1572"/>
      <c r="WDP640" s="1572"/>
      <c r="WDQ640" s="1572"/>
      <c r="WDR640" s="1572"/>
      <c r="WDS640" s="1572"/>
      <c r="WDT640" s="1572"/>
      <c r="WDU640" s="1572" t="s">
        <v>885</v>
      </c>
      <c r="WDV640" s="1572"/>
      <c r="WDW640" s="1572"/>
      <c r="WDX640" s="1572"/>
      <c r="WDY640" s="1572"/>
      <c r="WDZ640" s="1572"/>
      <c r="WEA640" s="1572"/>
      <c r="WEB640" s="1572"/>
      <c r="WEC640" s="1572" t="s">
        <v>885</v>
      </c>
      <c r="WED640" s="1572"/>
      <c r="WEE640" s="1572"/>
      <c r="WEF640" s="1572"/>
      <c r="WEG640" s="1572"/>
      <c r="WEH640" s="1572"/>
      <c r="WEI640" s="1572"/>
      <c r="WEJ640" s="1572"/>
      <c r="WEK640" s="1572" t="s">
        <v>885</v>
      </c>
      <c r="WEL640" s="1572"/>
      <c r="WEM640" s="1572"/>
      <c r="WEN640" s="1572"/>
      <c r="WEO640" s="1572"/>
      <c r="WEP640" s="1572"/>
      <c r="WEQ640" s="1572"/>
      <c r="WER640" s="1572"/>
      <c r="WES640" s="1572" t="s">
        <v>885</v>
      </c>
      <c r="WET640" s="1572"/>
      <c r="WEU640" s="1572"/>
      <c r="WEV640" s="1572"/>
      <c r="WEW640" s="1572"/>
      <c r="WEX640" s="1572"/>
      <c r="WEY640" s="1572"/>
      <c r="WEZ640" s="1572"/>
      <c r="WFA640" s="1572" t="s">
        <v>885</v>
      </c>
      <c r="WFB640" s="1572"/>
      <c r="WFC640" s="1572"/>
      <c r="WFD640" s="1572"/>
      <c r="WFE640" s="1572"/>
      <c r="WFF640" s="1572"/>
      <c r="WFG640" s="1572"/>
      <c r="WFH640" s="1572"/>
      <c r="WFI640" s="1572" t="s">
        <v>885</v>
      </c>
      <c r="WFJ640" s="1572"/>
      <c r="WFK640" s="1572"/>
      <c r="WFL640" s="1572"/>
      <c r="WFM640" s="1572"/>
      <c r="WFN640" s="1572"/>
      <c r="WFO640" s="1572"/>
      <c r="WFP640" s="1572"/>
      <c r="WFQ640" s="1572" t="s">
        <v>885</v>
      </c>
      <c r="WFR640" s="1572"/>
      <c r="WFS640" s="1572"/>
      <c r="WFT640" s="1572"/>
      <c r="WFU640" s="1572"/>
      <c r="WFV640" s="1572"/>
      <c r="WFW640" s="1572"/>
      <c r="WFX640" s="1572"/>
      <c r="WFY640" s="1572" t="s">
        <v>885</v>
      </c>
      <c r="WFZ640" s="1572"/>
      <c r="WGA640" s="1572"/>
      <c r="WGB640" s="1572"/>
      <c r="WGC640" s="1572"/>
      <c r="WGD640" s="1572"/>
      <c r="WGE640" s="1572"/>
      <c r="WGF640" s="1572"/>
      <c r="WGG640" s="1572" t="s">
        <v>885</v>
      </c>
      <c r="WGH640" s="1572"/>
      <c r="WGI640" s="1572"/>
      <c r="WGJ640" s="1572"/>
      <c r="WGK640" s="1572"/>
      <c r="WGL640" s="1572"/>
      <c r="WGM640" s="1572"/>
      <c r="WGN640" s="1572"/>
      <c r="WGO640" s="1572" t="s">
        <v>885</v>
      </c>
      <c r="WGP640" s="1572"/>
      <c r="WGQ640" s="1572"/>
      <c r="WGR640" s="1572"/>
      <c r="WGS640" s="1572"/>
      <c r="WGT640" s="1572"/>
      <c r="WGU640" s="1572"/>
      <c r="WGV640" s="1572"/>
      <c r="WGW640" s="1572" t="s">
        <v>885</v>
      </c>
      <c r="WGX640" s="1572"/>
      <c r="WGY640" s="1572"/>
      <c r="WGZ640" s="1572"/>
      <c r="WHA640" s="1572"/>
      <c r="WHB640" s="1572"/>
      <c r="WHC640" s="1572"/>
      <c r="WHD640" s="1572"/>
      <c r="WHE640" s="1572" t="s">
        <v>885</v>
      </c>
      <c r="WHF640" s="1572"/>
      <c r="WHG640" s="1572"/>
      <c r="WHH640" s="1572"/>
      <c r="WHI640" s="1572"/>
      <c r="WHJ640" s="1572"/>
      <c r="WHK640" s="1572"/>
      <c r="WHL640" s="1572"/>
      <c r="WHM640" s="1572" t="s">
        <v>885</v>
      </c>
      <c r="WHN640" s="1572"/>
      <c r="WHO640" s="1572"/>
      <c r="WHP640" s="1572"/>
      <c r="WHQ640" s="1572"/>
      <c r="WHR640" s="1572"/>
      <c r="WHS640" s="1572"/>
      <c r="WHT640" s="1572"/>
      <c r="WHU640" s="1572" t="s">
        <v>885</v>
      </c>
      <c r="WHV640" s="1572"/>
      <c r="WHW640" s="1572"/>
      <c r="WHX640" s="1572"/>
      <c r="WHY640" s="1572"/>
      <c r="WHZ640" s="1572"/>
      <c r="WIA640" s="1572"/>
      <c r="WIB640" s="1572"/>
      <c r="WIC640" s="1572" t="s">
        <v>885</v>
      </c>
      <c r="WID640" s="1572"/>
      <c r="WIE640" s="1572"/>
      <c r="WIF640" s="1572"/>
      <c r="WIG640" s="1572"/>
      <c r="WIH640" s="1572"/>
      <c r="WII640" s="1572"/>
      <c r="WIJ640" s="1572"/>
      <c r="WIK640" s="1572" t="s">
        <v>885</v>
      </c>
      <c r="WIL640" s="1572"/>
      <c r="WIM640" s="1572"/>
      <c r="WIN640" s="1572"/>
      <c r="WIO640" s="1572"/>
      <c r="WIP640" s="1572"/>
      <c r="WIQ640" s="1572"/>
      <c r="WIR640" s="1572"/>
      <c r="WIS640" s="1572" t="s">
        <v>885</v>
      </c>
      <c r="WIT640" s="1572"/>
      <c r="WIU640" s="1572"/>
      <c r="WIV640" s="1572"/>
      <c r="WIW640" s="1572"/>
      <c r="WIX640" s="1572"/>
      <c r="WIY640" s="1572"/>
      <c r="WIZ640" s="1572"/>
      <c r="WJA640" s="1572" t="s">
        <v>885</v>
      </c>
      <c r="WJB640" s="1572"/>
      <c r="WJC640" s="1572"/>
      <c r="WJD640" s="1572"/>
      <c r="WJE640" s="1572"/>
      <c r="WJF640" s="1572"/>
      <c r="WJG640" s="1572"/>
      <c r="WJH640" s="1572"/>
      <c r="WJI640" s="1572" t="s">
        <v>885</v>
      </c>
      <c r="WJJ640" s="1572"/>
      <c r="WJK640" s="1572"/>
      <c r="WJL640" s="1572"/>
      <c r="WJM640" s="1572"/>
      <c r="WJN640" s="1572"/>
      <c r="WJO640" s="1572"/>
      <c r="WJP640" s="1572"/>
      <c r="WJQ640" s="1572" t="s">
        <v>885</v>
      </c>
      <c r="WJR640" s="1572"/>
      <c r="WJS640" s="1572"/>
      <c r="WJT640" s="1572"/>
      <c r="WJU640" s="1572"/>
      <c r="WJV640" s="1572"/>
      <c r="WJW640" s="1572"/>
      <c r="WJX640" s="1572"/>
      <c r="WJY640" s="1572" t="s">
        <v>885</v>
      </c>
      <c r="WJZ640" s="1572"/>
      <c r="WKA640" s="1572"/>
      <c r="WKB640" s="1572"/>
      <c r="WKC640" s="1572"/>
      <c r="WKD640" s="1572"/>
      <c r="WKE640" s="1572"/>
      <c r="WKF640" s="1572"/>
      <c r="WKG640" s="1572" t="s">
        <v>885</v>
      </c>
      <c r="WKH640" s="1572"/>
      <c r="WKI640" s="1572"/>
      <c r="WKJ640" s="1572"/>
      <c r="WKK640" s="1572"/>
      <c r="WKL640" s="1572"/>
      <c r="WKM640" s="1572"/>
      <c r="WKN640" s="1572"/>
      <c r="WKO640" s="1572" t="s">
        <v>885</v>
      </c>
      <c r="WKP640" s="1572"/>
      <c r="WKQ640" s="1572"/>
      <c r="WKR640" s="1572"/>
      <c r="WKS640" s="1572"/>
      <c r="WKT640" s="1572"/>
      <c r="WKU640" s="1572"/>
      <c r="WKV640" s="1572"/>
      <c r="WKW640" s="1572" t="s">
        <v>885</v>
      </c>
      <c r="WKX640" s="1572"/>
      <c r="WKY640" s="1572"/>
      <c r="WKZ640" s="1572"/>
      <c r="WLA640" s="1572"/>
      <c r="WLB640" s="1572"/>
      <c r="WLC640" s="1572"/>
      <c r="WLD640" s="1572"/>
      <c r="WLE640" s="1572" t="s">
        <v>885</v>
      </c>
      <c r="WLF640" s="1572"/>
      <c r="WLG640" s="1572"/>
      <c r="WLH640" s="1572"/>
      <c r="WLI640" s="1572"/>
      <c r="WLJ640" s="1572"/>
      <c r="WLK640" s="1572"/>
      <c r="WLL640" s="1572"/>
      <c r="WLM640" s="1572" t="s">
        <v>885</v>
      </c>
      <c r="WLN640" s="1572"/>
      <c r="WLO640" s="1572"/>
      <c r="WLP640" s="1572"/>
      <c r="WLQ640" s="1572"/>
      <c r="WLR640" s="1572"/>
      <c r="WLS640" s="1572"/>
      <c r="WLT640" s="1572"/>
      <c r="WLU640" s="1572" t="s">
        <v>885</v>
      </c>
      <c r="WLV640" s="1572"/>
      <c r="WLW640" s="1572"/>
      <c r="WLX640" s="1572"/>
      <c r="WLY640" s="1572"/>
      <c r="WLZ640" s="1572"/>
      <c r="WMA640" s="1572"/>
      <c r="WMB640" s="1572"/>
      <c r="WMC640" s="1572" t="s">
        <v>885</v>
      </c>
      <c r="WMD640" s="1572"/>
      <c r="WME640" s="1572"/>
      <c r="WMF640" s="1572"/>
      <c r="WMG640" s="1572"/>
      <c r="WMH640" s="1572"/>
      <c r="WMI640" s="1572"/>
      <c r="WMJ640" s="1572"/>
      <c r="WMK640" s="1572" t="s">
        <v>885</v>
      </c>
      <c r="WML640" s="1572"/>
      <c r="WMM640" s="1572"/>
      <c r="WMN640" s="1572"/>
      <c r="WMO640" s="1572"/>
      <c r="WMP640" s="1572"/>
      <c r="WMQ640" s="1572"/>
      <c r="WMR640" s="1572"/>
      <c r="WMS640" s="1572" t="s">
        <v>885</v>
      </c>
      <c r="WMT640" s="1572"/>
      <c r="WMU640" s="1572"/>
      <c r="WMV640" s="1572"/>
      <c r="WMW640" s="1572"/>
      <c r="WMX640" s="1572"/>
      <c r="WMY640" s="1572"/>
      <c r="WMZ640" s="1572"/>
      <c r="WNA640" s="1572" t="s">
        <v>885</v>
      </c>
      <c r="WNB640" s="1572"/>
      <c r="WNC640" s="1572"/>
      <c r="WND640" s="1572"/>
      <c r="WNE640" s="1572"/>
      <c r="WNF640" s="1572"/>
      <c r="WNG640" s="1572"/>
      <c r="WNH640" s="1572"/>
      <c r="WNI640" s="1572" t="s">
        <v>885</v>
      </c>
      <c r="WNJ640" s="1572"/>
      <c r="WNK640" s="1572"/>
      <c r="WNL640" s="1572"/>
      <c r="WNM640" s="1572"/>
      <c r="WNN640" s="1572"/>
      <c r="WNO640" s="1572"/>
      <c r="WNP640" s="1572"/>
      <c r="WNQ640" s="1572" t="s">
        <v>885</v>
      </c>
      <c r="WNR640" s="1572"/>
      <c r="WNS640" s="1572"/>
      <c r="WNT640" s="1572"/>
      <c r="WNU640" s="1572"/>
      <c r="WNV640" s="1572"/>
      <c r="WNW640" s="1572"/>
      <c r="WNX640" s="1572"/>
      <c r="WNY640" s="1572" t="s">
        <v>885</v>
      </c>
      <c r="WNZ640" s="1572"/>
      <c r="WOA640" s="1572"/>
      <c r="WOB640" s="1572"/>
      <c r="WOC640" s="1572"/>
      <c r="WOD640" s="1572"/>
      <c r="WOE640" s="1572"/>
      <c r="WOF640" s="1572"/>
      <c r="WOG640" s="1572" t="s">
        <v>885</v>
      </c>
      <c r="WOH640" s="1572"/>
      <c r="WOI640" s="1572"/>
      <c r="WOJ640" s="1572"/>
      <c r="WOK640" s="1572"/>
      <c r="WOL640" s="1572"/>
      <c r="WOM640" s="1572"/>
      <c r="WON640" s="1572"/>
      <c r="WOO640" s="1572" t="s">
        <v>885</v>
      </c>
      <c r="WOP640" s="1572"/>
      <c r="WOQ640" s="1572"/>
      <c r="WOR640" s="1572"/>
      <c r="WOS640" s="1572"/>
      <c r="WOT640" s="1572"/>
      <c r="WOU640" s="1572"/>
      <c r="WOV640" s="1572"/>
      <c r="WOW640" s="1572" t="s">
        <v>885</v>
      </c>
      <c r="WOX640" s="1572"/>
      <c r="WOY640" s="1572"/>
      <c r="WOZ640" s="1572"/>
      <c r="WPA640" s="1572"/>
      <c r="WPB640" s="1572"/>
      <c r="WPC640" s="1572"/>
      <c r="WPD640" s="1572"/>
      <c r="WPE640" s="1572" t="s">
        <v>885</v>
      </c>
      <c r="WPF640" s="1572"/>
      <c r="WPG640" s="1572"/>
      <c r="WPH640" s="1572"/>
      <c r="WPI640" s="1572"/>
      <c r="WPJ640" s="1572"/>
      <c r="WPK640" s="1572"/>
      <c r="WPL640" s="1572"/>
      <c r="WPM640" s="1572" t="s">
        <v>885</v>
      </c>
      <c r="WPN640" s="1572"/>
      <c r="WPO640" s="1572"/>
      <c r="WPP640" s="1572"/>
      <c r="WPQ640" s="1572"/>
      <c r="WPR640" s="1572"/>
      <c r="WPS640" s="1572"/>
      <c r="WPT640" s="1572"/>
      <c r="WPU640" s="1572" t="s">
        <v>885</v>
      </c>
      <c r="WPV640" s="1572"/>
      <c r="WPW640" s="1572"/>
      <c r="WPX640" s="1572"/>
      <c r="WPY640" s="1572"/>
      <c r="WPZ640" s="1572"/>
      <c r="WQA640" s="1572"/>
      <c r="WQB640" s="1572"/>
      <c r="WQC640" s="1572" t="s">
        <v>885</v>
      </c>
      <c r="WQD640" s="1572"/>
      <c r="WQE640" s="1572"/>
      <c r="WQF640" s="1572"/>
      <c r="WQG640" s="1572"/>
      <c r="WQH640" s="1572"/>
      <c r="WQI640" s="1572"/>
      <c r="WQJ640" s="1572"/>
      <c r="WQK640" s="1572" t="s">
        <v>885</v>
      </c>
      <c r="WQL640" s="1572"/>
      <c r="WQM640" s="1572"/>
      <c r="WQN640" s="1572"/>
      <c r="WQO640" s="1572"/>
      <c r="WQP640" s="1572"/>
      <c r="WQQ640" s="1572"/>
      <c r="WQR640" s="1572"/>
      <c r="WQS640" s="1572" t="s">
        <v>885</v>
      </c>
      <c r="WQT640" s="1572"/>
      <c r="WQU640" s="1572"/>
      <c r="WQV640" s="1572"/>
      <c r="WQW640" s="1572"/>
      <c r="WQX640" s="1572"/>
      <c r="WQY640" s="1572"/>
      <c r="WQZ640" s="1572"/>
      <c r="WRA640" s="1572" t="s">
        <v>885</v>
      </c>
      <c r="WRB640" s="1572"/>
      <c r="WRC640" s="1572"/>
      <c r="WRD640" s="1572"/>
      <c r="WRE640" s="1572"/>
      <c r="WRF640" s="1572"/>
      <c r="WRG640" s="1572"/>
      <c r="WRH640" s="1572"/>
      <c r="WRI640" s="1572" t="s">
        <v>885</v>
      </c>
      <c r="WRJ640" s="1572"/>
      <c r="WRK640" s="1572"/>
      <c r="WRL640" s="1572"/>
      <c r="WRM640" s="1572"/>
      <c r="WRN640" s="1572"/>
      <c r="WRO640" s="1572"/>
      <c r="WRP640" s="1572"/>
      <c r="WRQ640" s="1572" t="s">
        <v>885</v>
      </c>
      <c r="WRR640" s="1572"/>
      <c r="WRS640" s="1572"/>
      <c r="WRT640" s="1572"/>
      <c r="WRU640" s="1572"/>
      <c r="WRV640" s="1572"/>
      <c r="WRW640" s="1572"/>
      <c r="WRX640" s="1572"/>
      <c r="WRY640" s="1572" t="s">
        <v>885</v>
      </c>
      <c r="WRZ640" s="1572"/>
      <c r="WSA640" s="1572"/>
      <c r="WSB640" s="1572"/>
      <c r="WSC640" s="1572"/>
      <c r="WSD640" s="1572"/>
      <c r="WSE640" s="1572"/>
      <c r="WSF640" s="1572"/>
      <c r="WSG640" s="1572" t="s">
        <v>885</v>
      </c>
      <c r="WSH640" s="1572"/>
      <c r="WSI640" s="1572"/>
      <c r="WSJ640" s="1572"/>
      <c r="WSK640" s="1572"/>
      <c r="WSL640" s="1572"/>
      <c r="WSM640" s="1572"/>
      <c r="WSN640" s="1572"/>
      <c r="WSO640" s="1572" t="s">
        <v>885</v>
      </c>
      <c r="WSP640" s="1572"/>
      <c r="WSQ640" s="1572"/>
      <c r="WSR640" s="1572"/>
      <c r="WSS640" s="1572"/>
      <c r="WST640" s="1572"/>
      <c r="WSU640" s="1572"/>
      <c r="WSV640" s="1572"/>
      <c r="WSW640" s="1572" t="s">
        <v>885</v>
      </c>
      <c r="WSX640" s="1572"/>
      <c r="WSY640" s="1572"/>
      <c r="WSZ640" s="1572"/>
      <c r="WTA640" s="1572"/>
      <c r="WTB640" s="1572"/>
      <c r="WTC640" s="1572"/>
      <c r="WTD640" s="1572"/>
      <c r="WTE640" s="1572" t="s">
        <v>885</v>
      </c>
      <c r="WTF640" s="1572"/>
      <c r="WTG640" s="1572"/>
      <c r="WTH640" s="1572"/>
      <c r="WTI640" s="1572"/>
      <c r="WTJ640" s="1572"/>
      <c r="WTK640" s="1572"/>
      <c r="WTL640" s="1572"/>
      <c r="WTM640" s="1572" t="s">
        <v>885</v>
      </c>
      <c r="WTN640" s="1572"/>
      <c r="WTO640" s="1572"/>
      <c r="WTP640" s="1572"/>
      <c r="WTQ640" s="1572"/>
      <c r="WTR640" s="1572"/>
      <c r="WTS640" s="1572"/>
      <c r="WTT640" s="1572"/>
      <c r="WTU640" s="1572" t="s">
        <v>885</v>
      </c>
      <c r="WTV640" s="1572"/>
      <c r="WTW640" s="1572"/>
      <c r="WTX640" s="1572"/>
      <c r="WTY640" s="1572"/>
      <c r="WTZ640" s="1572"/>
      <c r="WUA640" s="1572"/>
      <c r="WUB640" s="1572"/>
      <c r="WUC640" s="1572" t="s">
        <v>885</v>
      </c>
      <c r="WUD640" s="1572"/>
      <c r="WUE640" s="1572"/>
      <c r="WUF640" s="1572"/>
      <c r="WUG640" s="1572"/>
      <c r="WUH640" s="1572"/>
      <c r="WUI640" s="1572"/>
      <c r="WUJ640" s="1572"/>
      <c r="WUK640" s="1572" t="s">
        <v>885</v>
      </c>
      <c r="WUL640" s="1572"/>
      <c r="WUM640" s="1572"/>
      <c r="WUN640" s="1572"/>
      <c r="WUO640" s="1572"/>
      <c r="WUP640" s="1572"/>
      <c r="WUQ640" s="1572"/>
      <c r="WUR640" s="1572"/>
      <c r="WUS640" s="1572" t="s">
        <v>885</v>
      </c>
      <c r="WUT640" s="1572"/>
      <c r="WUU640" s="1572"/>
      <c r="WUV640" s="1572"/>
      <c r="WUW640" s="1572"/>
      <c r="WUX640" s="1572"/>
      <c r="WUY640" s="1572"/>
      <c r="WUZ640" s="1572"/>
      <c r="WVA640" s="1572" t="s">
        <v>885</v>
      </c>
      <c r="WVB640" s="1572"/>
      <c r="WVC640" s="1572"/>
      <c r="WVD640" s="1572"/>
      <c r="WVE640" s="1572"/>
      <c r="WVF640" s="1572"/>
      <c r="WVG640" s="1572"/>
      <c r="WVH640" s="1572"/>
      <c r="WVI640" s="1572" t="s">
        <v>885</v>
      </c>
      <c r="WVJ640" s="1572"/>
      <c r="WVK640" s="1572"/>
      <c r="WVL640" s="1572"/>
      <c r="WVM640" s="1572"/>
      <c r="WVN640" s="1572"/>
      <c r="WVO640" s="1572"/>
      <c r="WVP640" s="1572"/>
      <c r="WVQ640" s="1572" t="s">
        <v>885</v>
      </c>
      <c r="WVR640" s="1572"/>
      <c r="WVS640" s="1572"/>
      <c r="WVT640" s="1572"/>
      <c r="WVU640" s="1572"/>
      <c r="WVV640" s="1572"/>
      <c r="WVW640" s="1572"/>
      <c r="WVX640" s="1572"/>
      <c r="WVY640" s="1572" t="s">
        <v>885</v>
      </c>
      <c r="WVZ640" s="1572"/>
      <c r="WWA640" s="1572"/>
      <c r="WWB640" s="1572"/>
      <c r="WWC640" s="1572"/>
      <c r="WWD640" s="1572"/>
      <c r="WWE640" s="1572"/>
      <c r="WWF640" s="1572"/>
      <c r="WWG640" s="1572" t="s">
        <v>885</v>
      </c>
      <c r="WWH640" s="1572"/>
      <c r="WWI640" s="1572"/>
      <c r="WWJ640" s="1572"/>
      <c r="WWK640" s="1572"/>
      <c r="WWL640" s="1572"/>
      <c r="WWM640" s="1572"/>
      <c r="WWN640" s="1572"/>
      <c r="WWO640" s="1572" t="s">
        <v>885</v>
      </c>
      <c r="WWP640" s="1572"/>
      <c r="WWQ640" s="1572"/>
      <c r="WWR640" s="1572"/>
      <c r="WWS640" s="1572"/>
      <c r="WWT640" s="1572"/>
      <c r="WWU640" s="1572"/>
      <c r="WWV640" s="1572"/>
      <c r="WWW640" s="1572" t="s">
        <v>885</v>
      </c>
      <c r="WWX640" s="1572"/>
      <c r="WWY640" s="1572"/>
      <c r="WWZ640" s="1572"/>
      <c r="WXA640" s="1572"/>
      <c r="WXB640" s="1572"/>
      <c r="WXC640" s="1572"/>
      <c r="WXD640" s="1572"/>
      <c r="WXE640" s="1572" t="s">
        <v>885</v>
      </c>
      <c r="WXF640" s="1572"/>
      <c r="WXG640" s="1572"/>
      <c r="WXH640" s="1572"/>
      <c r="WXI640" s="1572"/>
      <c r="WXJ640" s="1572"/>
      <c r="WXK640" s="1572"/>
      <c r="WXL640" s="1572"/>
      <c r="WXM640" s="1572" t="s">
        <v>885</v>
      </c>
      <c r="WXN640" s="1572"/>
      <c r="WXO640" s="1572"/>
      <c r="WXP640" s="1572"/>
      <c r="WXQ640" s="1572"/>
      <c r="WXR640" s="1572"/>
      <c r="WXS640" s="1572"/>
      <c r="WXT640" s="1572"/>
      <c r="WXU640" s="1572" t="s">
        <v>885</v>
      </c>
      <c r="WXV640" s="1572"/>
      <c r="WXW640" s="1572"/>
      <c r="WXX640" s="1572"/>
      <c r="WXY640" s="1572"/>
      <c r="WXZ640" s="1572"/>
      <c r="WYA640" s="1572"/>
      <c r="WYB640" s="1572"/>
      <c r="WYC640" s="1572" t="s">
        <v>885</v>
      </c>
      <c r="WYD640" s="1572"/>
      <c r="WYE640" s="1572"/>
      <c r="WYF640" s="1572"/>
      <c r="WYG640" s="1572"/>
      <c r="WYH640" s="1572"/>
      <c r="WYI640" s="1572"/>
      <c r="WYJ640" s="1572"/>
      <c r="WYK640" s="1572" t="s">
        <v>885</v>
      </c>
      <c r="WYL640" s="1572"/>
      <c r="WYM640" s="1572"/>
      <c r="WYN640" s="1572"/>
      <c r="WYO640" s="1572"/>
      <c r="WYP640" s="1572"/>
      <c r="WYQ640" s="1572"/>
      <c r="WYR640" s="1572"/>
      <c r="WYS640" s="1572" t="s">
        <v>885</v>
      </c>
      <c r="WYT640" s="1572"/>
      <c r="WYU640" s="1572"/>
      <c r="WYV640" s="1572"/>
      <c r="WYW640" s="1572"/>
      <c r="WYX640" s="1572"/>
      <c r="WYY640" s="1572"/>
      <c r="WYZ640" s="1572"/>
      <c r="WZA640" s="1572" t="s">
        <v>885</v>
      </c>
      <c r="WZB640" s="1572"/>
      <c r="WZC640" s="1572"/>
      <c r="WZD640" s="1572"/>
      <c r="WZE640" s="1572"/>
      <c r="WZF640" s="1572"/>
      <c r="WZG640" s="1572"/>
      <c r="WZH640" s="1572"/>
      <c r="WZI640" s="1572" t="s">
        <v>885</v>
      </c>
      <c r="WZJ640" s="1572"/>
      <c r="WZK640" s="1572"/>
      <c r="WZL640" s="1572"/>
      <c r="WZM640" s="1572"/>
      <c r="WZN640" s="1572"/>
      <c r="WZO640" s="1572"/>
      <c r="WZP640" s="1572"/>
      <c r="WZQ640" s="1572" t="s">
        <v>885</v>
      </c>
      <c r="WZR640" s="1572"/>
      <c r="WZS640" s="1572"/>
      <c r="WZT640" s="1572"/>
      <c r="WZU640" s="1572"/>
      <c r="WZV640" s="1572"/>
      <c r="WZW640" s="1572"/>
      <c r="WZX640" s="1572"/>
      <c r="WZY640" s="1572" t="s">
        <v>885</v>
      </c>
      <c r="WZZ640" s="1572"/>
      <c r="XAA640" s="1572"/>
      <c r="XAB640" s="1572"/>
      <c r="XAC640" s="1572"/>
      <c r="XAD640" s="1572"/>
      <c r="XAE640" s="1572"/>
      <c r="XAF640" s="1572"/>
      <c r="XAG640" s="1572" t="s">
        <v>885</v>
      </c>
      <c r="XAH640" s="1572"/>
      <c r="XAI640" s="1572"/>
      <c r="XAJ640" s="1572"/>
      <c r="XAK640" s="1572"/>
      <c r="XAL640" s="1572"/>
      <c r="XAM640" s="1572"/>
      <c r="XAN640" s="1572"/>
      <c r="XAO640" s="1572" t="s">
        <v>885</v>
      </c>
      <c r="XAP640" s="1572"/>
      <c r="XAQ640" s="1572"/>
      <c r="XAR640" s="1572"/>
      <c r="XAS640" s="1572"/>
      <c r="XAT640" s="1572"/>
      <c r="XAU640" s="1572"/>
      <c r="XAV640" s="1572"/>
      <c r="XAW640" s="1572" t="s">
        <v>885</v>
      </c>
      <c r="XAX640" s="1572"/>
      <c r="XAY640" s="1572"/>
      <c r="XAZ640" s="1572"/>
      <c r="XBA640" s="1572"/>
      <c r="XBB640" s="1572"/>
      <c r="XBC640" s="1572"/>
      <c r="XBD640" s="1572"/>
      <c r="XBE640" s="1572" t="s">
        <v>885</v>
      </c>
      <c r="XBF640" s="1572"/>
      <c r="XBG640" s="1572"/>
      <c r="XBH640" s="1572"/>
      <c r="XBI640" s="1572"/>
      <c r="XBJ640" s="1572"/>
      <c r="XBK640" s="1572"/>
      <c r="XBL640" s="1572"/>
      <c r="XBM640" s="1572" t="s">
        <v>885</v>
      </c>
      <c r="XBN640" s="1572"/>
      <c r="XBO640" s="1572"/>
      <c r="XBP640" s="1572"/>
      <c r="XBQ640" s="1572"/>
      <c r="XBR640" s="1572"/>
      <c r="XBS640" s="1572"/>
      <c r="XBT640" s="1572"/>
      <c r="XBU640" s="1572" t="s">
        <v>885</v>
      </c>
      <c r="XBV640" s="1572"/>
      <c r="XBW640" s="1572"/>
      <c r="XBX640" s="1572"/>
      <c r="XBY640" s="1572"/>
      <c r="XBZ640" s="1572"/>
      <c r="XCA640" s="1572"/>
      <c r="XCB640" s="1572"/>
      <c r="XCC640" s="1572" t="s">
        <v>885</v>
      </c>
      <c r="XCD640" s="1572"/>
      <c r="XCE640" s="1572"/>
      <c r="XCF640" s="1572"/>
      <c r="XCG640" s="1572"/>
      <c r="XCH640" s="1572"/>
      <c r="XCI640" s="1572"/>
      <c r="XCJ640" s="1572"/>
      <c r="XCK640" s="1572" t="s">
        <v>885</v>
      </c>
      <c r="XCL640" s="1572"/>
      <c r="XCM640" s="1572"/>
      <c r="XCN640" s="1572"/>
      <c r="XCO640" s="1572"/>
      <c r="XCP640" s="1572"/>
      <c r="XCQ640" s="1572"/>
      <c r="XCR640" s="1572"/>
      <c r="XCS640" s="1572" t="s">
        <v>885</v>
      </c>
      <c r="XCT640" s="1572"/>
      <c r="XCU640" s="1572"/>
      <c r="XCV640" s="1572"/>
      <c r="XCW640" s="1572"/>
      <c r="XCX640" s="1572"/>
      <c r="XCY640" s="1572"/>
      <c r="XCZ640" s="1572"/>
      <c r="XDA640" s="1572" t="s">
        <v>885</v>
      </c>
      <c r="XDB640" s="1572"/>
      <c r="XDC640" s="1572"/>
      <c r="XDD640" s="1572"/>
      <c r="XDE640" s="1572"/>
      <c r="XDF640" s="1572"/>
      <c r="XDG640" s="1572"/>
      <c r="XDH640" s="1572"/>
      <c r="XDI640" s="1572" t="s">
        <v>885</v>
      </c>
      <c r="XDJ640" s="1572"/>
      <c r="XDK640" s="1572"/>
      <c r="XDL640" s="1572"/>
      <c r="XDM640" s="1572"/>
      <c r="XDN640" s="1572"/>
      <c r="XDO640" s="1572"/>
      <c r="XDP640" s="1572"/>
      <c r="XDQ640" s="1572" t="s">
        <v>885</v>
      </c>
      <c r="XDR640" s="1572"/>
      <c r="XDS640" s="1572"/>
      <c r="XDT640" s="1572"/>
      <c r="XDU640" s="1572"/>
      <c r="XDV640" s="1572"/>
      <c r="XDW640" s="1572"/>
      <c r="XDX640" s="1572"/>
      <c r="XDY640" s="1572" t="s">
        <v>885</v>
      </c>
      <c r="XDZ640" s="1572"/>
      <c r="XEA640" s="1572"/>
      <c r="XEB640" s="1572"/>
      <c r="XEC640" s="1572"/>
      <c r="XED640" s="1572"/>
      <c r="XEE640" s="1572"/>
      <c r="XEF640" s="1572"/>
      <c r="XEG640" s="1572" t="s">
        <v>885</v>
      </c>
      <c r="XEH640" s="1572"/>
      <c r="XEI640" s="1572"/>
      <c r="XEJ640" s="1572"/>
      <c r="XEK640" s="1572"/>
      <c r="XEL640" s="1572"/>
      <c r="XEM640" s="1572"/>
      <c r="XEN640" s="1572"/>
      <c r="XEO640" s="1572" t="s">
        <v>885</v>
      </c>
      <c r="XEP640" s="1572"/>
      <c r="XEQ640" s="1572"/>
      <c r="XER640" s="1572"/>
      <c r="XES640" s="1572"/>
      <c r="XET640" s="1572"/>
      <c r="XEU640" s="1572"/>
      <c r="XEV640" s="1572"/>
      <c r="XEW640" s="1572" t="s">
        <v>885</v>
      </c>
      <c r="XEX640" s="1572"/>
      <c r="XEY640" s="1572"/>
      <c r="XEZ640" s="1572"/>
      <c r="XFA640" s="1572"/>
      <c r="XFB640" s="1572"/>
      <c r="XFC640" s="1572"/>
      <c r="XFD640" s="1572"/>
    </row>
    <row r="641" spans="1:16384" ht="15" customHeight="1" x14ac:dyDescent="0.25">
      <c r="A641" s="313"/>
      <c r="B641" s="340"/>
      <c r="C641" s="436" t="str">
        <f>CONCATENATE("(Xem thông tin chi tiết tại Thuyết minh ",STT_BenLQ,")")</f>
        <v>(Xem thông tin chi tiết tại Thuyết minh 37)</v>
      </c>
      <c r="D641" s="436"/>
      <c r="E641" s="436"/>
      <c r="F641" s="436"/>
      <c r="G641" s="436"/>
      <c r="H641" s="436"/>
      <c r="I641" s="436"/>
      <c r="J641" s="436"/>
      <c r="K641" s="340"/>
      <c r="L641" s="354"/>
      <c r="M641" s="313"/>
      <c r="N641" s="340"/>
      <c r="O641" s="340"/>
      <c r="P641" s="354"/>
      <c r="Q641" s="313"/>
      <c r="R641" s="340"/>
      <c r="S641" s="340"/>
      <c r="T641" s="340"/>
      <c r="U641" s="340"/>
      <c r="V641" s="340"/>
      <c r="W641" s="340"/>
      <c r="X641" s="313"/>
      <c r="Z641" s="340"/>
      <c r="AA641" s="340"/>
      <c r="AB641" s="354"/>
      <c r="AC641" s="313"/>
      <c r="AD641" s="340"/>
      <c r="AE641" s="340"/>
      <c r="AF641" s="354"/>
      <c r="AG641" s="313"/>
      <c r="AH641" s="340"/>
      <c r="AI641" s="340"/>
      <c r="AJ641" s="354"/>
      <c r="AK641" s="313"/>
      <c r="AL641" s="340"/>
      <c r="AM641" s="340"/>
      <c r="AN641" s="354"/>
      <c r="AO641" s="313"/>
      <c r="AP641" s="340"/>
      <c r="AQ641" s="340"/>
      <c r="AR641" s="354"/>
      <c r="AS641" s="313"/>
      <c r="AT641" s="340"/>
      <c r="AU641" s="340"/>
      <c r="AV641" s="354"/>
      <c r="AW641" s="313"/>
      <c r="AX641" s="340"/>
      <c r="AY641" s="340"/>
      <c r="AZ641" s="354"/>
      <c r="BA641" s="313"/>
      <c r="BB641" s="340"/>
      <c r="BC641" s="340"/>
      <c r="BD641" s="354"/>
      <c r="BE641" s="313"/>
      <c r="BF641" s="340"/>
      <c r="BG641" s="340"/>
      <c r="BH641" s="354"/>
      <c r="BI641" s="313"/>
      <c r="BJ641" s="340"/>
      <c r="BK641" s="340"/>
      <c r="BL641" s="354"/>
      <c r="BM641" s="313"/>
      <c r="BN641" s="340"/>
      <c r="BO641" s="340"/>
      <c r="BP641" s="354"/>
      <c r="BQ641" s="313"/>
      <c r="BR641" s="340"/>
      <c r="BS641" s="340"/>
      <c r="BT641" s="354"/>
      <c r="BU641" s="313"/>
      <c r="BV641" s="310"/>
      <c r="BW641" s="310"/>
      <c r="BX641" s="291"/>
      <c r="BY641" s="313"/>
      <c r="BZ641" s="442"/>
      <c r="CA641" s="442"/>
      <c r="CB641" s="443"/>
      <c r="CC641" s="442"/>
      <c r="CD641" s="442"/>
      <c r="CE641" s="442"/>
      <c r="CF641" s="443"/>
      <c r="CG641" s="313"/>
      <c r="CH641" s="340"/>
      <c r="CI641" s="340"/>
      <c r="CJ641" s="354"/>
      <c r="CK641" s="313"/>
      <c r="CL641" s="340"/>
      <c r="CM641" s="340"/>
      <c r="CN641" s="354"/>
      <c r="CO641" s="313"/>
      <c r="CP641" s="340"/>
      <c r="CQ641" s="340"/>
      <c r="CR641" s="354"/>
      <c r="CS641" s="313"/>
      <c r="CT641" s="340"/>
      <c r="CU641" s="340"/>
      <c r="CV641" s="354"/>
      <c r="CW641" s="313"/>
      <c r="CX641" s="340"/>
      <c r="CY641" s="340"/>
      <c r="CZ641" s="354"/>
      <c r="DA641" s="313"/>
      <c r="DB641" s="340"/>
      <c r="DC641" s="340"/>
      <c r="DD641" s="354"/>
      <c r="DE641" s="313"/>
      <c r="DF641" s="340"/>
      <c r="DG641" s="340"/>
      <c r="DH641" s="354"/>
      <c r="DI641" s="313"/>
      <c r="DJ641" s="340"/>
      <c r="DK641" s="340"/>
      <c r="DL641" s="354"/>
      <c r="DM641" s="313"/>
      <c r="DN641" s="340"/>
      <c r="DO641" s="340"/>
      <c r="DP641" s="354"/>
      <c r="DQ641" s="313"/>
      <c r="DR641" s="340"/>
      <c r="DS641" s="340"/>
      <c r="DT641" s="354"/>
      <c r="DU641" s="313"/>
      <c r="DV641" s="340"/>
      <c r="DW641" s="340"/>
      <c r="DX641" s="354"/>
      <c r="DY641" s="313"/>
      <c r="DZ641" s="340"/>
      <c r="EA641" s="340"/>
      <c r="EB641" s="354"/>
      <c r="EC641" s="313"/>
      <c r="ED641" s="340"/>
      <c r="EE641" s="340"/>
      <c r="EF641" s="354"/>
      <c r="EG641" s="313"/>
      <c r="EH641" s="340"/>
      <c r="EI641" s="340"/>
      <c r="EJ641" s="354"/>
      <c r="EK641" s="313"/>
      <c r="EL641" s="340"/>
      <c r="EM641" s="340"/>
      <c r="EN641" s="354"/>
      <c r="EO641" s="313"/>
      <c r="EP641" s="340"/>
      <c r="EQ641" s="340"/>
      <c r="ER641" s="354"/>
      <c r="ES641" s="313"/>
      <c r="ET641" s="340"/>
      <c r="EU641" s="340"/>
      <c r="EV641" s="354"/>
      <c r="EW641" s="313"/>
      <c r="EX641" s="340"/>
      <c r="EY641" s="340"/>
      <c r="EZ641" s="354"/>
      <c r="FA641" s="313"/>
      <c r="FB641" s="340"/>
      <c r="FC641" s="340"/>
      <c r="FD641" s="354"/>
      <c r="FE641" s="313"/>
      <c r="FF641" s="340"/>
      <c r="FG641" s="340"/>
      <c r="FH641" s="354"/>
      <c r="FI641" s="313"/>
      <c r="FJ641" s="340"/>
      <c r="FK641" s="340"/>
      <c r="FL641" s="354"/>
      <c r="FM641" s="313"/>
      <c r="FN641" s="340"/>
      <c r="FO641" s="340"/>
      <c r="FP641" s="354"/>
      <c r="FQ641" s="313"/>
      <c r="FR641" s="340"/>
      <c r="FS641" s="340"/>
      <c r="FT641" s="354"/>
      <c r="FU641" s="313"/>
      <c r="FV641" s="340"/>
      <c r="FW641" s="340"/>
      <c r="FX641" s="354"/>
      <c r="FY641" s="313"/>
      <c r="FZ641" s="340"/>
      <c r="GA641" s="340"/>
      <c r="GB641" s="354"/>
      <c r="GC641" s="313"/>
      <c r="GD641" s="340"/>
      <c r="GE641" s="340"/>
      <c r="GF641" s="354"/>
      <c r="GG641" s="313"/>
      <c r="GH641" s="340"/>
      <c r="GI641" s="340"/>
      <c r="GJ641" s="354"/>
      <c r="GK641" s="313"/>
      <c r="GL641" s="340"/>
      <c r="GM641" s="340"/>
      <c r="GN641" s="354"/>
      <c r="GO641" s="313"/>
      <c r="GP641" s="340"/>
      <c r="GQ641" s="340"/>
      <c r="GR641" s="354"/>
      <c r="GS641" s="313"/>
      <c r="GT641" s="340"/>
      <c r="GU641" s="340"/>
      <c r="GV641" s="354"/>
      <c r="GW641" s="313"/>
      <c r="GX641" s="340"/>
      <c r="GY641" s="340"/>
      <c r="GZ641" s="354"/>
      <c r="HA641" s="313"/>
      <c r="HB641" s="340"/>
      <c r="HC641" s="340"/>
      <c r="HD641" s="354"/>
      <c r="HE641" s="313"/>
      <c r="HF641" s="340"/>
      <c r="HG641" s="340"/>
      <c r="HH641" s="354"/>
      <c r="HI641" s="313"/>
      <c r="HJ641" s="340"/>
      <c r="HK641" s="340"/>
      <c r="HL641" s="354"/>
      <c r="HM641" s="313"/>
      <c r="HN641" s="340"/>
      <c r="HO641" s="340"/>
      <c r="HP641" s="354"/>
      <c r="HQ641" s="313"/>
      <c r="HR641" s="340"/>
      <c r="HS641" s="340"/>
      <c r="HT641" s="354"/>
      <c r="HU641" s="313"/>
      <c r="HV641" s="340"/>
      <c r="HW641" s="340"/>
      <c r="HX641" s="354"/>
      <c r="HY641" s="313"/>
      <c r="HZ641" s="340"/>
      <c r="IA641" s="340"/>
      <c r="IB641" s="354"/>
      <c r="IC641" s="313"/>
      <c r="ID641" s="340"/>
      <c r="IE641" s="340"/>
      <c r="IF641" s="354"/>
      <c r="IG641" s="313"/>
      <c r="IH641" s="340"/>
      <c r="II641" s="340"/>
      <c r="IJ641" s="354"/>
      <c r="IK641" s="313"/>
      <c r="IL641" s="340"/>
      <c r="IM641" s="340"/>
      <c r="IN641" s="354"/>
      <c r="IO641" s="313"/>
      <c r="IP641" s="340"/>
      <c r="IQ641" s="340"/>
      <c r="IR641" s="354"/>
      <c r="IS641" s="313"/>
      <c r="IT641" s="340"/>
      <c r="IU641" s="340"/>
      <c r="IV641" s="354"/>
      <c r="IW641" s="313"/>
      <c r="IX641" s="340"/>
      <c r="IY641" s="340"/>
      <c r="IZ641" s="354"/>
      <c r="JA641" s="313"/>
      <c r="JB641" s="340"/>
      <c r="JC641" s="340"/>
      <c r="JD641" s="354"/>
      <c r="JE641" s="313"/>
      <c r="JF641" s="340"/>
      <c r="JG641" s="340"/>
      <c r="JH641" s="354"/>
      <c r="JI641" s="313"/>
      <c r="JJ641" s="340"/>
      <c r="JK641" s="340"/>
      <c r="JL641" s="354"/>
      <c r="JM641" s="313"/>
      <c r="JN641" s="340"/>
      <c r="JO641" s="340"/>
      <c r="JP641" s="354"/>
      <c r="JQ641" s="313"/>
      <c r="JR641" s="340"/>
      <c r="JS641" s="340"/>
      <c r="JT641" s="354"/>
      <c r="JU641" s="313"/>
      <c r="JV641" s="340"/>
      <c r="JW641" s="340"/>
      <c r="JX641" s="354"/>
      <c r="JY641" s="313"/>
      <c r="JZ641" s="340"/>
      <c r="KA641" s="340"/>
      <c r="KB641" s="354"/>
      <c r="KC641" s="313"/>
      <c r="KD641" s="340"/>
      <c r="KE641" s="340"/>
      <c r="KF641" s="354"/>
      <c r="KG641" s="313"/>
      <c r="KH641" s="340"/>
      <c r="KI641" s="340"/>
      <c r="KJ641" s="354"/>
      <c r="KK641" s="313"/>
      <c r="KL641" s="340"/>
      <c r="KM641" s="340"/>
      <c r="KN641" s="354"/>
      <c r="KO641" s="313"/>
      <c r="KP641" s="340"/>
      <c r="KQ641" s="340"/>
      <c r="KR641" s="354"/>
      <c r="KS641" s="313"/>
      <c r="KT641" s="340"/>
      <c r="KU641" s="340"/>
      <c r="KV641" s="354"/>
      <c r="KW641" s="313"/>
      <c r="KX641" s="340"/>
      <c r="KY641" s="340"/>
      <c r="KZ641" s="354"/>
      <c r="LA641" s="313"/>
      <c r="LB641" s="340"/>
      <c r="LC641" s="340"/>
      <c r="LD641" s="354"/>
      <c r="LE641" s="313"/>
      <c r="LF641" s="340"/>
      <c r="LG641" s="340"/>
      <c r="LH641" s="354"/>
      <c r="LI641" s="313"/>
      <c r="LJ641" s="340"/>
      <c r="LK641" s="340"/>
      <c r="LL641" s="354"/>
      <c r="LM641" s="313"/>
      <c r="LN641" s="340"/>
      <c r="LO641" s="340"/>
      <c r="LP641" s="354"/>
      <c r="LQ641" s="313"/>
      <c r="LR641" s="340"/>
      <c r="LS641" s="340"/>
      <c r="LT641" s="354"/>
      <c r="LU641" s="313"/>
      <c r="LV641" s="340"/>
      <c r="LW641" s="340"/>
      <c r="LX641" s="354"/>
      <c r="LY641" s="313"/>
      <c r="LZ641" s="340"/>
      <c r="MA641" s="340"/>
      <c r="MB641" s="354"/>
      <c r="MC641" s="313"/>
      <c r="MD641" s="340"/>
      <c r="ME641" s="340"/>
      <c r="MF641" s="354"/>
      <c r="MG641" s="313"/>
      <c r="MH641" s="340"/>
      <c r="MI641" s="340"/>
      <c r="MJ641" s="354"/>
      <c r="MK641" s="313"/>
      <c r="ML641" s="340"/>
      <c r="MM641" s="340"/>
      <c r="MN641" s="354"/>
      <c r="MO641" s="313"/>
      <c r="MP641" s="340"/>
      <c r="MQ641" s="340"/>
      <c r="MR641" s="354"/>
      <c r="MS641" s="313"/>
      <c r="MT641" s="340"/>
      <c r="MU641" s="340"/>
      <c r="MV641" s="354"/>
      <c r="MW641" s="313"/>
      <c r="MX641" s="340"/>
      <c r="MY641" s="340"/>
      <c r="MZ641" s="354"/>
      <c r="NA641" s="313"/>
      <c r="NB641" s="340"/>
      <c r="NC641" s="340"/>
      <c r="ND641" s="354"/>
      <c r="NE641" s="313"/>
      <c r="NF641" s="340"/>
      <c r="NG641" s="340"/>
      <c r="NH641" s="354"/>
      <c r="NI641" s="313"/>
      <c r="NJ641" s="340"/>
      <c r="NK641" s="340"/>
      <c r="NL641" s="354"/>
      <c r="NM641" s="313"/>
      <c r="NN641" s="340"/>
      <c r="NO641" s="340"/>
      <c r="NP641" s="354"/>
      <c r="NQ641" s="313"/>
      <c r="NR641" s="340"/>
      <c r="NS641" s="340"/>
      <c r="NT641" s="354"/>
      <c r="NU641" s="313"/>
      <c r="NV641" s="340"/>
      <c r="NW641" s="340"/>
      <c r="NX641" s="354"/>
      <c r="NY641" s="313"/>
      <c r="NZ641" s="340"/>
      <c r="OA641" s="340"/>
      <c r="OB641" s="354"/>
      <c r="OC641" s="313"/>
      <c r="OD641" s="340"/>
      <c r="OE641" s="340"/>
      <c r="OF641" s="354"/>
      <c r="OG641" s="313"/>
      <c r="OH641" s="340"/>
      <c r="OI641" s="340"/>
      <c r="OJ641" s="354"/>
      <c r="OK641" s="313"/>
      <c r="OL641" s="340"/>
      <c r="OM641" s="340"/>
      <c r="ON641" s="354"/>
      <c r="OO641" s="313"/>
      <c r="OP641" s="340"/>
      <c r="OQ641" s="340"/>
      <c r="OR641" s="354"/>
      <c r="OS641" s="313"/>
      <c r="OT641" s="340"/>
      <c r="OU641" s="340"/>
      <c r="OV641" s="354"/>
      <c r="OW641" s="313"/>
      <c r="OX641" s="340"/>
      <c r="OY641" s="340"/>
      <c r="OZ641" s="354"/>
      <c r="PA641" s="313"/>
      <c r="PB641" s="340"/>
      <c r="PC641" s="340"/>
      <c r="PD641" s="354"/>
      <c r="PE641" s="313"/>
      <c r="PF641" s="340"/>
      <c r="PG641" s="340"/>
      <c r="PH641" s="354"/>
      <c r="PI641" s="313"/>
      <c r="PJ641" s="340"/>
      <c r="PK641" s="340"/>
      <c r="PL641" s="354"/>
      <c r="PM641" s="313"/>
      <c r="PN641" s="340"/>
      <c r="PO641" s="340"/>
      <c r="PP641" s="354"/>
      <c r="PQ641" s="313"/>
      <c r="PR641" s="340"/>
      <c r="PS641" s="340"/>
      <c r="PT641" s="354"/>
      <c r="PU641" s="313"/>
      <c r="PV641" s="340"/>
      <c r="PW641" s="340"/>
      <c r="PX641" s="354"/>
      <c r="PY641" s="313"/>
      <c r="PZ641" s="340"/>
      <c r="QA641" s="340"/>
      <c r="QB641" s="354"/>
      <c r="QC641" s="313"/>
      <c r="QD641" s="340"/>
      <c r="QE641" s="340"/>
      <c r="QF641" s="354"/>
      <c r="QG641" s="313"/>
      <c r="QH641" s="340"/>
      <c r="QI641" s="340"/>
      <c r="QJ641" s="354"/>
      <c r="QK641" s="313"/>
      <c r="QL641" s="340"/>
      <c r="QM641" s="340"/>
      <c r="QN641" s="354"/>
      <c r="QO641" s="313"/>
      <c r="QP641" s="340"/>
      <c r="QQ641" s="340"/>
      <c r="QR641" s="354"/>
      <c r="QS641" s="313"/>
      <c r="QT641" s="340"/>
      <c r="QU641" s="340"/>
      <c r="QV641" s="354"/>
      <c r="QW641" s="313"/>
      <c r="QX641" s="340"/>
      <c r="QY641" s="340"/>
      <c r="QZ641" s="354"/>
      <c r="RA641" s="313"/>
      <c r="RB641" s="340"/>
      <c r="RC641" s="340"/>
      <c r="RD641" s="354"/>
      <c r="RE641" s="313"/>
      <c r="RF641" s="340"/>
      <c r="RG641" s="340"/>
      <c r="RH641" s="354"/>
      <c r="RI641" s="313"/>
      <c r="RJ641" s="340"/>
      <c r="RK641" s="340"/>
      <c r="RL641" s="354"/>
      <c r="RM641" s="313"/>
      <c r="RN641" s="340"/>
      <c r="RO641" s="340"/>
      <c r="RP641" s="354"/>
      <c r="RQ641" s="313"/>
      <c r="RR641" s="340"/>
      <c r="RS641" s="340"/>
      <c r="RT641" s="354"/>
      <c r="RU641" s="313"/>
      <c r="RV641" s="340"/>
      <c r="RW641" s="340"/>
      <c r="RX641" s="354"/>
      <c r="RY641" s="313"/>
      <c r="RZ641" s="340"/>
      <c r="SA641" s="340"/>
      <c r="SB641" s="354"/>
      <c r="SC641" s="313"/>
      <c r="SD641" s="340"/>
      <c r="SE641" s="340"/>
      <c r="SF641" s="354"/>
      <c r="SG641" s="313"/>
      <c r="SH641" s="340"/>
      <c r="SI641" s="340"/>
      <c r="SJ641" s="354"/>
      <c r="SK641" s="313"/>
      <c r="SL641" s="340"/>
      <c r="SM641" s="340"/>
      <c r="SN641" s="354"/>
      <c r="SO641" s="313"/>
      <c r="SP641" s="340"/>
      <c r="SQ641" s="340"/>
      <c r="SR641" s="354"/>
      <c r="SS641" s="313"/>
      <c r="ST641" s="340"/>
      <c r="SU641" s="340"/>
      <c r="SV641" s="354"/>
      <c r="SW641" s="313"/>
      <c r="SX641" s="340"/>
      <c r="SY641" s="340"/>
      <c r="SZ641" s="354"/>
      <c r="TA641" s="313"/>
      <c r="TB641" s="340"/>
      <c r="TC641" s="340"/>
      <c r="TD641" s="354"/>
      <c r="TE641" s="313"/>
      <c r="TF641" s="340"/>
      <c r="TG641" s="340"/>
      <c r="TH641" s="354"/>
      <c r="TI641" s="313"/>
      <c r="TJ641" s="340"/>
      <c r="TK641" s="340"/>
      <c r="TL641" s="354"/>
      <c r="TM641" s="313"/>
      <c r="TN641" s="340"/>
      <c r="TO641" s="340"/>
      <c r="TP641" s="354"/>
      <c r="TQ641" s="313"/>
      <c r="TR641" s="340"/>
      <c r="TS641" s="340"/>
      <c r="TT641" s="354"/>
      <c r="TU641" s="313"/>
      <c r="TV641" s="340"/>
      <c r="TW641" s="340"/>
      <c r="TX641" s="354"/>
      <c r="TY641" s="313"/>
      <c r="TZ641" s="340"/>
      <c r="UA641" s="340"/>
      <c r="UB641" s="354"/>
      <c r="UC641" s="313"/>
      <c r="UD641" s="340"/>
      <c r="UE641" s="340"/>
      <c r="UF641" s="354"/>
      <c r="UG641" s="313"/>
      <c r="UH641" s="340"/>
      <c r="UI641" s="340"/>
      <c r="UJ641" s="354"/>
      <c r="UK641" s="313"/>
      <c r="UL641" s="340"/>
      <c r="UM641" s="340"/>
      <c r="UN641" s="354"/>
      <c r="UO641" s="313"/>
      <c r="UP641" s="340"/>
      <c r="UQ641" s="340"/>
      <c r="UR641" s="354"/>
      <c r="US641" s="313"/>
      <c r="UT641" s="340"/>
      <c r="UU641" s="340"/>
      <c r="UV641" s="354"/>
      <c r="UW641" s="313"/>
      <c r="UX641" s="340"/>
      <c r="UY641" s="340"/>
      <c r="UZ641" s="354"/>
      <c r="VA641" s="313"/>
      <c r="VB641" s="340"/>
      <c r="VC641" s="340"/>
      <c r="VD641" s="354"/>
      <c r="VE641" s="313"/>
      <c r="VF641" s="340"/>
      <c r="VG641" s="340"/>
      <c r="VH641" s="354"/>
      <c r="VI641" s="313"/>
      <c r="VJ641" s="340"/>
      <c r="VK641" s="340"/>
      <c r="VL641" s="354"/>
      <c r="VM641" s="313"/>
      <c r="VN641" s="340"/>
      <c r="VO641" s="340"/>
      <c r="VP641" s="354"/>
      <c r="VQ641" s="313"/>
      <c r="VR641" s="340"/>
      <c r="VS641" s="340"/>
      <c r="VT641" s="354"/>
      <c r="VU641" s="313"/>
      <c r="VV641" s="340"/>
      <c r="VW641" s="340"/>
      <c r="VX641" s="354"/>
      <c r="VY641" s="313"/>
      <c r="VZ641" s="340"/>
      <c r="WA641" s="340"/>
      <c r="WB641" s="354"/>
      <c r="WC641" s="313"/>
      <c r="WD641" s="340"/>
      <c r="WE641" s="340"/>
      <c r="WF641" s="354"/>
      <c r="WG641" s="313"/>
      <c r="WH641" s="340"/>
      <c r="WI641" s="340"/>
      <c r="WJ641" s="354"/>
      <c r="WK641" s="313"/>
      <c r="WL641" s="340"/>
      <c r="WM641" s="340"/>
      <c r="WN641" s="354"/>
      <c r="WO641" s="313"/>
      <c r="WP641" s="340"/>
      <c r="WQ641" s="340"/>
      <c r="WR641" s="354"/>
      <c r="WS641" s="313"/>
      <c r="WT641" s="340"/>
      <c r="WU641" s="340"/>
      <c r="WV641" s="354"/>
      <c r="WW641" s="313"/>
      <c r="WX641" s="340"/>
      <c r="WY641" s="340"/>
      <c r="WZ641" s="354"/>
      <c r="XA641" s="313"/>
      <c r="XB641" s="340"/>
      <c r="XC641" s="340"/>
      <c r="XD641" s="354"/>
      <c r="XE641" s="313"/>
      <c r="XF641" s="340"/>
      <c r="XG641" s="340"/>
      <c r="XH641" s="354"/>
      <c r="XI641" s="313"/>
      <c r="XJ641" s="340"/>
      <c r="XK641" s="340"/>
      <c r="XL641" s="354"/>
      <c r="XM641" s="313"/>
      <c r="XN641" s="340"/>
      <c r="XO641" s="340"/>
      <c r="XP641" s="354"/>
      <c r="XQ641" s="313"/>
      <c r="XR641" s="340"/>
      <c r="XS641" s="340"/>
      <c r="XT641" s="354"/>
      <c r="XU641" s="313"/>
      <c r="XV641" s="340"/>
      <c r="XW641" s="340"/>
      <c r="XX641" s="354"/>
      <c r="XY641" s="313"/>
      <c r="XZ641" s="340"/>
      <c r="YA641" s="340"/>
      <c r="YB641" s="354"/>
      <c r="YC641" s="313"/>
      <c r="YD641" s="340"/>
      <c r="YE641" s="340"/>
      <c r="YF641" s="354"/>
      <c r="YG641" s="313"/>
      <c r="YH641" s="340"/>
      <c r="YI641" s="340"/>
      <c r="YJ641" s="354"/>
      <c r="YK641" s="313"/>
      <c r="YL641" s="340"/>
      <c r="YM641" s="340"/>
      <c r="YN641" s="354"/>
      <c r="YO641" s="313"/>
      <c r="YP641" s="340"/>
      <c r="YQ641" s="340"/>
      <c r="YR641" s="354"/>
      <c r="YS641" s="313"/>
      <c r="YT641" s="340"/>
      <c r="YU641" s="340"/>
      <c r="YV641" s="354"/>
      <c r="YW641" s="313"/>
      <c r="YX641" s="340"/>
      <c r="YY641" s="340"/>
      <c r="YZ641" s="354"/>
      <c r="ZA641" s="313"/>
      <c r="ZB641" s="340"/>
      <c r="ZC641" s="340"/>
      <c r="ZD641" s="354"/>
      <c r="ZE641" s="313"/>
      <c r="ZF641" s="340"/>
      <c r="ZG641" s="340"/>
      <c r="ZH641" s="354"/>
      <c r="ZI641" s="313"/>
      <c r="ZJ641" s="340"/>
      <c r="ZK641" s="340"/>
      <c r="ZL641" s="354"/>
      <c r="ZM641" s="313"/>
      <c r="ZN641" s="340"/>
      <c r="ZO641" s="340"/>
      <c r="ZP641" s="354"/>
      <c r="ZQ641" s="313"/>
      <c r="ZR641" s="340"/>
      <c r="ZS641" s="340"/>
      <c r="ZT641" s="354"/>
      <c r="ZU641" s="313"/>
      <c r="ZV641" s="340"/>
      <c r="ZW641" s="340"/>
      <c r="ZX641" s="354"/>
      <c r="ZY641" s="313"/>
      <c r="ZZ641" s="340"/>
      <c r="AAA641" s="340"/>
      <c r="AAB641" s="354"/>
      <c r="AAC641" s="313"/>
      <c r="AAD641" s="340"/>
      <c r="AAE641" s="340"/>
      <c r="AAF641" s="354"/>
      <c r="AAG641" s="313"/>
      <c r="AAH641" s="340"/>
      <c r="AAI641" s="340"/>
      <c r="AAJ641" s="354"/>
      <c r="AAK641" s="313"/>
      <c r="AAL641" s="340"/>
      <c r="AAM641" s="340"/>
      <c r="AAN641" s="354"/>
      <c r="AAO641" s="313"/>
      <c r="AAP641" s="340"/>
      <c r="AAQ641" s="340"/>
      <c r="AAR641" s="354"/>
      <c r="AAS641" s="313"/>
      <c r="AAT641" s="340"/>
      <c r="AAU641" s="340"/>
      <c r="AAV641" s="354"/>
      <c r="AAW641" s="313"/>
      <c r="AAX641" s="340"/>
      <c r="AAY641" s="340"/>
      <c r="AAZ641" s="354"/>
      <c r="ABA641" s="313"/>
      <c r="ABB641" s="340"/>
      <c r="ABC641" s="340"/>
      <c r="ABD641" s="354"/>
      <c r="ABE641" s="313"/>
      <c r="ABF641" s="340"/>
      <c r="ABG641" s="340"/>
      <c r="ABH641" s="354"/>
      <c r="ABI641" s="313"/>
      <c r="ABJ641" s="340"/>
      <c r="ABK641" s="340"/>
      <c r="ABL641" s="354"/>
      <c r="ABM641" s="313"/>
      <c r="ABN641" s="340"/>
      <c r="ABO641" s="340"/>
      <c r="ABP641" s="354"/>
      <c r="ABQ641" s="313"/>
      <c r="ABR641" s="340"/>
      <c r="ABS641" s="340"/>
      <c r="ABT641" s="354"/>
      <c r="ABU641" s="313"/>
      <c r="ABV641" s="340"/>
      <c r="ABW641" s="340"/>
      <c r="ABX641" s="354"/>
      <c r="ABY641" s="313"/>
      <c r="ABZ641" s="340"/>
      <c r="ACA641" s="340"/>
      <c r="ACB641" s="354"/>
      <c r="ACC641" s="313"/>
      <c r="ACD641" s="340"/>
      <c r="ACE641" s="340"/>
      <c r="ACF641" s="354"/>
      <c r="ACG641" s="313"/>
      <c r="ACH641" s="340"/>
      <c r="ACI641" s="340"/>
      <c r="ACJ641" s="354"/>
      <c r="ACK641" s="313"/>
      <c r="ACL641" s="340"/>
      <c r="ACM641" s="340"/>
      <c r="ACN641" s="354"/>
      <c r="ACO641" s="313"/>
      <c r="ACP641" s="340"/>
      <c r="ACQ641" s="340"/>
      <c r="ACR641" s="354"/>
      <c r="ACS641" s="313"/>
      <c r="ACT641" s="340"/>
      <c r="ACU641" s="340"/>
      <c r="ACV641" s="354"/>
      <c r="ACW641" s="313"/>
      <c r="ACX641" s="340"/>
      <c r="ACY641" s="340"/>
      <c r="ACZ641" s="354"/>
      <c r="ADA641" s="313"/>
      <c r="ADB641" s="340"/>
      <c r="ADC641" s="340"/>
      <c r="ADD641" s="354"/>
      <c r="ADE641" s="313"/>
      <c r="ADF641" s="340"/>
      <c r="ADG641" s="340"/>
      <c r="ADH641" s="354"/>
      <c r="ADI641" s="313"/>
      <c r="ADJ641" s="340"/>
      <c r="ADK641" s="340"/>
      <c r="ADL641" s="354"/>
      <c r="ADM641" s="313"/>
      <c r="ADN641" s="340"/>
      <c r="ADO641" s="340"/>
      <c r="ADP641" s="354"/>
      <c r="ADQ641" s="313"/>
      <c r="ADR641" s="340"/>
      <c r="ADS641" s="340"/>
      <c r="ADT641" s="354"/>
      <c r="ADU641" s="313"/>
      <c r="ADV641" s="340"/>
      <c r="ADW641" s="340"/>
      <c r="ADX641" s="354"/>
      <c r="ADY641" s="313"/>
      <c r="ADZ641" s="340"/>
      <c r="AEA641" s="340"/>
      <c r="AEB641" s="354"/>
      <c r="AEC641" s="313"/>
      <c r="AED641" s="340"/>
      <c r="AEE641" s="340"/>
      <c r="AEF641" s="354"/>
      <c r="AEG641" s="313"/>
      <c r="AEH641" s="340"/>
      <c r="AEI641" s="340"/>
      <c r="AEJ641" s="354"/>
      <c r="AEK641" s="313"/>
      <c r="AEL641" s="340"/>
      <c r="AEM641" s="340"/>
      <c r="AEN641" s="354"/>
      <c r="AEO641" s="313"/>
      <c r="AEP641" s="340"/>
      <c r="AEQ641" s="340"/>
      <c r="AER641" s="354"/>
      <c r="AES641" s="313"/>
      <c r="AET641" s="340"/>
      <c r="AEU641" s="340"/>
      <c r="AEV641" s="354"/>
      <c r="AEW641" s="313"/>
      <c r="AEX641" s="340"/>
      <c r="AEY641" s="340"/>
      <c r="AEZ641" s="354"/>
      <c r="AFA641" s="313"/>
      <c r="AFB641" s="340"/>
      <c r="AFC641" s="340"/>
      <c r="AFD641" s="354"/>
      <c r="AFE641" s="313"/>
      <c r="AFF641" s="340"/>
      <c r="AFG641" s="340"/>
      <c r="AFH641" s="354"/>
      <c r="AFI641" s="313"/>
      <c r="AFJ641" s="340"/>
      <c r="AFK641" s="340"/>
      <c r="AFL641" s="354"/>
      <c r="AFM641" s="313"/>
      <c r="AFN641" s="340"/>
      <c r="AFO641" s="340"/>
      <c r="AFP641" s="354"/>
      <c r="AFQ641" s="313"/>
      <c r="AFR641" s="340"/>
      <c r="AFS641" s="340"/>
      <c r="AFT641" s="354"/>
      <c r="AFU641" s="313"/>
      <c r="AFV641" s="340"/>
      <c r="AFW641" s="340"/>
      <c r="AFX641" s="354"/>
      <c r="AFY641" s="313"/>
      <c r="AFZ641" s="340"/>
      <c r="AGA641" s="340"/>
      <c r="AGB641" s="354"/>
      <c r="AGC641" s="313"/>
      <c r="AGD641" s="340"/>
      <c r="AGE641" s="340"/>
      <c r="AGF641" s="354"/>
      <c r="AGG641" s="313"/>
      <c r="AGH641" s="340"/>
      <c r="AGI641" s="340"/>
      <c r="AGJ641" s="354"/>
      <c r="AGK641" s="313"/>
      <c r="AGL641" s="340"/>
      <c r="AGM641" s="340"/>
      <c r="AGN641" s="354"/>
      <c r="AGO641" s="313"/>
      <c r="AGP641" s="340"/>
      <c r="AGQ641" s="340"/>
      <c r="AGR641" s="354"/>
      <c r="AGS641" s="313"/>
      <c r="AGT641" s="340"/>
      <c r="AGU641" s="340"/>
      <c r="AGV641" s="354"/>
      <c r="AGW641" s="313"/>
      <c r="AGX641" s="340"/>
      <c r="AGY641" s="340"/>
      <c r="AGZ641" s="354"/>
      <c r="AHA641" s="313"/>
      <c r="AHB641" s="340"/>
      <c r="AHC641" s="340"/>
      <c r="AHD641" s="354"/>
      <c r="AHE641" s="313"/>
      <c r="AHF641" s="340"/>
      <c r="AHG641" s="340"/>
      <c r="AHH641" s="354"/>
      <c r="AHI641" s="313"/>
      <c r="AHJ641" s="340"/>
      <c r="AHK641" s="340"/>
      <c r="AHL641" s="354"/>
      <c r="AHM641" s="313"/>
      <c r="AHN641" s="340"/>
      <c r="AHO641" s="340"/>
      <c r="AHP641" s="354"/>
      <c r="AHQ641" s="313"/>
      <c r="AHR641" s="340"/>
      <c r="AHS641" s="340"/>
      <c r="AHT641" s="354"/>
      <c r="AHU641" s="313"/>
      <c r="AHV641" s="340"/>
      <c r="AHW641" s="340"/>
      <c r="AHX641" s="354"/>
      <c r="AHY641" s="313"/>
      <c r="AHZ641" s="340"/>
      <c r="AIA641" s="340"/>
      <c r="AIB641" s="354"/>
      <c r="AIC641" s="313"/>
      <c r="AID641" s="340"/>
      <c r="AIE641" s="340"/>
      <c r="AIF641" s="354"/>
      <c r="AIG641" s="313"/>
      <c r="AIH641" s="340"/>
      <c r="AII641" s="340"/>
      <c r="AIJ641" s="354"/>
      <c r="AIK641" s="313"/>
      <c r="AIL641" s="340"/>
      <c r="AIM641" s="340"/>
      <c r="AIN641" s="354"/>
      <c r="AIO641" s="313"/>
      <c r="AIP641" s="340"/>
      <c r="AIQ641" s="340"/>
      <c r="AIR641" s="354"/>
      <c r="AIS641" s="313"/>
      <c r="AIT641" s="340"/>
      <c r="AIU641" s="340"/>
      <c r="AIV641" s="354"/>
      <c r="AIW641" s="313"/>
      <c r="AIX641" s="340"/>
      <c r="AIY641" s="340"/>
      <c r="AIZ641" s="354"/>
      <c r="AJA641" s="313"/>
      <c r="AJB641" s="340"/>
      <c r="AJC641" s="340"/>
      <c r="AJD641" s="354"/>
      <c r="AJE641" s="313"/>
      <c r="AJF641" s="340"/>
      <c r="AJG641" s="340"/>
      <c r="AJH641" s="354"/>
      <c r="AJI641" s="313"/>
      <c r="AJJ641" s="340"/>
      <c r="AJK641" s="340"/>
      <c r="AJL641" s="354"/>
      <c r="AJM641" s="313"/>
      <c r="AJN641" s="340"/>
      <c r="AJO641" s="340"/>
      <c r="AJP641" s="354"/>
      <c r="AJQ641" s="313"/>
      <c r="AJR641" s="340"/>
      <c r="AJS641" s="340"/>
      <c r="AJT641" s="354"/>
      <c r="AJU641" s="313"/>
      <c r="AJV641" s="340"/>
      <c r="AJW641" s="340"/>
      <c r="AJX641" s="354"/>
      <c r="AJY641" s="313"/>
      <c r="AJZ641" s="340"/>
      <c r="AKA641" s="340"/>
      <c r="AKB641" s="354"/>
      <c r="AKC641" s="313"/>
      <c r="AKD641" s="340"/>
      <c r="AKE641" s="340"/>
      <c r="AKF641" s="354"/>
      <c r="AKG641" s="313"/>
      <c r="AKH641" s="340"/>
      <c r="AKI641" s="340"/>
      <c r="AKJ641" s="354"/>
      <c r="AKK641" s="313"/>
      <c r="AKL641" s="340"/>
      <c r="AKM641" s="340"/>
      <c r="AKN641" s="354"/>
      <c r="AKO641" s="313"/>
      <c r="AKP641" s="340"/>
      <c r="AKQ641" s="340"/>
      <c r="AKR641" s="354"/>
      <c r="AKS641" s="313"/>
      <c r="AKT641" s="340"/>
      <c r="AKU641" s="340"/>
      <c r="AKV641" s="354"/>
      <c r="AKW641" s="313"/>
      <c r="AKX641" s="340"/>
      <c r="AKY641" s="340"/>
      <c r="AKZ641" s="354"/>
      <c r="ALA641" s="313"/>
      <c r="ALB641" s="340"/>
      <c r="ALC641" s="340"/>
      <c r="ALD641" s="354"/>
      <c r="ALE641" s="313"/>
      <c r="ALF641" s="340"/>
      <c r="ALG641" s="340"/>
      <c r="ALH641" s="354"/>
      <c r="ALI641" s="313"/>
      <c r="ALJ641" s="340"/>
      <c r="ALK641" s="340"/>
      <c r="ALL641" s="354"/>
      <c r="ALM641" s="313"/>
      <c r="ALN641" s="340"/>
      <c r="ALO641" s="340"/>
      <c r="ALP641" s="354"/>
      <c r="ALQ641" s="313"/>
      <c r="ALR641" s="340"/>
      <c r="ALS641" s="340"/>
      <c r="ALT641" s="354"/>
      <c r="ALU641" s="313"/>
      <c r="ALV641" s="340"/>
      <c r="ALW641" s="340"/>
      <c r="ALX641" s="354"/>
      <c r="ALY641" s="313"/>
      <c r="ALZ641" s="340"/>
      <c r="AMA641" s="340"/>
      <c r="AMB641" s="354"/>
      <c r="AMC641" s="313"/>
      <c r="AMD641" s="340"/>
      <c r="AME641" s="340"/>
      <c r="AMF641" s="354"/>
      <c r="AMG641" s="313"/>
      <c r="AMH641" s="340"/>
      <c r="AMI641" s="340"/>
      <c r="AMJ641" s="354"/>
      <c r="AMK641" s="313"/>
      <c r="AML641" s="340"/>
      <c r="AMM641" s="340"/>
      <c r="AMN641" s="354"/>
      <c r="AMO641" s="313"/>
      <c r="AMP641" s="340"/>
      <c r="AMQ641" s="340"/>
      <c r="AMR641" s="354"/>
      <c r="AMS641" s="313"/>
      <c r="AMT641" s="340"/>
      <c r="AMU641" s="340"/>
      <c r="AMV641" s="354"/>
      <c r="AMW641" s="313"/>
      <c r="AMX641" s="340"/>
      <c r="AMY641" s="340"/>
      <c r="AMZ641" s="354"/>
      <c r="ANA641" s="313"/>
      <c r="ANB641" s="340"/>
      <c r="ANC641" s="340"/>
      <c r="AND641" s="354"/>
      <c r="ANE641" s="313"/>
      <c r="ANF641" s="340"/>
      <c r="ANG641" s="340"/>
      <c r="ANH641" s="354"/>
      <c r="ANI641" s="313"/>
      <c r="ANJ641" s="340"/>
      <c r="ANK641" s="340"/>
      <c r="ANL641" s="354"/>
      <c r="ANM641" s="313"/>
      <c r="ANN641" s="340"/>
      <c r="ANO641" s="340"/>
      <c r="ANP641" s="354"/>
      <c r="ANQ641" s="313"/>
      <c r="ANR641" s="340"/>
      <c r="ANS641" s="340"/>
      <c r="ANT641" s="354"/>
      <c r="ANU641" s="313"/>
      <c r="ANV641" s="340"/>
      <c r="ANW641" s="340"/>
      <c r="ANX641" s="354"/>
      <c r="ANY641" s="313"/>
      <c r="ANZ641" s="340"/>
      <c r="AOA641" s="340"/>
      <c r="AOB641" s="354"/>
      <c r="AOC641" s="313"/>
      <c r="AOD641" s="340"/>
      <c r="AOE641" s="340"/>
      <c r="AOF641" s="354"/>
      <c r="AOG641" s="313"/>
      <c r="AOH641" s="340"/>
      <c r="AOI641" s="340"/>
      <c r="AOJ641" s="354"/>
      <c r="AOK641" s="313"/>
      <c r="AOL641" s="340"/>
      <c r="AOM641" s="340"/>
      <c r="AON641" s="354"/>
      <c r="AOO641" s="313"/>
      <c r="AOP641" s="340"/>
      <c r="AOQ641" s="340"/>
      <c r="AOR641" s="354"/>
      <c r="AOS641" s="313"/>
      <c r="AOT641" s="340"/>
      <c r="AOU641" s="340"/>
      <c r="AOV641" s="354"/>
      <c r="AOW641" s="313"/>
      <c r="AOX641" s="340"/>
      <c r="AOY641" s="340"/>
      <c r="AOZ641" s="354"/>
      <c r="APA641" s="313"/>
      <c r="APB641" s="340"/>
      <c r="APC641" s="340"/>
      <c r="APD641" s="354"/>
      <c r="APE641" s="313"/>
      <c r="APF641" s="340"/>
      <c r="APG641" s="340"/>
      <c r="APH641" s="354"/>
      <c r="API641" s="313"/>
      <c r="APJ641" s="340"/>
      <c r="APK641" s="340"/>
      <c r="APL641" s="354"/>
      <c r="APM641" s="313"/>
      <c r="APN641" s="340"/>
      <c r="APO641" s="340"/>
      <c r="APP641" s="354"/>
      <c r="APQ641" s="313"/>
      <c r="APR641" s="340"/>
      <c r="APS641" s="340"/>
      <c r="APT641" s="354"/>
      <c r="APU641" s="313"/>
      <c r="APV641" s="340"/>
      <c r="APW641" s="340"/>
      <c r="APX641" s="354"/>
      <c r="APY641" s="313"/>
      <c r="APZ641" s="340"/>
      <c r="AQA641" s="340"/>
      <c r="AQB641" s="354"/>
      <c r="AQC641" s="313"/>
      <c r="AQD641" s="340"/>
      <c r="AQE641" s="340"/>
      <c r="AQF641" s="354"/>
      <c r="AQG641" s="313"/>
      <c r="AQH641" s="340"/>
      <c r="AQI641" s="340"/>
      <c r="AQJ641" s="354"/>
      <c r="AQK641" s="313"/>
      <c r="AQL641" s="340"/>
      <c r="AQM641" s="340"/>
      <c r="AQN641" s="354"/>
      <c r="AQO641" s="313"/>
      <c r="AQP641" s="340"/>
      <c r="AQQ641" s="340"/>
      <c r="AQR641" s="354"/>
      <c r="AQS641" s="313"/>
      <c r="AQT641" s="340"/>
      <c r="AQU641" s="340"/>
      <c r="AQV641" s="354"/>
      <c r="AQW641" s="313"/>
      <c r="AQX641" s="340"/>
      <c r="AQY641" s="340"/>
      <c r="AQZ641" s="354"/>
      <c r="ARA641" s="313"/>
      <c r="ARB641" s="340"/>
      <c r="ARC641" s="340"/>
      <c r="ARD641" s="354"/>
      <c r="ARE641" s="313"/>
      <c r="ARF641" s="340"/>
      <c r="ARG641" s="340"/>
      <c r="ARH641" s="354"/>
      <c r="ARI641" s="313"/>
      <c r="ARJ641" s="340"/>
      <c r="ARK641" s="340"/>
      <c r="ARL641" s="354"/>
      <c r="ARM641" s="313"/>
      <c r="ARN641" s="340"/>
      <c r="ARO641" s="340"/>
      <c r="ARP641" s="354"/>
      <c r="ARQ641" s="313"/>
      <c r="ARR641" s="340"/>
      <c r="ARS641" s="340"/>
      <c r="ART641" s="354"/>
      <c r="ARU641" s="313"/>
      <c r="ARV641" s="340"/>
      <c r="ARW641" s="340"/>
      <c r="ARX641" s="354"/>
      <c r="ARY641" s="313"/>
      <c r="ARZ641" s="340"/>
      <c r="ASA641" s="340"/>
      <c r="ASB641" s="354"/>
      <c r="ASC641" s="313"/>
      <c r="ASD641" s="340"/>
      <c r="ASE641" s="340"/>
      <c r="ASF641" s="354"/>
      <c r="ASG641" s="313"/>
      <c r="ASH641" s="340"/>
      <c r="ASI641" s="340"/>
      <c r="ASJ641" s="354"/>
      <c r="ASK641" s="313"/>
      <c r="ASL641" s="340"/>
      <c r="ASM641" s="340"/>
      <c r="ASN641" s="354"/>
      <c r="ASO641" s="313"/>
      <c r="ASP641" s="340"/>
      <c r="ASQ641" s="340"/>
      <c r="ASR641" s="354"/>
      <c r="ASS641" s="313"/>
      <c r="AST641" s="340"/>
      <c r="ASU641" s="340"/>
      <c r="ASV641" s="354"/>
      <c r="ASW641" s="313"/>
      <c r="ASX641" s="340"/>
      <c r="ASY641" s="340"/>
      <c r="ASZ641" s="354"/>
      <c r="ATA641" s="313"/>
      <c r="ATB641" s="340"/>
      <c r="ATC641" s="340"/>
      <c r="ATD641" s="354"/>
      <c r="ATE641" s="313"/>
      <c r="ATF641" s="340"/>
      <c r="ATG641" s="340"/>
      <c r="ATH641" s="354"/>
      <c r="ATI641" s="313"/>
      <c r="ATJ641" s="340"/>
      <c r="ATK641" s="340"/>
      <c r="ATL641" s="354"/>
      <c r="ATM641" s="313"/>
      <c r="ATN641" s="340"/>
      <c r="ATO641" s="340"/>
      <c r="ATP641" s="354"/>
      <c r="ATQ641" s="313"/>
      <c r="ATR641" s="340"/>
      <c r="ATS641" s="340"/>
      <c r="ATT641" s="354"/>
      <c r="ATU641" s="313"/>
      <c r="ATV641" s="340"/>
      <c r="ATW641" s="340"/>
      <c r="ATX641" s="354"/>
      <c r="ATY641" s="313"/>
      <c r="ATZ641" s="340"/>
      <c r="AUA641" s="340"/>
      <c r="AUB641" s="354"/>
      <c r="AUC641" s="313"/>
      <c r="AUD641" s="340"/>
      <c r="AUE641" s="340"/>
      <c r="AUF641" s="354"/>
      <c r="AUG641" s="313"/>
      <c r="AUH641" s="340"/>
      <c r="AUI641" s="340"/>
      <c r="AUJ641" s="354"/>
      <c r="AUK641" s="313"/>
      <c r="AUL641" s="340"/>
      <c r="AUM641" s="340"/>
      <c r="AUN641" s="354"/>
      <c r="AUO641" s="313"/>
      <c r="AUP641" s="340"/>
      <c r="AUQ641" s="340"/>
      <c r="AUR641" s="354"/>
      <c r="AUS641" s="313"/>
      <c r="AUT641" s="340"/>
      <c r="AUU641" s="340"/>
      <c r="AUV641" s="354"/>
      <c r="AUW641" s="313"/>
      <c r="AUX641" s="340"/>
      <c r="AUY641" s="340"/>
      <c r="AUZ641" s="354"/>
      <c r="AVA641" s="313"/>
      <c r="AVB641" s="340"/>
      <c r="AVC641" s="340"/>
      <c r="AVD641" s="354"/>
      <c r="AVE641" s="313"/>
      <c r="AVF641" s="340"/>
      <c r="AVG641" s="340"/>
      <c r="AVH641" s="354"/>
      <c r="AVI641" s="313"/>
      <c r="AVJ641" s="340"/>
      <c r="AVK641" s="340"/>
      <c r="AVL641" s="354"/>
      <c r="AVM641" s="313"/>
      <c r="AVN641" s="340"/>
      <c r="AVO641" s="340"/>
      <c r="AVP641" s="354"/>
      <c r="AVQ641" s="313"/>
      <c r="AVR641" s="340"/>
      <c r="AVS641" s="340"/>
      <c r="AVT641" s="354"/>
      <c r="AVU641" s="313"/>
      <c r="AVV641" s="340"/>
      <c r="AVW641" s="340"/>
      <c r="AVX641" s="354"/>
      <c r="AVY641" s="313"/>
      <c r="AVZ641" s="340"/>
      <c r="AWA641" s="340"/>
      <c r="AWB641" s="354"/>
      <c r="AWC641" s="313"/>
      <c r="AWD641" s="340"/>
      <c r="AWE641" s="340"/>
      <c r="AWF641" s="354"/>
      <c r="AWG641" s="313"/>
      <c r="AWH641" s="340"/>
      <c r="AWI641" s="340"/>
      <c r="AWJ641" s="354"/>
      <c r="AWK641" s="313"/>
      <c r="AWL641" s="340"/>
      <c r="AWM641" s="340"/>
      <c r="AWN641" s="354"/>
      <c r="AWO641" s="313"/>
      <c r="AWP641" s="340"/>
      <c r="AWQ641" s="340"/>
      <c r="AWR641" s="354"/>
      <c r="AWS641" s="313"/>
      <c r="AWT641" s="340"/>
      <c r="AWU641" s="340"/>
      <c r="AWV641" s="354"/>
      <c r="AWW641" s="313"/>
      <c r="AWX641" s="340"/>
      <c r="AWY641" s="340"/>
      <c r="AWZ641" s="354"/>
      <c r="AXA641" s="313"/>
      <c r="AXB641" s="340"/>
      <c r="AXC641" s="340"/>
      <c r="AXD641" s="354"/>
      <c r="AXE641" s="313"/>
      <c r="AXF641" s="340"/>
      <c r="AXG641" s="340"/>
      <c r="AXH641" s="354"/>
      <c r="AXI641" s="313"/>
      <c r="AXJ641" s="340"/>
      <c r="AXK641" s="340"/>
      <c r="AXL641" s="354"/>
      <c r="AXM641" s="313"/>
      <c r="AXN641" s="340"/>
      <c r="AXO641" s="340"/>
      <c r="AXP641" s="354"/>
      <c r="AXQ641" s="313"/>
      <c r="AXR641" s="340"/>
      <c r="AXS641" s="340"/>
      <c r="AXT641" s="354"/>
      <c r="AXU641" s="313"/>
      <c r="AXV641" s="340"/>
      <c r="AXW641" s="340"/>
      <c r="AXX641" s="354"/>
      <c r="AXY641" s="313"/>
      <c r="AXZ641" s="340"/>
      <c r="AYA641" s="340"/>
      <c r="AYB641" s="354"/>
      <c r="AYC641" s="313"/>
      <c r="AYD641" s="340"/>
      <c r="AYE641" s="340"/>
      <c r="AYF641" s="354"/>
      <c r="AYG641" s="313"/>
      <c r="AYH641" s="340"/>
      <c r="AYI641" s="340"/>
      <c r="AYJ641" s="354"/>
      <c r="AYK641" s="313"/>
      <c r="AYL641" s="340"/>
      <c r="AYM641" s="340"/>
      <c r="AYN641" s="354"/>
      <c r="AYO641" s="313"/>
      <c r="AYP641" s="340"/>
      <c r="AYQ641" s="340"/>
      <c r="AYR641" s="354"/>
      <c r="AYS641" s="313"/>
      <c r="AYT641" s="340"/>
      <c r="AYU641" s="340"/>
      <c r="AYV641" s="354"/>
      <c r="AYW641" s="313"/>
      <c r="AYX641" s="340"/>
      <c r="AYY641" s="340"/>
      <c r="AYZ641" s="354"/>
      <c r="AZA641" s="313"/>
      <c r="AZB641" s="340"/>
      <c r="AZC641" s="340"/>
      <c r="AZD641" s="354"/>
      <c r="AZE641" s="313"/>
      <c r="AZF641" s="340"/>
      <c r="AZG641" s="340"/>
      <c r="AZH641" s="354"/>
      <c r="AZI641" s="313"/>
      <c r="AZJ641" s="340"/>
      <c r="AZK641" s="340"/>
      <c r="AZL641" s="354"/>
      <c r="AZM641" s="313"/>
      <c r="AZN641" s="340"/>
      <c r="AZO641" s="340"/>
      <c r="AZP641" s="354"/>
      <c r="AZQ641" s="313"/>
      <c r="AZR641" s="340"/>
      <c r="AZS641" s="340"/>
      <c r="AZT641" s="354"/>
      <c r="AZU641" s="313"/>
      <c r="AZV641" s="340"/>
      <c r="AZW641" s="340"/>
      <c r="AZX641" s="354"/>
      <c r="AZY641" s="313"/>
      <c r="AZZ641" s="340"/>
      <c r="BAA641" s="340"/>
      <c r="BAB641" s="354"/>
      <c r="BAC641" s="313"/>
      <c r="BAD641" s="340"/>
      <c r="BAE641" s="340"/>
      <c r="BAF641" s="354"/>
      <c r="BAG641" s="313"/>
      <c r="BAH641" s="340"/>
      <c r="BAI641" s="340"/>
      <c r="BAJ641" s="354"/>
      <c r="BAK641" s="313"/>
      <c r="BAL641" s="340"/>
      <c r="BAM641" s="340"/>
      <c r="BAN641" s="354"/>
      <c r="BAO641" s="313"/>
      <c r="BAP641" s="340"/>
      <c r="BAQ641" s="340"/>
      <c r="BAR641" s="354"/>
      <c r="BAS641" s="313"/>
      <c r="BAT641" s="340"/>
      <c r="BAU641" s="340"/>
      <c r="BAV641" s="354"/>
      <c r="BAW641" s="313"/>
      <c r="BAX641" s="340"/>
      <c r="BAY641" s="340"/>
      <c r="BAZ641" s="354"/>
      <c r="BBA641" s="313"/>
      <c r="BBB641" s="340"/>
      <c r="BBC641" s="340"/>
      <c r="BBD641" s="354"/>
      <c r="BBE641" s="313"/>
      <c r="BBF641" s="340"/>
      <c r="BBG641" s="340"/>
      <c r="BBH641" s="354"/>
      <c r="BBI641" s="313"/>
      <c r="BBJ641" s="340"/>
      <c r="BBK641" s="340"/>
      <c r="BBL641" s="354"/>
      <c r="BBM641" s="313"/>
      <c r="BBN641" s="340"/>
      <c r="BBO641" s="340"/>
      <c r="BBP641" s="354"/>
      <c r="BBQ641" s="313"/>
      <c r="BBR641" s="340"/>
      <c r="BBS641" s="340"/>
      <c r="BBT641" s="354"/>
      <c r="BBU641" s="313"/>
      <c r="BBV641" s="340"/>
      <c r="BBW641" s="340"/>
      <c r="BBX641" s="354"/>
      <c r="BBY641" s="313"/>
      <c r="BBZ641" s="340"/>
      <c r="BCA641" s="340"/>
      <c r="BCB641" s="354"/>
      <c r="BCC641" s="313"/>
      <c r="BCD641" s="340"/>
      <c r="BCE641" s="340"/>
      <c r="BCF641" s="354"/>
      <c r="BCG641" s="313"/>
      <c r="BCH641" s="340"/>
      <c r="BCI641" s="340"/>
      <c r="BCJ641" s="354"/>
      <c r="BCK641" s="313"/>
      <c r="BCL641" s="340"/>
      <c r="BCM641" s="340"/>
      <c r="BCN641" s="354"/>
      <c r="BCO641" s="313"/>
      <c r="BCP641" s="340"/>
      <c r="BCQ641" s="340"/>
      <c r="BCR641" s="354"/>
      <c r="BCS641" s="313"/>
      <c r="BCT641" s="340"/>
      <c r="BCU641" s="340"/>
      <c r="BCV641" s="354"/>
      <c r="BCW641" s="313"/>
      <c r="BCX641" s="340"/>
      <c r="BCY641" s="340"/>
      <c r="BCZ641" s="354"/>
      <c r="BDA641" s="313"/>
      <c r="BDB641" s="340"/>
      <c r="BDC641" s="340"/>
      <c r="BDD641" s="354"/>
      <c r="BDE641" s="313"/>
      <c r="BDF641" s="340"/>
      <c r="BDG641" s="340"/>
      <c r="BDH641" s="354"/>
      <c r="BDI641" s="313"/>
      <c r="BDJ641" s="340"/>
      <c r="BDK641" s="340"/>
      <c r="BDL641" s="354"/>
      <c r="BDM641" s="313"/>
      <c r="BDN641" s="340"/>
      <c r="BDO641" s="340"/>
      <c r="BDP641" s="354"/>
      <c r="BDQ641" s="313"/>
      <c r="BDR641" s="340"/>
      <c r="BDS641" s="340"/>
      <c r="BDT641" s="354"/>
      <c r="BDU641" s="313"/>
      <c r="BDV641" s="340"/>
      <c r="BDW641" s="340"/>
      <c r="BDX641" s="354"/>
      <c r="BDY641" s="313"/>
      <c r="BDZ641" s="340"/>
      <c r="BEA641" s="340"/>
      <c r="BEB641" s="354"/>
      <c r="BEC641" s="313"/>
      <c r="BED641" s="340"/>
      <c r="BEE641" s="340"/>
      <c r="BEF641" s="354"/>
      <c r="BEG641" s="313"/>
      <c r="BEH641" s="340"/>
      <c r="BEI641" s="340"/>
      <c r="BEJ641" s="354"/>
      <c r="BEK641" s="313"/>
      <c r="BEL641" s="340"/>
      <c r="BEM641" s="340"/>
      <c r="BEN641" s="354"/>
      <c r="BEO641" s="313"/>
      <c r="BEP641" s="340"/>
      <c r="BEQ641" s="340"/>
      <c r="BER641" s="354"/>
      <c r="BES641" s="313"/>
      <c r="BET641" s="340"/>
      <c r="BEU641" s="340"/>
      <c r="BEV641" s="354"/>
      <c r="BEW641" s="313"/>
      <c r="BEX641" s="340"/>
      <c r="BEY641" s="340"/>
      <c r="BEZ641" s="354"/>
      <c r="BFA641" s="313"/>
      <c r="BFB641" s="340"/>
      <c r="BFC641" s="340"/>
      <c r="BFD641" s="354"/>
      <c r="BFE641" s="313"/>
      <c r="BFF641" s="340"/>
      <c r="BFG641" s="340"/>
      <c r="BFH641" s="354"/>
      <c r="BFI641" s="313"/>
      <c r="BFJ641" s="340"/>
      <c r="BFK641" s="340"/>
      <c r="BFL641" s="354"/>
      <c r="BFM641" s="313"/>
      <c r="BFN641" s="340"/>
      <c r="BFO641" s="340"/>
      <c r="BFP641" s="354"/>
      <c r="BFQ641" s="313"/>
      <c r="BFR641" s="340"/>
      <c r="BFS641" s="340"/>
      <c r="BFT641" s="354"/>
      <c r="BFU641" s="313"/>
      <c r="BFV641" s="340"/>
      <c r="BFW641" s="340"/>
      <c r="BFX641" s="354"/>
      <c r="BFY641" s="313"/>
      <c r="BFZ641" s="340"/>
      <c r="BGA641" s="340"/>
      <c r="BGB641" s="354"/>
      <c r="BGC641" s="313"/>
      <c r="BGD641" s="340"/>
      <c r="BGE641" s="340"/>
      <c r="BGF641" s="354"/>
      <c r="BGG641" s="313"/>
      <c r="BGH641" s="340"/>
      <c r="BGI641" s="340"/>
      <c r="BGJ641" s="354"/>
      <c r="BGK641" s="313"/>
      <c r="BGL641" s="340"/>
      <c r="BGM641" s="340"/>
      <c r="BGN641" s="354"/>
      <c r="BGO641" s="313"/>
      <c r="BGP641" s="340"/>
      <c r="BGQ641" s="340"/>
      <c r="BGR641" s="354"/>
      <c r="BGS641" s="313"/>
      <c r="BGT641" s="340"/>
      <c r="BGU641" s="340"/>
      <c r="BGV641" s="354"/>
      <c r="BGW641" s="313"/>
      <c r="BGX641" s="340"/>
      <c r="BGY641" s="340"/>
      <c r="BGZ641" s="354"/>
      <c r="BHA641" s="313"/>
      <c r="BHB641" s="340"/>
      <c r="BHC641" s="340"/>
      <c r="BHD641" s="354"/>
      <c r="BHE641" s="313"/>
      <c r="BHF641" s="340"/>
      <c r="BHG641" s="340"/>
      <c r="BHH641" s="354"/>
      <c r="BHI641" s="313"/>
      <c r="BHJ641" s="340"/>
      <c r="BHK641" s="340"/>
      <c r="BHL641" s="354"/>
      <c r="BHM641" s="313"/>
      <c r="BHN641" s="340"/>
      <c r="BHO641" s="340"/>
      <c r="BHP641" s="354"/>
      <c r="BHQ641" s="313"/>
      <c r="BHR641" s="340"/>
      <c r="BHS641" s="340"/>
      <c r="BHT641" s="354"/>
      <c r="BHU641" s="313"/>
      <c r="BHV641" s="340"/>
      <c r="BHW641" s="340"/>
      <c r="BHX641" s="354"/>
      <c r="BHY641" s="313"/>
      <c r="BHZ641" s="340"/>
      <c r="BIA641" s="340"/>
      <c r="BIB641" s="354"/>
      <c r="BIC641" s="313"/>
      <c r="BID641" s="340"/>
      <c r="BIE641" s="340"/>
      <c r="BIF641" s="354"/>
      <c r="BIG641" s="313"/>
      <c r="BIH641" s="340"/>
      <c r="BII641" s="340"/>
      <c r="BIJ641" s="354"/>
      <c r="BIK641" s="313"/>
      <c r="BIL641" s="340"/>
      <c r="BIM641" s="340"/>
      <c r="BIN641" s="354"/>
      <c r="BIO641" s="313"/>
      <c r="BIP641" s="340"/>
      <c r="BIQ641" s="340"/>
      <c r="BIR641" s="354"/>
      <c r="BIS641" s="313"/>
      <c r="BIT641" s="340"/>
      <c r="BIU641" s="340"/>
      <c r="BIV641" s="354"/>
      <c r="BIW641" s="313"/>
      <c r="BIX641" s="340"/>
      <c r="BIY641" s="340"/>
      <c r="BIZ641" s="354"/>
      <c r="BJA641" s="313"/>
      <c r="BJB641" s="340"/>
      <c r="BJC641" s="340"/>
      <c r="BJD641" s="354"/>
      <c r="BJE641" s="313"/>
      <c r="BJF641" s="340"/>
      <c r="BJG641" s="340"/>
      <c r="BJH641" s="354"/>
      <c r="BJI641" s="313"/>
      <c r="BJJ641" s="340"/>
      <c r="BJK641" s="340"/>
      <c r="BJL641" s="354"/>
      <c r="BJM641" s="313"/>
      <c r="BJN641" s="340"/>
      <c r="BJO641" s="340"/>
      <c r="BJP641" s="354"/>
      <c r="BJQ641" s="313"/>
      <c r="BJR641" s="340"/>
      <c r="BJS641" s="340"/>
      <c r="BJT641" s="354"/>
      <c r="BJU641" s="313"/>
      <c r="BJV641" s="340"/>
      <c r="BJW641" s="340"/>
      <c r="BJX641" s="354"/>
      <c r="BJY641" s="313"/>
      <c r="BJZ641" s="340"/>
      <c r="BKA641" s="340"/>
      <c r="BKB641" s="354"/>
      <c r="BKC641" s="313"/>
      <c r="BKD641" s="340"/>
      <c r="BKE641" s="340"/>
      <c r="BKF641" s="354"/>
      <c r="BKG641" s="313"/>
      <c r="BKH641" s="340"/>
      <c r="BKI641" s="340"/>
      <c r="BKJ641" s="354"/>
      <c r="BKK641" s="313"/>
      <c r="BKL641" s="340"/>
      <c r="BKM641" s="340"/>
      <c r="BKN641" s="354"/>
      <c r="BKO641" s="313"/>
      <c r="BKP641" s="340"/>
      <c r="BKQ641" s="340"/>
      <c r="BKR641" s="354"/>
      <c r="BKS641" s="313"/>
      <c r="BKT641" s="340"/>
      <c r="BKU641" s="340"/>
      <c r="BKV641" s="354"/>
      <c r="BKW641" s="313"/>
      <c r="BKX641" s="340"/>
      <c r="BKY641" s="340"/>
      <c r="BKZ641" s="354"/>
      <c r="BLA641" s="313"/>
      <c r="BLB641" s="340"/>
      <c r="BLC641" s="340"/>
      <c r="BLD641" s="354"/>
      <c r="BLE641" s="313"/>
      <c r="BLF641" s="340"/>
      <c r="BLG641" s="340"/>
      <c r="BLH641" s="354"/>
      <c r="BLI641" s="313"/>
      <c r="BLJ641" s="340"/>
      <c r="BLK641" s="340"/>
      <c r="BLL641" s="354"/>
      <c r="BLM641" s="313"/>
      <c r="BLN641" s="340"/>
      <c r="BLO641" s="340"/>
      <c r="BLP641" s="354"/>
      <c r="BLQ641" s="313"/>
      <c r="BLR641" s="340"/>
      <c r="BLS641" s="340"/>
      <c r="BLT641" s="354"/>
      <c r="BLU641" s="313"/>
      <c r="BLV641" s="340"/>
      <c r="BLW641" s="340"/>
      <c r="BLX641" s="354"/>
      <c r="BLY641" s="313"/>
      <c r="BLZ641" s="340"/>
      <c r="BMA641" s="340"/>
      <c r="BMB641" s="354"/>
      <c r="BMC641" s="313"/>
      <c r="BMD641" s="340"/>
      <c r="BME641" s="340"/>
      <c r="BMF641" s="354"/>
      <c r="BMG641" s="313"/>
      <c r="BMH641" s="340"/>
      <c r="BMI641" s="340"/>
      <c r="BMJ641" s="354"/>
      <c r="BMK641" s="313"/>
      <c r="BML641" s="340"/>
      <c r="BMM641" s="340"/>
      <c r="BMN641" s="354"/>
      <c r="BMO641" s="313"/>
      <c r="BMP641" s="340"/>
      <c r="BMQ641" s="340"/>
      <c r="BMR641" s="354"/>
      <c r="BMS641" s="313"/>
      <c r="BMT641" s="340"/>
      <c r="BMU641" s="340"/>
      <c r="BMV641" s="354"/>
      <c r="BMW641" s="313"/>
      <c r="BMX641" s="340"/>
      <c r="BMY641" s="340"/>
      <c r="BMZ641" s="354"/>
      <c r="BNA641" s="313"/>
      <c r="BNB641" s="340"/>
      <c r="BNC641" s="340"/>
      <c r="BND641" s="354"/>
      <c r="BNE641" s="313"/>
      <c r="BNF641" s="340"/>
      <c r="BNG641" s="340"/>
      <c r="BNH641" s="354"/>
      <c r="BNI641" s="313"/>
      <c r="BNJ641" s="340"/>
      <c r="BNK641" s="340"/>
      <c r="BNL641" s="354"/>
      <c r="BNM641" s="313"/>
      <c r="BNN641" s="340"/>
      <c r="BNO641" s="340"/>
      <c r="BNP641" s="354"/>
      <c r="BNQ641" s="313"/>
      <c r="BNR641" s="340"/>
      <c r="BNS641" s="340"/>
      <c r="BNT641" s="354"/>
      <c r="BNU641" s="313"/>
      <c r="BNV641" s="340"/>
      <c r="BNW641" s="340"/>
      <c r="BNX641" s="354"/>
      <c r="BNY641" s="313"/>
      <c r="BNZ641" s="340"/>
      <c r="BOA641" s="340"/>
      <c r="BOB641" s="354"/>
      <c r="BOC641" s="313"/>
      <c r="BOD641" s="340"/>
      <c r="BOE641" s="340"/>
      <c r="BOF641" s="354"/>
      <c r="BOG641" s="313"/>
      <c r="BOH641" s="340"/>
      <c r="BOI641" s="340"/>
      <c r="BOJ641" s="354"/>
      <c r="BOK641" s="313"/>
      <c r="BOL641" s="340"/>
      <c r="BOM641" s="340"/>
      <c r="BON641" s="354"/>
      <c r="BOO641" s="313"/>
      <c r="BOP641" s="340"/>
      <c r="BOQ641" s="340"/>
      <c r="BOR641" s="354"/>
      <c r="BOS641" s="313"/>
      <c r="BOT641" s="340"/>
      <c r="BOU641" s="340"/>
      <c r="BOV641" s="354"/>
      <c r="BOW641" s="313"/>
      <c r="BOX641" s="340"/>
      <c r="BOY641" s="340"/>
      <c r="BOZ641" s="354"/>
      <c r="BPA641" s="313"/>
      <c r="BPB641" s="340"/>
      <c r="BPC641" s="340"/>
      <c r="BPD641" s="354"/>
      <c r="BPE641" s="313"/>
      <c r="BPF641" s="340"/>
      <c r="BPG641" s="340"/>
      <c r="BPH641" s="354"/>
      <c r="BPI641" s="313"/>
      <c r="BPJ641" s="340"/>
      <c r="BPK641" s="340"/>
      <c r="BPL641" s="354"/>
      <c r="BPM641" s="313"/>
      <c r="BPN641" s="340"/>
      <c r="BPO641" s="340"/>
      <c r="BPP641" s="354"/>
      <c r="BPQ641" s="313"/>
      <c r="BPR641" s="340"/>
      <c r="BPS641" s="340"/>
      <c r="BPT641" s="354"/>
      <c r="BPU641" s="313"/>
      <c r="BPV641" s="340"/>
      <c r="BPW641" s="340"/>
      <c r="BPX641" s="354"/>
      <c r="BPY641" s="313"/>
      <c r="BPZ641" s="340"/>
      <c r="BQA641" s="340"/>
      <c r="BQB641" s="354"/>
      <c r="BQC641" s="313"/>
      <c r="BQD641" s="340"/>
      <c r="BQE641" s="340"/>
      <c r="BQF641" s="354"/>
      <c r="BQG641" s="313"/>
      <c r="BQH641" s="340"/>
      <c r="BQI641" s="340"/>
      <c r="BQJ641" s="354"/>
      <c r="BQK641" s="313"/>
      <c r="BQL641" s="340"/>
      <c r="BQM641" s="340"/>
      <c r="BQN641" s="354"/>
      <c r="BQO641" s="313"/>
      <c r="BQP641" s="340"/>
      <c r="BQQ641" s="340"/>
      <c r="BQR641" s="354"/>
      <c r="BQS641" s="313"/>
      <c r="BQT641" s="340"/>
      <c r="BQU641" s="340"/>
      <c r="BQV641" s="354"/>
      <c r="BQW641" s="313"/>
      <c r="BQX641" s="340"/>
      <c r="BQY641" s="340"/>
      <c r="BQZ641" s="354"/>
      <c r="BRA641" s="313"/>
      <c r="BRB641" s="340"/>
      <c r="BRC641" s="340"/>
      <c r="BRD641" s="354"/>
      <c r="BRE641" s="313"/>
      <c r="BRF641" s="340"/>
      <c r="BRG641" s="340"/>
      <c r="BRH641" s="354"/>
      <c r="BRI641" s="313"/>
      <c r="BRJ641" s="340"/>
      <c r="BRK641" s="340"/>
      <c r="BRL641" s="354"/>
      <c r="BRM641" s="313"/>
      <c r="BRN641" s="340"/>
      <c r="BRO641" s="340"/>
      <c r="BRP641" s="354"/>
      <c r="BRQ641" s="313"/>
      <c r="BRR641" s="340"/>
      <c r="BRS641" s="340"/>
      <c r="BRT641" s="354"/>
      <c r="BRU641" s="313"/>
      <c r="BRV641" s="340"/>
      <c r="BRW641" s="340"/>
      <c r="BRX641" s="354"/>
      <c r="BRY641" s="313"/>
      <c r="BRZ641" s="340"/>
      <c r="BSA641" s="340"/>
      <c r="BSB641" s="354"/>
      <c r="BSC641" s="313"/>
      <c r="BSD641" s="340"/>
      <c r="BSE641" s="340"/>
      <c r="BSF641" s="354"/>
      <c r="BSG641" s="313"/>
      <c r="BSH641" s="340"/>
      <c r="BSI641" s="340"/>
      <c r="BSJ641" s="354"/>
      <c r="BSK641" s="313"/>
      <c r="BSL641" s="340"/>
      <c r="BSM641" s="340"/>
      <c r="BSN641" s="354"/>
      <c r="BSO641" s="313"/>
      <c r="BSP641" s="340"/>
      <c r="BSQ641" s="340"/>
      <c r="BSR641" s="354"/>
      <c r="BSS641" s="313"/>
      <c r="BST641" s="340"/>
      <c r="BSU641" s="340"/>
      <c r="BSV641" s="354"/>
      <c r="BSW641" s="313"/>
      <c r="BSX641" s="340"/>
      <c r="BSY641" s="340"/>
      <c r="BSZ641" s="354"/>
      <c r="BTA641" s="313"/>
      <c r="BTB641" s="340"/>
      <c r="BTC641" s="340"/>
      <c r="BTD641" s="354"/>
      <c r="BTE641" s="313"/>
      <c r="BTF641" s="340"/>
      <c r="BTG641" s="340"/>
      <c r="BTH641" s="354"/>
      <c r="BTI641" s="313"/>
      <c r="BTJ641" s="340"/>
      <c r="BTK641" s="340"/>
      <c r="BTL641" s="354"/>
      <c r="BTM641" s="313"/>
      <c r="BTN641" s="340"/>
      <c r="BTO641" s="340"/>
      <c r="BTP641" s="354"/>
      <c r="BTQ641" s="313"/>
      <c r="BTR641" s="340"/>
      <c r="BTS641" s="340"/>
      <c r="BTT641" s="354"/>
      <c r="BTU641" s="313"/>
      <c r="BTV641" s="340"/>
      <c r="BTW641" s="340"/>
      <c r="BTX641" s="354"/>
      <c r="BTY641" s="313"/>
      <c r="BTZ641" s="340"/>
      <c r="BUA641" s="340"/>
      <c r="BUB641" s="354"/>
      <c r="BUC641" s="313"/>
      <c r="BUD641" s="340"/>
      <c r="BUE641" s="340"/>
      <c r="BUF641" s="354"/>
      <c r="BUG641" s="313"/>
      <c r="BUH641" s="340"/>
      <c r="BUI641" s="340"/>
      <c r="BUJ641" s="354"/>
      <c r="BUK641" s="313"/>
      <c r="BUL641" s="340"/>
      <c r="BUM641" s="340"/>
      <c r="BUN641" s="354"/>
      <c r="BUO641" s="313"/>
      <c r="BUP641" s="340"/>
      <c r="BUQ641" s="340"/>
      <c r="BUR641" s="354"/>
      <c r="BUS641" s="313"/>
      <c r="BUT641" s="340"/>
      <c r="BUU641" s="340"/>
      <c r="BUV641" s="354"/>
      <c r="BUW641" s="313"/>
      <c r="BUX641" s="340"/>
      <c r="BUY641" s="340"/>
      <c r="BUZ641" s="354"/>
      <c r="BVA641" s="313"/>
      <c r="BVB641" s="340"/>
      <c r="BVC641" s="340"/>
      <c r="BVD641" s="354"/>
      <c r="BVE641" s="313"/>
      <c r="BVF641" s="340"/>
      <c r="BVG641" s="340"/>
      <c r="BVH641" s="354"/>
      <c r="BVI641" s="313"/>
      <c r="BVJ641" s="340"/>
      <c r="BVK641" s="340"/>
      <c r="BVL641" s="354"/>
      <c r="BVM641" s="313"/>
      <c r="BVN641" s="340"/>
      <c r="BVO641" s="340"/>
      <c r="BVP641" s="354"/>
      <c r="BVQ641" s="313"/>
      <c r="BVR641" s="340"/>
      <c r="BVS641" s="340"/>
      <c r="BVT641" s="354"/>
      <c r="BVU641" s="313"/>
      <c r="BVV641" s="340"/>
      <c r="BVW641" s="340"/>
      <c r="BVX641" s="354"/>
      <c r="BVY641" s="313"/>
      <c r="BVZ641" s="340"/>
      <c r="BWA641" s="340"/>
      <c r="BWB641" s="354"/>
      <c r="BWC641" s="313"/>
      <c r="BWD641" s="340"/>
      <c r="BWE641" s="340"/>
      <c r="BWF641" s="354"/>
      <c r="BWG641" s="313"/>
      <c r="BWH641" s="340"/>
      <c r="BWI641" s="340"/>
      <c r="BWJ641" s="354"/>
      <c r="BWK641" s="313"/>
      <c r="BWL641" s="340"/>
      <c r="BWM641" s="340"/>
      <c r="BWN641" s="354"/>
      <c r="BWO641" s="313"/>
      <c r="BWP641" s="340"/>
      <c r="BWQ641" s="340"/>
      <c r="BWR641" s="354"/>
      <c r="BWS641" s="313"/>
      <c r="BWT641" s="340"/>
      <c r="BWU641" s="340"/>
      <c r="BWV641" s="354"/>
      <c r="BWW641" s="313"/>
      <c r="BWX641" s="340"/>
      <c r="BWY641" s="340"/>
      <c r="BWZ641" s="354"/>
      <c r="BXA641" s="313"/>
      <c r="BXB641" s="340"/>
      <c r="BXC641" s="340"/>
      <c r="BXD641" s="354"/>
      <c r="BXE641" s="313"/>
      <c r="BXF641" s="340"/>
      <c r="BXG641" s="340"/>
      <c r="BXH641" s="354"/>
      <c r="BXI641" s="313"/>
      <c r="BXJ641" s="340"/>
      <c r="BXK641" s="340"/>
      <c r="BXL641" s="354"/>
      <c r="BXM641" s="313"/>
      <c r="BXN641" s="340"/>
      <c r="BXO641" s="340"/>
      <c r="BXP641" s="354"/>
      <c r="BXQ641" s="313"/>
      <c r="BXR641" s="340"/>
      <c r="BXS641" s="340"/>
      <c r="BXT641" s="354"/>
      <c r="BXU641" s="313"/>
      <c r="BXV641" s="340"/>
      <c r="BXW641" s="340"/>
      <c r="BXX641" s="354"/>
      <c r="BXY641" s="313"/>
      <c r="BXZ641" s="340"/>
      <c r="BYA641" s="340"/>
      <c r="BYB641" s="354"/>
      <c r="BYC641" s="313"/>
      <c r="BYD641" s="340"/>
      <c r="BYE641" s="340"/>
      <c r="BYF641" s="354"/>
      <c r="BYG641" s="313"/>
      <c r="BYH641" s="340"/>
      <c r="BYI641" s="340"/>
      <c r="BYJ641" s="354"/>
      <c r="BYK641" s="313"/>
      <c r="BYL641" s="340"/>
      <c r="BYM641" s="340"/>
      <c r="BYN641" s="354"/>
      <c r="BYO641" s="313"/>
      <c r="BYP641" s="340"/>
      <c r="BYQ641" s="340"/>
      <c r="BYR641" s="354"/>
      <c r="BYS641" s="313"/>
      <c r="BYT641" s="340"/>
      <c r="BYU641" s="340"/>
      <c r="BYV641" s="354"/>
      <c r="BYW641" s="313"/>
      <c r="BYX641" s="340"/>
      <c r="BYY641" s="340"/>
      <c r="BYZ641" s="354"/>
      <c r="BZA641" s="313"/>
      <c r="BZB641" s="340"/>
      <c r="BZC641" s="340"/>
      <c r="BZD641" s="354"/>
      <c r="BZE641" s="313"/>
      <c r="BZF641" s="340"/>
      <c r="BZG641" s="340"/>
      <c r="BZH641" s="354"/>
      <c r="BZI641" s="313"/>
      <c r="BZJ641" s="340"/>
      <c r="BZK641" s="340"/>
      <c r="BZL641" s="354"/>
      <c r="BZM641" s="313"/>
      <c r="BZN641" s="340"/>
      <c r="BZO641" s="340"/>
      <c r="BZP641" s="354"/>
      <c r="BZQ641" s="313"/>
      <c r="BZR641" s="340"/>
      <c r="BZS641" s="340"/>
      <c r="BZT641" s="354"/>
      <c r="BZU641" s="313"/>
      <c r="BZV641" s="340"/>
      <c r="BZW641" s="340"/>
      <c r="BZX641" s="354"/>
      <c r="BZY641" s="313"/>
      <c r="BZZ641" s="340"/>
      <c r="CAA641" s="340"/>
      <c r="CAB641" s="354"/>
      <c r="CAC641" s="313"/>
      <c r="CAD641" s="340"/>
      <c r="CAE641" s="340"/>
      <c r="CAF641" s="354"/>
      <c r="CAG641" s="313"/>
      <c r="CAH641" s="340"/>
      <c r="CAI641" s="340"/>
      <c r="CAJ641" s="354"/>
      <c r="CAK641" s="313"/>
      <c r="CAL641" s="340"/>
      <c r="CAM641" s="340"/>
      <c r="CAN641" s="354"/>
      <c r="CAO641" s="313"/>
      <c r="CAP641" s="340"/>
      <c r="CAQ641" s="340"/>
      <c r="CAR641" s="354"/>
      <c r="CAS641" s="313"/>
      <c r="CAT641" s="340"/>
      <c r="CAU641" s="340"/>
      <c r="CAV641" s="354"/>
      <c r="CAW641" s="313"/>
      <c r="CAX641" s="340"/>
      <c r="CAY641" s="340"/>
      <c r="CAZ641" s="354"/>
      <c r="CBA641" s="313"/>
      <c r="CBB641" s="340"/>
      <c r="CBC641" s="340"/>
      <c r="CBD641" s="354"/>
      <c r="CBE641" s="313"/>
      <c r="CBF641" s="340"/>
      <c r="CBG641" s="340"/>
      <c r="CBH641" s="354"/>
      <c r="CBI641" s="313"/>
      <c r="CBJ641" s="340"/>
      <c r="CBK641" s="340"/>
      <c r="CBL641" s="354"/>
      <c r="CBM641" s="313"/>
      <c r="CBN641" s="340"/>
      <c r="CBO641" s="340"/>
      <c r="CBP641" s="354"/>
      <c r="CBQ641" s="313"/>
      <c r="CBR641" s="340"/>
      <c r="CBS641" s="340"/>
      <c r="CBT641" s="354"/>
      <c r="CBU641" s="313"/>
      <c r="CBV641" s="340"/>
      <c r="CBW641" s="340"/>
      <c r="CBX641" s="354"/>
      <c r="CBY641" s="313"/>
      <c r="CBZ641" s="340"/>
      <c r="CCA641" s="340"/>
      <c r="CCB641" s="354"/>
      <c r="CCC641" s="313"/>
      <c r="CCD641" s="340"/>
      <c r="CCE641" s="340"/>
      <c r="CCF641" s="354"/>
      <c r="CCG641" s="313"/>
      <c r="CCH641" s="340"/>
      <c r="CCI641" s="340"/>
      <c r="CCJ641" s="354"/>
      <c r="CCK641" s="313"/>
      <c r="CCL641" s="340"/>
      <c r="CCM641" s="340"/>
      <c r="CCN641" s="354"/>
      <c r="CCO641" s="313"/>
      <c r="CCP641" s="340"/>
      <c r="CCQ641" s="340"/>
      <c r="CCR641" s="354"/>
      <c r="CCS641" s="313"/>
      <c r="CCT641" s="340"/>
      <c r="CCU641" s="340"/>
      <c r="CCV641" s="354"/>
      <c r="CCW641" s="313"/>
      <c r="CCX641" s="340"/>
      <c r="CCY641" s="340"/>
      <c r="CCZ641" s="354"/>
      <c r="CDA641" s="313"/>
      <c r="CDB641" s="340"/>
      <c r="CDC641" s="340"/>
      <c r="CDD641" s="354"/>
      <c r="CDE641" s="313"/>
      <c r="CDF641" s="340"/>
      <c r="CDG641" s="340"/>
      <c r="CDH641" s="354"/>
      <c r="CDI641" s="313"/>
      <c r="CDJ641" s="340"/>
      <c r="CDK641" s="340"/>
      <c r="CDL641" s="354"/>
      <c r="CDM641" s="313"/>
      <c r="CDN641" s="340"/>
      <c r="CDO641" s="340"/>
      <c r="CDP641" s="354"/>
      <c r="CDQ641" s="313"/>
      <c r="CDR641" s="340"/>
      <c r="CDS641" s="340"/>
      <c r="CDT641" s="354"/>
      <c r="CDU641" s="313"/>
      <c r="CDV641" s="340"/>
      <c r="CDW641" s="340"/>
      <c r="CDX641" s="354"/>
      <c r="CDY641" s="313"/>
      <c r="CDZ641" s="340"/>
      <c r="CEA641" s="340"/>
      <c r="CEB641" s="354"/>
      <c r="CEC641" s="313"/>
      <c r="CED641" s="340"/>
      <c r="CEE641" s="340"/>
      <c r="CEF641" s="354"/>
      <c r="CEG641" s="313"/>
      <c r="CEH641" s="340"/>
      <c r="CEI641" s="340"/>
      <c r="CEJ641" s="354"/>
      <c r="CEK641" s="313"/>
      <c r="CEL641" s="340"/>
      <c r="CEM641" s="340"/>
      <c r="CEN641" s="354"/>
      <c r="CEO641" s="313"/>
      <c r="CEP641" s="340"/>
      <c r="CEQ641" s="340"/>
      <c r="CER641" s="354"/>
      <c r="CES641" s="313"/>
      <c r="CET641" s="340"/>
      <c r="CEU641" s="340"/>
      <c r="CEV641" s="354"/>
      <c r="CEW641" s="313"/>
      <c r="CEX641" s="340"/>
      <c r="CEY641" s="340"/>
      <c r="CEZ641" s="354"/>
      <c r="CFA641" s="313"/>
      <c r="CFB641" s="340"/>
      <c r="CFC641" s="340"/>
      <c r="CFD641" s="354"/>
      <c r="CFE641" s="313"/>
      <c r="CFF641" s="340"/>
      <c r="CFG641" s="340"/>
      <c r="CFH641" s="354"/>
      <c r="CFI641" s="313"/>
      <c r="CFJ641" s="340"/>
      <c r="CFK641" s="340"/>
      <c r="CFL641" s="354"/>
      <c r="CFM641" s="313"/>
      <c r="CFN641" s="340"/>
      <c r="CFO641" s="340"/>
      <c r="CFP641" s="354"/>
      <c r="CFQ641" s="313"/>
      <c r="CFR641" s="340"/>
      <c r="CFS641" s="340"/>
      <c r="CFT641" s="354"/>
      <c r="CFU641" s="313"/>
      <c r="CFV641" s="340"/>
      <c r="CFW641" s="340"/>
      <c r="CFX641" s="354"/>
      <c r="CFY641" s="313"/>
      <c r="CFZ641" s="340"/>
      <c r="CGA641" s="340"/>
      <c r="CGB641" s="354"/>
      <c r="CGC641" s="313"/>
      <c r="CGD641" s="340"/>
      <c r="CGE641" s="340"/>
      <c r="CGF641" s="354"/>
      <c r="CGG641" s="313"/>
      <c r="CGH641" s="340"/>
      <c r="CGI641" s="340"/>
      <c r="CGJ641" s="354"/>
      <c r="CGK641" s="313"/>
      <c r="CGL641" s="340"/>
      <c r="CGM641" s="340"/>
      <c r="CGN641" s="354"/>
      <c r="CGO641" s="313"/>
      <c r="CGP641" s="340"/>
      <c r="CGQ641" s="340"/>
      <c r="CGR641" s="354"/>
      <c r="CGS641" s="313"/>
      <c r="CGT641" s="340"/>
      <c r="CGU641" s="340"/>
      <c r="CGV641" s="354"/>
      <c r="CGW641" s="313"/>
      <c r="CGX641" s="340"/>
      <c r="CGY641" s="340"/>
      <c r="CGZ641" s="354"/>
      <c r="CHA641" s="313"/>
      <c r="CHB641" s="340"/>
      <c r="CHC641" s="340"/>
      <c r="CHD641" s="354"/>
      <c r="CHE641" s="313"/>
      <c r="CHF641" s="340"/>
      <c r="CHG641" s="340"/>
      <c r="CHH641" s="354"/>
      <c r="CHI641" s="313"/>
      <c r="CHJ641" s="340"/>
      <c r="CHK641" s="340"/>
      <c r="CHL641" s="354"/>
      <c r="CHM641" s="313"/>
      <c r="CHN641" s="340"/>
      <c r="CHO641" s="340"/>
      <c r="CHP641" s="354"/>
      <c r="CHQ641" s="313"/>
      <c r="CHR641" s="340"/>
      <c r="CHS641" s="340"/>
      <c r="CHT641" s="354"/>
      <c r="CHU641" s="313"/>
      <c r="CHV641" s="340"/>
      <c r="CHW641" s="340"/>
      <c r="CHX641" s="354"/>
      <c r="CHY641" s="313"/>
      <c r="CHZ641" s="340"/>
      <c r="CIA641" s="340"/>
      <c r="CIB641" s="354"/>
      <c r="CIC641" s="313"/>
      <c r="CID641" s="340"/>
      <c r="CIE641" s="340"/>
      <c r="CIF641" s="354"/>
      <c r="CIG641" s="313"/>
      <c r="CIH641" s="340"/>
      <c r="CII641" s="340"/>
      <c r="CIJ641" s="354"/>
      <c r="CIK641" s="313"/>
      <c r="CIL641" s="340"/>
      <c r="CIM641" s="340"/>
      <c r="CIN641" s="354"/>
      <c r="CIO641" s="313"/>
      <c r="CIP641" s="340"/>
      <c r="CIQ641" s="340"/>
      <c r="CIR641" s="354"/>
      <c r="CIS641" s="313"/>
      <c r="CIT641" s="340"/>
      <c r="CIU641" s="340"/>
      <c r="CIV641" s="354"/>
      <c r="CIW641" s="313"/>
      <c r="CIX641" s="340"/>
      <c r="CIY641" s="340"/>
      <c r="CIZ641" s="354"/>
      <c r="CJA641" s="313"/>
      <c r="CJB641" s="340"/>
      <c r="CJC641" s="340"/>
      <c r="CJD641" s="354"/>
      <c r="CJE641" s="313"/>
      <c r="CJF641" s="340"/>
      <c r="CJG641" s="340"/>
      <c r="CJH641" s="354"/>
      <c r="CJI641" s="313"/>
      <c r="CJJ641" s="340"/>
      <c r="CJK641" s="340"/>
      <c r="CJL641" s="354"/>
      <c r="CJM641" s="313"/>
      <c r="CJN641" s="340"/>
      <c r="CJO641" s="340"/>
      <c r="CJP641" s="354"/>
      <c r="CJQ641" s="313"/>
      <c r="CJR641" s="340"/>
      <c r="CJS641" s="340"/>
      <c r="CJT641" s="354"/>
      <c r="CJU641" s="313"/>
      <c r="CJV641" s="340"/>
      <c r="CJW641" s="340"/>
      <c r="CJX641" s="354"/>
      <c r="CJY641" s="313"/>
      <c r="CJZ641" s="340"/>
      <c r="CKA641" s="340"/>
      <c r="CKB641" s="354"/>
      <c r="CKC641" s="313"/>
      <c r="CKD641" s="340"/>
      <c r="CKE641" s="340"/>
      <c r="CKF641" s="354"/>
      <c r="CKG641" s="313"/>
      <c r="CKH641" s="340"/>
      <c r="CKI641" s="340"/>
      <c r="CKJ641" s="354"/>
      <c r="CKK641" s="313"/>
      <c r="CKL641" s="340"/>
      <c r="CKM641" s="340"/>
      <c r="CKN641" s="354"/>
      <c r="CKO641" s="313"/>
      <c r="CKP641" s="340"/>
      <c r="CKQ641" s="340"/>
      <c r="CKR641" s="354"/>
      <c r="CKS641" s="313"/>
      <c r="CKT641" s="340"/>
      <c r="CKU641" s="340"/>
      <c r="CKV641" s="354"/>
      <c r="CKW641" s="313"/>
      <c r="CKX641" s="340"/>
      <c r="CKY641" s="340"/>
      <c r="CKZ641" s="354"/>
      <c r="CLA641" s="313"/>
      <c r="CLB641" s="340"/>
      <c r="CLC641" s="340"/>
      <c r="CLD641" s="354"/>
      <c r="CLE641" s="313"/>
      <c r="CLF641" s="340"/>
      <c r="CLG641" s="340"/>
      <c r="CLH641" s="354"/>
      <c r="CLI641" s="313"/>
      <c r="CLJ641" s="340"/>
      <c r="CLK641" s="340"/>
      <c r="CLL641" s="354"/>
      <c r="CLM641" s="313"/>
      <c r="CLN641" s="340"/>
      <c r="CLO641" s="340"/>
      <c r="CLP641" s="354"/>
      <c r="CLQ641" s="313"/>
      <c r="CLR641" s="340"/>
      <c r="CLS641" s="340"/>
      <c r="CLT641" s="354"/>
      <c r="CLU641" s="313"/>
      <c r="CLV641" s="340"/>
      <c r="CLW641" s="340"/>
      <c r="CLX641" s="354"/>
      <c r="CLY641" s="313"/>
      <c r="CLZ641" s="340"/>
      <c r="CMA641" s="340"/>
      <c r="CMB641" s="354"/>
      <c r="CMC641" s="313"/>
      <c r="CMD641" s="340"/>
      <c r="CME641" s="340"/>
      <c r="CMF641" s="354"/>
      <c r="CMG641" s="313"/>
      <c r="CMH641" s="340"/>
      <c r="CMI641" s="340"/>
      <c r="CMJ641" s="354"/>
      <c r="CMK641" s="313"/>
      <c r="CML641" s="340"/>
      <c r="CMM641" s="340"/>
      <c r="CMN641" s="354"/>
      <c r="CMO641" s="313"/>
      <c r="CMP641" s="340"/>
      <c r="CMQ641" s="340"/>
      <c r="CMR641" s="354"/>
      <c r="CMS641" s="313"/>
      <c r="CMT641" s="340"/>
      <c r="CMU641" s="340"/>
      <c r="CMV641" s="354"/>
      <c r="CMW641" s="313"/>
      <c r="CMX641" s="340"/>
      <c r="CMY641" s="340"/>
      <c r="CMZ641" s="354"/>
      <c r="CNA641" s="313"/>
      <c r="CNB641" s="340"/>
      <c r="CNC641" s="340"/>
      <c r="CND641" s="354"/>
      <c r="CNE641" s="313"/>
      <c r="CNF641" s="340"/>
      <c r="CNG641" s="340"/>
      <c r="CNH641" s="354"/>
      <c r="CNI641" s="313"/>
      <c r="CNJ641" s="340"/>
      <c r="CNK641" s="340"/>
      <c r="CNL641" s="354"/>
      <c r="CNM641" s="313"/>
      <c r="CNN641" s="340"/>
      <c r="CNO641" s="340"/>
      <c r="CNP641" s="354"/>
      <c r="CNQ641" s="313"/>
      <c r="CNR641" s="340"/>
      <c r="CNS641" s="340"/>
      <c r="CNT641" s="354"/>
      <c r="CNU641" s="313"/>
      <c r="CNV641" s="340"/>
      <c r="CNW641" s="340"/>
      <c r="CNX641" s="354"/>
      <c r="CNY641" s="313"/>
      <c r="CNZ641" s="340"/>
      <c r="COA641" s="340"/>
      <c r="COB641" s="354"/>
      <c r="COC641" s="313"/>
      <c r="COD641" s="340"/>
      <c r="COE641" s="340"/>
      <c r="COF641" s="354"/>
      <c r="COG641" s="313"/>
      <c r="COH641" s="340"/>
      <c r="COI641" s="340"/>
      <c r="COJ641" s="354"/>
      <c r="COK641" s="313"/>
      <c r="COL641" s="340"/>
      <c r="COM641" s="340"/>
      <c r="CON641" s="354"/>
      <c r="COO641" s="313"/>
      <c r="COP641" s="340"/>
      <c r="COQ641" s="340"/>
      <c r="COR641" s="354"/>
      <c r="COS641" s="313"/>
      <c r="COT641" s="340"/>
      <c r="COU641" s="340"/>
      <c r="COV641" s="354"/>
      <c r="COW641" s="313"/>
      <c r="COX641" s="340"/>
      <c r="COY641" s="340"/>
      <c r="COZ641" s="354"/>
      <c r="CPA641" s="313"/>
      <c r="CPB641" s="340"/>
      <c r="CPC641" s="340"/>
      <c r="CPD641" s="354"/>
      <c r="CPE641" s="313"/>
      <c r="CPF641" s="340"/>
      <c r="CPG641" s="340"/>
      <c r="CPH641" s="354"/>
      <c r="CPI641" s="313"/>
      <c r="CPJ641" s="340"/>
      <c r="CPK641" s="340"/>
      <c r="CPL641" s="354"/>
      <c r="CPM641" s="313"/>
      <c r="CPN641" s="340"/>
      <c r="CPO641" s="340"/>
      <c r="CPP641" s="354"/>
      <c r="CPQ641" s="313"/>
      <c r="CPR641" s="340"/>
      <c r="CPS641" s="340"/>
      <c r="CPT641" s="354"/>
      <c r="CPU641" s="313"/>
      <c r="CPV641" s="340"/>
      <c r="CPW641" s="340"/>
      <c r="CPX641" s="354"/>
      <c r="CPY641" s="313"/>
      <c r="CPZ641" s="340"/>
      <c r="CQA641" s="340"/>
      <c r="CQB641" s="354"/>
      <c r="CQC641" s="313"/>
      <c r="CQD641" s="340"/>
      <c r="CQE641" s="340"/>
      <c r="CQF641" s="354"/>
      <c r="CQG641" s="313"/>
      <c r="CQH641" s="340"/>
      <c r="CQI641" s="340"/>
      <c r="CQJ641" s="354"/>
      <c r="CQK641" s="313"/>
      <c r="CQL641" s="340"/>
      <c r="CQM641" s="340"/>
      <c r="CQN641" s="354"/>
      <c r="CQO641" s="313"/>
      <c r="CQP641" s="340"/>
      <c r="CQQ641" s="340"/>
      <c r="CQR641" s="354"/>
      <c r="CQS641" s="313"/>
      <c r="CQT641" s="340"/>
      <c r="CQU641" s="340"/>
      <c r="CQV641" s="354"/>
      <c r="CQW641" s="313"/>
      <c r="CQX641" s="340"/>
      <c r="CQY641" s="340"/>
      <c r="CQZ641" s="354"/>
      <c r="CRA641" s="313"/>
      <c r="CRB641" s="340"/>
      <c r="CRC641" s="340"/>
      <c r="CRD641" s="354"/>
      <c r="CRE641" s="313"/>
      <c r="CRF641" s="340"/>
      <c r="CRG641" s="340"/>
      <c r="CRH641" s="354"/>
      <c r="CRI641" s="313"/>
      <c r="CRJ641" s="340"/>
      <c r="CRK641" s="340"/>
      <c r="CRL641" s="354"/>
      <c r="CRM641" s="313"/>
      <c r="CRN641" s="340"/>
      <c r="CRO641" s="340"/>
      <c r="CRP641" s="354"/>
      <c r="CRQ641" s="313"/>
      <c r="CRR641" s="340"/>
      <c r="CRS641" s="340"/>
      <c r="CRT641" s="354"/>
      <c r="CRU641" s="313"/>
      <c r="CRV641" s="340"/>
      <c r="CRW641" s="340"/>
      <c r="CRX641" s="354"/>
      <c r="CRY641" s="313"/>
      <c r="CRZ641" s="340"/>
      <c r="CSA641" s="340"/>
      <c r="CSB641" s="354"/>
      <c r="CSC641" s="313"/>
      <c r="CSD641" s="340"/>
      <c r="CSE641" s="340"/>
      <c r="CSF641" s="354"/>
      <c r="CSG641" s="313"/>
      <c r="CSH641" s="340"/>
      <c r="CSI641" s="340"/>
      <c r="CSJ641" s="354"/>
      <c r="CSK641" s="313"/>
      <c r="CSL641" s="340"/>
      <c r="CSM641" s="340"/>
      <c r="CSN641" s="354"/>
      <c r="CSO641" s="313"/>
      <c r="CSP641" s="340"/>
      <c r="CSQ641" s="340"/>
      <c r="CSR641" s="354"/>
      <c r="CSS641" s="313"/>
      <c r="CST641" s="340"/>
      <c r="CSU641" s="340"/>
      <c r="CSV641" s="354"/>
      <c r="CSW641" s="313"/>
      <c r="CSX641" s="340"/>
      <c r="CSY641" s="340"/>
      <c r="CSZ641" s="354"/>
      <c r="CTA641" s="313"/>
      <c r="CTB641" s="340"/>
      <c r="CTC641" s="340"/>
      <c r="CTD641" s="354"/>
      <c r="CTE641" s="313"/>
      <c r="CTF641" s="340"/>
      <c r="CTG641" s="340"/>
      <c r="CTH641" s="354"/>
      <c r="CTI641" s="313"/>
      <c r="CTJ641" s="340"/>
      <c r="CTK641" s="340"/>
      <c r="CTL641" s="354"/>
      <c r="CTM641" s="313"/>
      <c r="CTN641" s="340"/>
      <c r="CTO641" s="340"/>
      <c r="CTP641" s="354"/>
      <c r="CTQ641" s="313"/>
      <c r="CTR641" s="340"/>
      <c r="CTS641" s="340"/>
      <c r="CTT641" s="354"/>
      <c r="CTU641" s="313"/>
      <c r="CTV641" s="340"/>
      <c r="CTW641" s="340"/>
      <c r="CTX641" s="354"/>
      <c r="CTY641" s="313"/>
      <c r="CTZ641" s="340"/>
      <c r="CUA641" s="340"/>
      <c r="CUB641" s="354"/>
      <c r="CUC641" s="313"/>
      <c r="CUD641" s="340"/>
      <c r="CUE641" s="340"/>
      <c r="CUF641" s="354"/>
      <c r="CUG641" s="313"/>
      <c r="CUH641" s="340"/>
      <c r="CUI641" s="340"/>
      <c r="CUJ641" s="354"/>
      <c r="CUK641" s="313"/>
      <c r="CUL641" s="340"/>
      <c r="CUM641" s="340"/>
      <c r="CUN641" s="354"/>
      <c r="CUO641" s="313"/>
      <c r="CUP641" s="340"/>
      <c r="CUQ641" s="340"/>
      <c r="CUR641" s="354"/>
      <c r="CUS641" s="313"/>
      <c r="CUT641" s="340"/>
      <c r="CUU641" s="340"/>
      <c r="CUV641" s="354"/>
      <c r="CUW641" s="313"/>
      <c r="CUX641" s="340"/>
      <c r="CUY641" s="340"/>
      <c r="CUZ641" s="354"/>
      <c r="CVA641" s="313"/>
      <c r="CVB641" s="340"/>
      <c r="CVC641" s="340"/>
      <c r="CVD641" s="354"/>
      <c r="CVE641" s="313"/>
      <c r="CVF641" s="340"/>
      <c r="CVG641" s="340"/>
      <c r="CVH641" s="354"/>
      <c r="CVI641" s="313"/>
      <c r="CVJ641" s="340"/>
      <c r="CVK641" s="340"/>
      <c r="CVL641" s="354"/>
      <c r="CVM641" s="313"/>
      <c r="CVN641" s="340"/>
      <c r="CVO641" s="340"/>
      <c r="CVP641" s="354"/>
      <c r="CVQ641" s="313"/>
      <c r="CVR641" s="340"/>
      <c r="CVS641" s="340"/>
      <c r="CVT641" s="354"/>
      <c r="CVU641" s="313"/>
      <c r="CVV641" s="340"/>
      <c r="CVW641" s="340"/>
      <c r="CVX641" s="354"/>
      <c r="CVY641" s="313"/>
      <c r="CVZ641" s="340"/>
      <c r="CWA641" s="340"/>
      <c r="CWB641" s="354"/>
      <c r="CWC641" s="313"/>
      <c r="CWD641" s="340"/>
      <c r="CWE641" s="340"/>
      <c r="CWF641" s="354"/>
      <c r="CWG641" s="313"/>
      <c r="CWH641" s="340"/>
      <c r="CWI641" s="340"/>
      <c r="CWJ641" s="354"/>
      <c r="CWK641" s="313"/>
      <c r="CWL641" s="340"/>
      <c r="CWM641" s="340"/>
      <c r="CWN641" s="354"/>
      <c r="CWO641" s="313"/>
      <c r="CWP641" s="340"/>
      <c r="CWQ641" s="340"/>
      <c r="CWR641" s="354"/>
      <c r="CWS641" s="313"/>
      <c r="CWT641" s="340"/>
      <c r="CWU641" s="340"/>
      <c r="CWV641" s="354"/>
      <c r="CWW641" s="313"/>
      <c r="CWX641" s="340"/>
      <c r="CWY641" s="340"/>
      <c r="CWZ641" s="354"/>
      <c r="CXA641" s="313"/>
      <c r="CXB641" s="340"/>
      <c r="CXC641" s="340"/>
      <c r="CXD641" s="354"/>
      <c r="CXE641" s="313"/>
      <c r="CXF641" s="340"/>
      <c r="CXG641" s="340"/>
      <c r="CXH641" s="354"/>
      <c r="CXI641" s="313"/>
      <c r="CXJ641" s="340"/>
      <c r="CXK641" s="340"/>
      <c r="CXL641" s="354"/>
      <c r="CXM641" s="313"/>
      <c r="CXN641" s="340"/>
      <c r="CXO641" s="340"/>
      <c r="CXP641" s="354"/>
      <c r="CXQ641" s="313"/>
      <c r="CXR641" s="340"/>
      <c r="CXS641" s="340"/>
      <c r="CXT641" s="354"/>
      <c r="CXU641" s="313"/>
      <c r="CXV641" s="340"/>
      <c r="CXW641" s="340"/>
      <c r="CXX641" s="354"/>
      <c r="CXY641" s="313"/>
      <c r="CXZ641" s="340"/>
      <c r="CYA641" s="340"/>
      <c r="CYB641" s="354"/>
      <c r="CYC641" s="313"/>
      <c r="CYD641" s="340"/>
      <c r="CYE641" s="340"/>
      <c r="CYF641" s="354"/>
      <c r="CYG641" s="313"/>
      <c r="CYH641" s="340"/>
      <c r="CYI641" s="340"/>
      <c r="CYJ641" s="354"/>
      <c r="CYK641" s="313"/>
      <c r="CYL641" s="340"/>
      <c r="CYM641" s="340"/>
      <c r="CYN641" s="354"/>
      <c r="CYO641" s="313"/>
      <c r="CYP641" s="340"/>
      <c r="CYQ641" s="340"/>
      <c r="CYR641" s="354"/>
      <c r="CYS641" s="313"/>
      <c r="CYT641" s="340"/>
      <c r="CYU641" s="340"/>
      <c r="CYV641" s="354"/>
      <c r="CYW641" s="313"/>
      <c r="CYX641" s="340"/>
      <c r="CYY641" s="340"/>
      <c r="CYZ641" s="354"/>
      <c r="CZA641" s="313"/>
      <c r="CZB641" s="340"/>
      <c r="CZC641" s="340"/>
      <c r="CZD641" s="354"/>
      <c r="CZE641" s="313"/>
      <c r="CZF641" s="340"/>
      <c r="CZG641" s="340"/>
      <c r="CZH641" s="354"/>
      <c r="CZI641" s="313"/>
      <c r="CZJ641" s="340"/>
      <c r="CZK641" s="340"/>
      <c r="CZL641" s="354"/>
      <c r="CZM641" s="313"/>
      <c r="CZN641" s="340"/>
      <c r="CZO641" s="340"/>
      <c r="CZP641" s="354"/>
      <c r="CZQ641" s="313"/>
      <c r="CZR641" s="340"/>
      <c r="CZS641" s="340"/>
      <c r="CZT641" s="354"/>
      <c r="CZU641" s="313"/>
      <c r="CZV641" s="340"/>
      <c r="CZW641" s="340"/>
      <c r="CZX641" s="354"/>
      <c r="CZY641" s="313"/>
      <c r="CZZ641" s="340"/>
      <c r="DAA641" s="340"/>
      <c r="DAB641" s="354"/>
      <c r="DAC641" s="313"/>
      <c r="DAD641" s="340"/>
      <c r="DAE641" s="340"/>
      <c r="DAF641" s="354"/>
      <c r="DAG641" s="313"/>
      <c r="DAH641" s="340"/>
      <c r="DAI641" s="340"/>
      <c r="DAJ641" s="354"/>
      <c r="DAK641" s="313"/>
      <c r="DAL641" s="340"/>
      <c r="DAM641" s="340"/>
      <c r="DAN641" s="354"/>
      <c r="DAO641" s="313"/>
      <c r="DAP641" s="340"/>
      <c r="DAQ641" s="340"/>
      <c r="DAR641" s="354"/>
      <c r="DAS641" s="313"/>
      <c r="DAT641" s="340"/>
      <c r="DAU641" s="340"/>
      <c r="DAV641" s="354"/>
      <c r="DAW641" s="313"/>
      <c r="DAX641" s="340"/>
      <c r="DAY641" s="340"/>
      <c r="DAZ641" s="354"/>
      <c r="DBA641" s="313"/>
      <c r="DBB641" s="340"/>
      <c r="DBC641" s="340"/>
      <c r="DBD641" s="354"/>
      <c r="DBE641" s="313"/>
      <c r="DBF641" s="340"/>
      <c r="DBG641" s="340"/>
      <c r="DBH641" s="354"/>
      <c r="DBI641" s="313"/>
      <c r="DBJ641" s="340"/>
      <c r="DBK641" s="340"/>
      <c r="DBL641" s="354"/>
      <c r="DBM641" s="313"/>
      <c r="DBN641" s="340"/>
      <c r="DBO641" s="340"/>
      <c r="DBP641" s="354"/>
      <c r="DBQ641" s="313"/>
      <c r="DBR641" s="340"/>
      <c r="DBS641" s="340"/>
      <c r="DBT641" s="354"/>
      <c r="DBU641" s="313"/>
      <c r="DBV641" s="340"/>
      <c r="DBW641" s="340"/>
      <c r="DBX641" s="354"/>
      <c r="DBY641" s="313"/>
      <c r="DBZ641" s="340"/>
      <c r="DCA641" s="340"/>
      <c r="DCB641" s="354"/>
      <c r="DCC641" s="313"/>
      <c r="DCD641" s="340"/>
      <c r="DCE641" s="340"/>
      <c r="DCF641" s="354"/>
      <c r="DCG641" s="313"/>
      <c r="DCH641" s="340"/>
      <c r="DCI641" s="340"/>
      <c r="DCJ641" s="354"/>
      <c r="DCK641" s="313"/>
      <c r="DCL641" s="340"/>
      <c r="DCM641" s="340"/>
      <c r="DCN641" s="354"/>
      <c r="DCO641" s="313"/>
      <c r="DCP641" s="340"/>
      <c r="DCQ641" s="340"/>
      <c r="DCR641" s="354"/>
      <c r="DCS641" s="313"/>
      <c r="DCT641" s="340"/>
      <c r="DCU641" s="340"/>
      <c r="DCV641" s="354"/>
      <c r="DCW641" s="313"/>
      <c r="DCX641" s="340"/>
      <c r="DCY641" s="340"/>
      <c r="DCZ641" s="354"/>
      <c r="DDA641" s="313"/>
      <c r="DDB641" s="340"/>
      <c r="DDC641" s="340"/>
      <c r="DDD641" s="354"/>
      <c r="DDE641" s="313"/>
      <c r="DDF641" s="340"/>
      <c r="DDG641" s="340"/>
      <c r="DDH641" s="354"/>
      <c r="DDI641" s="313"/>
      <c r="DDJ641" s="340"/>
      <c r="DDK641" s="340"/>
      <c r="DDL641" s="354"/>
      <c r="DDM641" s="313"/>
      <c r="DDN641" s="340"/>
      <c r="DDO641" s="340"/>
      <c r="DDP641" s="354"/>
      <c r="DDQ641" s="313"/>
      <c r="DDR641" s="340"/>
      <c r="DDS641" s="340"/>
      <c r="DDT641" s="354"/>
      <c r="DDU641" s="313"/>
      <c r="DDV641" s="340"/>
      <c r="DDW641" s="340"/>
      <c r="DDX641" s="354"/>
      <c r="DDY641" s="313"/>
      <c r="DDZ641" s="340"/>
      <c r="DEA641" s="340"/>
      <c r="DEB641" s="354"/>
      <c r="DEC641" s="313"/>
      <c r="DED641" s="340"/>
      <c r="DEE641" s="340"/>
      <c r="DEF641" s="354"/>
      <c r="DEG641" s="313"/>
      <c r="DEH641" s="340"/>
      <c r="DEI641" s="340"/>
      <c r="DEJ641" s="354"/>
      <c r="DEK641" s="313"/>
      <c r="DEL641" s="340"/>
      <c r="DEM641" s="340"/>
      <c r="DEN641" s="354"/>
      <c r="DEO641" s="313"/>
      <c r="DEP641" s="340"/>
      <c r="DEQ641" s="340"/>
      <c r="DER641" s="354"/>
      <c r="DES641" s="313"/>
      <c r="DET641" s="340"/>
      <c r="DEU641" s="340"/>
      <c r="DEV641" s="354"/>
      <c r="DEW641" s="313"/>
      <c r="DEX641" s="340"/>
      <c r="DEY641" s="340"/>
      <c r="DEZ641" s="354"/>
      <c r="DFA641" s="313"/>
      <c r="DFB641" s="340"/>
      <c r="DFC641" s="340"/>
      <c r="DFD641" s="354"/>
      <c r="DFE641" s="313"/>
      <c r="DFF641" s="340"/>
      <c r="DFG641" s="340"/>
      <c r="DFH641" s="354"/>
      <c r="DFI641" s="313"/>
      <c r="DFJ641" s="340"/>
      <c r="DFK641" s="340"/>
      <c r="DFL641" s="354"/>
      <c r="DFM641" s="313"/>
      <c r="DFN641" s="340"/>
      <c r="DFO641" s="340"/>
      <c r="DFP641" s="354"/>
      <c r="DFQ641" s="313"/>
      <c r="DFR641" s="340"/>
      <c r="DFS641" s="340"/>
      <c r="DFT641" s="354"/>
      <c r="DFU641" s="313"/>
      <c r="DFV641" s="340"/>
      <c r="DFW641" s="340"/>
      <c r="DFX641" s="354"/>
      <c r="DFY641" s="313"/>
      <c r="DFZ641" s="340"/>
      <c r="DGA641" s="340"/>
      <c r="DGB641" s="354"/>
      <c r="DGC641" s="313"/>
      <c r="DGD641" s="340"/>
      <c r="DGE641" s="340"/>
      <c r="DGF641" s="354"/>
      <c r="DGG641" s="313"/>
      <c r="DGH641" s="340"/>
      <c r="DGI641" s="340"/>
      <c r="DGJ641" s="354"/>
      <c r="DGK641" s="313"/>
      <c r="DGL641" s="340"/>
      <c r="DGM641" s="340"/>
      <c r="DGN641" s="354"/>
      <c r="DGO641" s="313"/>
      <c r="DGP641" s="340"/>
      <c r="DGQ641" s="340"/>
      <c r="DGR641" s="354"/>
      <c r="DGS641" s="313"/>
      <c r="DGT641" s="340"/>
      <c r="DGU641" s="340"/>
      <c r="DGV641" s="354"/>
      <c r="DGW641" s="313"/>
      <c r="DGX641" s="340"/>
      <c r="DGY641" s="340"/>
      <c r="DGZ641" s="354"/>
      <c r="DHA641" s="313"/>
      <c r="DHB641" s="340"/>
      <c r="DHC641" s="340"/>
      <c r="DHD641" s="354"/>
      <c r="DHE641" s="313"/>
      <c r="DHF641" s="340"/>
      <c r="DHG641" s="340"/>
      <c r="DHH641" s="354"/>
      <c r="DHI641" s="313"/>
      <c r="DHJ641" s="340"/>
      <c r="DHK641" s="340"/>
      <c r="DHL641" s="354"/>
      <c r="DHM641" s="313"/>
      <c r="DHN641" s="340"/>
      <c r="DHO641" s="340"/>
      <c r="DHP641" s="354"/>
      <c r="DHQ641" s="313"/>
      <c r="DHR641" s="340"/>
      <c r="DHS641" s="340"/>
      <c r="DHT641" s="354"/>
      <c r="DHU641" s="313"/>
      <c r="DHV641" s="340"/>
      <c r="DHW641" s="340"/>
      <c r="DHX641" s="354"/>
      <c r="DHY641" s="313"/>
      <c r="DHZ641" s="340"/>
      <c r="DIA641" s="340"/>
      <c r="DIB641" s="354"/>
      <c r="DIC641" s="313"/>
      <c r="DID641" s="340"/>
      <c r="DIE641" s="340"/>
      <c r="DIF641" s="354"/>
      <c r="DIG641" s="313"/>
      <c r="DIH641" s="340"/>
      <c r="DII641" s="340"/>
      <c r="DIJ641" s="354"/>
      <c r="DIK641" s="313"/>
      <c r="DIL641" s="340"/>
      <c r="DIM641" s="340"/>
      <c r="DIN641" s="354"/>
      <c r="DIO641" s="313"/>
      <c r="DIP641" s="340"/>
      <c r="DIQ641" s="340"/>
      <c r="DIR641" s="354"/>
      <c r="DIS641" s="313"/>
      <c r="DIT641" s="340"/>
      <c r="DIU641" s="340"/>
      <c r="DIV641" s="354"/>
      <c r="DIW641" s="313"/>
      <c r="DIX641" s="340"/>
      <c r="DIY641" s="340"/>
      <c r="DIZ641" s="354"/>
      <c r="DJA641" s="313"/>
      <c r="DJB641" s="340"/>
      <c r="DJC641" s="340"/>
      <c r="DJD641" s="354"/>
      <c r="DJE641" s="313"/>
      <c r="DJF641" s="340"/>
      <c r="DJG641" s="340"/>
      <c r="DJH641" s="354"/>
      <c r="DJI641" s="313"/>
      <c r="DJJ641" s="340"/>
      <c r="DJK641" s="340"/>
      <c r="DJL641" s="354"/>
      <c r="DJM641" s="313"/>
      <c r="DJN641" s="340"/>
      <c r="DJO641" s="340"/>
      <c r="DJP641" s="354"/>
      <c r="DJQ641" s="313"/>
      <c r="DJR641" s="340"/>
      <c r="DJS641" s="340"/>
      <c r="DJT641" s="354"/>
      <c r="DJU641" s="313"/>
      <c r="DJV641" s="340"/>
      <c r="DJW641" s="340"/>
      <c r="DJX641" s="354"/>
      <c r="DJY641" s="313"/>
      <c r="DJZ641" s="340"/>
      <c r="DKA641" s="340"/>
      <c r="DKB641" s="354"/>
      <c r="DKC641" s="313"/>
      <c r="DKD641" s="340"/>
      <c r="DKE641" s="340"/>
      <c r="DKF641" s="354"/>
      <c r="DKG641" s="313"/>
      <c r="DKH641" s="340"/>
      <c r="DKI641" s="340"/>
      <c r="DKJ641" s="354"/>
      <c r="DKK641" s="313"/>
      <c r="DKL641" s="340"/>
      <c r="DKM641" s="340"/>
      <c r="DKN641" s="354"/>
      <c r="DKO641" s="313"/>
      <c r="DKP641" s="340"/>
      <c r="DKQ641" s="340"/>
      <c r="DKR641" s="354"/>
      <c r="DKS641" s="313"/>
      <c r="DKT641" s="340"/>
      <c r="DKU641" s="340"/>
      <c r="DKV641" s="354"/>
      <c r="DKW641" s="313"/>
      <c r="DKX641" s="340"/>
      <c r="DKY641" s="340"/>
      <c r="DKZ641" s="354"/>
      <c r="DLA641" s="313"/>
      <c r="DLB641" s="340"/>
      <c r="DLC641" s="340"/>
      <c r="DLD641" s="354"/>
      <c r="DLE641" s="313"/>
      <c r="DLF641" s="340"/>
      <c r="DLG641" s="340"/>
      <c r="DLH641" s="354"/>
      <c r="DLI641" s="313"/>
      <c r="DLJ641" s="340"/>
      <c r="DLK641" s="340"/>
      <c r="DLL641" s="354"/>
      <c r="DLM641" s="313"/>
      <c r="DLN641" s="340"/>
      <c r="DLO641" s="340"/>
      <c r="DLP641" s="354"/>
      <c r="DLQ641" s="313"/>
      <c r="DLR641" s="340"/>
      <c r="DLS641" s="340"/>
      <c r="DLT641" s="354"/>
      <c r="DLU641" s="313"/>
      <c r="DLV641" s="340"/>
      <c r="DLW641" s="340"/>
      <c r="DLX641" s="354"/>
      <c r="DLY641" s="313"/>
      <c r="DLZ641" s="340"/>
      <c r="DMA641" s="340"/>
      <c r="DMB641" s="354"/>
      <c r="DMC641" s="313"/>
      <c r="DMD641" s="340"/>
      <c r="DME641" s="340"/>
      <c r="DMF641" s="354"/>
      <c r="DMG641" s="313"/>
      <c r="DMH641" s="340"/>
      <c r="DMI641" s="340"/>
      <c r="DMJ641" s="354"/>
      <c r="DMK641" s="313"/>
      <c r="DML641" s="340"/>
      <c r="DMM641" s="340"/>
      <c r="DMN641" s="354"/>
      <c r="DMO641" s="313"/>
      <c r="DMP641" s="340"/>
      <c r="DMQ641" s="340"/>
      <c r="DMR641" s="354"/>
      <c r="DMS641" s="313"/>
      <c r="DMT641" s="340"/>
      <c r="DMU641" s="340"/>
      <c r="DMV641" s="354"/>
      <c r="DMW641" s="313"/>
      <c r="DMX641" s="340"/>
      <c r="DMY641" s="340"/>
      <c r="DMZ641" s="354"/>
      <c r="DNA641" s="313"/>
      <c r="DNB641" s="340"/>
      <c r="DNC641" s="340"/>
      <c r="DND641" s="354"/>
      <c r="DNE641" s="313"/>
      <c r="DNF641" s="340"/>
      <c r="DNG641" s="340"/>
      <c r="DNH641" s="354"/>
      <c r="DNI641" s="313"/>
      <c r="DNJ641" s="340"/>
      <c r="DNK641" s="340"/>
      <c r="DNL641" s="354"/>
      <c r="DNM641" s="313"/>
      <c r="DNN641" s="340"/>
      <c r="DNO641" s="340"/>
      <c r="DNP641" s="354"/>
      <c r="DNQ641" s="313"/>
      <c r="DNR641" s="340"/>
      <c r="DNS641" s="340"/>
      <c r="DNT641" s="354"/>
      <c r="DNU641" s="313"/>
      <c r="DNV641" s="340"/>
      <c r="DNW641" s="340"/>
      <c r="DNX641" s="354"/>
      <c r="DNY641" s="313"/>
      <c r="DNZ641" s="340"/>
      <c r="DOA641" s="340"/>
      <c r="DOB641" s="354"/>
      <c r="DOC641" s="313"/>
      <c r="DOD641" s="340"/>
      <c r="DOE641" s="340"/>
      <c r="DOF641" s="354"/>
      <c r="DOG641" s="313"/>
      <c r="DOH641" s="340"/>
      <c r="DOI641" s="340"/>
      <c r="DOJ641" s="354"/>
      <c r="DOK641" s="313"/>
      <c r="DOL641" s="340"/>
      <c r="DOM641" s="340"/>
      <c r="DON641" s="354"/>
      <c r="DOO641" s="313"/>
      <c r="DOP641" s="340"/>
      <c r="DOQ641" s="340"/>
      <c r="DOR641" s="354"/>
      <c r="DOS641" s="313"/>
      <c r="DOT641" s="340"/>
      <c r="DOU641" s="340"/>
      <c r="DOV641" s="354"/>
      <c r="DOW641" s="313"/>
      <c r="DOX641" s="340"/>
      <c r="DOY641" s="340"/>
      <c r="DOZ641" s="354"/>
      <c r="DPA641" s="313"/>
      <c r="DPB641" s="340"/>
      <c r="DPC641" s="340"/>
      <c r="DPD641" s="354"/>
      <c r="DPE641" s="313"/>
      <c r="DPF641" s="340"/>
      <c r="DPG641" s="340"/>
      <c r="DPH641" s="354"/>
      <c r="DPI641" s="313"/>
      <c r="DPJ641" s="340"/>
      <c r="DPK641" s="340"/>
      <c r="DPL641" s="354"/>
      <c r="DPM641" s="313"/>
      <c r="DPN641" s="340"/>
      <c r="DPO641" s="340"/>
      <c r="DPP641" s="354"/>
      <c r="DPQ641" s="313"/>
      <c r="DPR641" s="340"/>
      <c r="DPS641" s="340"/>
      <c r="DPT641" s="354"/>
      <c r="DPU641" s="313"/>
      <c r="DPV641" s="340"/>
      <c r="DPW641" s="340"/>
      <c r="DPX641" s="354"/>
      <c r="DPY641" s="313"/>
      <c r="DPZ641" s="340"/>
      <c r="DQA641" s="340"/>
      <c r="DQB641" s="354"/>
      <c r="DQC641" s="313"/>
      <c r="DQD641" s="340"/>
      <c r="DQE641" s="340"/>
      <c r="DQF641" s="354"/>
      <c r="DQG641" s="313"/>
      <c r="DQH641" s="340"/>
      <c r="DQI641" s="340"/>
      <c r="DQJ641" s="354"/>
      <c r="DQK641" s="313"/>
      <c r="DQL641" s="340"/>
      <c r="DQM641" s="340"/>
      <c r="DQN641" s="354"/>
      <c r="DQO641" s="313"/>
      <c r="DQP641" s="340"/>
      <c r="DQQ641" s="340"/>
      <c r="DQR641" s="354"/>
      <c r="DQS641" s="313"/>
      <c r="DQT641" s="340"/>
      <c r="DQU641" s="340"/>
      <c r="DQV641" s="354"/>
      <c r="DQW641" s="313"/>
      <c r="DQX641" s="340"/>
      <c r="DQY641" s="340"/>
      <c r="DQZ641" s="354"/>
      <c r="DRA641" s="313"/>
      <c r="DRB641" s="340"/>
      <c r="DRC641" s="340"/>
      <c r="DRD641" s="354"/>
      <c r="DRE641" s="313"/>
      <c r="DRF641" s="340"/>
      <c r="DRG641" s="340"/>
      <c r="DRH641" s="354"/>
      <c r="DRI641" s="313"/>
      <c r="DRJ641" s="340"/>
      <c r="DRK641" s="340"/>
      <c r="DRL641" s="354"/>
      <c r="DRM641" s="313"/>
      <c r="DRN641" s="340"/>
      <c r="DRO641" s="340"/>
      <c r="DRP641" s="354"/>
      <c r="DRQ641" s="313"/>
      <c r="DRR641" s="340"/>
      <c r="DRS641" s="340"/>
      <c r="DRT641" s="354"/>
      <c r="DRU641" s="313"/>
      <c r="DRV641" s="340"/>
      <c r="DRW641" s="340"/>
      <c r="DRX641" s="354"/>
      <c r="DRY641" s="313"/>
      <c r="DRZ641" s="340"/>
      <c r="DSA641" s="340"/>
      <c r="DSB641" s="354"/>
      <c r="DSC641" s="313"/>
      <c r="DSD641" s="340"/>
      <c r="DSE641" s="340"/>
      <c r="DSF641" s="354"/>
      <c r="DSG641" s="313"/>
      <c r="DSH641" s="340"/>
      <c r="DSI641" s="340"/>
      <c r="DSJ641" s="354"/>
      <c r="DSK641" s="313"/>
      <c r="DSL641" s="340"/>
      <c r="DSM641" s="340"/>
      <c r="DSN641" s="354"/>
      <c r="DSO641" s="313"/>
      <c r="DSP641" s="340"/>
      <c r="DSQ641" s="340"/>
      <c r="DSR641" s="354"/>
      <c r="DSS641" s="313"/>
      <c r="DST641" s="340"/>
      <c r="DSU641" s="340"/>
      <c r="DSV641" s="354"/>
      <c r="DSW641" s="313"/>
      <c r="DSX641" s="340"/>
      <c r="DSY641" s="340"/>
      <c r="DSZ641" s="354"/>
      <c r="DTA641" s="313"/>
      <c r="DTB641" s="340"/>
      <c r="DTC641" s="340"/>
      <c r="DTD641" s="354"/>
      <c r="DTE641" s="313"/>
      <c r="DTF641" s="340"/>
      <c r="DTG641" s="340"/>
      <c r="DTH641" s="354"/>
      <c r="DTI641" s="313"/>
      <c r="DTJ641" s="340"/>
      <c r="DTK641" s="340"/>
      <c r="DTL641" s="354"/>
      <c r="DTM641" s="313"/>
      <c r="DTN641" s="340"/>
      <c r="DTO641" s="340"/>
      <c r="DTP641" s="354"/>
      <c r="DTQ641" s="313"/>
      <c r="DTR641" s="340"/>
      <c r="DTS641" s="340"/>
      <c r="DTT641" s="354"/>
      <c r="DTU641" s="313"/>
      <c r="DTV641" s="340"/>
      <c r="DTW641" s="340"/>
      <c r="DTX641" s="354"/>
      <c r="DTY641" s="313"/>
      <c r="DTZ641" s="340"/>
      <c r="DUA641" s="340"/>
      <c r="DUB641" s="354"/>
      <c r="DUC641" s="313"/>
      <c r="DUD641" s="340"/>
      <c r="DUE641" s="340"/>
      <c r="DUF641" s="354"/>
      <c r="DUG641" s="313"/>
      <c r="DUH641" s="340"/>
      <c r="DUI641" s="340"/>
      <c r="DUJ641" s="354"/>
      <c r="DUK641" s="313"/>
      <c r="DUL641" s="340"/>
      <c r="DUM641" s="340"/>
      <c r="DUN641" s="354"/>
      <c r="DUO641" s="313"/>
      <c r="DUP641" s="340"/>
      <c r="DUQ641" s="340"/>
      <c r="DUR641" s="354"/>
      <c r="DUS641" s="313"/>
      <c r="DUT641" s="340"/>
      <c r="DUU641" s="340"/>
      <c r="DUV641" s="354"/>
      <c r="DUW641" s="313"/>
      <c r="DUX641" s="340"/>
      <c r="DUY641" s="340"/>
      <c r="DUZ641" s="354"/>
      <c r="DVA641" s="313"/>
      <c r="DVB641" s="340"/>
      <c r="DVC641" s="340"/>
      <c r="DVD641" s="354"/>
      <c r="DVE641" s="313"/>
      <c r="DVF641" s="340"/>
      <c r="DVG641" s="340"/>
      <c r="DVH641" s="354"/>
      <c r="DVI641" s="313"/>
      <c r="DVJ641" s="340"/>
      <c r="DVK641" s="340"/>
      <c r="DVL641" s="354"/>
      <c r="DVM641" s="313"/>
      <c r="DVN641" s="340"/>
      <c r="DVO641" s="340"/>
      <c r="DVP641" s="354"/>
      <c r="DVQ641" s="313"/>
      <c r="DVR641" s="340"/>
      <c r="DVS641" s="340"/>
      <c r="DVT641" s="354"/>
      <c r="DVU641" s="313"/>
      <c r="DVV641" s="340"/>
      <c r="DVW641" s="340"/>
      <c r="DVX641" s="354"/>
      <c r="DVY641" s="313"/>
      <c r="DVZ641" s="340"/>
      <c r="DWA641" s="340"/>
      <c r="DWB641" s="354"/>
      <c r="DWC641" s="313"/>
      <c r="DWD641" s="340"/>
      <c r="DWE641" s="340"/>
      <c r="DWF641" s="354"/>
      <c r="DWG641" s="313"/>
      <c r="DWH641" s="340"/>
      <c r="DWI641" s="340"/>
      <c r="DWJ641" s="354"/>
      <c r="DWK641" s="313"/>
      <c r="DWL641" s="340"/>
      <c r="DWM641" s="340"/>
      <c r="DWN641" s="354"/>
      <c r="DWO641" s="313"/>
      <c r="DWP641" s="340"/>
      <c r="DWQ641" s="340"/>
      <c r="DWR641" s="354"/>
      <c r="DWS641" s="313"/>
      <c r="DWT641" s="340"/>
      <c r="DWU641" s="340"/>
      <c r="DWV641" s="354"/>
      <c r="DWW641" s="313"/>
      <c r="DWX641" s="340"/>
      <c r="DWY641" s="340"/>
      <c r="DWZ641" s="354"/>
      <c r="DXA641" s="313"/>
      <c r="DXB641" s="340"/>
      <c r="DXC641" s="340"/>
      <c r="DXD641" s="354"/>
      <c r="DXE641" s="313"/>
      <c r="DXF641" s="340"/>
      <c r="DXG641" s="340"/>
      <c r="DXH641" s="354"/>
      <c r="DXI641" s="313"/>
      <c r="DXJ641" s="340"/>
      <c r="DXK641" s="340"/>
      <c r="DXL641" s="354"/>
      <c r="DXM641" s="313"/>
      <c r="DXN641" s="340"/>
      <c r="DXO641" s="340"/>
      <c r="DXP641" s="354"/>
      <c r="DXQ641" s="313"/>
      <c r="DXR641" s="340"/>
      <c r="DXS641" s="340"/>
      <c r="DXT641" s="354"/>
      <c r="DXU641" s="313"/>
      <c r="DXV641" s="340"/>
      <c r="DXW641" s="340"/>
      <c r="DXX641" s="354"/>
      <c r="DXY641" s="313"/>
      <c r="DXZ641" s="340"/>
      <c r="DYA641" s="340"/>
      <c r="DYB641" s="354"/>
      <c r="DYC641" s="313"/>
      <c r="DYD641" s="340"/>
      <c r="DYE641" s="340"/>
      <c r="DYF641" s="354"/>
      <c r="DYG641" s="313"/>
      <c r="DYH641" s="340"/>
      <c r="DYI641" s="340"/>
      <c r="DYJ641" s="354"/>
      <c r="DYK641" s="313"/>
      <c r="DYL641" s="340"/>
      <c r="DYM641" s="340"/>
      <c r="DYN641" s="354"/>
      <c r="DYO641" s="313"/>
      <c r="DYP641" s="340"/>
      <c r="DYQ641" s="340"/>
      <c r="DYR641" s="354"/>
      <c r="DYS641" s="313"/>
      <c r="DYT641" s="340"/>
      <c r="DYU641" s="340"/>
      <c r="DYV641" s="354"/>
      <c r="DYW641" s="313"/>
      <c r="DYX641" s="340"/>
      <c r="DYY641" s="340"/>
      <c r="DYZ641" s="354"/>
      <c r="DZA641" s="313"/>
      <c r="DZB641" s="340"/>
      <c r="DZC641" s="340"/>
      <c r="DZD641" s="354"/>
      <c r="DZE641" s="313"/>
      <c r="DZF641" s="340"/>
      <c r="DZG641" s="340"/>
      <c r="DZH641" s="354"/>
      <c r="DZI641" s="313"/>
      <c r="DZJ641" s="340"/>
      <c r="DZK641" s="340"/>
      <c r="DZL641" s="354"/>
      <c r="DZM641" s="313"/>
      <c r="DZN641" s="340"/>
      <c r="DZO641" s="340"/>
      <c r="DZP641" s="354"/>
      <c r="DZQ641" s="313"/>
      <c r="DZR641" s="340"/>
      <c r="DZS641" s="340"/>
      <c r="DZT641" s="354"/>
      <c r="DZU641" s="313"/>
      <c r="DZV641" s="340"/>
      <c r="DZW641" s="340"/>
      <c r="DZX641" s="354"/>
      <c r="DZY641" s="313"/>
      <c r="DZZ641" s="340"/>
      <c r="EAA641" s="340"/>
      <c r="EAB641" s="354"/>
      <c r="EAC641" s="313"/>
      <c r="EAD641" s="340"/>
      <c r="EAE641" s="340"/>
      <c r="EAF641" s="354"/>
      <c r="EAG641" s="313"/>
      <c r="EAH641" s="340"/>
      <c r="EAI641" s="340"/>
      <c r="EAJ641" s="354"/>
      <c r="EAK641" s="313"/>
      <c r="EAL641" s="340"/>
      <c r="EAM641" s="340"/>
      <c r="EAN641" s="354"/>
      <c r="EAO641" s="313"/>
      <c r="EAP641" s="340"/>
      <c r="EAQ641" s="340"/>
      <c r="EAR641" s="354"/>
      <c r="EAS641" s="313"/>
      <c r="EAT641" s="340"/>
      <c r="EAU641" s="340"/>
      <c r="EAV641" s="354"/>
      <c r="EAW641" s="313"/>
      <c r="EAX641" s="340"/>
      <c r="EAY641" s="340"/>
      <c r="EAZ641" s="354"/>
      <c r="EBA641" s="313"/>
      <c r="EBB641" s="340"/>
      <c r="EBC641" s="340"/>
      <c r="EBD641" s="354"/>
      <c r="EBE641" s="313"/>
      <c r="EBF641" s="340"/>
      <c r="EBG641" s="340"/>
      <c r="EBH641" s="354"/>
      <c r="EBI641" s="313"/>
      <c r="EBJ641" s="340"/>
      <c r="EBK641" s="340"/>
      <c r="EBL641" s="354"/>
      <c r="EBM641" s="313"/>
      <c r="EBN641" s="340"/>
      <c r="EBO641" s="340"/>
      <c r="EBP641" s="354"/>
      <c r="EBQ641" s="313"/>
      <c r="EBR641" s="340"/>
      <c r="EBS641" s="340"/>
      <c r="EBT641" s="354"/>
      <c r="EBU641" s="313"/>
      <c r="EBV641" s="340"/>
      <c r="EBW641" s="340"/>
      <c r="EBX641" s="354"/>
      <c r="EBY641" s="313"/>
      <c r="EBZ641" s="340"/>
      <c r="ECA641" s="340"/>
      <c r="ECB641" s="354"/>
      <c r="ECC641" s="313"/>
      <c r="ECD641" s="340"/>
      <c r="ECE641" s="340"/>
      <c r="ECF641" s="354"/>
      <c r="ECG641" s="313"/>
      <c r="ECH641" s="340"/>
      <c r="ECI641" s="340"/>
      <c r="ECJ641" s="354"/>
      <c r="ECK641" s="313"/>
      <c r="ECL641" s="340"/>
      <c r="ECM641" s="340"/>
      <c r="ECN641" s="354"/>
      <c r="ECO641" s="313"/>
      <c r="ECP641" s="340"/>
      <c r="ECQ641" s="340"/>
      <c r="ECR641" s="354"/>
      <c r="ECS641" s="313"/>
      <c r="ECT641" s="340"/>
      <c r="ECU641" s="340"/>
      <c r="ECV641" s="354"/>
      <c r="ECW641" s="313"/>
      <c r="ECX641" s="340"/>
      <c r="ECY641" s="340"/>
      <c r="ECZ641" s="354"/>
      <c r="EDA641" s="313"/>
      <c r="EDB641" s="340"/>
      <c r="EDC641" s="340"/>
      <c r="EDD641" s="354"/>
      <c r="EDE641" s="313"/>
      <c r="EDF641" s="340"/>
      <c r="EDG641" s="340"/>
      <c r="EDH641" s="354"/>
      <c r="EDI641" s="313"/>
      <c r="EDJ641" s="340"/>
      <c r="EDK641" s="340"/>
      <c r="EDL641" s="354"/>
      <c r="EDM641" s="313"/>
      <c r="EDN641" s="340"/>
      <c r="EDO641" s="340"/>
      <c r="EDP641" s="354"/>
      <c r="EDQ641" s="313"/>
      <c r="EDR641" s="340"/>
      <c r="EDS641" s="340"/>
      <c r="EDT641" s="354"/>
      <c r="EDU641" s="313"/>
      <c r="EDV641" s="340"/>
      <c r="EDW641" s="340"/>
      <c r="EDX641" s="354"/>
      <c r="EDY641" s="313"/>
      <c r="EDZ641" s="340"/>
      <c r="EEA641" s="340"/>
      <c r="EEB641" s="354"/>
      <c r="EEC641" s="313"/>
      <c r="EED641" s="340"/>
      <c r="EEE641" s="340"/>
      <c r="EEF641" s="354"/>
      <c r="EEG641" s="313"/>
      <c r="EEH641" s="340"/>
      <c r="EEI641" s="340"/>
      <c r="EEJ641" s="354"/>
      <c r="EEK641" s="313"/>
      <c r="EEL641" s="340"/>
      <c r="EEM641" s="340"/>
      <c r="EEN641" s="354"/>
      <c r="EEO641" s="313"/>
      <c r="EEP641" s="340"/>
      <c r="EEQ641" s="340"/>
      <c r="EER641" s="354"/>
      <c r="EES641" s="313"/>
      <c r="EET641" s="340"/>
      <c r="EEU641" s="340"/>
      <c r="EEV641" s="354"/>
      <c r="EEW641" s="313"/>
      <c r="EEX641" s="340"/>
      <c r="EEY641" s="340"/>
      <c r="EEZ641" s="354"/>
      <c r="EFA641" s="313"/>
      <c r="EFB641" s="340"/>
      <c r="EFC641" s="340"/>
      <c r="EFD641" s="354"/>
      <c r="EFE641" s="313"/>
      <c r="EFF641" s="340"/>
      <c r="EFG641" s="340"/>
      <c r="EFH641" s="354"/>
      <c r="EFI641" s="313"/>
      <c r="EFJ641" s="340"/>
      <c r="EFK641" s="340"/>
      <c r="EFL641" s="354"/>
      <c r="EFM641" s="313"/>
      <c r="EFN641" s="340"/>
      <c r="EFO641" s="340"/>
      <c r="EFP641" s="354"/>
      <c r="EFQ641" s="313"/>
      <c r="EFR641" s="340"/>
      <c r="EFS641" s="340"/>
      <c r="EFT641" s="354"/>
      <c r="EFU641" s="313"/>
      <c r="EFV641" s="340"/>
      <c r="EFW641" s="340"/>
      <c r="EFX641" s="354"/>
      <c r="EFY641" s="313"/>
      <c r="EFZ641" s="340"/>
      <c r="EGA641" s="340"/>
      <c r="EGB641" s="354"/>
      <c r="EGC641" s="313"/>
      <c r="EGD641" s="340"/>
      <c r="EGE641" s="340"/>
      <c r="EGF641" s="354"/>
      <c r="EGG641" s="313"/>
      <c r="EGH641" s="340"/>
      <c r="EGI641" s="340"/>
      <c r="EGJ641" s="354"/>
      <c r="EGK641" s="313"/>
      <c r="EGL641" s="340"/>
      <c r="EGM641" s="340"/>
      <c r="EGN641" s="354"/>
      <c r="EGO641" s="313"/>
      <c r="EGP641" s="340"/>
      <c r="EGQ641" s="340"/>
      <c r="EGR641" s="354"/>
      <c r="EGS641" s="313"/>
      <c r="EGT641" s="340"/>
      <c r="EGU641" s="340"/>
      <c r="EGV641" s="354"/>
      <c r="EGW641" s="313"/>
      <c r="EGX641" s="340"/>
      <c r="EGY641" s="340"/>
      <c r="EGZ641" s="354"/>
      <c r="EHA641" s="313"/>
      <c r="EHB641" s="340"/>
      <c r="EHC641" s="340"/>
      <c r="EHD641" s="354"/>
      <c r="EHE641" s="313"/>
      <c r="EHF641" s="340"/>
      <c r="EHG641" s="340"/>
      <c r="EHH641" s="354"/>
      <c r="EHI641" s="313"/>
      <c r="EHJ641" s="340"/>
      <c r="EHK641" s="340"/>
      <c r="EHL641" s="354"/>
      <c r="EHM641" s="313"/>
      <c r="EHN641" s="340"/>
      <c r="EHO641" s="340"/>
      <c r="EHP641" s="354"/>
      <c r="EHQ641" s="313"/>
      <c r="EHR641" s="340"/>
      <c r="EHS641" s="340"/>
      <c r="EHT641" s="354"/>
      <c r="EHU641" s="313"/>
      <c r="EHV641" s="340"/>
      <c r="EHW641" s="340"/>
      <c r="EHX641" s="354"/>
      <c r="EHY641" s="313"/>
      <c r="EHZ641" s="340"/>
      <c r="EIA641" s="340"/>
      <c r="EIB641" s="354"/>
      <c r="EIC641" s="313"/>
      <c r="EID641" s="340"/>
      <c r="EIE641" s="340"/>
      <c r="EIF641" s="354"/>
      <c r="EIG641" s="313"/>
      <c r="EIH641" s="340"/>
      <c r="EII641" s="340"/>
      <c r="EIJ641" s="354"/>
      <c r="EIK641" s="313"/>
      <c r="EIL641" s="340"/>
      <c r="EIM641" s="340"/>
      <c r="EIN641" s="354"/>
      <c r="EIO641" s="313"/>
      <c r="EIP641" s="340"/>
      <c r="EIQ641" s="340"/>
      <c r="EIR641" s="354"/>
      <c r="EIS641" s="313"/>
      <c r="EIT641" s="340"/>
      <c r="EIU641" s="340"/>
      <c r="EIV641" s="354"/>
      <c r="EIW641" s="313"/>
      <c r="EIX641" s="340"/>
      <c r="EIY641" s="340"/>
      <c r="EIZ641" s="354"/>
      <c r="EJA641" s="313"/>
      <c r="EJB641" s="340"/>
      <c r="EJC641" s="340"/>
      <c r="EJD641" s="354"/>
      <c r="EJE641" s="313"/>
      <c r="EJF641" s="340"/>
      <c r="EJG641" s="340"/>
      <c r="EJH641" s="354"/>
      <c r="EJI641" s="313"/>
      <c r="EJJ641" s="340"/>
      <c r="EJK641" s="340"/>
      <c r="EJL641" s="354"/>
      <c r="EJM641" s="313"/>
      <c r="EJN641" s="340"/>
      <c r="EJO641" s="340"/>
      <c r="EJP641" s="354"/>
      <c r="EJQ641" s="313"/>
      <c r="EJR641" s="340"/>
      <c r="EJS641" s="340"/>
      <c r="EJT641" s="354"/>
      <c r="EJU641" s="313"/>
      <c r="EJV641" s="340"/>
      <c r="EJW641" s="340"/>
      <c r="EJX641" s="354"/>
      <c r="EJY641" s="313"/>
      <c r="EJZ641" s="340"/>
      <c r="EKA641" s="340"/>
      <c r="EKB641" s="354"/>
      <c r="EKC641" s="313"/>
      <c r="EKD641" s="340"/>
      <c r="EKE641" s="340"/>
      <c r="EKF641" s="354"/>
      <c r="EKG641" s="313"/>
      <c r="EKH641" s="340"/>
      <c r="EKI641" s="340"/>
      <c r="EKJ641" s="354"/>
      <c r="EKK641" s="313"/>
      <c r="EKL641" s="340"/>
      <c r="EKM641" s="340"/>
      <c r="EKN641" s="354"/>
      <c r="EKO641" s="313"/>
      <c r="EKP641" s="340"/>
      <c r="EKQ641" s="340"/>
      <c r="EKR641" s="354"/>
      <c r="EKS641" s="313"/>
      <c r="EKT641" s="340"/>
      <c r="EKU641" s="340"/>
      <c r="EKV641" s="354"/>
      <c r="EKW641" s="313"/>
      <c r="EKX641" s="340"/>
      <c r="EKY641" s="340"/>
      <c r="EKZ641" s="354"/>
      <c r="ELA641" s="313"/>
      <c r="ELB641" s="340"/>
      <c r="ELC641" s="340"/>
      <c r="ELD641" s="354"/>
      <c r="ELE641" s="313"/>
      <c r="ELF641" s="340"/>
      <c r="ELG641" s="340"/>
      <c r="ELH641" s="354"/>
      <c r="ELI641" s="313"/>
      <c r="ELJ641" s="340"/>
      <c r="ELK641" s="340"/>
      <c r="ELL641" s="354"/>
      <c r="ELM641" s="313"/>
      <c r="ELN641" s="340"/>
      <c r="ELO641" s="340"/>
      <c r="ELP641" s="354"/>
      <c r="ELQ641" s="313"/>
      <c r="ELR641" s="340"/>
      <c r="ELS641" s="340"/>
      <c r="ELT641" s="354"/>
      <c r="ELU641" s="313"/>
      <c r="ELV641" s="340"/>
      <c r="ELW641" s="340"/>
      <c r="ELX641" s="354"/>
      <c r="ELY641" s="313"/>
      <c r="ELZ641" s="340"/>
      <c r="EMA641" s="340"/>
      <c r="EMB641" s="354"/>
      <c r="EMC641" s="313"/>
      <c r="EMD641" s="340"/>
      <c r="EME641" s="340"/>
      <c r="EMF641" s="354"/>
      <c r="EMG641" s="313"/>
      <c r="EMH641" s="340"/>
      <c r="EMI641" s="340"/>
      <c r="EMJ641" s="354"/>
      <c r="EMK641" s="313"/>
      <c r="EML641" s="340"/>
      <c r="EMM641" s="340"/>
      <c r="EMN641" s="354"/>
      <c r="EMO641" s="313"/>
      <c r="EMP641" s="340"/>
      <c r="EMQ641" s="340"/>
      <c r="EMR641" s="354"/>
      <c r="EMS641" s="313"/>
      <c r="EMT641" s="340"/>
      <c r="EMU641" s="340"/>
      <c r="EMV641" s="354"/>
      <c r="EMW641" s="313"/>
      <c r="EMX641" s="340"/>
      <c r="EMY641" s="340"/>
      <c r="EMZ641" s="354"/>
      <c r="ENA641" s="313"/>
      <c r="ENB641" s="340"/>
      <c r="ENC641" s="340"/>
      <c r="END641" s="354"/>
      <c r="ENE641" s="313"/>
      <c r="ENF641" s="340"/>
      <c r="ENG641" s="340"/>
      <c r="ENH641" s="354"/>
      <c r="ENI641" s="313"/>
      <c r="ENJ641" s="340"/>
      <c r="ENK641" s="340"/>
      <c r="ENL641" s="354"/>
      <c r="ENM641" s="313"/>
      <c r="ENN641" s="340"/>
      <c r="ENO641" s="340"/>
      <c r="ENP641" s="354"/>
      <c r="ENQ641" s="313"/>
      <c r="ENR641" s="340"/>
      <c r="ENS641" s="340"/>
      <c r="ENT641" s="354"/>
      <c r="ENU641" s="313"/>
      <c r="ENV641" s="340"/>
      <c r="ENW641" s="340"/>
      <c r="ENX641" s="354"/>
      <c r="ENY641" s="313"/>
      <c r="ENZ641" s="340"/>
      <c r="EOA641" s="340"/>
      <c r="EOB641" s="354"/>
      <c r="EOC641" s="313"/>
      <c r="EOD641" s="340"/>
      <c r="EOE641" s="340"/>
      <c r="EOF641" s="354"/>
      <c r="EOG641" s="313"/>
      <c r="EOH641" s="340"/>
      <c r="EOI641" s="340"/>
      <c r="EOJ641" s="354"/>
      <c r="EOK641" s="313"/>
      <c r="EOL641" s="340"/>
      <c r="EOM641" s="340"/>
      <c r="EON641" s="354"/>
      <c r="EOO641" s="313"/>
      <c r="EOP641" s="340"/>
      <c r="EOQ641" s="340"/>
      <c r="EOR641" s="354"/>
      <c r="EOS641" s="313"/>
      <c r="EOT641" s="340"/>
      <c r="EOU641" s="340"/>
      <c r="EOV641" s="354"/>
      <c r="EOW641" s="313"/>
      <c r="EOX641" s="340"/>
      <c r="EOY641" s="340"/>
      <c r="EOZ641" s="354"/>
      <c r="EPA641" s="313"/>
      <c r="EPB641" s="340"/>
      <c r="EPC641" s="340"/>
      <c r="EPD641" s="354"/>
      <c r="EPE641" s="313"/>
      <c r="EPF641" s="340"/>
      <c r="EPG641" s="340"/>
      <c r="EPH641" s="354"/>
      <c r="EPI641" s="313"/>
      <c r="EPJ641" s="340"/>
      <c r="EPK641" s="340"/>
      <c r="EPL641" s="354"/>
      <c r="EPM641" s="313"/>
      <c r="EPN641" s="340"/>
      <c r="EPO641" s="340"/>
      <c r="EPP641" s="354"/>
      <c r="EPQ641" s="313"/>
      <c r="EPR641" s="340"/>
      <c r="EPS641" s="340"/>
      <c r="EPT641" s="354"/>
      <c r="EPU641" s="313"/>
      <c r="EPV641" s="340"/>
      <c r="EPW641" s="340"/>
      <c r="EPX641" s="354"/>
      <c r="EPY641" s="313"/>
      <c r="EPZ641" s="340"/>
      <c r="EQA641" s="340"/>
      <c r="EQB641" s="354"/>
      <c r="EQC641" s="313"/>
      <c r="EQD641" s="340"/>
      <c r="EQE641" s="340"/>
      <c r="EQF641" s="354"/>
      <c r="EQG641" s="313"/>
      <c r="EQH641" s="340"/>
      <c r="EQI641" s="340"/>
      <c r="EQJ641" s="354"/>
      <c r="EQK641" s="313"/>
      <c r="EQL641" s="340"/>
      <c r="EQM641" s="340"/>
      <c r="EQN641" s="354"/>
      <c r="EQO641" s="313"/>
      <c r="EQP641" s="340"/>
      <c r="EQQ641" s="340"/>
      <c r="EQR641" s="354"/>
      <c r="EQS641" s="313"/>
      <c r="EQT641" s="340"/>
      <c r="EQU641" s="340"/>
      <c r="EQV641" s="354"/>
      <c r="EQW641" s="313"/>
      <c r="EQX641" s="340"/>
      <c r="EQY641" s="340"/>
      <c r="EQZ641" s="354"/>
      <c r="ERA641" s="313"/>
      <c r="ERB641" s="340"/>
      <c r="ERC641" s="340"/>
      <c r="ERD641" s="354"/>
      <c r="ERE641" s="313"/>
      <c r="ERF641" s="340"/>
      <c r="ERG641" s="340"/>
      <c r="ERH641" s="354"/>
      <c r="ERI641" s="313"/>
      <c r="ERJ641" s="340"/>
      <c r="ERK641" s="340"/>
      <c r="ERL641" s="354"/>
      <c r="ERM641" s="313"/>
      <c r="ERN641" s="340"/>
      <c r="ERO641" s="340"/>
      <c r="ERP641" s="354"/>
      <c r="ERQ641" s="313"/>
      <c r="ERR641" s="340"/>
      <c r="ERS641" s="340"/>
      <c r="ERT641" s="354"/>
      <c r="ERU641" s="313"/>
      <c r="ERV641" s="340"/>
      <c r="ERW641" s="340"/>
      <c r="ERX641" s="354"/>
      <c r="ERY641" s="313"/>
      <c r="ERZ641" s="340"/>
      <c r="ESA641" s="340"/>
      <c r="ESB641" s="354"/>
      <c r="ESC641" s="313"/>
      <c r="ESD641" s="340"/>
      <c r="ESE641" s="340"/>
      <c r="ESF641" s="354"/>
      <c r="ESG641" s="313"/>
      <c r="ESH641" s="340"/>
      <c r="ESI641" s="340"/>
      <c r="ESJ641" s="354"/>
      <c r="ESK641" s="313"/>
      <c r="ESL641" s="340"/>
      <c r="ESM641" s="340"/>
      <c r="ESN641" s="354"/>
      <c r="ESO641" s="313"/>
      <c r="ESP641" s="340"/>
      <c r="ESQ641" s="340"/>
      <c r="ESR641" s="354"/>
      <c r="ESS641" s="313"/>
      <c r="EST641" s="340"/>
      <c r="ESU641" s="340"/>
      <c r="ESV641" s="354"/>
      <c r="ESW641" s="313"/>
      <c r="ESX641" s="340"/>
      <c r="ESY641" s="340"/>
      <c r="ESZ641" s="354"/>
      <c r="ETA641" s="313"/>
      <c r="ETB641" s="340"/>
      <c r="ETC641" s="340"/>
      <c r="ETD641" s="354"/>
      <c r="ETE641" s="313"/>
      <c r="ETF641" s="340"/>
      <c r="ETG641" s="340"/>
      <c r="ETH641" s="354"/>
      <c r="ETI641" s="313"/>
      <c r="ETJ641" s="340"/>
      <c r="ETK641" s="340"/>
      <c r="ETL641" s="354"/>
      <c r="ETM641" s="313"/>
      <c r="ETN641" s="340"/>
      <c r="ETO641" s="340"/>
      <c r="ETP641" s="354"/>
      <c r="ETQ641" s="313"/>
      <c r="ETR641" s="340"/>
      <c r="ETS641" s="340"/>
      <c r="ETT641" s="354"/>
      <c r="ETU641" s="313"/>
      <c r="ETV641" s="340"/>
      <c r="ETW641" s="340"/>
      <c r="ETX641" s="354"/>
      <c r="ETY641" s="313"/>
      <c r="ETZ641" s="340"/>
      <c r="EUA641" s="340"/>
      <c r="EUB641" s="354"/>
      <c r="EUC641" s="313"/>
      <c r="EUD641" s="340"/>
      <c r="EUE641" s="340"/>
      <c r="EUF641" s="354"/>
      <c r="EUG641" s="313"/>
      <c r="EUH641" s="340"/>
      <c r="EUI641" s="340"/>
      <c r="EUJ641" s="354"/>
      <c r="EUK641" s="313"/>
      <c r="EUL641" s="340"/>
      <c r="EUM641" s="340"/>
      <c r="EUN641" s="354"/>
      <c r="EUO641" s="313"/>
      <c r="EUP641" s="340"/>
      <c r="EUQ641" s="340"/>
      <c r="EUR641" s="354"/>
      <c r="EUS641" s="313"/>
      <c r="EUT641" s="340"/>
      <c r="EUU641" s="340"/>
      <c r="EUV641" s="354"/>
      <c r="EUW641" s="313"/>
      <c r="EUX641" s="340"/>
      <c r="EUY641" s="340"/>
      <c r="EUZ641" s="354"/>
      <c r="EVA641" s="313"/>
      <c r="EVB641" s="340"/>
      <c r="EVC641" s="340"/>
      <c r="EVD641" s="354"/>
      <c r="EVE641" s="313"/>
      <c r="EVF641" s="340"/>
      <c r="EVG641" s="340"/>
      <c r="EVH641" s="354"/>
      <c r="EVI641" s="313"/>
      <c r="EVJ641" s="340"/>
      <c r="EVK641" s="340"/>
      <c r="EVL641" s="354"/>
      <c r="EVM641" s="313"/>
      <c r="EVN641" s="340"/>
      <c r="EVO641" s="340"/>
      <c r="EVP641" s="354"/>
      <c r="EVQ641" s="313"/>
      <c r="EVR641" s="340"/>
      <c r="EVS641" s="340"/>
      <c r="EVT641" s="354"/>
      <c r="EVU641" s="313"/>
      <c r="EVV641" s="340"/>
      <c r="EVW641" s="340"/>
      <c r="EVX641" s="354"/>
      <c r="EVY641" s="313"/>
      <c r="EVZ641" s="340"/>
      <c r="EWA641" s="340"/>
      <c r="EWB641" s="354"/>
      <c r="EWC641" s="313"/>
      <c r="EWD641" s="340"/>
      <c r="EWE641" s="340"/>
      <c r="EWF641" s="354"/>
      <c r="EWG641" s="313"/>
      <c r="EWH641" s="340"/>
      <c r="EWI641" s="340"/>
      <c r="EWJ641" s="354"/>
      <c r="EWK641" s="313"/>
      <c r="EWL641" s="340"/>
      <c r="EWM641" s="340"/>
      <c r="EWN641" s="354"/>
      <c r="EWO641" s="313"/>
      <c r="EWP641" s="340"/>
      <c r="EWQ641" s="340"/>
      <c r="EWR641" s="354"/>
      <c r="EWS641" s="313"/>
      <c r="EWT641" s="340"/>
      <c r="EWU641" s="340"/>
      <c r="EWV641" s="354"/>
      <c r="EWW641" s="313"/>
      <c r="EWX641" s="340"/>
      <c r="EWY641" s="340"/>
      <c r="EWZ641" s="354"/>
      <c r="EXA641" s="313"/>
      <c r="EXB641" s="340"/>
      <c r="EXC641" s="340"/>
      <c r="EXD641" s="354"/>
      <c r="EXE641" s="313"/>
      <c r="EXF641" s="340"/>
      <c r="EXG641" s="340"/>
      <c r="EXH641" s="354"/>
      <c r="EXI641" s="313"/>
      <c r="EXJ641" s="340"/>
      <c r="EXK641" s="340"/>
      <c r="EXL641" s="354"/>
      <c r="EXM641" s="313"/>
      <c r="EXN641" s="340"/>
      <c r="EXO641" s="340"/>
      <c r="EXP641" s="354"/>
      <c r="EXQ641" s="313"/>
      <c r="EXR641" s="340"/>
      <c r="EXS641" s="340"/>
      <c r="EXT641" s="354"/>
      <c r="EXU641" s="313"/>
      <c r="EXV641" s="340"/>
      <c r="EXW641" s="340"/>
      <c r="EXX641" s="354"/>
      <c r="EXY641" s="313"/>
      <c r="EXZ641" s="340"/>
      <c r="EYA641" s="340"/>
      <c r="EYB641" s="354"/>
      <c r="EYC641" s="313"/>
      <c r="EYD641" s="340"/>
      <c r="EYE641" s="340"/>
      <c r="EYF641" s="354"/>
      <c r="EYG641" s="313"/>
      <c r="EYH641" s="340"/>
      <c r="EYI641" s="340"/>
      <c r="EYJ641" s="354"/>
      <c r="EYK641" s="313"/>
      <c r="EYL641" s="340"/>
      <c r="EYM641" s="340"/>
      <c r="EYN641" s="354"/>
      <c r="EYO641" s="313"/>
      <c r="EYP641" s="340"/>
      <c r="EYQ641" s="340"/>
      <c r="EYR641" s="354"/>
      <c r="EYS641" s="313"/>
      <c r="EYT641" s="340"/>
      <c r="EYU641" s="340"/>
      <c r="EYV641" s="354"/>
      <c r="EYW641" s="313"/>
      <c r="EYX641" s="340"/>
      <c r="EYY641" s="340"/>
      <c r="EYZ641" s="354"/>
      <c r="EZA641" s="313"/>
      <c r="EZB641" s="340"/>
      <c r="EZC641" s="340"/>
      <c r="EZD641" s="354"/>
      <c r="EZE641" s="313"/>
      <c r="EZF641" s="340"/>
      <c r="EZG641" s="340"/>
      <c r="EZH641" s="354"/>
      <c r="EZI641" s="313"/>
      <c r="EZJ641" s="340"/>
      <c r="EZK641" s="340"/>
      <c r="EZL641" s="354"/>
      <c r="EZM641" s="313"/>
      <c r="EZN641" s="340"/>
      <c r="EZO641" s="340"/>
      <c r="EZP641" s="354"/>
      <c r="EZQ641" s="313"/>
      <c r="EZR641" s="340"/>
      <c r="EZS641" s="340"/>
      <c r="EZT641" s="354"/>
      <c r="EZU641" s="313"/>
      <c r="EZV641" s="340"/>
      <c r="EZW641" s="340"/>
      <c r="EZX641" s="354"/>
      <c r="EZY641" s="313"/>
      <c r="EZZ641" s="340"/>
      <c r="FAA641" s="340"/>
      <c r="FAB641" s="354"/>
      <c r="FAC641" s="313"/>
      <c r="FAD641" s="340"/>
      <c r="FAE641" s="340"/>
      <c r="FAF641" s="354"/>
      <c r="FAG641" s="313"/>
      <c r="FAH641" s="340"/>
      <c r="FAI641" s="340"/>
      <c r="FAJ641" s="354"/>
      <c r="FAK641" s="313"/>
      <c r="FAL641" s="340"/>
      <c r="FAM641" s="340"/>
      <c r="FAN641" s="354"/>
      <c r="FAO641" s="313"/>
      <c r="FAP641" s="340"/>
      <c r="FAQ641" s="340"/>
      <c r="FAR641" s="354"/>
      <c r="FAS641" s="313"/>
      <c r="FAT641" s="340"/>
      <c r="FAU641" s="340"/>
      <c r="FAV641" s="354"/>
      <c r="FAW641" s="313"/>
      <c r="FAX641" s="340"/>
      <c r="FAY641" s="340"/>
      <c r="FAZ641" s="354"/>
      <c r="FBA641" s="313"/>
      <c r="FBB641" s="340"/>
      <c r="FBC641" s="340"/>
      <c r="FBD641" s="354"/>
      <c r="FBE641" s="313"/>
      <c r="FBF641" s="340"/>
      <c r="FBG641" s="340"/>
      <c r="FBH641" s="354"/>
      <c r="FBI641" s="313"/>
      <c r="FBJ641" s="340"/>
      <c r="FBK641" s="340"/>
      <c r="FBL641" s="354"/>
      <c r="FBM641" s="313"/>
      <c r="FBN641" s="340"/>
      <c r="FBO641" s="340"/>
      <c r="FBP641" s="354"/>
      <c r="FBQ641" s="313"/>
      <c r="FBR641" s="340"/>
      <c r="FBS641" s="340"/>
      <c r="FBT641" s="354"/>
      <c r="FBU641" s="313"/>
      <c r="FBV641" s="340"/>
      <c r="FBW641" s="340"/>
      <c r="FBX641" s="354"/>
      <c r="FBY641" s="313"/>
      <c r="FBZ641" s="340"/>
      <c r="FCA641" s="340"/>
      <c r="FCB641" s="354"/>
      <c r="FCC641" s="313"/>
      <c r="FCD641" s="340"/>
      <c r="FCE641" s="340"/>
      <c r="FCF641" s="354"/>
      <c r="FCG641" s="313"/>
      <c r="FCH641" s="340"/>
      <c r="FCI641" s="340"/>
      <c r="FCJ641" s="354"/>
      <c r="FCK641" s="313"/>
      <c r="FCL641" s="340"/>
      <c r="FCM641" s="340"/>
      <c r="FCN641" s="354"/>
      <c r="FCO641" s="313"/>
      <c r="FCP641" s="340"/>
      <c r="FCQ641" s="340"/>
      <c r="FCR641" s="354"/>
      <c r="FCS641" s="313"/>
      <c r="FCT641" s="340"/>
      <c r="FCU641" s="340"/>
      <c r="FCV641" s="354"/>
      <c r="FCW641" s="313"/>
      <c r="FCX641" s="340"/>
      <c r="FCY641" s="340"/>
      <c r="FCZ641" s="354"/>
      <c r="FDA641" s="313"/>
      <c r="FDB641" s="340"/>
      <c r="FDC641" s="340"/>
      <c r="FDD641" s="354"/>
      <c r="FDE641" s="313"/>
      <c r="FDF641" s="340"/>
      <c r="FDG641" s="340"/>
      <c r="FDH641" s="354"/>
      <c r="FDI641" s="313"/>
      <c r="FDJ641" s="340"/>
      <c r="FDK641" s="340"/>
      <c r="FDL641" s="354"/>
      <c r="FDM641" s="313"/>
      <c r="FDN641" s="340"/>
      <c r="FDO641" s="340"/>
      <c r="FDP641" s="354"/>
      <c r="FDQ641" s="313"/>
      <c r="FDR641" s="340"/>
      <c r="FDS641" s="340"/>
      <c r="FDT641" s="354"/>
      <c r="FDU641" s="313"/>
      <c r="FDV641" s="340"/>
      <c r="FDW641" s="340"/>
      <c r="FDX641" s="354"/>
      <c r="FDY641" s="313"/>
      <c r="FDZ641" s="340"/>
      <c r="FEA641" s="340"/>
      <c r="FEB641" s="354"/>
      <c r="FEC641" s="313"/>
      <c r="FED641" s="340"/>
      <c r="FEE641" s="340"/>
      <c r="FEF641" s="354"/>
      <c r="FEG641" s="313"/>
      <c r="FEH641" s="340"/>
      <c r="FEI641" s="340"/>
      <c r="FEJ641" s="354"/>
      <c r="FEK641" s="313"/>
      <c r="FEL641" s="340"/>
      <c r="FEM641" s="340"/>
      <c r="FEN641" s="354"/>
      <c r="FEO641" s="313"/>
      <c r="FEP641" s="340"/>
      <c r="FEQ641" s="340"/>
      <c r="FER641" s="354"/>
      <c r="FES641" s="313"/>
      <c r="FET641" s="340"/>
      <c r="FEU641" s="340"/>
      <c r="FEV641" s="354"/>
      <c r="FEW641" s="313"/>
      <c r="FEX641" s="340"/>
      <c r="FEY641" s="340"/>
      <c r="FEZ641" s="354"/>
      <c r="FFA641" s="313"/>
      <c r="FFB641" s="340"/>
      <c r="FFC641" s="340"/>
      <c r="FFD641" s="354"/>
      <c r="FFE641" s="313"/>
      <c r="FFF641" s="340"/>
      <c r="FFG641" s="340"/>
      <c r="FFH641" s="354"/>
      <c r="FFI641" s="313"/>
      <c r="FFJ641" s="340"/>
      <c r="FFK641" s="340"/>
      <c r="FFL641" s="354"/>
      <c r="FFM641" s="313"/>
      <c r="FFN641" s="340"/>
      <c r="FFO641" s="340"/>
      <c r="FFP641" s="354"/>
      <c r="FFQ641" s="313"/>
      <c r="FFR641" s="340"/>
      <c r="FFS641" s="340"/>
      <c r="FFT641" s="354"/>
      <c r="FFU641" s="313"/>
      <c r="FFV641" s="340"/>
      <c r="FFW641" s="340"/>
      <c r="FFX641" s="354"/>
      <c r="FFY641" s="313"/>
      <c r="FFZ641" s="340"/>
      <c r="FGA641" s="340"/>
      <c r="FGB641" s="354"/>
      <c r="FGC641" s="313"/>
      <c r="FGD641" s="340"/>
      <c r="FGE641" s="340"/>
      <c r="FGF641" s="354"/>
      <c r="FGG641" s="313"/>
      <c r="FGH641" s="340"/>
      <c r="FGI641" s="340"/>
      <c r="FGJ641" s="354"/>
      <c r="FGK641" s="313"/>
      <c r="FGL641" s="340"/>
      <c r="FGM641" s="340"/>
      <c r="FGN641" s="354"/>
      <c r="FGO641" s="313"/>
      <c r="FGP641" s="340"/>
      <c r="FGQ641" s="340"/>
      <c r="FGR641" s="354"/>
      <c r="FGS641" s="313"/>
      <c r="FGT641" s="340"/>
      <c r="FGU641" s="340"/>
      <c r="FGV641" s="354"/>
      <c r="FGW641" s="313"/>
      <c r="FGX641" s="340"/>
      <c r="FGY641" s="340"/>
      <c r="FGZ641" s="354"/>
      <c r="FHA641" s="313"/>
      <c r="FHB641" s="340"/>
      <c r="FHC641" s="340"/>
      <c r="FHD641" s="354"/>
      <c r="FHE641" s="313"/>
      <c r="FHF641" s="340"/>
      <c r="FHG641" s="340"/>
      <c r="FHH641" s="354"/>
      <c r="FHI641" s="313"/>
      <c r="FHJ641" s="340"/>
      <c r="FHK641" s="340"/>
      <c r="FHL641" s="354"/>
      <c r="FHM641" s="313"/>
      <c r="FHN641" s="340"/>
      <c r="FHO641" s="340"/>
      <c r="FHP641" s="354"/>
      <c r="FHQ641" s="313"/>
      <c r="FHR641" s="340"/>
      <c r="FHS641" s="340"/>
      <c r="FHT641" s="354"/>
      <c r="FHU641" s="313"/>
      <c r="FHV641" s="340"/>
      <c r="FHW641" s="340"/>
      <c r="FHX641" s="354"/>
      <c r="FHY641" s="313"/>
      <c r="FHZ641" s="340"/>
      <c r="FIA641" s="340"/>
      <c r="FIB641" s="354"/>
      <c r="FIC641" s="313"/>
      <c r="FID641" s="340"/>
      <c r="FIE641" s="340"/>
      <c r="FIF641" s="354"/>
      <c r="FIG641" s="313"/>
      <c r="FIH641" s="340"/>
      <c r="FII641" s="340"/>
      <c r="FIJ641" s="354"/>
      <c r="FIK641" s="313"/>
      <c r="FIL641" s="340"/>
      <c r="FIM641" s="340"/>
      <c r="FIN641" s="354"/>
      <c r="FIO641" s="313"/>
      <c r="FIP641" s="340"/>
      <c r="FIQ641" s="340"/>
      <c r="FIR641" s="354"/>
      <c r="FIS641" s="313"/>
      <c r="FIT641" s="340"/>
      <c r="FIU641" s="340"/>
      <c r="FIV641" s="354"/>
      <c r="FIW641" s="313"/>
      <c r="FIX641" s="340"/>
      <c r="FIY641" s="340"/>
      <c r="FIZ641" s="354"/>
      <c r="FJA641" s="313"/>
      <c r="FJB641" s="340"/>
      <c r="FJC641" s="340"/>
      <c r="FJD641" s="354"/>
      <c r="FJE641" s="313"/>
      <c r="FJF641" s="340"/>
      <c r="FJG641" s="340"/>
      <c r="FJH641" s="354"/>
      <c r="FJI641" s="313"/>
      <c r="FJJ641" s="340"/>
      <c r="FJK641" s="340"/>
      <c r="FJL641" s="354"/>
      <c r="FJM641" s="313"/>
      <c r="FJN641" s="340"/>
      <c r="FJO641" s="340"/>
      <c r="FJP641" s="354"/>
      <c r="FJQ641" s="313"/>
      <c r="FJR641" s="340"/>
      <c r="FJS641" s="340"/>
      <c r="FJT641" s="354"/>
      <c r="FJU641" s="313"/>
      <c r="FJV641" s="340"/>
      <c r="FJW641" s="340"/>
      <c r="FJX641" s="354"/>
      <c r="FJY641" s="313"/>
      <c r="FJZ641" s="340"/>
      <c r="FKA641" s="340"/>
      <c r="FKB641" s="354"/>
      <c r="FKC641" s="313"/>
      <c r="FKD641" s="340"/>
      <c r="FKE641" s="340"/>
      <c r="FKF641" s="354"/>
      <c r="FKG641" s="313"/>
      <c r="FKH641" s="340"/>
      <c r="FKI641" s="340"/>
      <c r="FKJ641" s="354"/>
      <c r="FKK641" s="313"/>
      <c r="FKL641" s="340"/>
      <c r="FKM641" s="340"/>
      <c r="FKN641" s="354"/>
      <c r="FKO641" s="313"/>
      <c r="FKP641" s="340"/>
      <c r="FKQ641" s="340"/>
      <c r="FKR641" s="354"/>
      <c r="FKS641" s="313"/>
      <c r="FKT641" s="340"/>
      <c r="FKU641" s="340"/>
      <c r="FKV641" s="354"/>
      <c r="FKW641" s="313"/>
      <c r="FKX641" s="340"/>
      <c r="FKY641" s="340"/>
      <c r="FKZ641" s="354"/>
      <c r="FLA641" s="313"/>
      <c r="FLB641" s="340"/>
      <c r="FLC641" s="340"/>
      <c r="FLD641" s="354"/>
      <c r="FLE641" s="313"/>
      <c r="FLF641" s="340"/>
      <c r="FLG641" s="340"/>
      <c r="FLH641" s="354"/>
      <c r="FLI641" s="313"/>
      <c r="FLJ641" s="340"/>
      <c r="FLK641" s="340"/>
      <c r="FLL641" s="354"/>
      <c r="FLM641" s="313"/>
      <c r="FLN641" s="340"/>
      <c r="FLO641" s="340"/>
      <c r="FLP641" s="354"/>
      <c r="FLQ641" s="313"/>
      <c r="FLR641" s="340"/>
      <c r="FLS641" s="340"/>
      <c r="FLT641" s="354"/>
      <c r="FLU641" s="313"/>
      <c r="FLV641" s="340"/>
      <c r="FLW641" s="340"/>
      <c r="FLX641" s="354"/>
      <c r="FLY641" s="313"/>
      <c r="FLZ641" s="340"/>
      <c r="FMA641" s="340"/>
      <c r="FMB641" s="354"/>
      <c r="FMC641" s="313"/>
      <c r="FMD641" s="340"/>
      <c r="FME641" s="340"/>
      <c r="FMF641" s="354"/>
      <c r="FMG641" s="313"/>
      <c r="FMH641" s="340"/>
      <c r="FMI641" s="340"/>
      <c r="FMJ641" s="354"/>
      <c r="FMK641" s="313"/>
      <c r="FML641" s="340"/>
      <c r="FMM641" s="340"/>
      <c r="FMN641" s="354"/>
      <c r="FMO641" s="313"/>
      <c r="FMP641" s="340"/>
      <c r="FMQ641" s="340"/>
      <c r="FMR641" s="354"/>
      <c r="FMS641" s="313"/>
      <c r="FMT641" s="340"/>
      <c r="FMU641" s="340"/>
      <c r="FMV641" s="354"/>
      <c r="FMW641" s="313"/>
      <c r="FMX641" s="340"/>
      <c r="FMY641" s="340"/>
      <c r="FMZ641" s="354"/>
      <c r="FNA641" s="313"/>
      <c r="FNB641" s="340"/>
      <c r="FNC641" s="340"/>
      <c r="FND641" s="354"/>
      <c r="FNE641" s="313"/>
      <c r="FNF641" s="340"/>
      <c r="FNG641" s="340"/>
      <c r="FNH641" s="354"/>
      <c r="FNI641" s="313"/>
      <c r="FNJ641" s="340"/>
      <c r="FNK641" s="340"/>
      <c r="FNL641" s="354"/>
      <c r="FNM641" s="313"/>
      <c r="FNN641" s="340"/>
      <c r="FNO641" s="340"/>
      <c r="FNP641" s="354"/>
      <c r="FNQ641" s="313"/>
      <c r="FNR641" s="340"/>
      <c r="FNS641" s="340"/>
      <c r="FNT641" s="354"/>
      <c r="FNU641" s="313"/>
      <c r="FNV641" s="340"/>
      <c r="FNW641" s="340"/>
      <c r="FNX641" s="354"/>
      <c r="FNY641" s="313"/>
      <c r="FNZ641" s="340"/>
      <c r="FOA641" s="340"/>
      <c r="FOB641" s="354"/>
      <c r="FOC641" s="313"/>
      <c r="FOD641" s="340"/>
      <c r="FOE641" s="340"/>
      <c r="FOF641" s="354"/>
      <c r="FOG641" s="313"/>
      <c r="FOH641" s="340"/>
      <c r="FOI641" s="340"/>
      <c r="FOJ641" s="354"/>
      <c r="FOK641" s="313"/>
      <c r="FOL641" s="340"/>
      <c r="FOM641" s="340"/>
      <c r="FON641" s="354"/>
      <c r="FOO641" s="313"/>
      <c r="FOP641" s="340"/>
      <c r="FOQ641" s="340"/>
      <c r="FOR641" s="354"/>
      <c r="FOS641" s="313"/>
      <c r="FOT641" s="340"/>
      <c r="FOU641" s="340"/>
      <c r="FOV641" s="354"/>
      <c r="FOW641" s="313"/>
      <c r="FOX641" s="340"/>
      <c r="FOY641" s="340"/>
      <c r="FOZ641" s="354"/>
      <c r="FPA641" s="313"/>
      <c r="FPB641" s="340"/>
      <c r="FPC641" s="340"/>
      <c r="FPD641" s="354"/>
      <c r="FPE641" s="313"/>
      <c r="FPF641" s="340"/>
      <c r="FPG641" s="340"/>
      <c r="FPH641" s="354"/>
      <c r="FPI641" s="313"/>
      <c r="FPJ641" s="340"/>
      <c r="FPK641" s="340"/>
      <c r="FPL641" s="354"/>
      <c r="FPM641" s="313"/>
      <c r="FPN641" s="340"/>
      <c r="FPO641" s="340"/>
      <c r="FPP641" s="354"/>
      <c r="FPQ641" s="313"/>
      <c r="FPR641" s="340"/>
      <c r="FPS641" s="340"/>
      <c r="FPT641" s="354"/>
      <c r="FPU641" s="313"/>
      <c r="FPV641" s="340"/>
      <c r="FPW641" s="340"/>
      <c r="FPX641" s="354"/>
      <c r="FPY641" s="313"/>
      <c r="FPZ641" s="340"/>
      <c r="FQA641" s="340"/>
      <c r="FQB641" s="354"/>
      <c r="FQC641" s="313"/>
      <c r="FQD641" s="340"/>
      <c r="FQE641" s="340"/>
      <c r="FQF641" s="354"/>
      <c r="FQG641" s="313"/>
      <c r="FQH641" s="340"/>
      <c r="FQI641" s="340"/>
      <c r="FQJ641" s="354"/>
      <c r="FQK641" s="313"/>
      <c r="FQL641" s="340"/>
      <c r="FQM641" s="340"/>
      <c r="FQN641" s="354"/>
      <c r="FQO641" s="313"/>
      <c r="FQP641" s="340"/>
      <c r="FQQ641" s="340"/>
      <c r="FQR641" s="354"/>
      <c r="FQS641" s="313"/>
      <c r="FQT641" s="340"/>
      <c r="FQU641" s="340"/>
      <c r="FQV641" s="354"/>
      <c r="FQW641" s="313"/>
      <c r="FQX641" s="340"/>
      <c r="FQY641" s="340"/>
      <c r="FQZ641" s="354"/>
      <c r="FRA641" s="313"/>
      <c r="FRB641" s="340"/>
      <c r="FRC641" s="340"/>
      <c r="FRD641" s="354"/>
      <c r="FRE641" s="313"/>
      <c r="FRF641" s="340"/>
      <c r="FRG641" s="340"/>
      <c r="FRH641" s="354"/>
      <c r="FRI641" s="313"/>
      <c r="FRJ641" s="340"/>
      <c r="FRK641" s="340"/>
      <c r="FRL641" s="354"/>
      <c r="FRM641" s="313"/>
      <c r="FRN641" s="340"/>
      <c r="FRO641" s="340"/>
      <c r="FRP641" s="354"/>
      <c r="FRQ641" s="313"/>
      <c r="FRR641" s="340"/>
      <c r="FRS641" s="340"/>
      <c r="FRT641" s="354"/>
      <c r="FRU641" s="313"/>
      <c r="FRV641" s="340"/>
      <c r="FRW641" s="340"/>
      <c r="FRX641" s="354"/>
      <c r="FRY641" s="313"/>
      <c r="FRZ641" s="340"/>
      <c r="FSA641" s="340"/>
      <c r="FSB641" s="354"/>
      <c r="FSC641" s="313"/>
      <c r="FSD641" s="340"/>
      <c r="FSE641" s="340"/>
      <c r="FSF641" s="354"/>
      <c r="FSG641" s="313"/>
      <c r="FSH641" s="340"/>
      <c r="FSI641" s="340"/>
      <c r="FSJ641" s="354"/>
      <c r="FSK641" s="313"/>
      <c r="FSL641" s="340"/>
      <c r="FSM641" s="340"/>
      <c r="FSN641" s="354"/>
      <c r="FSO641" s="313"/>
      <c r="FSP641" s="340"/>
      <c r="FSQ641" s="340"/>
      <c r="FSR641" s="354"/>
      <c r="FSS641" s="313"/>
      <c r="FST641" s="340"/>
      <c r="FSU641" s="340"/>
      <c r="FSV641" s="354"/>
      <c r="FSW641" s="313"/>
      <c r="FSX641" s="340"/>
      <c r="FSY641" s="340"/>
      <c r="FSZ641" s="354"/>
      <c r="FTA641" s="313"/>
      <c r="FTB641" s="340"/>
      <c r="FTC641" s="340"/>
      <c r="FTD641" s="354"/>
      <c r="FTE641" s="313"/>
      <c r="FTF641" s="340"/>
      <c r="FTG641" s="340"/>
      <c r="FTH641" s="354"/>
      <c r="FTI641" s="313"/>
      <c r="FTJ641" s="340"/>
      <c r="FTK641" s="340"/>
      <c r="FTL641" s="354"/>
      <c r="FTM641" s="313"/>
      <c r="FTN641" s="340"/>
      <c r="FTO641" s="340"/>
      <c r="FTP641" s="354"/>
      <c r="FTQ641" s="313"/>
      <c r="FTR641" s="340"/>
      <c r="FTS641" s="340"/>
      <c r="FTT641" s="354"/>
      <c r="FTU641" s="313"/>
      <c r="FTV641" s="340"/>
      <c r="FTW641" s="340"/>
      <c r="FTX641" s="354"/>
      <c r="FTY641" s="313"/>
      <c r="FTZ641" s="340"/>
      <c r="FUA641" s="340"/>
      <c r="FUB641" s="354"/>
      <c r="FUC641" s="313"/>
      <c r="FUD641" s="340"/>
      <c r="FUE641" s="340"/>
      <c r="FUF641" s="354"/>
      <c r="FUG641" s="313"/>
      <c r="FUH641" s="340"/>
      <c r="FUI641" s="340"/>
      <c r="FUJ641" s="354"/>
      <c r="FUK641" s="313"/>
      <c r="FUL641" s="340"/>
      <c r="FUM641" s="340"/>
      <c r="FUN641" s="354"/>
      <c r="FUO641" s="313"/>
      <c r="FUP641" s="340"/>
      <c r="FUQ641" s="340"/>
      <c r="FUR641" s="354"/>
      <c r="FUS641" s="313"/>
      <c r="FUT641" s="340"/>
      <c r="FUU641" s="340"/>
      <c r="FUV641" s="354"/>
      <c r="FUW641" s="313"/>
      <c r="FUX641" s="340"/>
      <c r="FUY641" s="340"/>
      <c r="FUZ641" s="354"/>
      <c r="FVA641" s="313"/>
      <c r="FVB641" s="340"/>
      <c r="FVC641" s="340"/>
      <c r="FVD641" s="354"/>
      <c r="FVE641" s="313"/>
      <c r="FVF641" s="340"/>
      <c r="FVG641" s="340"/>
      <c r="FVH641" s="354"/>
      <c r="FVI641" s="313"/>
      <c r="FVJ641" s="340"/>
      <c r="FVK641" s="340"/>
      <c r="FVL641" s="354"/>
      <c r="FVM641" s="313"/>
      <c r="FVN641" s="340"/>
      <c r="FVO641" s="340"/>
      <c r="FVP641" s="354"/>
      <c r="FVQ641" s="313"/>
      <c r="FVR641" s="340"/>
      <c r="FVS641" s="340"/>
      <c r="FVT641" s="354"/>
      <c r="FVU641" s="313"/>
      <c r="FVV641" s="340"/>
      <c r="FVW641" s="340"/>
      <c r="FVX641" s="354"/>
      <c r="FVY641" s="313"/>
      <c r="FVZ641" s="340"/>
      <c r="FWA641" s="340"/>
      <c r="FWB641" s="354"/>
      <c r="FWC641" s="313"/>
      <c r="FWD641" s="340"/>
      <c r="FWE641" s="340"/>
      <c r="FWF641" s="354"/>
      <c r="FWG641" s="313"/>
      <c r="FWH641" s="340"/>
      <c r="FWI641" s="340"/>
      <c r="FWJ641" s="354"/>
      <c r="FWK641" s="313"/>
      <c r="FWL641" s="340"/>
      <c r="FWM641" s="340"/>
      <c r="FWN641" s="354"/>
      <c r="FWO641" s="313"/>
      <c r="FWP641" s="340"/>
      <c r="FWQ641" s="340"/>
      <c r="FWR641" s="354"/>
      <c r="FWS641" s="313"/>
      <c r="FWT641" s="340"/>
      <c r="FWU641" s="340"/>
      <c r="FWV641" s="354"/>
      <c r="FWW641" s="313"/>
      <c r="FWX641" s="340"/>
      <c r="FWY641" s="340"/>
      <c r="FWZ641" s="354"/>
      <c r="FXA641" s="313"/>
      <c r="FXB641" s="340"/>
      <c r="FXC641" s="340"/>
      <c r="FXD641" s="354"/>
      <c r="FXE641" s="313"/>
      <c r="FXF641" s="340"/>
      <c r="FXG641" s="340"/>
      <c r="FXH641" s="354"/>
      <c r="FXI641" s="313"/>
      <c r="FXJ641" s="340"/>
      <c r="FXK641" s="340"/>
      <c r="FXL641" s="354"/>
      <c r="FXM641" s="313"/>
      <c r="FXN641" s="340"/>
      <c r="FXO641" s="340"/>
      <c r="FXP641" s="354"/>
      <c r="FXQ641" s="313"/>
      <c r="FXR641" s="340"/>
      <c r="FXS641" s="340"/>
      <c r="FXT641" s="354"/>
      <c r="FXU641" s="313"/>
      <c r="FXV641" s="340"/>
      <c r="FXW641" s="340"/>
      <c r="FXX641" s="354"/>
      <c r="FXY641" s="313"/>
      <c r="FXZ641" s="340"/>
      <c r="FYA641" s="340"/>
      <c r="FYB641" s="354"/>
      <c r="FYC641" s="313"/>
      <c r="FYD641" s="340"/>
      <c r="FYE641" s="340"/>
      <c r="FYF641" s="354"/>
      <c r="FYG641" s="313"/>
      <c r="FYH641" s="340"/>
      <c r="FYI641" s="340"/>
      <c r="FYJ641" s="354"/>
      <c r="FYK641" s="313"/>
      <c r="FYL641" s="340"/>
      <c r="FYM641" s="340"/>
      <c r="FYN641" s="354"/>
      <c r="FYO641" s="313"/>
      <c r="FYP641" s="340"/>
      <c r="FYQ641" s="340"/>
      <c r="FYR641" s="354"/>
      <c r="FYS641" s="313"/>
      <c r="FYT641" s="340"/>
      <c r="FYU641" s="340"/>
      <c r="FYV641" s="354"/>
      <c r="FYW641" s="313"/>
      <c r="FYX641" s="340"/>
      <c r="FYY641" s="340"/>
      <c r="FYZ641" s="354"/>
      <c r="FZA641" s="313"/>
      <c r="FZB641" s="340"/>
      <c r="FZC641" s="340"/>
      <c r="FZD641" s="354"/>
      <c r="FZE641" s="313"/>
      <c r="FZF641" s="340"/>
      <c r="FZG641" s="340"/>
      <c r="FZH641" s="354"/>
      <c r="FZI641" s="313"/>
      <c r="FZJ641" s="340"/>
      <c r="FZK641" s="340"/>
      <c r="FZL641" s="354"/>
      <c r="FZM641" s="313"/>
      <c r="FZN641" s="340"/>
      <c r="FZO641" s="340"/>
      <c r="FZP641" s="354"/>
      <c r="FZQ641" s="313"/>
      <c r="FZR641" s="340"/>
      <c r="FZS641" s="340"/>
      <c r="FZT641" s="354"/>
      <c r="FZU641" s="313"/>
      <c r="FZV641" s="340"/>
      <c r="FZW641" s="340"/>
      <c r="FZX641" s="354"/>
      <c r="FZY641" s="313"/>
      <c r="FZZ641" s="340"/>
      <c r="GAA641" s="340"/>
      <c r="GAB641" s="354"/>
      <c r="GAC641" s="313"/>
      <c r="GAD641" s="340"/>
      <c r="GAE641" s="340"/>
      <c r="GAF641" s="354"/>
      <c r="GAG641" s="313"/>
      <c r="GAH641" s="340"/>
      <c r="GAI641" s="340"/>
      <c r="GAJ641" s="354"/>
      <c r="GAK641" s="313"/>
      <c r="GAL641" s="340"/>
      <c r="GAM641" s="340"/>
      <c r="GAN641" s="354"/>
      <c r="GAO641" s="313"/>
      <c r="GAP641" s="340"/>
      <c r="GAQ641" s="340"/>
      <c r="GAR641" s="354"/>
      <c r="GAS641" s="313"/>
      <c r="GAT641" s="340"/>
      <c r="GAU641" s="340"/>
      <c r="GAV641" s="354"/>
      <c r="GAW641" s="313"/>
      <c r="GAX641" s="340"/>
      <c r="GAY641" s="340"/>
      <c r="GAZ641" s="354"/>
      <c r="GBA641" s="313"/>
      <c r="GBB641" s="340"/>
      <c r="GBC641" s="340"/>
      <c r="GBD641" s="354"/>
      <c r="GBE641" s="313"/>
      <c r="GBF641" s="340"/>
      <c r="GBG641" s="340"/>
      <c r="GBH641" s="354"/>
      <c r="GBI641" s="313"/>
      <c r="GBJ641" s="340"/>
      <c r="GBK641" s="340"/>
      <c r="GBL641" s="354"/>
      <c r="GBM641" s="313"/>
      <c r="GBN641" s="340"/>
      <c r="GBO641" s="340"/>
      <c r="GBP641" s="354"/>
      <c r="GBQ641" s="313"/>
      <c r="GBR641" s="340"/>
      <c r="GBS641" s="340"/>
      <c r="GBT641" s="354"/>
      <c r="GBU641" s="313"/>
      <c r="GBV641" s="340"/>
      <c r="GBW641" s="340"/>
      <c r="GBX641" s="354"/>
      <c r="GBY641" s="313"/>
      <c r="GBZ641" s="340"/>
      <c r="GCA641" s="340"/>
      <c r="GCB641" s="354"/>
      <c r="GCC641" s="313"/>
      <c r="GCD641" s="340"/>
      <c r="GCE641" s="340"/>
      <c r="GCF641" s="354"/>
      <c r="GCG641" s="313"/>
      <c r="GCH641" s="340"/>
      <c r="GCI641" s="340"/>
      <c r="GCJ641" s="354"/>
      <c r="GCK641" s="313"/>
      <c r="GCL641" s="340"/>
      <c r="GCM641" s="340"/>
      <c r="GCN641" s="354"/>
      <c r="GCO641" s="313"/>
      <c r="GCP641" s="340"/>
      <c r="GCQ641" s="340"/>
      <c r="GCR641" s="354"/>
      <c r="GCS641" s="313"/>
      <c r="GCT641" s="340"/>
      <c r="GCU641" s="340"/>
      <c r="GCV641" s="354"/>
      <c r="GCW641" s="313"/>
      <c r="GCX641" s="340"/>
      <c r="GCY641" s="340"/>
      <c r="GCZ641" s="354"/>
      <c r="GDA641" s="313"/>
      <c r="GDB641" s="340"/>
      <c r="GDC641" s="340"/>
      <c r="GDD641" s="354"/>
      <c r="GDE641" s="313"/>
      <c r="GDF641" s="340"/>
      <c r="GDG641" s="340"/>
      <c r="GDH641" s="354"/>
      <c r="GDI641" s="313"/>
      <c r="GDJ641" s="340"/>
      <c r="GDK641" s="340"/>
      <c r="GDL641" s="354"/>
      <c r="GDM641" s="313"/>
      <c r="GDN641" s="340"/>
      <c r="GDO641" s="340"/>
      <c r="GDP641" s="354"/>
      <c r="GDQ641" s="313"/>
      <c r="GDR641" s="340"/>
      <c r="GDS641" s="340"/>
      <c r="GDT641" s="354"/>
      <c r="GDU641" s="313"/>
      <c r="GDV641" s="340"/>
      <c r="GDW641" s="340"/>
      <c r="GDX641" s="354"/>
      <c r="GDY641" s="313"/>
      <c r="GDZ641" s="340"/>
      <c r="GEA641" s="340"/>
      <c r="GEB641" s="354"/>
      <c r="GEC641" s="313"/>
      <c r="GED641" s="340"/>
      <c r="GEE641" s="340"/>
      <c r="GEF641" s="354"/>
      <c r="GEG641" s="313"/>
      <c r="GEH641" s="340"/>
      <c r="GEI641" s="340"/>
      <c r="GEJ641" s="354"/>
      <c r="GEK641" s="313"/>
      <c r="GEL641" s="340"/>
      <c r="GEM641" s="340"/>
      <c r="GEN641" s="354"/>
      <c r="GEO641" s="313"/>
      <c r="GEP641" s="340"/>
      <c r="GEQ641" s="340"/>
      <c r="GER641" s="354"/>
      <c r="GES641" s="313"/>
      <c r="GET641" s="340"/>
      <c r="GEU641" s="340"/>
      <c r="GEV641" s="354"/>
      <c r="GEW641" s="313"/>
      <c r="GEX641" s="340"/>
      <c r="GEY641" s="340"/>
      <c r="GEZ641" s="354"/>
      <c r="GFA641" s="313"/>
      <c r="GFB641" s="340"/>
      <c r="GFC641" s="340"/>
      <c r="GFD641" s="354"/>
      <c r="GFE641" s="313"/>
      <c r="GFF641" s="340"/>
      <c r="GFG641" s="340"/>
      <c r="GFH641" s="354"/>
      <c r="GFI641" s="313"/>
      <c r="GFJ641" s="340"/>
      <c r="GFK641" s="340"/>
      <c r="GFL641" s="354"/>
      <c r="GFM641" s="313"/>
      <c r="GFN641" s="340"/>
      <c r="GFO641" s="340"/>
      <c r="GFP641" s="354"/>
      <c r="GFQ641" s="313"/>
      <c r="GFR641" s="340"/>
      <c r="GFS641" s="340"/>
      <c r="GFT641" s="354"/>
      <c r="GFU641" s="313"/>
      <c r="GFV641" s="340"/>
      <c r="GFW641" s="340"/>
      <c r="GFX641" s="354"/>
      <c r="GFY641" s="313"/>
      <c r="GFZ641" s="340"/>
      <c r="GGA641" s="340"/>
      <c r="GGB641" s="354"/>
      <c r="GGC641" s="313"/>
      <c r="GGD641" s="340"/>
      <c r="GGE641" s="340"/>
      <c r="GGF641" s="354"/>
      <c r="GGG641" s="313"/>
      <c r="GGH641" s="340"/>
      <c r="GGI641" s="340"/>
      <c r="GGJ641" s="354"/>
      <c r="GGK641" s="313"/>
      <c r="GGL641" s="340"/>
      <c r="GGM641" s="340"/>
      <c r="GGN641" s="354"/>
      <c r="GGO641" s="313"/>
      <c r="GGP641" s="340"/>
      <c r="GGQ641" s="340"/>
      <c r="GGR641" s="354"/>
      <c r="GGS641" s="313"/>
      <c r="GGT641" s="340"/>
      <c r="GGU641" s="340"/>
      <c r="GGV641" s="354"/>
      <c r="GGW641" s="313"/>
      <c r="GGX641" s="340"/>
      <c r="GGY641" s="340"/>
      <c r="GGZ641" s="354"/>
      <c r="GHA641" s="313"/>
      <c r="GHB641" s="340"/>
      <c r="GHC641" s="340"/>
      <c r="GHD641" s="354"/>
      <c r="GHE641" s="313"/>
      <c r="GHF641" s="340"/>
      <c r="GHG641" s="340"/>
      <c r="GHH641" s="354"/>
      <c r="GHI641" s="313"/>
      <c r="GHJ641" s="340"/>
      <c r="GHK641" s="340"/>
      <c r="GHL641" s="354"/>
      <c r="GHM641" s="313"/>
      <c r="GHN641" s="340"/>
      <c r="GHO641" s="340"/>
      <c r="GHP641" s="354"/>
      <c r="GHQ641" s="313"/>
      <c r="GHR641" s="340"/>
      <c r="GHS641" s="340"/>
      <c r="GHT641" s="354"/>
      <c r="GHU641" s="313"/>
      <c r="GHV641" s="340"/>
      <c r="GHW641" s="340"/>
      <c r="GHX641" s="354"/>
      <c r="GHY641" s="313"/>
      <c r="GHZ641" s="340"/>
      <c r="GIA641" s="340"/>
      <c r="GIB641" s="354"/>
      <c r="GIC641" s="313"/>
      <c r="GID641" s="340"/>
      <c r="GIE641" s="340"/>
      <c r="GIF641" s="354"/>
      <c r="GIG641" s="313"/>
      <c r="GIH641" s="340"/>
      <c r="GII641" s="340"/>
      <c r="GIJ641" s="354"/>
      <c r="GIK641" s="313"/>
      <c r="GIL641" s="340"/>
      <c r="GIM641" s="340"/>
      <c r="GIN641" s="354"/>
      <c r="GIO641" s="313"/>
      <c r="GIP641" s="340"/>
      <c r="GIQ641" s="340"/>
      <c r="GIR641" s="354"/>
      <c r="GIS641" s="313"/>
      <c r="GIT641" s="340"/>
      <c r="GIU641" s="340"/>
      <c r="GIV641" s="354"/>
      <c r="GIW641" s="313"/>
      <c r="GIX641" s="340"/>
      <c r="GIY641" s="340"/>
      <c r="GIZ641" s="354"/>
      <c r="GJA641" s="313"/>
      <c r="GJB641" s="340"/>
      <c r="GJC641" s="340"/>
      <c r="GJD641" s="354"/>
      <c r="GJE641" s="313"/>
      <c r="GJF641" s="340"/>
      <c r="GJG641" s="340"/>
      <c r="GJH641" s="354"/>
      <c r="GJI641" s="313"/>
      <c r="GJJ641" s="340"/>
      <c r="GJK641" s="340"/>
      <c r="GJL641" s="354"/>
      <c r="GJM641" s="313"/>
      <c r="GJN641" s="340"/>
      <c r="GJO641" s="340"/>
      <c r="GJP641" s="354"/>
      <c r="GJQ641" s="313"/>
      <c r="GJR641" s="340"/>
      <c r="GJS641" s="340"/>
      <c r="GJT641" s="354"/>
      <c r="GJU641" s="313"/>
      <c r="GJV641" s="340"/>
      <c r="GJW641" s="340"/>
      <c r="GJX641" s="354"/>
      <c r="GJY641" s="313"/>
      <c r="GJZ641" s="340"/>
      <c r="GKA641" s="340"/>
      <c r="GKB641" s="354"/>
      <c r="GKC641" s="313"/>
      <c r="GKD641" s="340"/>
      <c r="GKE641" s="340"/>
      <c r="GKF641" s="354"/>
      <c r="GKG641" s="313"/>
      <c r="GKH641" s="340"/>
      <c r="GKI641" s="340"/>
      <c r="GKJ641" s="354"/>
      <c r="GKK641" s="313"/>
      <c r="GKL641" s="340"/>
      <c r="GKM641" s="340"/>
      <c r="GKN641" s="354"/>
      <c r="GKO641" s="313"/>
      <c r="GKP641" s="340"/>
      <c r="GKQ641" s="340"/>
      <c r="GKR641" s="354"/>
      <c r="GKS641" s="313"/>
      <c r="GKT641" s="340"/>
      <c r="GKU641" s="340"/>
      <c r="GKV641" s="354"/>
      <c r="GKW641" s="313"/>
      <c r="GKX641" s="340"/>
      <c r="GKY641" s="340"/>
      <c r="GKZ641" s="354"/>
      <c r="GLA641" s="313"/>
      <c r="GLB641" s="340"/>
      <c r="GLC641" s="340"/>
      <c r="GLD641" s="354"/>
      <c r="GLE641" s="313"/>
      <c r="GLF641" s="340"/>
      <c r="GLG641" s="340"/>
      <c r="GLH641" s="354"/>
      <c r="GLI641" s="313"/>
      <c r="GLJ641" s="340"/>
      <c r="GLK641" s="340"/>
      <c r="GLL641" s="354"/>
      <c r="GLM641" s="313"/>
      <c r="GLN641" s="340"/>
      <c r="GLO641" s="340"/>
      <c r="GLP641" s="354"/>
      <c r="GLQ641" s="313"/>
      <c r="GLR641" s="340"/>
      <c r="GLS641" s="340"/>
      <c r="GLT641" s="354"/>
      <c r="GLU641" s="313"/>
      <c r="GLV641" s="340"/>
      <c r="GLW641" s="340"/>
      <c r="GLX641" s="354"/>
      <c r="GLY641" s="313"/>
      <c r="GLZ641" s="340"/>
      <c r="GMA641" s="340"/>
      <c r="GMB641" s="354"/>
      <c r="GMC641" s="313"/>
      <c r="GMD641" s="340"/>
      <c r="GME641" s="340"/>
      <c r="GMF641" s="354"/>
      <c r="GMG641" s="313"/>
      <c r="GMH641" s="340"/>
      <c r="GMI641" s="340"/>
      <c r="GMJ641" s="354"/>
      <c r="GMK641" s="313"/>
      <c r="GML641" s="340"/>
      <c r="GMM641" s="340"/>
      <c r="GMN641" s="354"/>
      <c r="GMO641" s="313"/>
      <c r="GMP641" s="340"/>
      <c r="GMQ641" s="340"/>
      <c r="GMR641" s="354"/>
      <c r="GMS641" s="313"/>
      <c r="GMT641" s="340"/>
      <c r="GMU641" s="340"/>
      <c r="GMV641" s="354"/>
      <c r="GMW641" s="313"/>
      <c r="GMX641" s="340"/>
      <c r="GMY641" s="340"/>
      <c r="GMZ641" s="354"/>
      <c r="GNA641" s="313"/>
      <c r="GNB641" s="340"/>
      <c r="GNC641" s="340"/>
      <c r="GND641" s="354"/>
      <c r="GNE641" s="313"/>
      <c r="GNF641" s="340"/>
      <c r="GNG641" s="340"/>
      <c r="GNH641" s="354"/>
      <c r="GNI641" s="313"/>
      <c r="GNJ641" s="340"/>
      <c r="GNK641" s="340"/>
      <c r="GNL641" s="354"/>
      <c r="GNM641" s="313"/>
      <c r="GNN641" s="340"/>
      <c r="GNO641" s="340"/>
      <c r="GNP641" s="354"/>
      <c r="GNQ641" s="313"/>
      <c r="GNR641" s="340"/>
      <c r="GNS641" s="340"/>
      <c r="GNT641" s="354"/>
      <c r="GNU641" s="313"/>
      <c r="GNV641" s="340"/>
      <c r="GNW641" s="340"/>
      <c r="GNX641" s="354"/>
      <c r="GNY641" s="313"/>
      <c r="GNZ641" s="340"/>
      <c r="GOA641" s="340"/>
      <c r="GOB641" s="354"/>
      <c r="GOC641" s="313"/>
      <c r="GOD641" s="340"/>
      <c r="GOE641" s="340"/>
      <c r="GOF641" s="354"/>
      <c r="GOG641" s="313"/>
      <c r="GOH641" s="340"/>
      <c r="GOI641" s="340"/>
      <c r="GOJ641" s="354"/>
      <c r="GOK641" s="313"/>
      <c r="GOL641" s="340"/>
      <c r="GOM641" s="340"/>
      <c r="GON641" s="354"/>
      <c r="GOO641" s="313"/>
      <c r="GOP641" s="340"/>
      <c r="GOQ641" s="340"/>
      <c r="GOR641" s="354"/>
      <c r="GOS641" s="313"/>
      <c r="GOT641" s="340"/>
      <c r="GOU641" s="340"/>
      <c r="GOV641" s="354"/>
      <c r="GOW641" s="313"/>
      <c r="GOX641" s="340"/>
      <c r="GOY641" s="340"/>
      <c r="GOZ641" s="354"/>
      <c r="GPA641" s="313"/>
      <c r="GPB641" s="340"/>
      <c r="GPC641" s="340"/>
      <c r="GPD641" s="354"/>
      <c r="GPE641" s="313"/>
      <c r="GPF641" s="340"/>
      <c r="GPG641" s="340"/>
      <c r="GPH641" s="354"/>
      <c r="GPI641" s="313"/>
      <c r="GPJ641" s="340"/>
      <c r="GPK641" s="340"/>
      <c r="GPL641" s="354"/>
      <c r="GPM641" s="313"/>
      <c r="GPN641" s="340"/>
      <c r="GPO641" s="340"/>
      <c r="GPP641" s="354"/>
      <c r="GPQ641" s="313"/>
      <c r="GPR641" s="340"/>
      <c r="GPS641" s="340"/>
      <c r="GPT641" s="354"/>
      <c r="GPU641" s="313"/>
      <c r="GPV641" s="340"/>
      <c r="GPW641" s="340"/>
      <c r="GPX641" s="354"/>
      <c r="GPY641" s="313"/>
      <c r="GPZ641" s="340"/>
      <c r="GQA641" s="340"/>
      <c r="GQB641" s="354"/>
      <c r="GQC641" s="313"/>
      <c r="GQD641" s="340"/>
      <c r="GQE641" s="340"/>
      <c r="GQF641" s="354"/>
      <c r="GQG641" s="313"/>
      <c r="GQH641" s="340"/>
      <c r="GQI641" s="340"/>
      <c r="GQJ641" s="354"/>
      <c r="GQK641" s="313"/>
      <c r="GQL641" s="340"/>
      <c r="GQM641" s="340"/>
      <c r="GQN641" s="354"/>
      <c r="GQO641" s="313"/>
      <c r="GQP641" s="340"/>
      <c r="GQQ641" s="340"/>
      <c r="GQR641" s="354"/>
      <c r="GQS641" s="313"/>
      <c r="GQT641" s="340"/>
      <c r="GQU641" s="340"/>
      <c r="GQV641" s="354"/>
      <c r="GQW641" s="313"/>
      <c r="GQX641" s="340"/>
      <c r="GQY641" s="340"/>
      <c r="GQZ641" s="354"/>
      <c r="GRA641" s="313"/>
      <c r="GRB641" s="340"/>
      <c r="GRC641" s="340"/>
      <c r="GRD641" s="354"/>
      <c r="GRE641" s="313"/>
      <c r="GRF641" s="340"/>
      <c r="GRG641" s="340"/>
      <c r="GRH641" s="354"/>
      <c r="GRI641" s="313"/>
      <c r="GRJ641" s="340"/>
      <c r="GRK641" s="340"/>
      <c r="GRL641" s="354"/>
      <c r="GRM641" s="313"/>
      <c r="GRN641" s="340"/>
      <c r="GRO641" s="340"/>
      <c r="GRP641" s="354"/>
      <c r="GRQ641" s="313"/>
      <c r="GRR641" s="340"/>
      <c r="GRS641" s="340"/>
      <c r="GRT641" s="354"/>
      <c r="GRU641" s="313"/>
      <c r="GRV641" s="340"/>
      <c r="GRW641" s="340"/>
      <c r="GRX641" s="354"/>
      <c r="GRY641" s="313"/>
      <c r="GRZ641" s="340"/>
      <c r="GSA641" s="340"/>
      <c r="GSB641" s="354"/>
      <c r="GSC641" s="313"/>
      <c r="GSD641" s="340"/>
      <c r="GSE641" s="340"/>
      <c r="GSF641" s="354"/>
      <c r="GSG641" s="313"/>
      <c r="GSH641" s="340"/>
      <c r="GSI641" s="340"/>
      <c r="GSJ641" s="354"/>
      <c r="GSK641" s="313"/>
      <c r="GSL641" s="340"/>
      <c r="GSM641" s="340"/>
      <c r="GSN641" s="354"/>
      <c r="GSO641" s="313"/>
      <c r="GSP641" s="340"/>
      <c r="GSQ641" s="340"/>
      <c r="GSR641" s="354"/>
      <c r="GSS641" s="313"/>
      <c r="GST641" s="340"/>
      <c r="GSU641" s="340"/>
      <c r="GSV641" s="354"/>
      <c r="GSW641" s="313"/>
      <c r="GSX641" s="340"/>
      <c r="GSY641" s="340"/>
      <c r="GSZ641" s="354"/>
      <c r="GTA641" s="313"/>
      <c r="GTB641" s="340"/>
      <c r="GTC641" s="340"/>
      <c r="GTD641" s="354"/>
      <c r="GTE641" s="313"/>
      <c r="GTF641" s="340"/>
      <c r="GTG641" s="340"/>
      <c r="GTH641" s="354"/>
      <c r="GTI641" s="313"/>
      <c r="GTJ641" s="340"/>
      <c r="GTK641" s="340"/>
      <c r="GTL641" s="354"/>
      <c r="GTM641" s="313"/>
      <c r="GTN641" s="340"/>
      <c r="GTO641" s="340"/>
      <c r="GTP641" s="354"/>
      <c r="GTQ641" s="313"/>
      <c r="GTR641" s="340"/>
      <c r="GTS641" s="340"/>
      <c r="GTT641" s="354"/>
      <c r="GTU641" s="313"/>
      <c r="GTV641" s="340"/>
      <c r="GTW641" s="340"/>
      <c r="GTX641" s="354"/>
      <c r="GTY641" s="313"/>
      <c r="GTZ641" s="340"/>
      <c r="GUA641" s="340"/>
      <c r="GUB641" s="354"/>
      <c r="GUC641" s="313"/>
      <c r="GUD641" s="340"/>
      <c r="GUE641" s="340"/>
      <c r="GUF641" s="354"/>
      <c r="GUG641" s="313"/>
      <c r="GUH641" s="340"/>
      <c r="GUI641" s="340"/>
      <c r="GUJ641" s="354"/>
      <c r="GUK641" s="313"/>
      <c r="GUL641" s="340"/>
      <c r="GUM641" s="340"/>
      <c r="GUN641" s="354"/>
      <c r="GUO641" s="313"/>
      <c r="GUP641" s="340"/>
      <c r="GUQ641" s="340"/>
      <c r="GUR641" s="354"/>
      <c r="GUS641" s="313"/>
      <c r="GUT641" s="340"/>
      <c r="GUU641" s="340"/>
      <c r="GUV641" s="354"/>
      <c r="GUW641" s="313"/>
      <c r="GUX641" s="340"/>
      <c r="GUY641" s="340"/>
      <c r="GUZ641" s="354"/>
      <c r="GVA641" s="313"/>
      <c r="GVB641" s="340"/>
      <c r="GVC641" s="340"/>
      <c r="GVD641" s="354"/>
      <c r="GVE641" s="313"/>
      <c r="GVF641" s="340"/>
      <c r="GVG641" s="340"/>
      <c r="GVH641" s="354"/>
      <c r="GVI641" s="313"/>
      <c r="GVJ641" s="340"/>
      <c r="GVK641" s="340"/>
      <c r="GVL641" s="354"/>
      <c r="GVM641" s="313"/>
      <c r="GVN641" s="340"/>
      <c r="GVO641" s="340"/>
      <c r="GVP641" s="354"/>
      <c r="GVQ641" s="313"/>
      <c r="GVR641" s="340"/>
      <c r="GVS641" s="340"/>
      <c r="GVT641" s="354"/>
      <c r="GVU641" s="313"/>
      <c r="GVV641" s="340"/>
      <c r="GVW641" s="340"/>
      <c r="GVX641" s="354"/>
      <c r="GVY641" s="313"/>
      <c r="GVZ641" s="340"/>
      <c r="GWA641" s="340"/>
      <c r="GWB641" s="354"/>
      <c r="GWC641" s="313"/>
      <c r="GWD641" s="340"/>
      <c r="GWE641" s="340"/>
      <c r="GWF641" s="354"/>
      <c r="GWG641" s="313"/>
      <c r="GWH641" s="340"/>
      <c r="GWI641" s="340"/>
      <c r="GWJ641" s="354"/>
      <c r="GWK641" s="313"/>
      <c r="GWL641" s="340"/>
      <c r="GWM641" s="340"/>
      <c r="GWN641" s="354"/>
      <c r="GWO641" s="313"/>
      <c r="GWP641" s="340"/>
      <c r="GWQ641" s="340"/>
      <c r="GWR641" s="354"/>
      <c r="GWS641" s="313"/>
      <c r="GWT641" s="340"/>
      <c r="GWU641" s="340"/>
      <c r="GWV641" s="354"/>
      <c r="GWW641" s="313"/>
      <c r="GWX641" s="340"/>
      <c r="GWY641" s="340"/>
      <c r="GWZ641" s="354"/>
      <c r="GXA641" s="313"/>
      <c r="GXB641" s="340"/>
      <c r="GXC641" s="340"/>
      <c r="GXD641" s="354"/>
      <c r="GXE641" s="313"/>
      <c r="GXF641" s="340"/>
      <c r="GXG641" s="340"/>
      <c r="GXH641" s="354"/>
      <c r="GXI641" s="313"/>
      <c r="GXJ641" s="340"/>
      <c r="GXK641" s="340"/>
      <c r="GXL641" s="354"/>
      <c r="GXM641" s="313"/>
      <c r="GXN641" s="340"/>
      <c r="GXO641" s="340"/>
      <c r="GXP641" s="354"/>
      <c r="GXQ641" s="313"/>
      <c r="GXR641" s="340"/>
      <c r="GXS641" s="340"/>
      <c r="GXT641" s="354"/>
      <c r="GXU641" s="313"/>
      <c r="GXV641" s="340"/>
      <c r="GXW641" s="340"/>
      <c r="GXX641" s="354"/>
      <c r="GXY641" s="313"/>
      <c r="GXZ641" s="340"/>
      <c r="GYA641" s="340"/>
      <c r="GYB641" s="354"/>
      <c r="GYC641" s="313"/>
      <c r="GYD641" s="340"/>
      <c r="GYE641" s="340"/>
      <c r="GYF641" s="354"/>
      <c r="GYG641" s="313"/>
      <c r="GYH641" s="340"/>
      <c r="GYI641" s="340"/>
      <c r="GYJ641" s="354"/>
      <c r="GYK641" s="313"/>
      <c r="GYL641" s="340"/>
      <c r="GYM641" s="340"/>
      <c r="GYN641" s="354"/>
      <c r="GYO641" s="313"/>
      <c r="GYP641" s="340"/>
      <c r="GYQ641" s="340"/>
      <c r="GYR641" s="354"/>
      <c r="GYS641" s="313"/>
      <c r="GYT641" s="340"/>
      <c r="GYU641" s="340"/>
      <c r="GYV641" s="354"/>
      <c r="GYW641" s="313"/>
      <c r="GYX641" s="340"/>
      <c r="GYY641" s="340"/>
      <c r="GYZ641" s="354"/>
      <c r="GZA641" s="313"/>
      <c r="GZB641" s="340"/>
      <c r="GZC641" s="340"/>
      <c r="GZD641" s="354"/>
      <c r="GZE641" s="313"/>
      <c r="GZF641" s="340"/>
      <c r="GZG641" s="340"/>
      <c r="GZH641" s="354"/>
      <c r="GZI641" s="313"/>
      <c r="GZJ641" s="340"/>
      <c r="GZK641" s="340"/>
      <c r="GZL641" s="354"/>
      <c r="GZM641" s="313"/>
      <c r="GZN641" s="340"/>
      <c r="GZO641" s="340"/>
      <c r="GZP641" s="354"/>
      <c r="GZQ641" s="313"/>
      <c r="GZR641" s="340"/>
      <c r="GZS641" s="340"/>
      <c r="GZT641" s="354"/>
      <c r="GZU641" s="313"/>
      <c r="GZV641" s="340"/>
      <c r="GZW641" s="340"/>
      <c r="GZX641" s="354"/>
      <c r="GZY641" s="313"/>
      <c r="GZZ641" s="340"/>
      <c r="HAA641" s="340"/>
      <c r="HAB641" s="354"/>
      <c r="HAC641" s="313"/>
      <c r="HAD641" s="340"/>
      <c r="HAE641" s="340"/>
      <c r="HAF641" s="354"/>
      <c r="HAG641" s="313"/>
      <c r="HAH641" s="340"/>
      <c r="HAI641" s="340"/>
      <c r="HAJ641" s="354"/>
      <c r="HAK641" s="313"/>
      <c r="HAL641" s="340"/>
      <c r="HAM641" s="340"/>
      <c r="HAN641" s="354"/>
      <c r="HAO641" s="313"/>
      <c r="HAP641" s="340"/>
      <c r="HAQ641" s="340"/>
      <c r="HAR641" s="354"/>
      <c r="HAS641" s="313"/>
      <c r="HAT641" s="340"/>
      <c r="HAU641" s="340"/>
      <c r="HAV641" s="354"/>
      <c r="HAW641" s="313"/>
      <c r="HAX641" s="340"/>
      <c r="HAY641" s="340"/>
      <c r="HAZ641" s="354"/>
      <c r="HBA641" s="313"/>
      <c r="HBB641" s="340"/>
      <c r="HBC641" s="340"/>
      <c r="HBD641" s="354"/>
      <c r="HBE641" s="313"/>
      <c r="HBF641" s="340"/>
      <c r="HBG641" s="340"/>
      <c r="HBH641" s="354"/>
      <c r="HBI641" s="313"/>
      <c r="HBJ641" s="340"/>
      <c r="HBK641" s="340"/>
      <c r="HBL641" s="354"/>
      <c r="HBM641" s="313"/>
      <c r="HBN641" s="340"/>
      <c r="HBO641" s="340"/>
      <c r="HBP641" s="354"/>
      <c r="HBQ641" s="313"/>
      <c r="HBR641" s="340"/>
      <c r="HBS641" s="340"/>
      <c r="HBT641" s="354"/>
      <c r="HBU641" s="313"/>
      <c r="HBV641" s="340"/>
      <c r="HBW641" s="340"/>
      <c r="HBX641" s="354"/>
      <c r="HBY641" s="313"/>
      <c r="HBZ641" s="340"/>
      <c r="HCA641" s="340"/>
      <c r="HCB641" s="354"/>
      <c r="HCC641" s="313"/>
      <c r="HCD641" s="340"/>
      <c r="HCE641" s="340"/>
      <c r="HCF641" s="354"/>
      <c r="HCG641" s="313"/>
      <c r="HCH641" s="340"/>
      <c r="HCI641" s="340"/>
      <c r="HCJ641" s="354"/>
      <c r="HCK641" s="313"/>
      <c r="HCL641" s="340"/>
      <c r="HCM641" s="340"/>
      <c r="HCN641" s="354"/>
      <c r="HCO641" s="313"/>
      <c r="HCP641" s="340"/>
      <c r="HCQ641" s="340"/>
      <c r="HCR641" s="354"/>
      <c r="HCS641" s="313"/>
      <c r="HCT641" s="340"/>
      <c r="HCU641" s="340"/>
      <c r="HCV641" s="354"/>
      <c r="HCW641" s="313"/>
      <c r="HCX641" s="340"/>
      <c r="HCY641" s="340"/>
      <c r="HCZ641" s="354"/>
      <c r="HDA641" s="313"/>
      <c r="HDB641" s="340"/>
      <c r="HDC641" s="340"/>
      <c r="HDD641" s="354"/>
      <c r="HDE641" s="313"/>
      <c r="HDF641" s="340"/>
      <c r="HDG641" s="340"/>
      <c r="HDH641" s="354"/>
      <c r="HDI641" s="313"/>
      <c r="HDJ641" s="340"/>
      <c r="HDK641" s="340"/>
      <c r="HDL641" s="354"/>
      <c r="HDM641" s="313"/>
      <c r="HDN641" s="340"/>
      <c r="HDO641" s="340"/>
      <c r="HDP641" s="354"/>
      <c r="HDQ641" s="313"/>
      <c r="HDR641" s="340"/>
      <c r="HDS641" s="340"/>
      <c r="HDT641" s="354"/>
      <c r="HDU641" s="313"/>
      <c r="HDV641" s="340"/>
      <c r="HDW641" s="340"/>
      <c r="HDX641" s="354"/>
      <c r="HDY641" s="313"/>
      <c r="HDZ641" s="340"/>
      <c r="HEA641" s="340"/>
      <c r="HEB641" s="354"/>
      <c r="HEC641" s="313"/>
      <c r="HED641" s="340"/>
      <c r="HEE641" s="340"/>
      <c r="HEF641" s="354"/>
      <c r="HEG641" s="313"/>
      <c r="HEH641" s="340"/>
      <c r="HEI641" s="340"/>
      <c r="HEJ641" s="354"/>
      <c r="HEK641" s="313"/>
      <c r="HEL641" s="340"/>
      <c r="HEM641" s="340"/>
      <c r="HEN641" s="354"/>
      <c r="HEO641" s="313"/>
      <c r="HEP641" s="340"/>
      <c r="HEQ641" s="340"/>
      <c r="HER641" s="354"/>
      <c r="HES641" s="313"/>
      <c r="HET641" s="340"/>
      <c r="HEU641" s="340"/>
      <c r="HEV641" s="354"/>
      <c r="HEW641" s="313"/>
      <c r="HEX641" s="340"/>
      <c r="HEY641" s="340"/>
      <c r="HEZ641" s="354"/>
      <c r="HFA641" s="313"/>
      <c r="HFB641" s="340"/>
      <c r="HFC641" s="340"/>
      <c r="HFD641" s="354"/>
      <c r="HFE641" s="313"/>
      <c r="HFF641" s="340"/>
      <c r="HFG641" s="340"/>
      <c r="HFH641" s="354"/>
      <c r="HFI641" s="313"/>
      <c r="HFJ641" s="340"/>
      <c r="HFK641" s="340"/>
      <c r="HFL641" s="354"/>
      <c r="HFM641" s="313"/>
      <c r="HFN641" s="340"/>
      <c r="HFO641" s="340"/>
      <c r="HFP641" s="354"/>
      <c r="HFQ641" s="313"/>
      <c r="HFR641" s="340"/>
      <c r="HFS641" s="340"/>
      <c r="HFT641" s="354"/>
      <c r="HFU641" s="313"/>
      <c r="HFV641" s="340"/>
      <c r="HFW641" s="340"/>
      <c r="HFX641" s="354"/>
      <c r="HFY641" s="313"/>
      <c r="HFZ641" s="340"/>
      <c r="HGA641" s="340"/>
      <c r="HGB641" s="354"/>
      <c r="HGC641" s="313"/>
      <c r="HGD641" s="340"/>
      <c r="HGE641" s="340"/>
      <c r="HGF641" s="354"/>
      <c r="HGG641" s="313"/>
      <c r="HGH641" s="340"/>
      <c r="HGI641" s="340"/>
      <c r="HGJ641" s="354"/>
      <c r="HGK641" s="313"/>
      <c r="HGL641" s="340"/>
      <c r="HGM641" s="340"/>
      <c r="HGN641" s="354"/>
      <c r="HGO641" s="313"/>
      <c r="HGP641" s="340"/>
      <c r="HGQ641" s="340"/>
      <c r="HGR641" s="354"/>
      <c r="HGS641" s="313"/>
      <c r="HGT641" s="340"/>
      <c r="HGU641" s="340"/>
      <c r="HGV641" s="354"/>
      <c r="HGW641" s="313"/>
      <c r="HGX641" s="340"/>
      <c r="HGY641" s="340"/>
      <c r="HGZ641" s="354"/>
      <c r="HHA641" s="313"/>
      <c r="HHB641" s="340"/>
      <c r="HHC641" s="340"/>
      <c r="HHD641" s="354"/>
      <c r="HHE641" s="313"/>
      <c r="HHF641" s="340"/>
      <c r="HHG641" s="340"/>
      <c r="HHH641" s="354"/>
      <c r="HHI641" s="313"/>
      <c r="HHJ641" s="340"/>
      <c r="HHK641" s="340"/>
      <c r="HHL641" s="354"/>
      <c r="HHM641" s="313"/>
      <c r="HHN641" s="340"/>
      <c r="HHO641" s="340"/>
      <c r="HHP641" s="354"/>
      <c r="HHQ641" s="313"/>
      <c r="HHR641" s="340"/>
      <c r="HHS641" s="340"/>
      <c r="HHT641" s="354"/>
      <c r="HHU641" s="313"/>
      <c r="HHV641" s="340"/>
      <c r="HHW641" s="340"/>
      <c r="HHX641" s="354"/>
      <c r="HHY641" s="313"/>
      <c r="HHZ641" s="340"/>
      <c r="HIA641" s="340"/>
      <c r="HIB641" s="354"/>
      <c r="HIC641" s="313"/>
      <c r="HID641" s="340"/>
      <c r="HIE641" s="340"/>
      <c r="HIF641" s="354"/>
      <c r="HIG641" s="313"/>
      <c r="HIH641" s="340"/>
      <c r="HII641" s="340"/>
      <c r="HIJ641" s="354"/>
      <c r="HIK641" s="313"/>
      <c r="HIL641" s="340"/>
      <c r="HIM641" s="340"/>
      <c r="HIN641" s="354"/>
      <c r="HIO641" s="313"/>
      <c r="HIP641" s="340"/>
      <c r="HIQ641" s="340"/>
      <c r="HIR641" s="354"/>
      <c r="HIS641" s="313"/>
      <c r="HIT641" s="340"/>
      <c r="HIU641" s="340"/>
      <c r="HIV641" s="354"/>
      <c r="HIW641" s="313"/>
      <c r="HIX641" s="340"/>
      <c r="HIY641" s="340"/>
      <c r="HIZ641" s="354"/>
      <c r="HJA641" s="313"/>
      <c r="HJB641" s="340"/>
      <c r="HJC641" s="340"/>
      <c r="HJD641" s="354"/>
      <c r="HJE641" s="313"/>
      <c r="HJF641" s="340"/>
      <c r="HJG641" s="340"/>
      <c r="HJH641" s="354"/>
      <c r="HJI641" s="313"/>
      <c r="HJJ641" s="340"/>
      <c r="HJK641" s="340"/>
      <c r="HJL641" s="354"/>
      <c r="HJM641" s="313"/>
      <c r="HJN641" s="340"/>
      <c r="HJO641" s="340"/>
      <c r="HJP641" s="354"/>
      <c r="HJQ641" s="313"/>
      <c r="HJR641" s="340"/>
      <c r="HJS641" s="340"/>
      <c r="HJT641" s="354"/>
      <c r="HJU641" s="313"/>
      <c r="HJV641" s="340"/>
      <c r="HJW641" s="340"/>
      <c r="HJX641" s="354"/>
      <c r="HJY641" s="313"/>
      <c r="HJZ641" s="340"/>
      <c r="HKA641" s="340"/>
      <c r="HKB641" s="354"/>
      <c r="HKC641" s="313"/>
      <c r="HKD641" s="340"/>
      <c r="HKE641" s="340"/>
      <c r="HKF641" s="354"/>
      <c r="HKG641" s="313"/>
      <c r="HKH641" s="340"/>
      <c r="HKI641" s="340"/>
      <c r="HKJ641" s="354"/>
      <c r="HKK641" s="313"/>
      <c r="HKL641" s="340"/>
      <c r="HKM641" s="340"/>
      <c r="HKN641" s="354"/>
      <c r="HKO641" s="313"/>
      <c r="HKP641" s="340"/>
      <c r="HKQ641" s="340"/>
      <c r="HKR641" s="354"/>
      <c r="HKS641" s="313"/>
      <c r="HKT641" s="340"/>
      <c r="HKU641" s="340"/>
      <c r="HKV641" s="354"/>
      <c r="HKW641" s="313"/>
      <c r="HKX641" s="340"/>
      <c r="HKY641" s="340"/>
      <c r="HKZ641" s="354"/>
      <c r="HLA641" s="313"/>
      <c r="HLB641" s="340"/>
      <c r="HLC641" s="340"/>
      <c r="HLD641" s="354"/>
      <c r="HLE641" s="313"/>
      <c r="HLF641" s="340"/>
      <c r="HLG641" s="340"/>
      <c r="HLH641" s="354"/>
      <c r="HLI641" s="313"/>
      <c r="HLJ641" s="340"/>
      <c r="HLK641" s="340"/>
      <c r="HLL641" s="354"/>
      <c r="HLM641" s="313"/>
      <c r="HLN641" s="340"/>
      <c r="HLO641" s="340"/>
      <c r="HLP641" s="354"/>
      <c r="HLQ641" s="313"/>
      <c r="HLR641" s="340"/>
      <c r="HLS641" s="340"/>
      <c r="HLT641" s="354"/>
      <c r="HLU641" s="313"/>
      <c r="HLV641" s="340"/>
      <c r="HLW641" s="340"/>
      <c r="HLX641" s="354"/>
      <c r="HLY641" s="313"/>
      <c r="HLZ641" s="340"/>
      <c r="HMA641" s="340"/>
      <c r="HMB641" s="354"/>
      <c r="HMC641" s="313"/>
      <c r="HMD641" s="340"/>
      <c r="HME641" s="340"/>
      <c r="HMF641" s="354"/>
      <c r="HMG641" s="313"/>
      <c r="HMH641" s="340"/>
      <c r="HMI641" s="340"/>
      <c r="HMJ641" s="354"/>
      <c r="HMK641" s="313"/>
      <c r="HML641" s="340"/>
      <c r="HMM641" s="340"/>
      <c r="HMN641" s="354"/>
      <c r="HMO641" s="313"/>
      <c r="HMP641" s="340"/>
      <c r="HMQ641" s="340"/>
      <c r="HMR641" s="354"/>
      <c r="HMS641" s="313"/>
      <c r="HMT641" s="340"/>
      <c r="HMU641" s="340"/>
      <c r="HMV641" s="354"/>
      <c r="HMW641" s="313"/>
      <c r="HMX641" s="340"/>
      <c r="HMY641" s="340"/>
      <c r="HMZ641" s="354"/>
      <c r="HNA641" s="313"/>
      <c r="HNB641" s="340"/>
      <c r="HNC641" s="340"/>
      <c r="HND641" s="354"/>
      <c r="HNE641" s="313"/>
      <c r="HNF641" s="340"/>
      <c r="HNG641" s="340"/>
      <c r="HNH641" s="354"/>
      <c r="HNI641" s="313"/>
      <c r="HNJ641" s="340"/>
      <c r="HNK641" s="340"/>
      <c r="HNL641" s="354"/>
      <c r="HNM641" s="313"/>
      <c r="HNN641" s="340"/>
      <c r="HNO641" s="340"/>
      <c r="HNP641" s="354"/>
      <c r="HNQ641" s="313"/>
      <c r="HNR641" s="340"/>
      <c r="HNS641" s="340"/>
      <c r="HNT641" s="354"/>
      <c r="HNU641" s="313"/>
      <c r="HNV641" s="340"/>
      <c r="HNW641" s="340"/>
      <c r="HNX641" s="354"/>
      <c r="HNY641" s="313"/>
      <c r="HNZ641" s="340"/>
      <c r="HOA641" s="340"/>
      <c r="HOB641" s="354"/>
      <c r="HOC641" s="313"/>
      <c r="HOD641" s="340"/>
      <c r="HOE641" s="340"/>
      <c r="HOF641" s="354"/>
      <c r="HOG641" s="313"/>
      <c r="HOH641" s="340"/>
      <c r="HOI641" s="340"/>
      <c r="HOJ641" s="354"/>
      <c r="HOK641" s="313"/>
      <c r="HOL641" s="340"/>
      <c r="HOM641" s="340"/>
      <c r="HON641" s="354"/>
      <c r="HOO641" s="313"/>
      <c r="HOP641" s="340"/>
      <c r="HOQ641" s="340"/>
      <c r="HOR641" s="354"/>
      <c r="HOS641" s="313"/>
      <c r="HOT641" s="340"/>
      <c r="HOU641" s="340"/>
      <c r="HOV641" s="354"/>
      <c r="HOW641" s="313"/>
      <c r="HOX641" s="340"/>
      <c r="HOY641" s="340"/>
      <c r="HOZ641" s="354"/>
      <c r="HPA641" s="313"/>
      <c r="HPB641" s="340"/>
      <c r="HPC641" s="340"/>
      <c r="HPD641" s="354"/>
      <c r="HPE641" s="313"/>
      <c r="HPF641" s="340"/>
      <c r="HPG641" s="340"/>
      <c r="HPH641" s="354"/>
      <c r="HPI641" s="313"/>
      <c r="HPJ641" s="340"/>
      <c r="HPK641" s="340"/>
      <c r="HPL641" s="354"/>
      <c r="HPM641" s="313"/>
      <c r="HPN641" s="340"/>
      <c r="HPO641" s="340"/>
      <c r="HPP641" s="354"/>
      <c r="HPQ641" s="313"/>
      <c r="HPR641" s="340"/>
      <c r="HPS641" s="340"/>
      <c r="HPT641" s="354"/>
      <c r="HPU641" s="313"/>
      <c r="HPV641" s="340"/>
      <c r="HPW641" s="340"/>
      <c r="HPX641" s="354"/>
      <c r="HPY641" s="313"/>
      <c r="HPZ641" s="340"/>
      <c r="HQA641" s="340"/>
      <c r="HQB641" s="354"/>
      <c r="HQC641" s="313"/>
      <c r="HQD641" s="340"/>
      <c r="HQE641" s="340"/>
      <c r="HQF641" s="354"/>
      <c r="HQG641" s="313"/>
      <c r="HQH641" s="340"/>
      <c r="HQI641" s="340"/>
      <c r="HQJ641" s="354"/>
      <c r="HQK641" s="313"/>
      <c r="HQL641" s="340"/>
      <c r="HQM641" s="340"/>
      <c r="HQN641" s="354"/>
      <c r="HQO641" s="313"/>
      <c r="HQP641" s="340"/>
      <c r="HQQ641" s="340"/>
      <c r="HQR641" s="354"/>
      <c r="HQS641" s="313"/>
      <c r="HQT641" s="340"/>
      <c r="HQU641" s="340"/>
      <c r="HQV641" s="354"/>
      <c r="HQW641" s="313"/>
      <c r="HQX641" s="340"/>
      <c r="HQY641" s="340"/>
      <c r="HQZ641" s="354"/>
      <c r="HRA641" s="313"/>
      <c r="HRB641" s="340"/>
      <c r="HRC641" s="340"/>
      <c r="HRD641" s="354"/>
      <c r="HRE641" s="313"/>
      <c r="HRF641" s="340"/>
      <c r="HRG641" s="340"/>
      <c r="HRH641" s="354"/>
      <c r="HRI641" s="313"/>
      <c r="HRJ641" s="340"/>
      <c r="HRK641" s="340"/>
      <c r="HRL641" s="354"/>
      <c r="HRM641" s="313"/>
      <c r="HRN641" s="340"/>
      <c r="HRO641" s="340"/>
      <c r="HRP641" s="354"/>
      <c r="HRQ641" s="313"/>
      <c r="HRR641" s="340"/>
      <c r="HRS641" s="340"/>
      <c r="HRT641" s="354"/>
      <c r="HRU641" s="313"/>
      <c r="HRV641" s="340"/>
      <c r="HRW641" s="340"/>
      <c r="HRX641" s="354"/>
      <c r="HRY641" s="313"/>
      <c r="HRZ641" s="340"/>
      <c r="HSA641" s="340"/>
      <c r="HSB641" s="354"/>
      <c r="HSC641" s="313"/>
      <c r="HSD641" s="340"/>
      <c r="HSE641" s="340"/>
      <c r="HSF641" s="354"/>
      <c r="HSG641" s="313"/>
      <c r="HSH641" s="340"/>
      <c r="HSI641" s="340"/>
      <c r="HSJ641" s="354"/>
      <c r="HSK641" s="313"/>
      <c r="HSL641" s="340"/>
      <c r="HSM641" s="340"/>
      <c r="HSN641" s="354"/>
      <c r="HSO641" s="313"/>
      <c r="HSP641" s="340"/>
      <c r="HSQ641" s="340"/>
      <c r="HSR641" s="354"/>
      <c r="HSS641" s="313"/>
      <c r="HST641" s="340"/>
      <c r="HSU641" s="340"/>
      <c r="HSV641" s="354"/>
      <c r="HSW641" s="313"/>
      <c r="HSX641" s="340"/>
      <c r="HSY641" s="340"/>
      <c r="HSZ641" s="354"/>
      <c r="HTA641" s="313"/>
      <c r="HTB641" s="340"/>
      <c r="HTC641" s="340"/>
      <c r="HTD641" s="354"/>
      <c r="HTE641" s="313"/>
      <c r="HTF641" s="340"/>
      <c r="HTG641" s="340"/>
      <c r="HTH641" s="354"/>
      <c r="HTI641" s="313"/>
      <c r="HTJ641" s="340"/>
      <c r="HTK641" s="340"/>
      <c r="HTL641" s="354"/>
      <c r="HTM641" s="313"/>
      <c r="HTN641" s="340"/>
      <c r="HTO641" s="340"/>
      <c r="HTP641" s="354"/>
      <c r="HTQ641" s="313"/>
      <c r="HTR641" s="340"/>
      <c r="HTS641" s="340"/>
      <c r="HTT641" s="354"/>
      <c r="HTU641" s="313"/>
      <c r="HTV641" s="340"/>
      <c r="HTW641" s="340"/>
      <c r="HTX641" s="354"/>
      <c r="HTY641" s="313"/>
      <c r="HTZ641" s="340"/>
      <c r="HUA641" s="340"/>
      <c r="HUB641" s="354"/>
      <c r="HUC641" s="313"/>
      <c r="HUD641" s="340"/>
      <c r="HUE641" s="340"/>
      <c r="HUF641" s="354"/>
      <c r="HUG641" s="313"/>
      <c r="HUH641" s="340"/>
      <c r="HUI641" s="340"/>
      <c r="HUJ641" s="354"/>
      <c r="HUK641" s="313"/>
      <c r="HUL641" s="340"/>
      <c r="HUM641" s="340"/>
      <c r="HUN641" s="354"/>
      <c r="HUO641" s="313"/>
      <c r="HUP641" s="340"/>
      <c r="HUQ641" s="340"/>
      <c r="HUR641" s="354"/>
      <c r="HUS641" s="313"/>
      <c r="HUT641" s="340"/>
      <c r="HUU641" s="340"/>
      <c r="HUV641" s="354"/>
      <c r="HUW641" s="313"/>
      <c r="HUX641" s="340"/>
      <c r="HUY641" s="340"/>
      <c r="HUZ641" s="354"/>
      <c r="HVA641" s="313"/>
      <c r="HVB641" s="340"/>
      <c r="HVC641" s="340"/>
      <c r="HVD641" s="354"/>
      <c r="HVE641" s="313"/>
      <c r="HVF641" s="340"/>
      <c r="HVG641" s="340"/>
      <c r="HVH641" s="354"/>
      <c r="HVI641" s="313"/>
      <c r="HVJ641" s="340"/>
      <c r="HVK641" s="340"/>
      <c r="HVL641" s="354"/>
      <c r="HVM641" s="313"/>
      <c r="HVN641" s="340"/>
      <c r="HVO641" s="340"/>
      <c r="HVP641" s="354"/>
      <c r="HVQ641" s="313"/>
      <c r="HVR641" s="340"/>
      <c r="HVS641" s="340"/>
      <c r="HVT641" s="354"/>
      <c r="HVU641" s="313"/>
      <c r="HVV641" s="340"/>
      <c r="HVW641" s="340"/>
      <c r="HVX641" s="354"/>
      <c r="HVY641" s="313"/>
      <c r="HVZ641" s="340"/>
      <c r="HWA641" s="340"/>
      <c r="HWB641" s="354"/>
      <c r="HWC641" s="313"/>
      <c r="HWD641" s="340"/>
      <c r="HWE641" s="340"/>
      <c r="HWF641" s="354"/>
      <c r="HWG641" s="313"/>
      <c r="HWH641" s="340"/>
      <c r="HWI641" s="340"/>
      <c r="HWJ641" s="354"/>
      <c r="HWK641" s="313"/>
      <c r="HWL641" s="340"/>
      <c r="HWM641" s="340"/>
      <c r="HWN641" s="354"/>
      <c r="HWO641" s="313"/>
      <c r="HWP641" s="340"/>
      <c r="HWQ641" s="340"/>
      <c r="HWR641" s="354"/>
      <c r="HWS641" s="313"/>
      <c r="HWT641" s="340"/>
      <c r="HWU641" s="340"/>
      <c r="HWV641" s="354"/>
      <c r="HWW641" s="313"/>
      <c r="HWX641" s="340"/>
      <c r="HWY641" s="340"/>
      <c r="HWZ641" s="354"/>
      <c r="HXA641" s="313"/>
      <c r="HXB641" s="340"/>
      <c r="HXC641" s="340"/>
      <c r="HXD641" s="354"/>
      <c r="HXE641" s="313"/>
      <c r="HXF641" s="340"/>
      <c r="HXG641" s="340"/>
      <c r="HXH641" s="354"/>
      <c r="HXI641" s="313"/>
      <c r="HXJ641" s="340"/>
      <c r="HXK641" s="340"/>
      <c r="HXL641" s="354"/>
      <c r="HXM641" s="313"/>
      <c r="HXN641" s="340"/>
      <c r="HXO641" s="340"/>
      <c r="HXP641" s="354"/>
      <c r="HXQ641" s="313"/>
      <c r="HXR641" s="340"/>
      <c r="HXS641" s="340"/>
      <c r="HXT641" s="354"/>
      <c r="HXU641" s="313"/>
      <c r="HXV641" s="340"/>
      <c r="HXW641" s="340"/>
      <c r="HXX641" s="354"/>
      <c r="HXY641" s="313"/>
      <c r="HXZ641" s="340"/>
      <c r="HYA641" s="340"/>
      <c r="HYB641" s="354"/>
      <c r="HYC641" s="313"/>
      <c r="HYD641" s="340"/>
      <c r="HYE641" s="340"/>
      <c r="HYF641" s="354"/>
      <c r="HYG641" s="313"/>
      <c r="HYH641" s="340"/>
      <c r="HYI641" s="340"/>
      <c r="HYJ641" s="354"/>
      <c r="HYK641" s="313"/>
      <c r="HYL641" s="340"/>
      <c r="HYM641" s="340"/>
      <c r="HYN641" s="354"/>
      <c r="HYO641" s="313"/>
      <c r="HYP641" s="340"/>
      <c r="HYQ641" s="340"/>
      <c r="HYR641" s="354"/>
      <c r="HYS641" s="313"/>
      <c r="HYT641" s="340"/>
      <c r="HYU641" s="340"/>
      <c r="HYV641" s="354"/>
      <c r="HYW641" s="313"/>
      <c r="HYX641" s="340"/>
      <c r="HYY641" s="340"/>
      <c r="HYZ641" s="354"/>
      <c r="HZA641" s="313"/>
      <c r="HZB641" s="340"/>
      <c r="HZC641" s="340"/>
      <c r="HZD641" s="354"/>
      <c r="HZE641" s="313"/>
      <c r="HZF641" s="340"/>
      <c r="HZG641" s="340"/>
      <c r="HZH641" s="354"/>
      <c r="HZI641" s="313"/>
      <c r="HZJ641" s="340"/>
      <c r="HZK641" s="340"/>
      <c r="HZL641" s="354"/>
      <c r="HZM641" s="313"/>
      <c r="HZN641" s="340"/>
      <c r="HZO641" s="340"/>
      <c r="HZP641" s="354"/>
      <c r="HZQ641" s="313"/>
      <c r="HZR641" s="340"/>
      <c r="HZS641" s="340"/>
      <c r="HZT641" s="354"/>
      <c r="HZU641" s="313"/>
      <c r="HZV641" s="340"/>
      <c r="HZW641" s="340"/>
      <c r="HZX641" s="354"/>
      <c r="HZY641" s="313"/>
      <c r="HZZ641" s="340"/>
      <c r="IAA641" s="340"/>
      <c r="IAB641" s="354"/>
      <c r="IAC641" s="313"/>
      <c r="IAD641" s="340"/>
      <c r="IAE641" s="340"/>
      <c r="IAF641" s="354"/>
      <c r="IAG641" s="313"/>
      <c r="IAH641" s="340"/>
      <c r="IAI641" s="340"/>
      <c r="IAJ641" s="354"/>
      <c r="IAK641" s="313"/>
      <c r="IAL641" s="340"/>
      <c r="IAM641" s="340"/>
      <c r="IAN641" s="354"/>
      <c r="IAO641" s="313"/>
      <c r="IAP641" s="340"/>
      <c r="IAQ641" s="340"/>
      <c r="IAR641" s="354"/>
      <c r="IAS641" s="313"/>
      <c r="IAT641" s="340"/>
      <c r="IAU641" s="340"/>
      <c r="IAV641" s="354"/>
      <c r="IAW641" s="313"/>
      <c r="IAX641" s="340"/>
      <c r="IAY641" s="340"/>
      <c r="IAZ641" s="354"/>
      <c r="IBA641" s="313"/>
      <c r="IBB641" s="340"/>
      <c r="IBC641" s="340"/>
      <c r="IBD641" s="354"/>
      <c r="IBE641" s="313"/>
      <c r="IBF641" s="340"/>
      <c r="IBG641" s="340"/>
      <c r="IBH641" s="354"/>
      <c r="IBI641" s="313"/>
      <c r="IBJ641" s="340"/>
      <c r="IBK641" s="340"/>
      <c r="IBL641" s="354"/>
      <c r="IBM641" s="313"/>
      <c r="IBN641" s="340"/>
      <c r="IBO641" s="340"/>
      <c r="IBP641" s="354"/>
      <c r="IBQ641" s="313"/>
      <c r="IBR641" s="340"/>
      <c r="IBS641" s="340"/>
      <c r="IBT641" s="354"/>
      <c r="IBU641" s="313"/>
      <c r="IBV641" s="340"/>
      <c r="IBW641" s="340"/>
      <c r="IBX641" s="354"/>
      <c r="IBY641" s="313"/>
      <c r="IBZ641" s="340"/>
      <c r="ICA641" s="340"/>
      <c r="ICB641" s="354"/>
      <c r="ICC641" s="313"/>
      <c r="ICD641" s="340"/>
      <c r="ICE641" s="340"/>
      <c r="ICF641" s="354"/>
      <c r="ICG641" s="313"/>
      <c r="ICH641" s="340"/>
      <c r="ICI641" s="340"/>
      <c r="ICJ641" s="354"/>
      <c r="ICK641" s="313"/>
      <c r="ICL641" s="340"/>
      <c r="ICM641" s="340"/>
      <c r="ICN641" s="354"/>
      <c r="ICO641" s="313"/>
      <c r="ICP641" s="340"/>
      <c r="ICQ641" s="340"/>
      <c r="ICR641" s="354"/>
      <c r="ICS641" s="313"/>
      <c r="ICT641" s="340"/>
      <c r="ICU641" s="340"/>
      <c r="ICV641" s="354"/>
      <c r="ICW641" s="313"/>
      <c r="ICX641" s="340"/>
      <c r="ICY641" s="340"/>
      <c r="ICZ641" s="354"/>
      <c r="IDA641" s="313"/>
      <c r="IDB641" s="340"/>
      <c r="IDC641" s="340"/>
      <c r="IDD641" s="354"/>
      <c r="IDE641" s="313"/>
      <c r="IDF641" s="340"/>
      <c r="IDG641" s="340"/>
      <c r="IDH641" s="354"/>
      <c r="IDI641" s="313"/>
      <c r="IDJ641" s="340"/>
      <c r="IDK641" s="340"/>
      <c r="IDL641" s="354"/>
      <c r="IDM641" s="313"/>
      <c r="IDN641" s="340"/>
      <c r="IDO641" s="340"/>
      <c r="IDP641" s="354"/>
      <c r="IDQ641" s="313"/>
      <c r="IDR641" s="340"/>
      <c r="IDS641" s="340"/>
      <c r="IDT641" s="354"/>
      <c r="IDU641" s="313"/>
      <c r="IDV641" s="340"/>
      <c r="IDW641" s="340"/>
      <c r="IDX641" s="354"/>
      <c r="IDY641" s="313"/>
      <c r="IDZ641" s="340"/>
      <c r="IEA641" s="340"/>
      <c r="IEB641" s="354"/>
      <c r="IEC641" s="313"/>
      <c r="IED641" s="340"/>
      <c r="IEE641" s="340"/>
      <c r="IEF641" s="354"/>
      <c r="IEG641" s="313"/>
      <c r="IEH641" s="340"/>
      <c r="IEI641" s="340"/>
      <c r="IEJ641" s="354"/>
      <c r="IEK641" s="313"/>
      <c r="IEL641" s="340"/>
      <c r="IEM641" s="340"/>
      <c r="IEN641" s="354"/>
      <c r="IEO641" s="313"/>
      <c r="IEP641" s="340"/>
      <c r="IEQ641" s="340"/>
      <c r="IER641" s="354"/>
      <c r="IES641" s="313"/>
      <c r="IET641" s="340"/>
      <c r="IEU641" s="340"/>
      <c r="IEV641" s="354"/>
      <c r="IEW641" s="313"/>
      <c r="IEX641" s="340"/>
      <c r="IEY641" s="340"/>
      <c r="IEZ641" s="354"/>
      <c r="IFA641" s="313"/>
      <c r="IFB641" s="340"/>
      <c r="IFC641" s="340"/>
      <c r="IFD641" s="354"/>
      <c r="IFE641" s="313"/>
      <c r="IFF641" s="340"/>
      <c r="IFG641" s="340"/>
      <c r="IFH641" s="354"/>
      <c r="IFI641" s="313"/>
      <c r="IFJ641" s="340"/>
      <c r="IFK641" s="340"/>
      <c r="IFL641" s="354"/>
      <c r="IFM641" s="313"/>
      <c r="IFN641" s="340"/>
      <c r="IFO641" s="340"/>
      <c r="IFP641" s="354"/>
      <c r="IFQ641" s="313"/>
      <c r="IFR641" s="340"/>
      <c r="IFS641" s="340"/>
      <c r="IFT641" s="354"/>
      <c r="IFU641" s="313"/>
      <c r="IFV641" s="340"/>
      <c r="IFW641" s="340"/>
      <c r="IFX641" s="354"/>
      <c r="IFY641" s="313"/>
      <c r="IFZ641" s="340"/>
      <c r="IGA641" s="340"/>
      <c r="IGB641" s="354"/>
      <c r="IGC641" s="313"/>
      <c r="IGD641" s="340"/>
      <c r="IGE641" s="340"/>
      <c r="IGF641" s="354"/>
      <c r="IGG641" s="313"/>
      <c r="IGH641" s="340"/>
      <c r="IGI641" s="340"/>
      <c r="IGJ641" s="354"/>
      <c r="IGK641" s="313"/>
      <c r="IGL641" s="340"/>
      <c r="IGM641" s="340"/>
      <c r="IGN641" s="354"/>
      <c r="IGO641" s="313"/>
      <c r="IGP641" s="340"/>
      <c r="IGQ641" s="340"/>
      <c r="IGR641" s="354"/>
      <c r="IGS641" s="313"/>
      <c r="IGT641" s="340"/>
      <c r="IGU641" s="340"/>
      <c r="IGV641" s="354"/>
      <c r="IGW641" s="313"/>
      <c r="IGX641" s="340"/>
      <c r="IGY641" s="340"/>
      <c r="IGZ641" s="354"/>
      <c r="IHA641" s="313"/>
      <c r="IHB641" s="340"/>
      <c r="IHC641" s="340"/>
      <c r="IHD641" s="354"/>
      <c r="IHE641" s="313"/>
      <c r="IHF641" s="340"/>
      <c r="IHG641" s="340"/>
      <c r="IHH641" s="354"/>
      <c r="IHI641" s="313"/>
      <c r="IHJ641" s="340"/>
      <c r="IHK641" s="340"/>
      <c r="IHL641" s="354"/>
      <c r="IHM641" s="313"/>
      <c r="IHN641" s="340"/>
      <c r="IHO641" s="340"/>
      <c r="IHP641" s="354"/>
      <c r="IHQ641" s="313"/>
      <c r="IHR641" s="340"/>
      <c r="IHS641" s="340"/>
      <c r="IHT641" s="354"/>
      <c r="IHU641" s="313"/>
      <c r="IHV641" s="340"/>
      <c r="IHW641" s="340"/>
      <c r="IHX641" s="354"/>
      <c r="IHY641" s="313"/>
      <c r="IHZ641" s="340"/>
      <c r="IIA641" s="340"/>
      <c r="IIB641" s="354"/>
      <c r="IIC641" s="313"/>
      <c r="IID641" s="340"/>
      <c r="IIE641" s="340"/>
      <c r="IIF641" s="354"/>
      <c r="IIG641" s="313"/>
      <c r="IIH641" s="340"/>
      <c r="III641" s="340"/>
      <c r="IIJ641" s="354"/>
      <c r="IIK641" s="313"/>
      <c r="IIL641" s="340"/>
      <c r="IIM641" s="340"/>
      <c r="IIN641" s="354"/>
      <c r="IIO641" s="313"/>
      <c r="IIP641" s="340"/>
      <c r="IIQ641" s="340"/>
      <c r="IIR641" s="354"/>
      <c r="IIS641" s="313"/>
      <c r="IIT641" s="340"/>
      <c r="IIU641" s="340"/>
      <c r="IIV641" s="354"/>
      <c r="IIW641" s="313"/>
      <c r="IIX641" s="340"/>
      <c r="IIY641" s="340"/>
      <c r="IIZ641" s="354"/>
      <c r="IJA641" s="313"/>
      <c r="IJB641" s="340"/>
      <c r="IJC641" s="340"/>
      <c r="IJD641" s="354"/>
      <c r="IJE641" s="313"/>
      <c r="IJF641" s="340"/>
      <c r="IJG641" s="340"/>
      <c r="IJH641" s="354"/>
      <c r="IJI641" s="313"/>
      <c r="IJJ641" s="340"/>
      <c r="IJK641" s="340"/>
      <c r="IJL641" s="354"/>
      <c r="IJM641" s="313"/>
      <c r="IJN641" s="340"/>
      <c r="IJO641" s="340"/>
      <c r="IJP641" s="354"/>
      <c r="IJQ641" s="313"/>
      <c r="IJR641" s="340"/>
      <c r="IJS641" s="340"/>
      <c r="IJT641" s="354"/>
      <c r="IJU641" s="313"/>
      <c r="IJV641" s="340"/>
      <c r="IJW641" s="340"/>
      <c r="IJX641" s="354"/>
      <c r="IJY641" s="313"/>
      <c r="IJZ641" s="340"/>
      <c r="IKA641" s="340"/>
      <c r="IKB641" s="354"/>
      <c r="IKC641" s="313"/>
      <c r="IKD641" s="340"/>
      <c r="IKE641" s="340"/>
      <c r="IKF641" s="354"/>
      <c r="IKG641" s="313"/>
      <c r="IKH641" s="340"/>
      <c r="IKI641" s="340"/>
      <c r="IKJ641" s="354"/>
      <c r="IKK641" s="313"/>
      <c r="IKL641" s="340"/>
      <c r="IKM641" s="340"/>
      <c r="IKN641" s="354"/>
      <c r="IKO641" s="313"/>
      <c r="IKP641" s="340"/>
      <c r="IKQ641" s="340"/>
      <c r="IKR641" s="354"/>
      <c r="IKS641" s="313"/>
      <c r="IKT641" s="340"/>
      <c r="IKU641" s="340"/>
      <c r="IKV641" s="354"/>
      <c r="IKW641" s="313"/>
      <c r="IKX641" s="340"/>
      <c r="IKY641" s="340"/>
      <c r="IKZ641" s="354"/>
      <c r="ILA641" s="313"/>
      <c r="ILB641" s="340"/>
      <c r="ILC641" s="340"/>
      <c r="ILD641" s="354"/>
      <c r="ILE641" s="313"/>
      <c r="ILF641" s="340"/>
      <c r="ILG641" s="340"/>
      <c r="ILH641" s="354"/>
      <c r="ILI641" s="313"/>
      <c r="ILJ641" s="340"/>
      <c r="ILK641" s="340"/>
      <c r="ILL641" s="354"/>
      <c r="ILM641" s="313"/>
      <c r="ILN641" s="340"/>
      <c r="ILO641" s="340"/>
      <c r="ILP641" s="354"/>
      <c r="ILQ641" s="313"/>
      <c r="ILR641" s="340"/>
      <c r="ILS641" s="340"/>
      <c r="ILT641" s="354"/>
      <c r="ILU641" s="313"/>
      <c r="ILV641" s="340"/>
      <c r="ILW641" s="340"/>
      <c r="ILX641" s="354"/>
      <c r="ILY641" s="313"/>
      <c r="ILZ641" s="340"/>
      <c r="IMA641" s="340"/>
      <c r="IMB641" s="354"/>
      <c r="IMC641" s="313"/>
      <c r="IMD641" s="340"/>
      <c r="IME641" s="340"/>
      <c r="IMF641" s="354"/>
      <c r="IMG641" s="313"/>
      <c r="IMH641" s="340"/>
      <c r="IMI641" s="340"/>
      <c r="IMJ641" s="354"/>
      <c r="IMK641" s="313"/>
      <c r="IML641" s="340"/>
      <c r="IMM641" s="340"/>
      <c r="IMN641" s="354"/>
      <c r="IMO641" s="313"/>
      <c r="IMP641" s="340"/>
      <c r="IMQ641" s="340"/>
      <c r="IMR641" s="354"/>
      <c r="IMS641" s="313"/>
      <c r="IMT641" s="340"/>
      <c r="IMU641" s="340"/>
      <c r="IMV641" s="354"/>
      <c r="IMW641" s="313"/>
      <c r="IMX641" s="340"/>
      <c r="IMY641" s="340"/>
      <c r="IMZ641" s="354"/>
      <c r="INA641" s="313"/>
      <c r="INB641" s="340"/>
      <c r="INC641" s="340"/>
      <c r="IND641" s="354"/>
      <c r="INE641" s="313"/>
      <c r="INF641" s="340"/>
      <c r="ING641" s="340"/>
      <c r="INH641" s="354"/>
      <c r="INI641" s="313"/>
      <c r="INJ641" s="340"/>
      <c r="INK641" s="340"/>
      <c r="INL641" s="354"/>
      <c r="INM641" s="313"/>
      <c r="INN641" s="340"/>
      <c r="INO641" s="340"/>
      <c r="INP641" s="354"/>
      <c r="INQ641" s="313"/>
      <c r="INR641" s="340"/>
      <c r="INS641" s="340"/>
      <c r="INT641" s="354"/>
      <c r="INU641" s="313"/>
      <c r="INV641" s="340"/>
      <c r="INW641" s="340"/>
      <c r="INX641" s="354"/>
      <c r="INY641" s="313"/>
      <c r="INZ641" s="340"/>
      <c r="IOA641" s="340"/>
      <c r="IOB641" s="354"/>
      <c r="IOC641" s="313"/>
      <c r="IOD641" s="340"/>
      <c r="IOE641" s="340"/>
      <c r="IOF641" s="354"/>
      <c r="IOG641" s="313"/>
      <c r="IOH641" s="340"/>
      <c r="IOI641" s="340"/>
      <c r="IOJ641" s="354"/>
      <c r="IOK641" s="313"/>
      <c r="IOL641" s="340"/>
      <c r="IOM641" s="340"/>
      <c r="ION641" s="354"/>
      <c r="IOO641" s="313"/>
      <c r="IOP641" s="340"/>
      <c r="IOQ641" s="340"/>
      <c r="IOR641" s="354"/>
      <c r="IOS641" s="313"/>
      <c r="IOT641" s="340"/>
      <c r="IOU641" s="340"/>
      <c r="IOV641" s="354"/>
      <c r="IOW641" s="313"/>
      <c r="IOX641" s="340"/>
      <c r="IOY641" s="340"/>
      <c r="IOZ641" s="354"/>
      <c r="IPA641" s="313"/>
      <c r="IPB641" s="340"/>
      <c r="IPC641" s="340"/>
      <c r="IPD641" s="354"/>
      <c r="IPE641" s="313"/>
      <c r="IPF641" s="340"/>
      <c r="IPG641" s="340"/>
      <c r="IPH641" s="354"/>
      <c r="IPI641" s="313"/>
      <c r="IPJ641" s="340"/>
      <c r="IPK641" s="340"/>
      <c r="IPL641" s="354"/>
      <c r="IPM641" s="313"/>
      <c r="IPN641" s="340"/>
      <c r="IPO641" s="340"/>
      <c r="IPP641" s="354"/>
      <c r="IPQ641" s="313"/>
      <c r="IPR641" s="340"/>
      <c r="IPS641" s="340"/>
      <c r="IPT641" s="354"/>
      <c r="IPU641" s="313"/>
      <c r="IPV641" s="340"/>
      <c r="IPW641" s="340"/>
      <c r="IPX641" s="354"/>
      <c r="IPY641" s="313"/>
      <c r="IPZ641" s="340"/>
      <c r="IQA641" s="340"/>
      <c r="IQB641" s="354"/>
      <c r="IQC641" s="313"/>
      <c r="IQD641" s="340"/>
      <c r="IQE641" s="340"/>
      <c r="IQF641" s="354"/>
      <c r="IQG641" s="313"/>
      <c r="IQH641" s="340"/>
      <c r="IQI641" s="340"/>
      <c r="IQJ641" s="354"/>
      <c r="IQK641" s="313"/>
      <c r="IQL641" s="340"/>
      <c r="IQM641" s="340"/>
      <c r="IQN641" s="354"/>
      <c r="IQO641" s="313"/>
      <c r="IQP641" s="340"/>
      <c r="IQQ641" s="340"/>
      <c r="IQR641" s="354"/>
      <c r="IQS641" s="313"/>
      <c r="IQT641" s="340"/>
      <c r="IQU641" s="340"/>
      <c r="IQV641" s="354"/>
      <c r="IQW641" s="313"/>
      <c r="IQX641" s="340"/>
      <c r="IQY641" s="340"/>
      <c r="IQZ641" s="354"/>
      <c r="IRA641" s="313"/>
      <c r="IRB641" s="340"/>
      <c r="IRC641" s="340"/>
      <c r="IRD641" s="354"/>
      <c r="IRE641" s="313"/>
      <c r="IRF641" s="340"/>
      <c r="IRG641" s="340"/>
      <c r="IRH641" s="354"/>
      <c r="IRI641" s="313"/>
      <c r="IRJ641" s="340"/>
      <c r="IRK641" s="340"/>
      <c r="IRL641" s="354"/>
      <c r="IRM641" s="313"/>
      <c r="IRN641" s="340"/>
      <c r="IRO641" s="340"/>
      <c r="IRP641" s="354"/>
      <c r="IRQ641" s="313"/>
      <c r="IRR641" s="340"/>
      <c r="IRS641" s="340"/>
      <c r="IRT641" s="354"/>
      <c r="IRU641" s="313"/>
      <c r="IRV641" s="340"/>
      <c r="IRW641" s="340"/>
      <c r="IRX641" s="354"/>
      <c r="IRY641" s="313"/>
      <c r="IRZ641" s="340"/>
      <c r="ISA641" s="340"/>
      <c r="ISB641" s="354"/>
      <c r="ISC641" s="313"/>
      <c r="ISD641" s="340"/>
      <c r="ISE641" s="340"/>
      <c r="ISF641" s="354"/>
      <c r="ISG641" s="313"/>
      <c r="ISH641" s="340"/>
      <c r="ISI641" s="340"/>
      <c r="ISJ641" s="354"/>
      <c r="ISK641" s="313"/>
      <c r="ISL641" s="340"/>
      <c r="ISM641" s="340"/>
      <c r="ISN641" s="354"/>
      <c r="ISO641" s="313"/>
      <c r="ISP641" s="340"/>
      <c r="ISQ641" s="340"/>
      <c r="ISR641" s="354"/>
      <c r="ISS641" s="313"/>
      <c r="IST641" s="340"/>
      <c r="ISU641" s="340"/>
      <c r="ISV641" s="354"/>
      <c r="ISW641" s="313"/>
      <c r="ISX641" s="340"/>
      <c r="ISY641" s="340"/>
      <c r="ISZ641" s="354"/>
      <c r="ITA641" s="313"/>
      <c r="ITB641" s="340"/>
      <c r="ITC641" s="340"/>
      <c r="ITD641" s="354"/>
      <c r="ITE641" s="313"/>
      <c r="ITF641" s="340"/>
      <c r="ITG641" s="340"/>
      <c r="ITH641" s="354"/>
      <c r="ITI641" s="313"/>
      <c r="ITJ641" s="340"/>
      <c r="ITK641" s="340"/>
      <c r="ITL641" s="354"/>
      <c r="ITM641" s="313"/>
      <c r="ITN641" s="340"/>
      <c r="ITO641" s="340"/>
      <c r="ITP641" s="354"/>
      <c r="ITQ641" s="313"/>
      <c r="ITR641" s="340"/>
      <c r="ITS641" s="340"/>
      <c r="ITT641" s="354"/>
      <c r="ITU641" s="313"/>
      <c r="ITV641" s="340"/>
      <c r="ITW641" s="340"/>
      <c r="ITX641" s="354"/>
      <c r="ITY641" s="313"/>
      <c r="ITZ641" s="340"/>
      <c r="IUA641" s="340"/>
      <c r="IUB641" s="354"/>
      <c r="IUC641" s="313"/>
      <c r="IUD641" s="340"/>
      <c r="IUE641" s="340"/>
      <c r="IUF641" s="354"/>
      <c r="IUG641" s="313"/>
      <c r="IUH641" s="340"/>
      <c r="IUI641" s="340"/>
      <c r="IUJ641" s="354"/>
      <c r="IUK641" s="313"/>
      <c r="IUL641" s="340"/>
      <c r="IUM641" s="340"/>
      <c r="IUN641" s="354"/>
      <c r="IUO641" s="313"/>
      <c r="IUP641" s="340"/>
      <c r="IUQ641" s="340"/>
      <c r="IUR641" s="354"/>
      <c r="IUS641" s="313"/>
      <c r="IUT641" s="340"/>
      <c r="IUU641" s="340"/>
      <c r="IUV641" s="354"/>
      <c r="IUW641" s="313"/>
      <c r="IUX641" s="340"/>
      <c r="IUY641" s="340"/>
      <c r="IUZ641" s="354"/>
      <c r="IVA641" s="313"/>
      <c r="IVB641" s="340"/>
      <c r="IVC641" s="340"/>
      <c r="IVD641" s="354"/>
      <c r="IVE641" s="313"/>
      <c r="IVF641" s="340"/>
      <c r="IVG641" s="340"/>
      <c r="IVH641" s="354"/>
      <c r="IVI641" s="313"/>
      <c r="IVJ641" s="340"/>
      <c r="IVK641" s="340"/>
      <c r="IVL641" s="354"/>
      <c r="IVM641" s="313"/>
      <c r="IVN641" s="340"/>
      <c r="IVO641" s="340"/>
      <c r="IVP641" s="354"/>
      <c r="IVQ641" s="313"/>
      <c r="IVR641" s="340"/>
      <c r="IVS641" s="340"/>
      <c r="IVT641" s="354"/>
      <c r="IVU641" s="313"/>
      <c r="IVV641" s="340"/>
      <c r="IVW641" s="340"/>
      <c r="IVX641" s="354"/>
      <c r="IVY641" s="313"/>
      <c r="IVZ641" s="340"/>
      <c r="IWA641" s="340"/>
      <c r="IWB641" s="354"/>
      <c r="IWC641" s="313"/>
      <c r="IWD641" s="340"/>
      <c r="IWE641" s="340"/>
      <c r="IWF641" s="354"/>
      <c r="IWG641" s="313"/>
      <c r="IWH641" s="340"/>
      <c r="IWI641" s="340"/>
      <c r="IWJ641" s="354"/>
      <c r="IWK641" s="313"/>
      <c r="IWL641" s="340"/>
      <c r="IWM641" s="340"/>
      <c r="IWN641" s="354"/>
      <c r="IWO641" s="313"/>
      <c r="IWP641" s="340"/>
      <c r="IWQ641" s="340"/>
      <c r="IWR641" s="354"/>
      <c r="IWS641" s="313"/>
      <c r="IWT641" s="340"/>
      <c r="IWU641" s="340"/>
      <c r="IWV641" s="354"/>
      <c r="IWW641" s="313"/>
      <c r="IWX641" s="340"/>
      <c r="IWY641" s="340"/>
      <c r="IWZ641" s="354"/>
      <c r="IXA641" s="313"/>
      <c r="IXB641" s="340"/>
      <c r="IXC641" s="340"/>
      <c r="IXD641" s="354"/>
      <c r="IXE641" s="313"/>
      <c r="IXF641" s="340"/>
      <c r="IXG641" s="340"/>
      <c r="IXH641" s="354"/>
      <c r="IXI641" s="313"/>
      <c r="IXJ641" s="340"/>
      <c r="IXK641" s="340"/>
      <c r="IXL641" s="354"/>
      <c r="IXM641" s="313"/>
      <c r="IXN641" s="340"/>
      <c r="IXO641" s="340"/>
      <c r="IXP641" s="354"/>
      <c r="IXQ641" s="313"/>
      <c r="IXR641" s="340"/>
      <c r="IXS641" s="340"/>
      <c r="IXT641" s="354"/>
      <c r="IXU641" s="313"/>
      <c r="IXV641" s="340"/>
      <c r="IXW641" s="340"/>
      <c r="IXX641" s="354"/>
      <c r="IXY641" s="313"/>
      <c r="IXZ641" s="340"/>
      <c r="IYA641" s="340"/>
      <c r="IYB641" s="354"/>
      <c r="IYC641" s="313"/>
      <c r="IYD641" s="340"/>
      <c r="IYE641" s="340"/>
      <c r="IYF641" s="354"/>
      <c r="IYG641" s="313"/>
      <c r="IYH641" s="340"/>
      <c r="IYI641" s="340"/>
      <c r="IYJ641" s="354"/>
      <c r="IYK641" s="313"/>
      <c r="IYL641" s="340"/>
      <c r="IYM641" s="340"/>
      <c r="IYN641" s="354"/>
      <c r="IYO641" s="313"/>
      <c r="IYP641" s="340"/>
      <c r="IYQ641" s="340"/>
      <c r="IYR641" s="354"/>
      <c r="IYS641" s="313"/>
      <c r="IYT641" s="340"/>
      <c r="IYU641" s="340"/>
      <c r="IYV641" s="354"/>
      <c r="IYW641" s="313"/>
      <c r="IYX641" s="340"/>
      <c r="IYY641" s="340"/>
      <c r="IYZ641" s="354"/>
      <c r="IZA641" s="313"/>
      <c r="IZB641" s="340"/>
      <c r="IZC641" s="340"/>
      <c r="IZD641" s="354"/>
      <c r="IZE641" s="313"/>
      <c r="IZF641" s="340"/>
      <c r="IZG641" s="340"/>
      <c r="IZH641" s="354"/>
      <c r="IZI641" s="313"/>
      <c r="IZJ641" s="340"/>
      <c r="IZK641" s="340"/>
      <c r="IZL641" s="354"/>
      <c r="IZM641" s="313"/>
      <c r="IZN641" s="340"/>
      <c r="IZO641" s="340"/>
      <c r="IZP641" s="354"/>
      <c r="IZQ641" s="313"/>
      <c r="IZR641" s="340"/>
      <c r="IZS641" s="340"/>
      <c r="IZT641" s="354"/>
      <c r="IZU641" s="313"/>
      <c r="IZV641" s="340"/>
      <c r="IZW641" s="340"/>
      <c r="IZX641" s="354"/>
      <c r="IZY641" s="313"/>
      <c r="IZZ641" s="340"/>
      <c r="JAA641" s="340"/>
      <c r="JAB641" s="354"/>
      <c r="JAC641" s="313"/>
      <c r="JAD641" s="340"/>
      <c r="JAE641" s="340"/>
      <c r="JAF641" s="354"/>
      <c r="JAG641" s="313"/>
      <c r="JAH641" s="340"/>
      <c r="JAI641" s="340"/>
      <c r="JAJ641" s="354"/>
      <c r="JAK641" s="313"/>
      <c r="JAL641" s="340"/>
      <c r="JAM641" s="340"/>
      <c r="JAN641" s="354"/>
      <c r="JAO641" s="313"/>
      <c r="JAP641" s="340"/>
      <c r="JAQ641" s="340"/>
      <c r="JAR641" s="354"/>
      <c r="JAS641" s="313"/>
      <c r="JAT641" s="340"/>
      <c r="JAU641" s="340"/>
      <c r="JAV641" s="354"/>
      <c r="JAW641" s="313"/>
      <c r="JAX641" s="340"/>
      <c r="JAY641" s="340"/>
      <c r="JAZ641" s="354"/>
      <c r="JBA641" s="313"/>
      <c r="JBB641" s="340"/>
      <c r="JBC641" s="340"/>
      <c r="JBD641" s="354"/>
      <c r="JBE641" s="313"/>
      <c r="JBF641" s="340"/>
      <c r="JBG641" s="340"/>
      <c r="JBH641" s="354"/>
      <c r="JBI641" s="313"/>
      <c r="JBJ641" s="340"/>
      <c r="JBK641" s="340"/>
      <c r="JBL641" s="354"/>
      <c r="JBM641" s="313"/>
      <c r="JBN641" s="340"/>
      <c r="JBO641" s="340"/>
      <c r="JBP641" s="354"/>
      <c r="JBQ641" s="313"/>
      <c r="JBR641" s="340"/>
      <c r="JBS641" s="340"/>
      <c r="JBT641" s="354"/>
      <c r="JBU641" s="313"/>
      <c r="JBV641" s="340"/>
      <c r="JBW641" s="340"/>
      <c r="JBX641" s="354"/>
      <c r="JBY641" s="313"/>
      <c r="JBZ641" s="340"/>
      <c r="JCA641" s="340"/>
      <c r="JCB641" s="354"/>
      <c r="JCC641" s="313"/>
      <c r="JCD641" s="340"/>
      <c r="JCE641" s="340"/>
      <c r="JCF641" s="354"/>
      <c r="JCG641" s="313"/>
      <c r="JCH641" s="340"/>
      <c r="JCI641" s="340"/>
      <c r="JCJ641" s="354"/>
      <c r="JCK641" s="313"/>
      <c r="JCL641" s="340"/>
      <c r="JCM641" s="340"/>
      <c r="JCN641" s="354"/>
      <c r="JCO641" s="313"/>
      <c r="JCP641" s="340"/>
      <c r="JCQ641" s="340"/>
      <c r="JCR641" s="354"/>
      <c r="JCS641" s="313"/>
      <c r="JCT641" s="340"/>
      <c r="JCU641" s="340"/>
      <c r="JCV641" s="354"/>
      <c r="JCW641" s="313"/>
      <c r="JCX641" s="340"/>
      <c r="JCY641" s="340"/>
      <c r="JCZ641" s="354"/>
      <c r="JDA641" s="313"/>
      <c r="JDB641" s="340"/>
      <c r="JDC641" s="340"/>
      <c r="JDD641" s="354"/>
      <c r="JDE641" s="313"/>
      <c r="JDF641" s="340"/>
      <c r="JDG641" s="340"/>
      <c r="JDH641" s="354"/>
      <c r="JDI641" s="313"/>
      <c r="JDJ641" s="340"/>
      <c r="JDK641" s="340"/>
      <c r="JDL641" s="354"/>
      <c r="JDM641" s="313"/>
      <c r="JDN641" s="340"/>
      <c r="JDO641" s="340"/>
      <c r="JDP641" s="354"/>
      <c r="JDQ641" s="313"/>
      <c r="JDR641" s="340"/>
      <c r="JDS641" s="340"/>
      <c r="JDT641" s="354"/>
      <c r="JDU641" s="313"/>
      <c r="JDV641" s="340"/>
      <c r="JDW641" s="340"/>
      <c r="JDX641" s="354"/>
      <c r="JDY641" s="313"/>
      <c r="JDZ641" s="340"/>
      <c r="JEA641" s="340"/>
      <c r="JEB641" s="354"/>
      <c r="JEC641" s="313"/>
      <c r="JED641" s="340"/>
      <c r="JEE641" s="340"/>
      <c r="JEF641" s="354"/>
      <c r="JEG641" s="313"/>
      <c r="JEH641" s="340"/>
      <c r="JEI641" s="340"/>
      <c r="JEJ641" s="354"/>
      <c r="JEK641" s="313"/>
      <c r="JEL641" s="340"/>
      <c r="JEM641" s="340"/>
      <c r="JEN641" s="354"/>
      <c r="JEO641" s="313"/>
      <c r="JEP641" s="340"/>
      <c r="JEQ641" s="340"/>
      <c r="JER641" s="354"/>
      <c r="JES641" s="313"/>
      <c r="JET641" s="340"/>
      <c r="JEU641" s="340"/>
      <c r="JEV641" s="354"/>
      <c r="JEW641" s="313"/>
      <c r="JEX641" s="340"/>
      <c r="JEY641" s="340"/>
      <c r="JEZ641" s="354"/>
      <c r="JFA641" s="313"/>
      <c r="JFB641" s="340"/>
      <c r="JFC641" s="340"/>
      <c r="JFD641" s="354"/>
      <c r="JFE641" s="313"/>
      <c r="JFF641" s="340"/>
      <c r="JFG641" s="340"/>
      <c r="JFH641" s="354"/>
      <c r="JFI641" s="313"/>
      <c r="JFJ641" s="340"/>
      <c r="JFK641" s="340"/>
      <c r="JFL641" s="354"/>
      <c r="JFM641" s="313"/>
      <c r="JFN641" s="340"/>
      <c r="JFO641" s="340"/>
      <c r="JFP641" s="354"/>
      <c r="JFQ641" s="313"/>
      <c r="JFR641" s="340"/>
      <c r="JFS641" s="340"/>
      <c r="JFT641" s="354"/>
      <c r="JFU641" s="313"/>
      <c r="JFV641" s="340"/>
      <c r="JFW641" s="340"/>
      <c r="JFX641" s="354"/>
      <c r="JFY641" s="313"/>
      <c r="JFZ641" s="340"/>
      <c r="JGA641" s="340"/>
      <c r="JGB641" s="354"/>
      <c r="JGC641" s="313"/>
      <c r="JGD641" s="340"/>
      <c r="JGE641" s="340"/>
      <c r="JGF641" s="354"/>
      <c r="JGG641" s="313"/>
      <c r="JGH641" s="340"/>
      <c r="JGI641" s="340"/>
      <c r="JGJ641" s="354"/>
      <c r="JGK641" s="313"/>
      <c r="JGL641" s="340"/>
      <c r="JGM641" s="340"/>
      <c r="JGN641" s="354"/>
      <c r="JGO641" s="313"/>
      <c r="JGP641" s="340"/>
      <c r="JGQ641" s="340"/>
      <c r="JGR641" s="354"/>
      <c r="JGS641" s="313"/>
      <c r="JGT641" s="340"/>
      <c r="JGU641" s="340"/>
      <c r="JGV641" s="354"/>
      <c r="JGW641" s="313"/>
      <c r="JGX641" s="340"/>
      <c r="JGY641" s="340"/>
      <c r="JGZ641" s="354"/>
      <c r="JHA641" s="313"/>
      <c r="JHB641" s="340"/>
      <c r="JHC641" s="340"/>
      <c r="JHD641" s="354"/>
      <c r="JHE641" s="313"/>
      <c r="JHF641" s="340"/>
      <c r="JHG641" s="340"/>
      <c r="JHH641" s="354"/>
      <c r="JHI641" s="313"/>
      <c r="JHJ641" s="340"/>
      <c r="JHK641" s="340"/>
      <c r="JHL641" s="354"/>
      <c r="JHM641" s="313"/>
      <c r="JHN641" s="340"/>
      <c r="JHO641" s="340"/>
      <c r="JHP641" s="354"/>
      <c r="JHQ641" s="313"/>
      <c r="JHR641" s="340"/>
      <c r="JHS641" s="340"/>
      <c r="JHT641" s="354"/>
      <c r="JHU641" s="313"/>
      <c r="JHV641" s="340"/>
      <c r="JHW641" s="340"/>
      <c r="JHX641" s="354"/>
      <c r="JHY641" s="313"/>
      <c r="JHZ641" s="340"/>
      <c r="JIA641" s="340"/>
      <c r="JIB641" s="354"/>
      <c r="JIC641" s="313"/>
      <c r="JID641" s="340"/>
      <c r="JIE641" s="340"/>
      <c r="JIF641" s="354"/>
      <c r="JIG641" s="313"/>
      <c r="JIH641" s="340"/>
      <c r="JII641" s="340"/>
      <c r="JIJ641" s="354"/>
      <c r="JIK641" s="313"/>
      <c r="JIL641" s="340"/>
      <c r="JIM641" s="340"/>
      <c r="JIN641" s="354"/>
      <c r="JIO641" s="313"/>
      <c r="JIP641" s="340"/>
      <c r="JIQ641" s="340"/>
      <c r="JIR641" s="354"/>
      <c r="JIS641" s="313"/>
      <c r="JIT641" s="340"/>
      <c r="JIU641" s="340"/>
      <c r="JIV641" s="354"/>
      <c r="JIW641" s="313"/>
      <c r="JIX641" s="340"/>
      <c r="JIY641" s="340"/>
      <c r="JIZ641" s="354"/>
      <c r="JJA641" s="313"/>
      <c r="JJB641" s="340"/>
      <c r="JJC641" s="340"/>
      <c r="JJD641" s="354"/>
      <c r="JJE641" s="313"/>
      <c r="JJF641" s="340"/>
      <c r="JJG641" s="340"/>
      <c r="JJH641" s="354"/>
      <c r="JJI641" s="313"/>
      <c r="JJJ641" s="340"/>
      <c r="JJK641" s="340"/>
      <c r="JJL641" s="354"/>
      <c r="JJM641" s="313"/>
      <c r="JJN641" s="340"/>
      <c r="JJO641" s="340"/>
      <c r="JJP641" s="354"/>
      <c r="JJQ641" s="313"/>
      <c r="JJR641" s="340"/>
      <c r="JJS641" s="340"/>
      <c r="JJT641" s="354"/>
      <c r="JJU641" s="313"/>
      <c r="JJV641" s="340"/>
      <c r="JJW641" s="340"/>
      <c r="JJX641" s="354"/>
      <c r="JJY641" s="313"/>
      <c r="JJZ641" s="340"/>
      <c r="JKA641" s="340"/>
      <c r="JKB641" s="354"/>
      <c r="JKC641" s="313"/>
      <c r="JKD641" s="340"/>
      <c r="JKE641" s="340"/>
      <c r="JKF641" s="354"/>
      <c r="JKG641" s="313"/>
      <c r="JKH641" s="340"/>
      <c r="JKI641" s="340"/>
      <c r="JKJ641" s="354"/>
      <c r="JKK641" s="313"/>
      <c r="JKL641" s="340"/>
      <c r="JKM641" s="340"/>
      <c r="JKN641" s="354"/>
      <c r="JKO641" s="313"/>
      <c r="JKP641" s="340"/>
      <c r="JKQ641" s="340"/>
      <c r="JKR641" s="354"/>
      <c r="JKS641" s="313"/>
      <c r="JKT641" s="340"/>
      <c r="JKU641" s="340"/>
      <c r="JKV641" s="354"/>
      <c r="JKW641" s="313"/>
      <c r="JKX641" s="340"/>
      <c r="JKY641" s="340"/>
      <c r="JKZ641" s="354"/>
      <c r="JLA641" s="313"/>
      <c r="JLB641" s="340"/>
      <c r="JLC641" s="340"/>
      <c r="JLD641" s="354"/>
      <c r="JLE641" s="313"/>
      <c r="JLF641" s="340"/>
      <c r="JLG641" s="340"/>
      <c r="JLH641" s="354"/>
      <c r="JLI641" s="313"/>
      <c r="JLJ641" s="340"/>
      <c r="JLK641" s="340"/>
      <c r="JLL641" s="354"/>
      <c r="JLM641" s="313"/>
      <c r="JLN641" s="340"/>
      <c r="JLO641" s="340"/>
      <c r="JLP641" s="354"/>
      <c r="JLQ641" s="313"/>
      <c r="JLR641" s="340"/>
      <c r="JLS641" s="340"/>
      <c r="JLT641" s="354"/>
      <c r="JLU641" s="313"/>
      <c r="JLV641" s="340"/>
      <c r="JLW641" s="340"/>
      <c r="JLX641" s="354"/>
      <c r="JLY641" s="313"/>
      <c r="JLZ641" s="340"/>
      <c r="JMA641" s="340"/>
      <c r="JMB641" s="354"/>
      <c r="JMC641" s="313"/>
      <c r="JMD641" s="340"/>
      <c r="JME641" s="340"/>
      <c r="JMF641" s="354"/>
      <c r="JMG641" s="313"/>
      <c r="JMH641" s="340"/>
      <c r="JMI641" s="340"/>
      <c r="JMJ641" s="354"/>
      <c r="JMK641" s="313"/>
      <c r="JML641" s="340"/>
      <c r="JMM641" s="340"/>
      <c r="JMN641" s="354"/>
      <c r="JMO641" s="313"/>
      <c r="JMP641" s="340"/>
      <c r="JMQ641" s="340"/>
      <c r="JMR641" s="354"/>
      <c r="JMS641" s="313"/>
      <c r="JMT641" s="340"/>
      <c r="JMU641" s="340"/>
      <c r="JMV641" s="354"/>
      <c r="JMW641" s="313"/>
      <c r="JMX641" s="340"/>
      <c r="JMY641" s="340"/>
      <c r="JMZ641" s="354"/>
      <c r="JNA641" s="313"/>
      <c r="JNB641" s="340"/>
      <c r="JNC641" s="340"/>
      <c r="JND641" s="354"/>
      <c r="JNE641" s="313"/>
      <c r="JNF641" s="340"/>
      <c r="JNG641" s="340"/>
      <c r="JNH641" s="354"/>
      <c r="JNI641" s="313"/>
      <c r="JNJ641" s="340"/>
      <c r="JNK641" s="340"/>
      <c r="JNL641" s="354"/>
      <c r="JNM641" s="313"/>
      <c r="JNN641" s="340"/>
      <c r="JNO641" s="340"/>
      <c r="JNP641" s="354"/>
      <c r="JNQ641" s="313"/>
      <c r="JNR641" s="340"/>
      <c r="JNS641" s="340"/>
      <c r="JNT641" s="354"/>
      <c r="JNU641" s="313"/>
      <c r="JNV641" s="340"/>
      <c r="JNW641" s="340"/>
      <c r="JNX641" s="354"/>
      <c r="JNY641" s="313"/>
      <c r="JNZ641" s="340"/>
      <c r="JOA641" s="340"/>
      <c r="JOB641" s="354"/>
      <c r="JOC641" s="313"/>
      <c r="JOD641" s="340"/>
      <c r="JOE641" s="340"/>
      <c r="JOF641" s="354"/>
      <c r="JOG641" s="313"/>
      <c r="JOH641" s="340"/>
      <c r="JOI641" s="340"/>
      <c r="JOJ641" s="354"/>
      <c r="JOK641" s="313"/>
      <c r="JOL641" s="340"/>
      <c r="JOM641" s="340"/>
      <c r="JON641" s="354"/>
      <c r="JOO641" s="313"/>
      <c r="JOP641" s="340"/>
      <c r="JOQ641" s="340"/>
      <c r="JOR641" s="354"/>
      <c r="JOS641" s="313"/>
      <c r="JOT641" s="340"/>
      <c r="JOU641" s="340"/>
      <c r="JOV641" s="354"/>
      <c r="JOW641" s="313"/>
      <c r="JOX641" s="340"/>
      <c r="JOY641" s="340"/>
      <c r="JOZ641" s="354"/>
      <c r="JPA641" s="313"/>
      <c r="JPB641" s="340"/>
      <c r="JPC641" s="340"/>
      <c r="JPD641" s="354"/>
      <c r="JPE641" s="313"/>
      <c r="JPF641" s="340"/>
      <c r="JPG641" s="340"/>
      <c r="JPH641" s="354"/>
      <c r="JPI641" s="313"/>
      <c r="JPJ641" s="340"/>
      <c r="JPK641" s="340"/>
      <c r="JPL641" s="354"/>
      <c r="JPM641" s="313"/>
      <c r="JPN641" s="340"/>
      <c r="JPO641" s="340"/>
      <c r="JPP641" s="354"/>
      <c r="JPQ641" s="313"/>
      <c r="JPR641" s="340"/>
      <c r="JPS641" s="340"/>
      <c r="JPT641" s="354"/>
      <c r="JPU641" s="313"/>
      <c r="JPV641" s="340"/>
      <c r="JPW641" s="340"/>
      <c r="JPX641" s="354"/>
      <c r="JPY641" s="313"/>
      <c r="JPZ641" s="340"/>
      <c r="JQA641" s="340"/>
      <c r="JQB641" s="354"/>
      <c r="JQC641" s="313"/>
      <c r="JQD641" s="340"/>
      <c r="JQE641" s="340"/>
      <c r="JQF641" s="354"/>
      <c r="JQG641" s="313"/>
      <c r="JQH641" s="340"/>
      <c r="JQI641" s="340"/>
      <c r="JQJ641" s="354"/>
      <c r="JQK641" s="313"/>
      <c r="JQL641" s="340"/>
      <c r="JQM641" s="340"/>
      <c r="JQN641" s="354"/>
      <c r="JQO641" s="313"/>
      <c r="JQP641" s="340"/>
      <c r="JQQ641" s="340"/>
      <c r="JQR641" s="354"/>
      <c r="JQS641" s="313"/>
      <c r="JQT641" s="340"/>
      <c r="JQU641" s="340"/>
      <c r="JQV641" s="354"/>
      <c r="JQW641" s="313"/>
      <c r="JQX641" s="340"/>
      <c r="JQY641" s="340"/>
      <c r="JQZ641" s="354"/>
      <c r="JRA641" s="313"/>
      <c r="JRB641" s="340"/>
      <c r="JRC641" s="340"/>
      <c r="JRD641" s="354"/>
      <c r="JRE641" s="313"/>
      <c r="JRF641" s="340"/>
      <c r="JRG641" s="340"/>
      <c r="JRH641" s="354"/>
      <c r="JRI641" s="313"/>
      <c r="JRJ641" s="340"/>
      <c r="JRK641" s="340"/>
      <c r="JRL641" s="354"/>
      <c r="JRM641" s="313"/>
      <c r="JRN641" s="340"/>
      <c r="JRO641" s="340"/>
      <c r="JRP641" s="354"/>
      <c r="JRQ641" s="313"/>
      <c r="JRR641" s="340"/>
      <c r="JRS641" s="340"/>
      <c r="JRT641" s="354"/>
      <c r="JRU641" s="313"/>
      <c r="JRV641" s="340"/>
      <c r="JRW641" s="340"/>
      <c r="JRX641" s="354"/>
      <c r="JRY641" s="313"/>
      <c r="JRZ641" s="340"/>
      <c r="JSA641" s="340"/>
      <c r="JSB641" s="354"/>
      <c r="JSC641" s="313"/>
      <c r="JSD641" s="340"/>
      <c r="JSE641" s="340"/>
      <c r="JSF641" s="354"/>
      <c r="JSG641" s="313"/>
      <c r="JSH641" s="340"/>
      <c r="JSI641" s="340"/>
      <c r="JSJ641" s="354"/>
      <c r="JSK641" s="313"/>
      <c r="JSL641" s="340"/>
      <c r="JSM641" s="340"/>
      <c r="JSN641" s="354"/>
      <c r="JSO641" s="313"/>
      <c r="JSP641" s="340"/>
      <c r="JSQ641" s="340"/>
      <c r="JSR641" s="354"/>
      <c r="JSS641" s="313"/>
      <c r="JST641" s="340"/>
      <c r="JSU641" s="340"/>
      <c r="JSV641" s="354"/>
      <c r="JSW641" s="313"/>
      <c r="JSX641" s="340"/>
      <c r="JSY641" s="340"/>
      <c r="JSZ641" s="354"/>
      <c r="JTA641" s="313"/>
      <c r="JTB641" s="340"/>
      <c r="JTC641" s="340"/>
      <c r="JTD641" s="354"/>
      <c r="JTE641" s="313"/>
      <c r="JTF641" s="340"/>
      <c r="JTG641" s="340"/>
      <c r="JTH641" s="354"/>
      <c r="JTI641" s="313"/>
      <c r="JTJ641" s="340"/>
      <c r="JTK641" s="340"/>
      <c r="JTL641" s="354"/>
      <c r="JTM641" s="313"/>
      <c r="JTN641" s="340"/>
      <c r="JTO641" s="340"/>
      <c r="JTP641" s="354"/>
      <c r="JTQ641" s="313"/>
      <c r="JTR641" s="340"/>
      <c r="JTS641" s="340"/>
      <c r="JTT641" s="354"/>
      <c r="JTU641" s="313"/>
      <c r="JTV641" s="340"/>
      <c r="JTW641" s="340"/>
      <c r="JTX641" s="354"/>
      <c r="JTY641" s="313"/>
      <c r="JTZ641" s="340"/>
      <c r="JUA641" s="340"/>
      <c r="JUB641" s="354"/>
      <c r="JUC641" s="313"/>
      <c r="JUD641" s="340"/>
      <c r="JUE641" s="340"/>
      <c r="JUF641" s="354"/>
      <c r="JUG641" s="313"/>
      <c r="JUH641" s="340"/>
      <c r="JUI641" s="340"/>
      <c r="JUJ641" s="354"/>
      <c r="JUK641" s="313"/>
      <c r="JUL641" s="340"/>
      <c r="JUM641" s="340"/>
      <c r="JUN641" s="354"/>
      <c r="JUO641" s="313"/>
      <c r="JUP641" s="340"/>
      <c r="JUQ641" s="340"/>
      <c r="JUR641" s="354"/>
      <c r="JUS641" s="313"/>
      <c r="JUT641" s="340"/>
      <c r="JUU641" s="340"/>
      <c r="JUV641" s="354"/>
      <c r="JUW641" s="313"/>
      <c r="JUX641" s="340"/>
      <c r="JUY641" s="340"/>
      <c r="JUZ641" s="354"/>
      <c r="JVA641" s="313"/>
      <c r="JVB641" s="340"/>
      <c r="JVC641" s="340"/>
      <c r="JVD641" s="354"/>
      <c r="JVE641" s="313"/>
      <c r="JVF641" s="340"/>
      <c r="JVG641" s="340"/>
      <c r="JVH641" s="354"/>
      <c r="JVI641" s="313"/>
      <c r="JVJ641" s="340"/>
      <c r="JVK641" s="340"/>
      <c r="JVL641" s="354"/>
      <c r="JVM641" s="313"/>
      <c r="JVN641" s="340"/>
      <c r="JVO641" s="340"/>
      <c r="JVP641" s="354"/>
      <c r="JVQ641" s="313"/>
      <c r="JVR641" s="340"/>
      <c r="JVS641" s="340"/>
      <c r="JVT641" s="354"/>
      <c r="JVU641" s="313"/>
      <c r="JVV641" s="340"/>
      <c r="JVW641" s="340"/>
      <c r="JVX641" s="354"/>
      <c r="JVY641" s="313"/>
      <c r="JVZ641" s="340"/>
      <c r="JWA641" s="340"/>
      <c r="JWB641" s="354"/>
      <c r="JWC641" s="313"/>
      <c r="JWD641" s="340"/>
      <c r="JWE641" s="340"/>
      <c r="JWF641" s="354"/>
      <c r="JWG641" s="313"/>
      <c r="JWH641" s="340"/>
      <c r="JWI641" s="340"/>
      <c r="JWJ641" s="354"/>
      <c r="JWK641" s="313"/>
      <c r="JWL641" s="340"/>
      <c r="JWM641" s="340"/>
      <c r="JWN641" s="354"/>
      <c r="JWO641" s="313"/>
      <c r="JWP641" s="340"/>
      <c r="JWQ641" s="340"/>
      <c r="JWR641" s="354"/>
      <c r="JWS641" s="313"/>
      <c r="JWT641" s="340"/>
      <c r="JWU641" s="340"/>
      <c r="JWV641" s="354"/>
      <c r="JWW641" s="313"/>
      <c r="JWX641" s="340"/>
      <c r="JWY641" s="340"/>
      <c r="JWZ641" s="354"/>
      <c r="JXA641" s="313"/>
      <c r="JXB641" s="340"/>
      <c r="JXC641" s="340"/>
      <c r="JXD641" s="354"/>
      <c r="JXE641" s="313"/>
      <c r="JXF641" s="340"/>
      <c r="JXG641" s="340"/>
      <c r="JXH641" s="354"/>
      <c r="JXI641" s="313"/>
      <c r="JXJ641" s="340"/>
      <c r="JXK641" s="340"/>
      <c r="JXL641" s="354"/>
      <c r="JXM641" s="313"/>
      <c r="JXN641" s="340"/>
      <c r="JXO641" s="340"/>
      <c r="JXP641" s="354"/>
      <c r="JXQ641" s="313"/>
      <c r="JXR641" s="340"/>
      <c r="JXS641" s="340"/>
      <c r="JXT641" s="354"/>
      <c r="JXU641" s="313"/>
      <c r="JXV641" s="340"/>
      <c r="JXW641" s="340"/>
      <c r="JXX641" s="354"/>
      <c r="JXY641" s="313"/>
      <c r="JXZ641" s="340"/>
      <c r="JYA641" s="340"/>
      <c r="JYB641" s="354"/>
      <c r="JYC641" s="313"/>
      <c r="JYD641" s="340"/>
      <c r="JYE641" s="340"/>
      <c r="JYF641" s="354"/>
      <c r="JYG641" s="313"/>
      <c r="JYH641" s="340"/>
      <c r="JYI641" s="340"/>
      <c r="JYJ641" s="354"/>
      <c r="JYK641" s="313"/>
      <c r="JYL641" s="340"/>
      <c r="JYM641" s="340"/>
      <c r="JYN641" s="354"/>
      <c r="JYO641" s="313"/>
      <c r="JYP641" s="340"/>
      <c r="JYQ641" s="340"/>
      <c r="JYR641" s="354"/>
      <c r="JYS641" s="313"/>
      <c r="JYT641" s="340"/>
      <c r="JYU641" s="340"/>
      <c r="JYV641" s="354"/>
      <c r="JYW641" s="313"/>
      <c r="JYX641" s="340"/>
      <c r="JYY641" s="340"/>
      <c r="JYZ641" s="354"/>
      <c r="JZA641" s="313"/>
      <c r="JZB641" s="340"/>
      <c r="JZC641" s="340"/>
      <c r="JZD641" s="354"/>
      <c r="JZE641" s="313"/>
      <c r="JZF641" s="340"/>
      <c r="JZG641" s="340"/>
      <c r="JZH641" s="354"/>
      <c r="JZI641" s="313"/>
      <c r="JZJ641" s="340"/>
      <c r="JZK641" s="340"/>
      <c r="JZL641" s="354"/>
      <c r="JZM641" s="313"/>
      <c r="JZN641" s="340"/>
      <c r="JZO641" s="340"/>
      <c r="JZP641" s="354"/>
      <c r="JZQ641" s="313"/>
      <c r="JZR641" s="340"/>
      <c r="JZS641" s="340"/>
      <c r="JZT641" s="354"/>
      <c r="JZU641" s="313"/>
      <c r="JZV641" s="340"/>
      <c r="JZW641" s="340"/>
      <c r="JZX641" s="354"/>
      <c r="JZY641" s="313"/>
      <c r="JZZ641" s="340"/>
      <c r="KAA641" s="340"/>
      <c r="KAB641" s="354"/>
      <c r="KAC641" s="313"/>
      <c r="KAD641" s="340"/>
      <c r="KAE641" s="340"/>
      <c r="KAF641" s="354"/>
      <c r="KAG641" s="313"/>
      <c r="KAH641" s="340"/>
      <c r="KAI641" s="340"/>
      <c r="KAJ641" s="354"/>
      <c r="KAK641" s="313"/>
      <c r="KAL641" s="340"/>
      <c r="KAM641" s="340"/>
      <c r="KAN641" s="354"/>
      <c r="KAO641" s="313"/>
      <c r="KAP641" s="340"/>
      <c r="KAQ641" s="340"/>
      <c r="KAR641" s="354"/>
      <c r="KAS641" s="313"/>
      <c r="KAT641" s="340"/>
      <c r="KAU641" s="340"/>
      <c r="KAV641" s="354"/>
      <c r="KAW641" s="313"/>
      <c r="KAX641" s="340"/>
      <c r="KAY641" s="340"/>
      <c r="KAZ641" s="354"/>
      <c r="KBA641" s="313"/>
      <c r="KBB641" s="340"/>
      <c r="KBC641" s="340"/>
      <c r="KBD641" s="354"/>
      <c r="KBE641" s="313"/>
      <c r="KBF641" s="340"/>
      <c r="KBG641" s="340"/>
      <c r="KBH641" s="354"/>
      <c r="KBI641" s="313"/>
      <c r="KBJ641" s="340"/>
      <c r="KBK641" s="340"/>
      <c r="KBL641" s="354"/>
      <c r="KBM641" s="313"/>
      <c r="KBN641" s="340"/>
      <c r="KBO641" s="340"/>
      <c r="KBP641" s="354"/>
      <c r="KBQ641" s="313"/>
      <c r="KBR641" s="340"/>
      <c r="KBS641" s="340"/>
      <c r="KBT641" s="354"/>
      <c r="KBU641" s="313"/>
      <c r="KBV641" s="340"/>
      <c r="KBW641" s="340"/>
      <c r="KBX641" s="354"/>
      <c r="KBY641" s="313"/>
      <c r="KBZ641" s="340"/>
      <c r="KCA641" s="340"/>
      <c r="KCB641" s="354"/>
      <c r="KCC641" s="313"/>
      <c r="KCD641" s="340"/>
      <c r="KCE641" s="340"/>
      <c r="KCF641" s="354"/>
      <c r="KCG641" s="313"/>
      <c r="KCH641" s="340"/>
      <c r="KCI641" s="340"/>
      <c r="KCJ641" s="354"/>
      <c r="KCK641" s="313"/>
      <c r="KCL641" s="340"/>
      <c r="KCM641" s="340"/>
      <c r="KCN641" s="354"/>
      <c r="KCO641" s="313"/>
      <c r="KCP641" s="340"/>
      <c r="KCQ641" s="340"/>
      <c r="KCR641" s="354"/>
      <c r="KCS641" s="313"/>
      <c r="KCT641" s="340"/>
      <c r="KCU641" s="340"/>
      <c r="KCV641" s="354"/>
      <c r="KCW641" s="313"/>
      <c r="KCX641" s="340"/>
      <c r="KCY641" s="340"/>
      <c r="KCZ641" s="354"/>
      <c r="KDA641" s="313"/>
      <c r="KDB641" s="340"/>
      <c r="KDC641" s="340"/>
      <c r="KDD641" s="354"/>
      <c r="KDE641" s="313"/>
      <c r="KDF641" s="340"/>
      <c r="KDG641" s="340"/>
      <c r="KDH641" s="354"/>
      <c r="KDI641" s="313"/>
      <c r="KDJ641" s="340"/>
      <c r="KDK641" s="340"/>
      <c r="KDL641" s="354"/>
      <c r="KDM641" s="313"/>
      <c r="KDN641" s="340"/>
      <c r="KDO641" s="340"/>
      <c r="KDP641" s="354"/>
      <c r="KDQ641" s="313"/>
      <c r="KDR641" s="340"/>
      <c r="KDS641" s="340"/>
      <c r="KDT641" s="354"/>
      <c r="KDU641" s="313"/>
      <c r="KDV641" s="340"/>
      <c r="KDW641" s="340"/>
      <c r="KDX641" s="354"/>
      <c r="KDY641" s="313"/>
      <c r="KDZ641" s="340"/>
      <c r="KEA641" s="340"/>
      <c r="KEB641" s="354"/>
      <c r="KEC641" s="313"/>
      <c r="KED641" s="340"/>
      <c r="KEE641" s="340"/>
      <c r="KEF641" s="354"/>
      <c r="KEG641" s="313"/>
      <c r="KEH641" s="340"/>
      <c r="KEI641" s="340"/>
      <c r="KEJ641" s="354"/>
      <c r="KEK641" s="313"/>
      <c r="KEL641" s="340"/>
      <c r="KEM641" s="340"/>
      <c r="KEN641" s="354"/>
      <c r="KEO641" s="313"/>
      <c r="KEP641" s="340"/>
      <c r="KEQ641" s="340"/>
      <c r="KER641" s="354"/>
      <c r="KES641" s="313"/>
      <c r="KET641" s="340"/>
      <c r="KEU641" s="340"/>
      <c r="KEV641" s="354"/>
      <c r="KEW641" s="313"/>
      <c r="KEX641" s="340"/>
      <c r="KEY641" s="340"/>
      <c r="KEZ641" s="354"/>
      <c r="KFA641" s="313"/>
      <c r="KFB641" s="340"/>
      <c r="KFC641" s="340"/>
      <c r="KFD641" s="354"/>
      <c r="KFE641" s="313"/>
      <c r="KFF641" s="340"/>
      <c r="KFG641" s="340"/>
      <c r="KFH641" s="354"/>
      <c r="KFI641" s="313"/>
      <c r="KFJ641" s="340"/>
      <c r="KFK641" s="340"/>
      <c r="KFL641" s="354"/>
      <c r="KFM641" s="313"/>
      <c r="KFN641" s="340"/>
      <c r="KFO641" s="340"/>
      <c r="KFP641" s="354"/>
      <c r="KFQ641" s="313"/>
      <c r="KFR641" s="340"/>
      <c r="KFS641" s="340"/>
      <c r="KFT641" s="354"/>
      <c r="KFU641" s="313"/>
      <c r="KFV641" s="340"/>
      <c r="KFW641" s="340"/>
      <c r="KFX641" s="354"/>
      <c r="KFY641" s="313"/>
      <c r="KFZ641" s="340"/>
      <c r="KGA641" s="340"/>
      <c r="KGB641" s="354"/>
      <c r="KGC641" s="313"/>
      <c r="KGD641" s="340"/>
      <c r="KGE641" s="340"/>
      <c r="KGF641" s="354"/>
      <c r="KGG641" s="313"/>
      <c r="KGH641" s="340"/>
      <c r="KGI641" s="340"/>
      <c r="KGJ641" s="354"/>
      <c r="KGK641" s="313"/>
      <c r="KGL641" s="340"/>
      <c r="KGM641" s="340"/>
      <c r="KGN641" s="354"/>
      <c r="KGO641" s="313"/>
      <c r="KGP641" s="340"/>
      <c r="KGQ641" s="340"/>
      <c r="KGR641" s="354"/>
      <c r="KGS641" s="313"/>
      <c r="KGT641" s="340"/>
      <c r="KGU641" s="340"/>
      <c r="KGV641" s="354"/>
      <c r="KGW641" s="313"/>
      <c r="KGX641" s="340"/>
      <c r="KGY641" s="340"/>
      <c r="KGZ641" s="354"/>
      <c r="KHA641" s="313"/>
      <c r="KHB641" s="340"/>
      <c r="KHC641" s="340"/>
      <c r="KHD641" s="354"/>
      <c r="KHE641" s="313"/>
      <c r="KHF641" s="340"/>
      <c r="KHG641" s="340"/>
      <c r="KHH641" s="354"/>
      <c r="KHI641" s="313"/>
      <c r="KHJ641" s="340"/>
      <c r="KHK641" s="340"/>
      <c r="KHL641" s="354"/>
      <c r="KHM641" s="313"/>
      <c r="KHN641" s="340"/>
      <c r="KHO641" s="340"/>
      <c r="KHP641" s="354"/>
      <c r="KHQ641" s="313"/>
      <c r="KHR641" s="340"/>
      <c r="KHS641" s="340"/>
      <c r="KHT641" s="354"/>
      <c r="KHU641" s="313"/>
      <c r="KHV641" s="340"/>
      <c r="KHW641" s="340"/>
      <c r="KHX641" s="354"/>
      <c r="KHY641" s="313"/>
      <c r="KHZ641" s="340"/>
      <c r="KIA641" s="340"/>
      <c r="KIB641" s="354"/>
      <c r="KIC641" s="313"/>
      <c r="KID641" s="340"/>
      <c r="KIE641" s="340"/>
      <c r="KIF641" s="354"/>
      <c r="KIG641" s="313"/>
      <c r="KIH641" s="340"/>
      <c r="KII641" s="340"/>
      <c r="KIJ641" s="354"/>
      <c r="KIK641" s="313"/>
      <c r="KIL641" s="340"/>
      <c r="KIM641" s="340"/>
      <c r="KIN641" s="354"/>
      <c r="KIO641" s="313"/>
      <c r="KIP641" s="340"/>
      <c r="KIQ641" s="340"/>
      <c r="KIR641" s="354"/>
      <c r="KIS641" s="313"/>
      <c r="KIT641" s="340"/>
      <c r="KIU641" s="340"/>
      <c r="KIV641" s="354"/>
      <c r="KIW641" s="313"/>
      <c r="KIX641" s="340"/>
      <c r="KIY641" s="340"/>
      <c r="KIZ641" s="354"/>
      <c r="KJA641" s="313"/>
      <c r="KJB641" s="340"/>
      <c r="KJC641" s="340"/>
      <c r="KJD641" s="354"/>
      <c r="KJE641" s="313"/>
      <c r="KJF641" s="340"/>
      <c r="KJG641" s="340"/>
      <c r="KJH641" s="354"/>
      <c r="KJI641" s="313"/>
      <c r="KJJ641" s="340"/>
      <c r="KJK641" s="340"/>
      <c r="KJL641" s="354"/>
      <c r="KJM641" s="313"/>
      <c r="KJN641" s="340"/>
      <c r="KJO641" s="340"/>
      <c r="KJP641" s="354"/>
      <c r="KJQ641" s="313"/>
      <c r="KJR641" s="340"/>
      <c r="KJS641" s="340"/>
      <c r="KJT641" s="354"/>
      <c r="KJU641" s="313"/>
      <c r="KJV641" s="340"/>
      <c r="KJW641" s="340"/>
      <c r="KJX641" s="354"/>
      <c r="KJY641" s="313"/>
      <c r="KJZ641" s="340"/>
      <c r="KKA641" s="340"/>
      <c r="KKB641" s="354"/>
      <c r="KKC641" s="313"/>
      <c r="KKD641" s="340"/>
      <c r="KKE641" s="340"/>
      <c r="KKF641" s="354"/>
      <c r="KKG641" s="313"/>
      <c r="KKH641" s="340"/>
      <c r="KKI641" s="340"/>
      <c r="KKJ641" s="354"/>
      <c r="KKK641" s="313"/>
      <c r="KKL641" s="340"/>
      <c r="KKM641" s="340"/>
      <c r="KKN641" s="354"/>
      <c r="KKO641" s="313"/>
      <c r="KKP641" s="340"/>
      <c r="KKQ641" s="340"/>
      <c r="KKR641" s="354"/>
      <c r="KKS641" s="313"/>
      <c r="KKT641" s="340"/>
      <c r="KKU641" s="340"/>
      <c r="KKV641" s="354"/>
      <c r="KKW641" s="313"/>
      <c r="KKX641" s="340"/>
      <c r="KKY641" s="340"/>
      <c r="KKZ641" s="354"/>
      <c r="KLA641" s="313"/>
      <c r="KLB641" s="340"/>
      <c r="KLC641" s="340"/>
      <c r="KLD641" s="354"/>
      <c r="KLE641" s="313"/>
      <c r="KLF641" s="340"/>
      <c r="KLG641" s="340"/>
      <c r="KLH641" s="354"/>
      <c r="KLI641" s="313"/>
      <c r="KLJ641" s="340"/>
      <c r="KLK641" s="340"/>
      <c r="KLL641" s="354"/>
      <c r="KLM641" s="313"/>
      <c r="KLN641" s="340"/>
      <c r="KLO641" s="340"/>
      <c r="KLP641" s="354"/>
      <c r="KLQ641" s="313"/>
      <c r="KLR641" s="340"/>
      <c r="KLS641" s="340"/>
      <c r="KLT641" s="354"/>
      <c r="KLU641" s="313"/>
      <c r="KLV641" s="340"/>
      <c r="KLW641" s="340"/>
      <c r="KLX641" s="354"/>
      <c r="KLY641" s="313"/>
      <c r="KLZ641" s="340"/>
      <c r="KMA641" s="340"/>
      <c r="KMB641" s="354"/>
      <c r="KMC641" s="313"/>
      <c r="KMD641" s="340"/>
      <c r="KME641" s="340"/>
      <c r="KMF641" s="354"/>
      <c r="KMG641" s="313"/>
      <c r="KMH641" s="340"/>
      <c r="KMI641" s="340"/>
      <c r="KMJ641" s="354"/>
      <c r="KMK641" s="313"/>
      <c r="KML641" s="340"/>
      <c r="KMM641" s="340"/>
      <c r="KMN641" s="354"/>
      <c r="KMO641" s="313"/>
      <c r="KMP641" s="340"/>
      <c r="KMQ641" s="340"/>
      <c r="KMR641" s="354"/>
      <c r="KMS641" s="313"/>
      <c r="KMT641" s="340"/>
      <c r="KMU641" s="340"/>
      <c r="KMV641" s="354"/>
      <c r="KMW641" s="313"/>
      <c r="KMX641" s="340"/>
      <c r="KMY641" s="340"/>
      <c r="KMZ641" s="354"/>
      <c r="KNA641" s="313"/>
      <c r="KNB641" s="340"/>
      <c r="KNC641" s="340"/>
      <c r="KND641" s="354"/>
      <c r="KNE641" s="313"/>
      <c r="KNF641" s="340"/>
      <c r="KNG641" s="340"/>
      <c r="KNH641" s="354"/>
      <c r="KNI641" s="313"/>
      <c r="KNJ641" s="340"/>
      <c r="KNK641" s="340"/>
      <c r="KNL641" s="354"/>
      <c r="KNM641" s="313"/>
      <c r="KNN641" s="340"/>
      <c r="KNO641" s="340"/>
      <c r="KNP641" s="354"/>
      <c r="KNQ641" s="313"/>
      <c r="KNR641" s="340"/>
      <c r="KNS641" s="340"/>
      <c r="KNT641" s="354"/>
      <c r="KNU641" s="313"/>
      <c r="KNV641" s="340"/>
      <c r="KNW641" s="340"/>
      <c r="KNX641" s="354"/>
      <c r="KNY641" s="313"/>
      <c r="KNZ641" s="340"/>
      <c r="KOA641" s="340"/>
      <c r="KOB641" s="354"/>
      <c r="KOC641" s="313"/>
      <c r="KOD641" s="340"/>
      <c r="KOE641" s="340"/>
      <c r="KOF641" s="354"/>
      <c r="KOG641" s="313"/>
      <c r="KOH641" s="340"/>
      <c r="KOI641" s="340"/>
      <c r="KOJ641" s="354"/>
      <c r="KOK641" s="313"/>
      <c r="KOL641" s="340"/>
      <c r="KOM641" s="340"/>
      <c r="KON641" s="354"/>
      <c r="KOO641" s="313"/>
      <c r="KOP641" s="340"/>
      <c r="KOQ641" s="340"/>
      <c r="KOR641" s="354"/>
      <c r="KOS641" s="313"/>
      <c r="KOT641" s="340"/>
      <c r="KOU641" s="340"/>
      <c r="KOV641" s="354"/>
      <c r="KOW641" s="313"/>
      <c r="KOX641" s="340"/>
      <c r="KOY641" s="340"/>
      <c r="KOZ641" s="354"/>
      <c r="KPA641" s="313"/>
      <c r="KPB641" s="340"/>
      <c r="KPC641" s="340"/>
      <c r="KPD641" s="354"/>
      <c r="KPE641" s="313"/>
      <c r="KPF641" s="340"/>
      <c r="KPG641" s="340"/>
      <c r="KPH641" s="354"/>
      <c r="KPI641" s="313"/>
      <c r="KPJ641" s="340"/>
      <c r="KPK641" s="340"/>
      <c r="KPL641" s="354"/>
      <c r="KPM641" s="313"/>
      <c r="KPN641" s="340"/>
      <c r="KPO641" s="340"/>
      <c r="KPP641" s="354"/>
      <c r="KPQ641" s="313"/>
      <c r="KPR641" s="340"/>
      <c r="KPS641" s="340"/>
      <c r="KPT641" s="354"/>
      <c r="KPU641" s="313"/>
      <c r="KPV641" s="340"/>
      <c r="KPW641" s="340"/>
      <c r="KPX641" s="354"/>
      <c r="KPY641" s="313"/>
      <c r="KPZ641" s="340"/>
      <c r="KQA641" s="340"/>
      <c r="KQB641" s="354"/>
      <c r="KQC641" s="313"/>
      <c r="KQD641" s="340"/>
      <c r="KQE641" s="340"/>
      <c r="KQF641" s="354"/>
      <c r="KQG641" s="313"/>
      <c r="KQH641" s="340"/>
      <c r="KQI641" s="340"/>
      <c r="KQJ641" s="354"/>
      <c r="KQK641" s="313"/>
      <c r="KQL641" s="340"/>
      <c r="KQM641" s="340"/>
      <c r="KQN641" s="354"/>
      <c r="KQO641" s="313"/>
      <c r="KQP641" s="340"/>
      <c r="KQQ641" s="340"/>
      <c r="KQR641" s="354"/>
      <c r="KQS641" s="313"/>
      <c r="KQT641" s="340"/>
      <c r="KQU641" s="340"/>
      <c r="KQV641" s="354"/>
      <c r="KQW641" s="313"/>
      <c r="KQX641" s="340"/>
      <c r="KQY641" s="340"/>
      <c r="KQZ641" s="354"/>
      <c r="KRA641" s="313"/>
      <c r="KRB641" s="340"/>
      <c r="KRC641" s="340"/>
      <c r="KRD641" s="354"/>
      <c r="KRE641" s="313"/>
      <c r="KRF641" s="340"/>
      <c r="KRG641" s="340"/>
      <c r="KRH641" s="354"/>
      <c r="KRI641" s="313"/>
      <c r="KRJ641" s="340"/>
      <c r="KRK641" s="340"/>
      <c r="KRL641" s="354"/>
      <c r="KRM641" s="313"/>
      <c r="KRN641" s="340"/>
      <c r="KRO641" s="340"/>
      <c r="KRP641" s="354"/>
      <c r="KRQ641" s="313"/>
      <c r="KRR641" s="340"/>
      <c r="KRS641" s="340"/>
      <c r="KRT641" s="354"/>
      <c r="KRU641" s="313"/>
      <c r="KRV641" s="340"/>
      <c r="KRW641" s="340"/>
      <c r="KRX641" s="354"/>
      <c r="KRY641" s="313"/>
      <c r="KRZ641" s="340"/>
      <c r="KSA641" s="340"/>
      <c r="KSB641" s="354"/>
      <c r="KSC641" s="313"/>
      <c r="KSD641" s="340"/>
      <c r="KSE641" s="340"/>
      <c r="KSF641" s="354"/>
      <c r="KSG641" s="313"/>
      <c r="KSH641" s="340"/>
      <c r="KSI641" s="340"/>
      <c r="KSJ641" s="354"/>
      <c r="KSK641" s="313"/>
      <c r="KSL641" s="340"/>
      <c r="KSM641" s="340"/>
      <c r="KSN641" s="354"/>
      <c r="KSO641" s="313"/>
      <c r="KSP641" s="340"/>
      <c r="KSQ641" s="340"/>
      <c r="KSR641" s="354"/>
      <c r="KSS641" s="313"/>
      <c r="KST641" s="340"/>
      <c r="KSU641" s="340"/>
      <c r="KSV641" s="354"/>
      <c r="KSW641" s="313"/>
      <c r="KSX641" s="340"/>
      <c r="KSY641" s="340"/>
      <c r="KSZ641" s="354"/>
      <c r="KTA641" s="313"/>
      <c r="KTB641" s="340"/>
      <c r="KTC641" s="340"/>
      <c r="KTD641" s="354"/>
      <c r="KTE641" s="313"/>
      <c r="KTF641" s="340"/>
      <c r="KTG641" s="340"/>
      <c r="KTH641" s="354"/>
      <c r="KTI641" s="313"/>
      <c r="KTJ641" s="340"/>
      <c r="KTK641" s="340"/>
      <c r="KTL641" s="354"/>
      <c r="KTM641" s="313"/>
      <c r="KTN641" s="340"/>
      <c r="KTO641" s="340"/>
      <c r="KTP641" s="354"/>
      <c r="KTQ641" s="313"/>
      <c r="KTR641" s="340"/>
      <c r="KTS641" s="340"/>
      <c r="KTT641" s="354"/>
      <c r="KTU641" s="313"/>
      <c r="KTV641" s="340"/>
      <c r="KTW641" s="340"/>
      <c r="KTX641" s="354"/>
      <c r="KTY641" s="313"/>
      <c r="KTZ641" s="340"/>
      <c r="KUA641" s="340"/>
      <c r="KUB641" s="354"/>
      <c r="KUC641" s="313"/>
      <c r="KUD641" s="340"/>
      <c r="KUE641" s="340"/>
      <c r="KUF641" s="354"/>
      <c r="KUG641" s="313"/>
      <c r="KUH641" s="340"/>
      <c r="KUI641" s="340"/>
      <c r="KUJ641" s="354"/>
      <c r="KUK641" s="313"/>
      <c r="KUL641" s="340"/>
      <c r="KUM641" s="340"/>
      <c r="KUN641" s="354"/>
      <c r="KUO641" s="313"/>
      <c r="KUP641" s="340"/>
      <c r="KUQ641" s="340"/>
      <c r="KUR641" s="354"/>
      <c r="KUS641" s="313"/>
      <c r="KUT641" s="340"/>
      <c r="KUU641" s="340"/>
      <c r="KUV641" s="354"/>
      <c r="KUW641" s="313"/>
      <c r="KUX641" s="340"/>
      <c r="KUY641" s="340"/>
      <c r="KUZ641" s="354"/>
      <c r="KVA641" s="313"/>
      <c r="KVB641" s="340"/>
      <c r="KVC641" s="340"/>
      <c r="KVD641" s="354"/>
      <c r="KVE641" s="313"/>
      <c r="KVF641" s="340"/>
      <c r="KVG641" s="340"/>
      <c r="KVH641" s="354"/>
      <c r="KVI641" s="313"/>
      <c r="KVJ641" s="340"/>
      <c r="KVK641" s="340"/>
      <c r="KVL641" s="354"/>
      <c r="KVM641" s="313"/>
      <c r="KVN641" s="340"/>
      <c r="KVO641" s="340"/>
      <c r="KVP641" s="354"/>
      <c r="KVQ641" s="313"/>
      <c r="KVR641" s="340"/>
      <c r="KVS641" s="340"/>
      <c r="KVT641" s="354"/>
      <c r="KVU641" s="313"/>
      <c r="KVV641" s="340"/>
      <c r="KVW641" s="340"/>
      <c r="KVX641" s="354"/>
      <c r="KVY641" s="313"/>
      <c r="KVZ641" s="340"/>
      <c r="KWA641" s="340"/>
      <c r="KWB641" s="354"/>
      <c r="KWC641" s="313"/>
      <c r="KWD641" s="340"/>
      <c r="KWE641" s="340"/>
      <c r="KWF641" s="354"/>
      <c r="KWG641" s="313"/>
      <c r="KWH641" s="340"/>
      <c r="KWI641" s="340"/>
      <c r="KWJ641" s="354"/>
      <c r="KWK641" s="313"/>
      <c r="KWL641" s="340"/>
      <c r="KWM641" s="340"/>
      <c r="KWN641" s="354"/>
      <c r="KWO641" s="313"/>
      <c r="KWP641" s="340"/>
      <c r="KWQ641" s="340"/>
      <c r="KWR641" s="354"/>
      <c r="KWS641" s="313"/>
      <c r="KWT641" s="340"/>
      <c r="KWU641" s="340"/>
      <c r="KWV641" s="354"/>
      <c r="KWW641" s="313"/>
      <c r="KWX641" s="340"/>
      <c r="KWY641" s="340"/>
      <c r="KWZ641" s="354"/>
      <c r="KXA641" s="313"/>
      <c r="KXB641" s="340"/>
      <c r="KXC641" s="340"/>
      <c r="KXD641" s="354"/>
      <c r="KXE641" s="313"/>
      <c r="KXF641" s="340"/>
      <c r="KXG641" s="340"/>
      <c r="KXH641" s="354"/>
      <c r="KXI641" s="313"/>
      <c r="KXJ641" s="340"/>
      <c r="KXK641" s="340"/>
      <c r="KXL641" s="354"/>
      <c r="KXM641" s="313"/>
      <c r="KXN641" s="340"/>
      <c r="KXO641" s="340"/>
      <c r="KXP641" s="354"/>
      <c r="KXQ641" s="313"/>
      <c r="KXR641" s="340"/>
      <c r="KXS641" s="340"/>
      <c r="KXT641" s="354"/>
      <c r="KXU641" s="313"/>
      <c r="KXV641" s="340"/>
      <c r="KXW641" s="340"/>
      <c r="KXX641" s="354"/>
      <c r="KXY641" s="313"/>
      <c r="KXZ641" s="340"/>
      <c r="KYA641" s="340"/>
      <c r="KYB641" s="354"/>
      <c r="KYC641" s="313"/>
      <c r="KYD641" s="340"/>
      <c r="KYE641" s="340"/>
      <c r="KYF641" s="354"/>
      <c r="KYG641" s="313"/>
      <c r="KYH641" s="340"/>
      <c r="KYI641" s="340"/>
      <c r="KYJ641" s="354"/>
      <c r="KYK641" s="313"/>
      <c r="KYL641" s="340"/>
      <c r="KYM641" s="340"/>
      <c r="KYN641" s="354"/>
      <c r="KYO641" s="313"/>
      <c r="KYP641" s="340"/>
      <c r="KYQ641" s="340"/>
      <c r="KYR641" s="354"/>
      <c r="KYS641" s="313"/>
      <c r="KYT641" s="340"/>
      <c r="KYU641" s="340"/>
      <c r="KYV641" s="354"/>
      <c r="KYW641" s="313"/>
      <c r="KYX641" s="340"/>
      <c r="KYY641" s="340"/>
      <c r="KYZ641" s="354"/>
      <c r="KZA641" s="313"/>
      <c r="KZB641" s="340"/>
      <c r="KZC641" s="340"/>
      <c r="KZD641" s="354"/>
      <c r="KZE641" s="313"/>
      <c r="KZF641" s="340"/>
      <c r="KZG641" s="340"/>
      <c r="KZH641" s="354"/>
      <c r="KZI641" s="313"/>
      <c r="KZJ641" s="340"/>
      <c r="KZK641" s="340"/>
      <c r="KZL641" s="354"/>
      <c r="KZM641" s="313"/>
      <c r="KZN641" s="340"/>
      <c r="KZO641" s="340"/>
      <c r="KZP641" s="354"/>
      <c r="KZQ641" s="313"/>
      <c r="KZR641" s="340"/>
      <c r="KZS641" s="340"/>
      <c r="KZT641" s="354"/>
      <c r="KZU641" s="313"/>
      <c r="KZV641" s="340"/>
      <c r="KZW641" s="340"/>
      <c r="KZX641" s="354"/>
      <c r="KZY641" s="313"/>
      <c r="KZZ641" s="340"/>
      <c r="LAA641" s="340"/>
      <c r="LAB641" s="354"/>
      <c r="LAC641" s="313"/>
      <c r="LAD641" s="340"/>
      <c r="LAE641" s="340"/>
      <c r="LAF641" s="354"/>
      <c r="LAG641" s="313"/>
      <c r="LAH641" s="340"/>
      <c r="LAI641" s="340"/>
      <c r="LAJ641" s="354"/>
      <c r="LAK641" s="313"/>
      <c r="LAL641" s="340"/>
      <c r="LAM641" s="340"/>
      <c r="LAN641" s="354"/>
      <c r="LAO641" s="313"/>
      <c r="LAP641" s="340"/>
      <c r="LAQ641" s="340"/>
      <c r="LAR641" s="354"/>
      <c r="LAS641" s="313"/>
      <c r="LAT641" s="340"/>
      <c r="LAU641" s="340"/>
      <c r="LAV641" s="354"/>
      <c r="LAW641" s="313"/>
      <c r="LAX641" s="340"/>
      <c r="LAY641" s="340"/>
      <c r="LAZ641" s="354"/>
      <c r="LBA641" s="313"/>
      <c r="LBB641" s="340"/>
      <c r="LBC641" s="340"/>
      <c r="LBD641" s="354"/>
      <c r="LBE641" s="313"/>
      <c r="LBF641" s="340"/>
      <c r="LBG641" s="340"/>
      <c r="LBH641" s="354"/>
      <c r="LBI641" s="313"/>
      <c r="LBJ641" s="340"/>
      <c r="LBK641" s="340"/>
      <c r="LBL641" s="354"/>
      <c r="LBM641" s="313"/>
      <c r="LBN641" s="340"/>
      <c r="LBO641" s="340"/>
      <c r="LBP641" s="354"/>
      <c r="LBQ641" s="313"/>
      <c r="LBR641" s="340"/>
      <c r="LBS641" s="340"/>
      <c r="LBT641" s="354"/>
      <c r="LBU641" s="313"/>
      <c r="LBV641" s="340"/>
      <c r="LBW641" s="340"/>
      <c r="LBX641" s="354"/>
      <c r="LBY641" s="313"/>
      <c r="LBZ641" s="340"/>
      <c r="LCA641" s="340"/>
      <c r="LCB641" s="354"/>
      <c r="LCC641" s="313"/>
      <c r="LCD641" s="340"/>
      <c r="LCE641" s="340"/>
      <c r="LCF641" s="354"/>
      <c r="LCG641" s="313"/>
      <c r="LCH641" s="340"/>
      <c r="LCI641" s="340"/>
      <c r="LCJ641" s="354"/>
      <c r="LCK641" s="313"/>
      <c r="LCL641" s="340"/>
      <c r="LCM641" s="340"/>
      <c r="LCN641" s="354"/>
      <c r="LCO641" s="313"/>
      <c r="LCP641" s="340"/>
      <c r="LCQ641" s="340"/>
      <c r="LCR641" s="354"/>
      <c r="LCS641" s="313"/>
      <c r="LCT641" s="340"/>
      <c r="LCU641" s="340"/>
      <c r="LCV641" s="354"/>
      <c r="LCW641" s="313"/>
      <c r="LCX641" s="340"/>
      <c r="LCY641" s="340"/>
      <c r="LCZ641" s="354"/>
      <c r="LDA641" s="313"/>
      <c r="LDB641" s="340"/>
      <c r="LDC641" s="340"/>
      <c r="LDD641" s="354"/>
      <c r="LDE641" s="313"/>
      <c r="LDF641" s="340"/>
      <c r="LDG641" s="340"/>
      <c r="LDH641" s="354"/>
      <c r="LDI641" s="313"/>
      <c r="LDJ641" s="340"/>
      <c r="LDK641" s="340"/>
      <c r="LDL641" s="354"/>
      <c r="LDM641" s="313"/>
      <c r="LDN641" s="340"/>
      <c r="LDO641" s="340"/>
      <c r="LDP641" s="354"/>
      <c r="LDQ641" s="313"/>
      <c r="LDR641" s="340"/>
      <c r="LDS641" s="340"/>
      <c r="LDT641" s="354"/>
      <c r="LDU641" s="313"/>
      <c r="LDV641" s="340"/>
      <c r="LDW641" s="340"/>
      <c r="LDX641" s="354"/>
      <c r="LDY641" s="313"/>
      <c r="LDZ641" s="340"/>
      <c r="LEA641" s="340"/>
      <c r="LEB641" s="354"/>
      <c r="LEC641" s="313"/>
      <c r="LED641" s="340"/>
      <c r="LEE641" s="340"/>
      <c r="LEF641" s="354"/>
      <c r="LEG641" s="313"/>
      <c r="LEH641" s="340"/>
      <c r="LEI641" s="340"/>
      <c r="LEJ641" s="354"/>
      <c r="LEK641" s="313"/>
      <c r="LEL641" s="340"/>
      <c r="LEM641" s="340"/>
      <c r="LEN641" s="354"/>
      <c r="LEO641" s="313"/>
      <c r="LEP641" s="340"/>
      <c r="LEQ641" s="340"/>
      <c r="LER641" s="354"/>
      <c r="LES641" s="313"/>
      <c r="LET641" s="340"/>
      <c r="LEU641" s="340"/>
      <c r="LEV641" s="354"/>
      <c r="LEW641" s="313"/>
      <c r="LEX641" s="340"/>
      <c r="LEY641" s="340"/>
      <c r="LEZ641" s="354"/>
      <c r="LFA641" s="313"/>
      <c r="LFB641" s="340"/>
      <c r="LFC641" s="340"/>
      <c r="LFD641" s="354"/>
      <c r="LFE641" s="313"/>
      <c r="LFF641" s="340"/>
      <c r="LFG641" s="340"/>
      <c r="LFH641" s="354"/>
      <c r="LFI641" s="313"/>
      <c r="LFJ641" s="340"/>
      <c r="LFK641" s="340"/>
      <c r="LFL641" s="354"/>
      <c r="LFM641" s="313"/>
      <c r="LFN641" s="340"/>
      <c r="LFO641" s="340"/>
      <c r="LFP641" s="354"/>
      <c r="LFQ641" s="313"/>
      <c r="LFR641" s="340"/>
      <c r="LFS641" s="340"/>
      <c r="LFT641" s="354"/>
      <c r="LFU641" s="313"/>
      <c r="LFV641" s="340"/>
      <c r="LFW641" s="340"/>
      <c r="LFX641" s="354"/>
      <c r="LFY641" s="313"/>
      <c r="LFZ641" s="340"/>
      <c r="LGA641" s="340"/>
      <c r="LGB641" s="354"/>
      <c r="LGC641" s="313"/>
      <c r="LGD641" s="340"/>
      <c r="LGE641" s="340"/>
      <c r="LGF641" s="354"/>
      <c r="LGG641" s="313"/>
      <c r="LGH641" s="340"/>
      <c r="LGI641" s="340"/>
      <c r="LGJ641" s="354"/>
      <c r="LGK641" s="313"/>
      <c r="LGL641" s="340"/>
      <c r="LGM641" s="340"/>
      <c r="LGN641" s="354"/>
      <c r="LGO641" s="313"/>
      <c r="LGP641" s="340"/>
      <c r="LGQ641" s="340"/>
      <c r="LGR641" s="354"/>
      <c r="LGS641" s="313"/>
      <c r="LGT641" s="340"/>
      <c r="LGU641" s="340"/>
      <c r="LGV641" s="354"/>
      <c r="LGW641" s="313"/>
      <c r="LGX641" s="340"/>
      <c r="LGY641" s="340"/>
      <c r="LGZ641" s="354"/>
      <c r="LHA641" s="313"/>
      <c r="LHB641" s="340"/>
      <c r="LHC641" s="340"/>
      <c r="LHD641" s="354"/>
      <c r="LHE641" s="313"/>
      <c r="LHF641" s="340"/>
      <c r="LHG641" s="340"/>
      <c r="LHH641" s="354"/>
      <c r="LHI641" s="313"/>
      <c r="LHJ641" s="340"/>
      <c r="LHK641" s="340"/>
      <c r="LHL641" s="354"/>
      <c r="LHM641" s="313"/>
      <c r="LHN641" s="340"/>
      <c r="LHO641" s="340"/>
      <c r="LHP641" s="354"/>
      <c r="LHQ641" s="313"/>
      <c r="LHR641" s="340"/>
      <c r="LHS641" s="340"/>
      <c r="LHT641" s="354"/>
      <c r="LHU641" s="313"/>
      <c r="LHV641" s="340"/>
      <c r="LHW641" s="340"/>
      <c r="LHX641" s="354"/>
      <c r="LHY641" s="313"/>
      <c r="LHZ641" s="340"/>
      <c r="LIA641" s="340"/>
      <c r="LIB641" s="354"/>
      <c r="LIC641" s="313"/>
      <c r="LID641" s="340"/>
      <c r="LIE641" s="340"/>
      <c r="LIF641" s="354"/>
      <c r="LIG641" s="313"/>
      <c r="LIH641" s="340"/>
      <c r="LII641" s="340"/>
      <c r="LIJ641" s="354"/>
      <c r="LIK641" s="313"/>
      <c r="LIL641" s="340"/>
      <c r="LIM641" s="340"/>
      <c r="LIN641" s="354"/>
      <c r="LIO641" s="313"/>
      <c r="LIP641" s="340"/>
      <c r="LIQ641" s="340"/>
      <c r="LIR641" s="354"/>
      <c r="LIS641" s="313"/>
      <c r="LIT641" s="340"/>
      <c r="LIU641" s="340"/>
      <c r="LIV641" s="354"/>
      <c r="LIW641" s="313"/>
      <c r="LIX641" s="340"/>
      <c r="LIY641" s="340"/>
      <c r="LIZ641" s="354"/>
      <c r="LJA641" s="313"/>
      <c r="LJB641" s="340"/>
      <c r="LJC641" s="340"/>
      <c r="LJD641" s="354"/>
      <c r="LJE641" s="313"/>
      <c r="LJF641" s="340"/>
      <c r="LJG641" s="340"/>
      <c r="LJH641" s="354"/>
      <c r="LJI641" s="313"/>
      <c r="LJJ641" s="340"/>
      <c r="LJK641" s="340"/>
      <c r="LJL641" s="354"/>
      <c r="LJM641" s="313"/>
      <c r="LJN641" s="340"/>
      <c r="LJO641" s="340"/>
      <c r="LJP641" s="354"/>
      <c r="LJQ641" s="313"/>
      <c r="LJR641" s="340"/>
      <c r="LJS641" s="340"/>
      <c r="LJT641" s="354"/>
      <c r="LJU641" s="313"/>
      <c r="LJV641" s="340"/>
      <c r="LJW641" s="340"/>
      <c r="LJX641" s="354"/>
      <c r="LJY641" s="313"/>
      <c r="LJZ641" s="340"/>
      <c r="LKA641" s="340"/>
      <c r="LKB641" s="354"/>
      <c r="LKC641" s="313"/>
      <c r="LKD641" s="340"/>
      <c r="LKE641" s="340"/>
      <c r="LKF641" s="354"/>
      <c r="LKG641" s="313"/>
      <c r="LKH641" s="340"/>
      <c r="LKI641" s="340"/>
      <c r="LKJ641" s="354"/>
      <c r="LKK641" s="313"/>
      <c r="LKL641" s="340"/>
      <c r="LKM641" s="340"/>
      <c r="LKN641" s="354"/>
      <c r="LKO641" s="313"/>
      <c r="LKP641" s="340"/>
      <c r="LKQ641" s="340"/>
      <c r="LKR641" s="354"/>
      <c r="LKS641" s="313"/>
      <c r="LKT641" s="340"/>
      <c r="LKU641" s="340"/>
      <c r="LKV641" s="354"/>
      <c r="LKW641" s="313"/>
      <c r="LKX641" s="340"/>
      <c r="LKY641" s="340"/>
      <c r="LKZ641" s="354"/>
      <c r="LLA641" s="313"/>
      <c r="LLB641" s="340"/>
      <c r="LLC641" s="340"/>
      <c r="LLD641" s="354"/>
      <c r="LLE641" s="313"/>
      <c r="LLF641" s="340"/>
      <c r="LLG641" s="340"/>
      <c r="LLH641" s="354"/>
      <c r="LLI641" s="313"/>
      <c r="LLJ641" s="340"/>
      <c r="LLK641" s="340"/>
      <c r="LLL641" s="354"/>
      <c r="LLM641" s="313"/>
      <c r="LLN641" s="340"/>
      <c r="LLO641" s="340"/>
      <c r="LLP641" s="354"/>
      <c r="LLQ641" s="313"/>
      <c r="LLR641" s="340"/>
      <c r="LLS641" s="340"/>
      <c r="LLT641" s="354"/>
      <c r="LLU641" s="313"/>
      <c r="LLV641" s="340"/>
      <c r="LLW641" s="340"/>
      <c r="LLX641" s="354"/>
      <c r="LLY641" s="313"/>
      <c r="LLZ641" s="340"/>
      <c r="LMA641" s="340"/>
      <c r="LMB641" s="354"/>
      <c r="LMC641" s="313"/>
      <c r="LMD641" s="340"/>
      <c r="LME641" s="340"/>
      <c r="LMF641" s="354"/>
      <c r="LMG641" s="313"/>
      <c r="LMH641" s="340"/>
      <c r="LMI641" s="340"/>
      <c r="LMJ641" s="354"/>
      <c r="LMK641" s="313"/>
      <c r="LML641" s="340"/>
      <c r="LMM641" s="340"/>
      <c r="LMN641" s="354"/>
      <c r="LMO641" s="313"/>
      <c r="LMP641" s="340"/>
      <c r="LMQ641" s="340"/>
      <c r="LMR641" s="354"/>
      <c r="LMS641" s="313"/>
      <c r="LMT641" s="340"/>
      <c r="LMU641" s="340"/>
      <c r="LMV641" s="354"/>
      <c r="LMW641" s="313"/>
      <c r="LMX641" s="340"/>
      <c r="LMY641" s="340"/>
      <c r="LMZ641" s="354"/>
      <c r="LNA641" s="313"/>
      <c r="LNB641" s="340"/>
      <c r="LNC641" s="340"/>
      <c r="LND641" s="354"/>
      <c r="LNE641" s="313"/>
      <c r="LNF641" s="340"/>
      <c r="LNG641" s="340"/>
      <c r="LNH641" s="354"/>
      <c r="LNI641" s="313"/>
      <c r="LNJ641" s="340"/>
      <c r="LNK641" s="340"/>
      <c r="LNL641" s="354"/>
      <c r="LNM641" s="313"/>
      <c r="LNN641" s="340"/>
      <c r="LNO641" s="340"/>
      <c r="LNP641" s="354"/>
      <c r="LNQ641" s="313"/>
      <c r="LNR641" s="340"/>
      <c r="LNS641" s="340"/>
      <c r="LNT641" s="354"/>
      <c r="LNU641" s="313"/>
      <c r="LNV641" s="340"/>
      <c r="LNW641" s="340"/>
      <c r="LNX641" s="354"/>
      <c r="LNY641" s="313"/>
      <c r="LNZ641" s="340"/>
      <c r="LOA641" s="340"/>
      <c r="LOB641" s="354"/>
      <c r="LOC641" s="313"/>
      <c r="LOD641" s="340"/>
      <c r="LOE641" s="340"/>
      <c r="LOF641" s="354"/>
      <c r="LOG641" s="313"/>
      <c r="LOH641" s="340"/>
      <c r="LOI641" s="340"/>
      <c r="LOJ641" s="354"/>
      <c r="LOK641" s="313"/>
      <c r="LOL641" s="340"/>
      <c r="LOM641" s="340"/>
      <c r="LON641" s="354"/>
      <c r="LOO641" s="313"/>
      <c r="LOP641" s="340"/>
      <c r="LOQ641" s="340"/>
      <c r="LOR641" s="354"/>
      <c r="LOS641" s="313"/>
      <c r="LOT641" s="340"/>
      <c r="LOU641" s="340"/>
      <c r="LOV641" s="354"/>
      <c r="LOW641" s="313"/>
      <c r="LOX641" s="340"/>
      <c r="LOY641" s="340"/>
      <c r="LOZ641" s="354"/>
      <c r="LPA641" s="313"/>
      <c r="LPB641" s="340"/>
      <c r="LPC641" s="340"/>
      <c r="LPD641" s="354"/>
      <c r="LPE641" s="313"/>
      <c r="LPF641" s="340"/>
      <c r="LPG641" s="340"/>
      <c r="LPH641" s="354"/>
      <c r="LPI641" s="313"/>
      <c r="LPJ641" s="340"/>
      <c r="LPK641" s="340"/>
      <c r="LPL641" s="354"/>
      <c r="LPM641" s="313"/>
      <c r="LPN641" s="340"/>
      <c r="LPO641" s="340"/>
      <c r="LPP641" s="354"/>
      <c r="LPQ641" s="313"/>
      <c r="LPR641" s="340"/>
      <c r="LPS641" s="340"/>
      <c r="LPT641" s="354"/>
      <c r="LPU641" s="313"/>
      <c r="LPV641" s="340"/>
      <c r="LPW641" s="340"/>
      <c r="LPX641" s="354"/>
      <c r="LPY641" s="313"/>
      <c r="LPZ641" s="340"/>
      <c r="LQA641" s="340"/>
      <c r="LQB641" s="354"/>
      <c r="LQC641" s="313"/>
      <c r="LQD641" s="340"/>
      <c r="LQE641" s="340"/>
      <c r="LQF641" s="354"/>
      <c r="LQG641" s="313"/>
      <c r="LQH641" s="340"/>
      <c r="LQI641" s="340"/>
      <c r="LQJ641" s="354"/>
      <c r="LQK641" s="313"/>
      <c r="LQL641" s="340"/>
      <c r="LQM641" s="340"/>
      <c r="LQN641" s="354"/>
      <c r="LQO641" s="313"/>
      <c r="LQP641" s="340"/>
      <c r="LQQ641" s="340"/>
      <c r="LQR641" s="354"/>
      <c r="LQS641" s="313"/>
      <c r="LQT641" s="340"/>
      <c r="LQU641" s="340"/>
      <c r="LQV641" s="354"/>
      <c r="LQW641" s="313"/>
      <c r="LQX641" s="340"/>
      <c r="LQY641" s="340"/>
      <c r="LQZ641" s="354"/>
      <c r="LRA641" s="313"/>
      <c r="LRB641" s="340"/>
      <c r="LRC641" s="340"/>
      <c r="LRD641" s="354"/>
      <c r="LRE641" s="313"/>
      <c r="LRF641" s="340"/>
      <c r="LRG641" s="340"/>
      <c r="LRH641" s="354"/>
      <c r="LRI641" s="313"/>
      <c r="LRJ641" s="340"/>
      <c r="LRK641" s="340"/>
      <c r="LRL641" s="354"/>
      <c r="LRM641" s="313"/>
      <c r="LRN641" s="340"/>
      <c r="LRO641" s="340"/>
      <c r="LRP641" s="354"/>
      <c r="LRQ641" s="313"/>
      <c r="LRR641" s="340"/>
      <c r="LRS641" s="340"/>
      <c r="LRT641" s="354"/>
      <c r="LRU641" s="313"/>
      <c r="LRV641" s="340"/>
      <c r="LRW641" s="340"/>
      <c r="LRX641" s="354"/>
      <c r="LRY641" s="313"/>
      <c r="LRZ641" s="340"/>
      <c r="LSA641" s="340"/>
      <c r="LSB641" s="354"/>
      <c r="LSC641" s="313"/>
      <c r="LSD641" s="340"/>
      <c r="LSE641" s="340"/>
      <c r="LSF641" s="354"/>
      <c r="LSG641" s="313"/>
      <c r="LSH641" s="340"/>
      <c r="LSI641" s="340"/>
      <c r="LSJ641" s="354"/>
      <c r="LSK641" s="313"/>
      <c r="LSL641" s="340"/>
      <c r="LSM641" s="340"/>
      <c r="LSN641" s="354"/>
      <c r="LSO641" s="313"/>
      <c r="LSP641" s="340"/>
      <c r="LSQ641" s="340"/>
      <c r="LSR641" s="354"/>
      <c r="LSS641" s="313"/>
      <c r="LST641" s="340"/>
      <c r="LSU641" s="340"/>
      <c r="LSV641" s="354"/>
      <c r="LSW641" s="313"/>
      <c r="LSX641" s="340"/>
      <c r="LSY641" s="340"/>
      <c r="LSZ641" s="354"/>
      <c r="LTA641" s="313"/>
      <c r="LTB641" s="340"/>
      <c r="LTC641" s="340"/>
      <c r="LTD641" s="354"/>
      <c r="LTE641" s="313"/>
      <c r="LTF641" s="340"/>
      <c r="LTG641" s="340"/>
      <c r="LTH641" s="354"/>
      <c r="LTI641" s="313"/>
      <c r="LTJ641" s="340"/>
      <c r="LTK641" s="340"/>
      <c r="LTL641" s="354"/>
      <c r="LTM641" s="313"/>
      <c r="LTN641" s="340"/>
      <c r="LTO641" s="340"/>
      <c r="LTP641" s="354"/>
      <c r="LTQ641" s="313"/>
      <c r="LTR641" s="340"/>
      <c r="LTS641" s="340"/>
      <c r="LTT641" s="354"/>
      <c r="LTU641" s="313"/>
      <c r="LTV641" s="340"/>
      <c r="LTW641" s="340"/>
      <c r="LTX641" s="354"/>
      <c r="LTY641" s="313"/>
      <c r="LTZ641" s="340"/>
      <c r="LUA641" s="340"/>
      <c r="LUB641" s="354"/>
      <c r="LUC641" s="313"/>
      <c r="LUD641" s="340"/>
      <c r="LUE641" s="340"/>
      <c r="LUF641" s="354"/>
      <c r="LUG641" s="313"/>
      <c r="LUH641" s="340"/>
      <c r="LUI641" s="340"/>
      <c r="LUJ641" s="354"/>
      <c r="LUK641" s="313"/>
      <c r="LUL641" s="340"/>
      <c r="LUM641" s="340"/>
      <c r="LUN641" s="354"/>
      <c r="LUO641" s="313"/>
      <c r="LUP641" s="340"/>
      <c r="LUQ641" s="340"/>
      <c r="LUR641" s="354"/>
      <c r="LUS641" s="313"/>
      <c r="LUT641" s="340"/>
      <c r="LUU641" s="340"/>
      <c r="LUV641" s="354"/>
      <c r="LUW641" s="313"/>
      <c r="LUX641" s="340"/>
      <c r="LUY641" s="340"/>
      <c r="LUZ641" s="354"/>
      <c r="LVA641" s="313"/>
      <c r="LVB641" s="340"/>
      <c r="LVC641" s="340"/>
      <c r="LVD641" s="354"/>
      <c r="LVE641" s="313"/>
      <c r="LVF641" s="340"/>
      <c r="LVG641" s="340"/>
      <c r="LVH641" s="354"/>
      <c r="LVI641" s="313"/>
      <c r="LVJ641" s="340"/>
      <c r="LVK641" s="340"/>
      <c r="LVL641" s="354"/>
      <c r="LVM641" s="313"/>
      <c r="LVN641" s="340"/>
      <c r="LVO641" s="340"/>
      <c r="LVP641" s="354"/>
      <c r="LVQ641" s="313"/>
      <c r="LVR641" s="340"/>
      <c r="LVS641" s="340"/>
      <c r="LVT641" s="354"/>
      <c r="LVU641" s="313"/>
      <c r="LVV641" s="340"/>
      <c r="LVW641" s="340"/>
      <c r="LVX641" s="354"/>
      <c r="LVY641" s="313"/>
      <c r="LVZ641" s="340"/>
      <c r="LWA641" s="340"/>
      <c r="LWB641" s="354"/>
      <c r="LWC641" s="313"/>
      <c r="LWD641" s="340"/>
      <c r="LWE641" s="340"/>
      <c r="LWF641" s="354"/>
      <c r="LWG641" s="313"/>
      <c r="LWH641" s="340"/>
      <c r="LWI641" s="340"/>
      <c r="LWJ641" s="354"/>
      <c r="LWK641" s="313"/>
      <c r="LWL641" s="340"/>
      <c r="LWM641" s="340"/>
      <c r="LWN641" s="354"/>
      <c r="LWO641" s="313"/>
      <c r="LWP641" s="340"/>
      <c r="LWQ641" s="340"/>
      <c r="LWR641" s="354"/>
      <c r="LWS641" s="313"/>
      <c r="LWT641" s="340"/>
      <c r="LWU641" s="340"/>
      <c r="LWV641" s="354"/>
      <c r="LWW641" s="313"/>
      <c r="LWX641" s="340"/>
      <c r="LWY641" s="340"/>
      <c r="LWZ641" s="354"/>
      <c r="LXA641" s="313"/>
      <c r="LXB641" s="340"/>
      <c r="LXC641" s="340"/>
      <c r="LXD641" s="354"/>
      <c r="LXE641" s="313"/>
      <c r="LXF641" s="340"/>
      <c r="LXG641" s="340"/>
      <c r="LXH641" s="354"/>
      <c r="LXI641" s="313"/>
      <c r="LXJ641" s="340"/>
      <c r="LXK641" s="340"/>
      <c r="LXL641" s="354"/>
      <c r="LXM641" s="313"/>
      <c r="LXN641" s="340"/>
      <c r="LXO641" s="340"/>
      <c r="LXP641" s="354"/>
      <c r="LXQ641" s="313"/>
      <c r="LXR641" s="340"/>
      <c r="LXS641" s="340"/>
      <c r="LXT641" s="354"/>
      <c r="LXU641" s="313"/>
      <c r="LXV641" s="340"/>
      <c r="LXW641" s="340"/>
      <c r="LXX641" s="354"/>
      <c r="LXY641" s="313"/>
      <c r="LXZ641" s="340"/>
      <c r="LYA641" s="340"/>
      <c r="LYB641" s="354"/>
      <c r="LYC641" s="313"/>
      <c r="LYD641" s="340"/>
      <c r="LYE641" s="340"/>
      <c r="LYF641" s="354"/>
      <c r="LYG641" s="313"/>
      <c r="LYH641" s="340"/>
      <c r="LYI641" s="340"/>
      <c r="LYJ641" s="354"/>
      <c r="LYK641" s="313"/>
      <c r="LYL641" s="340"/>
      <c r="LYM641" s="340"/>
      <c r="LYN641" s="354"/>
      <c r="LYO641" s="313"/>
      <c r="LYP641" s="340"/>
      <c r="LYQ641" s="340"/>
      <c r="LYR641" s="354"/>
      <c r="LYS641" s="313"/>
      <c r="LYT641" s="340"/>
      <c r="LYU641" s="340"/>
      <c r="LYV641" s="354"/>
      <c r="LYW641" s="313"/>
      <c r="LYX641" s="340"/>
      <c r="LYY641" s="340"/>
      <c r="LYZ641" s="354"/>
      <c r="LZA641" s="313"/>
      <c r="LZB641" s="340"/>
      <c r="LZC641" s="340"/>
      <c r="LZD641" s="354"/>
      <c r="LZE641" s="313"/>
      <c r="LZF641" s="340"/>
      <c r="LZG641" s="340"/>
      <c r="LZH641" s="354"/>
      <c r="LZI641" s="313"/>
      <c r="LZJ641" s="340"/>
      <c r="LZK641" s="340"/>
      <c r="LZL641" s="354"/>
      <c r="LZM641" s="313"/>
      <c r="LZN641" s="340"/>
      <c r="LZO641" s="340"/>
      <c r="LZP641" s="354"/>
      <c r="LZQ641" s="313"/>
      <c r="LZR641" s="340"/>
      <c r="LZS641" s="340"/>
      <c r="LZT641" s="354"/>
      <c r="LZU641" s="313"/>
      <c r="LZV641" s="340"/>
      <c r="LZW641" s="340"/>
      <c r="LZX641" s="354"/>
      <c r="LZY641" s="313"/>
      <c r="LZZ641" s="340"/>
      <c r="MAA641" s="340"/>
      <c r="MAB641" s="354"/>
      <c r="MAC641" s="313"/>
      <c r="MAD641" s="340"/>
      <c r="MAE641" s="340"/>
      <c r="MAF641" s="354"/>
      <c r="MAG641" s="313"/>
      <c r="MAH641" s="340"/>
      <c r="MAI641" s="340"/>
      <c r="MAJ641" s="354"/>
      <c r="MAK641" s="313"/>
      <c r="MAL641" s="340"/>
      <c r="MAM641" s="340"/>
      <c r="MAN641" s="354"/>
      <c r="MAO641" s="313"/>
      <c r="MAP641" s="340"/>
      <c r="MAQ641" s="340"/>
      <c r="MAR641" s="354"/>
      <c r="MAS641" s="313"/>
      <c r="MAT641" s="340"/>
      <c r="MAU641" s="340"/>
      <c r="MAV641" s="354"/>
      <c r="MAW641" s="313"/>
      <c r="MAX641" s="340"/>
      <c r="MAY641" s="340"/>
      <c r="MAZ641" s="354"/>
      <c r="MBA641" s="313"/>
      <c r="MBB641" s="340"/>
      <c r="MBC641" s="340"/>
      <c r="MBD641" s="354"/>
      <c r="MBE641" s="313"/>
      <c r="MBF641" s="340"/>
      <c r="MBG641" s="340"/>
      <c r="MBH641" s="354"/>
      <c r="MBI641" s="313"/>
      <c r="MBJ641" s="340"/>
      <c r="MBK641" s="340"/>
      <c r="MBL641" s="354"/>
      <c r="MBM641" s="313"/>
      <c r="MBN641" s="340"/>
      <c r="MBO641" s="340"/>
      <c r="MBP641" s="354"/>
      <c r="MBQ641" s="313"/>
      <c r="MBR641" s="340"/>
      <c r="MBS641" s="340"/>
      <c r="MBT641" s="354"/>
      <c r="MBU641" s="313"/>
      <c r="MBV641" s="340"/>
      <c r="MBW641" s="340"/>
      <c r="MBX641" s="354"/>
      <c r="MBY641" s="313"/>
      <c r="MBZ641" s="340"/>
      <c r="MCA641" s="340"/>
      <c r="MCB641" s="354"/>
      <c r="MCC641" s="313"/>
      <c r="MCD641" s="340"/>
      <c r="MCE641" s="340"/>
      <c r="MCF641" s="354"/>
      <c r="MCG641" s="313"/>
      <c r="MCH641" s="340"/>
      <c r="MCI641" s="340"/>
      <c r="MCJ641" s="354"/>
      <c r="MCK641" s="313"/>
      <c r="MCL641" s="340"/>
      <c r="MCM641" s="340"/>
      <c r="MCN641" s="354"/>
      <c r="MCO641" s="313"/>
      <c r="MCP641" s="340"/>
      <c r="MCQ641" s="340"/>
      <c r="MCR641" s="354"/>
      <c r="MCS641" s="313"/>
      <c r="MCT641" s="340"/>
      <c r="MCU641" s="340"/>
      <c r="MCV641" s="354"/>
      <c r="MCW641" s="313"/>
      <c r="MCX641" s="340"/>
      <c r="MCY641" s="340"/>
      <c r="MCZ641" s="354"/>
      <c r="MDA641" s="313"/>
      <c r="MDB641" s="340"/>
      <c r="MDC641" s="340"/>
      <c r="MDD641" s="354"/>
      <c r="MDE641" s="313"/>
      <c r="MDF641" s="340"/>
      <c r="MDG641" s="340"/>
      <c r="MDH641" s="354"/>
      <c r="MDI641" s="313"/>
      <c r="MDJ641" s="340"/>
      <c r="MDK641" s="340"/>
      <c r="MDL641" s="354"/>
      <c r="MDM641" s="313"/>
      <c r="MDN641" s="340"/>
      <c r="MDO641" s="340"/>
      <c r="MDP641" s="354"/>
      <c r="MDQ641" s="313"/>
      <c r="MDR641" s="340"/>
      <c r="MDS641" s="340"/>
      <c r="MDT641" s="354"/>
      <c r="MDU641" s="313"/>
      <c r="MDV641" s="340"/>
      <c r="MDW641" s="340"/>
      <c r="MDX641" s="354"/>
      <c r="MDY641" s="313"/>
      <c r="MDZ641" s="340"/>
      <c r="MEA641" s="340"/>
      <c r="MEB641" s="354"/>
      <c r="MEC641" s="313"/>
      <c r="MED641" s="340"/>
      <c r="MEE641" s="340"/>
      <c r="MEF641" s="354"/>
      <c r="MEG641" s="313"/>
      <c r="MEH641" s="340"/>
      <c r="MEI641" s="340"/>
      <c r="MEJ641" s="354"/>
      <c r="MEK641" s="313"/>
      <c r="MEL641" s="340"/>
      <c r="MEM641" s="340"/>
      <c r="MEN641" s="354"/>
      <c r="MEO641" s="313"/>
      <c r="MEP641" s="340"/>
      <c r="MEQ641" s="340"/>
      <c r="MER641" s="354"/>
      <c r="MES641" s="313"/>
      <c r="MET641" s="340"/>
      <c r="MEU641" s="340"/>
      <c r="MEV641" s="354"/>
      <c r="MEW641" s="313"/>
      <c r="MEX641" s="340"/>
      <c r="MEY641" s="340"/>
      <c r="MEZ641" s="354"/>
      <c r="MFA641" s="313"/>
      <c r="MFB641" s="340"/>
      <c r="MFC641" s="340"/>
      <c r="MFD641" s="354"/>
      <c r="MFE641" s="313"/>
      <c r="MFF641" s="340"/>
      <c r="MFG641" s="340"/>
      <c r="MFH641" s="354"/>
      <c r="MFI641" s="313"/>
      <c r="MFJ641" s="340"/>
      <c r="MFK641" s="340"/>
      <c r="MFL641" s="354"/>
      <c r="MFM641" s="313"/>
      <c r="MFN641" s="340"/>
      <c r="MFO641" s="340"/>
      <c r="MFP641" s="354"/>
      <c r="MFQ641" s="313"/>
      <c r="MFR641" s="340"/>
      <c r="MFS641" s="340"/>
      <c r="MFT641" s="354"/>
      <c r="MFU641" s="313"/>
      <c r="MFV641" s="340"/>
      <c r="MFW641" s="340"/>
      <c r="MFX641" s="354"/>
      <c r="MFY641" s="313"/>
      <c r="MFZ641" s="340"/>
      <c r="MGA641" s="340"/>
      <c r="MGB641" s="354"/>
      <c r="MGC641" s="313"/>
      <c r="MGD641" s="340"/>
      <c r="MGE641" s="340"/>
      <c r="MGF641" s="354"/>
      <c r="MGG641" s="313"/>
      <c r="MGH641" s="340"/>
      <c r="MGI641" s="340"/>
      <c r="MGJ641" s="354"/>
      <c r="MGK641" s="313"/>
      <c r="MGL641" s="340"/>
      <c r="MGM641" s="340"/>
      <c r="MGN641" s="354"/>
      <c r="MGO641" s="313"/>
      <c r="MGP641" s="340"/>
      <c r="MGQ641" s="340"/>
      <c r="MGR641" s="354"/>
      <c r="MGS641" s="313"/>
      <c r="MGT641" s="340"/>
      <c r="MGU641" s="340"/>
      <c r="MGV641" s="354"/>
      <c r="MGW641" s="313"/>
      <c r="MGX641" s="340"/>
      <c r="MGY641" s="340"/>
      <c r="MGZ641" s="354"/>
      <c r="MHA641" s="313"/>
      <c r="MHB641" s="340"/>
      <c r="MHC641" s="340"/>
      <c r="MHD641" s="354"/>
      <c r="MHE641" s="313"/>
      <c r="MHF641" s="340"/>
      <c r="MHG641" s="340"/>
      <c r="MHH641" s="354"/>
      <c r="MHI641" s="313"/>
      <c r="MHJ641" s="340"/>
      <c r="MHK641" s="340"/>
      <c r="MHL641" s="354"/>
      <c r="MHM641" s="313"/>
      <c r="MHN641" s="340"/>
      <c r="MHO641" s="340"/>
      <c r="MHP641" s="354"/>
      <c r="MHQ641" s="313"/>
      <c r="MHR641" s="340"/>
      <c r="MHS641" s="340"/>
      <c r="MHT641" s="354"/>
      <c r="MHU641" s="313"/>
      <c r="MHV641" s="340"/>
      <c r="MHW641" s="340"/>
      <c r="MHX641" s="354"/>
      <c r="MHY641" s="313"/>
      <c r="MHZ641" s="340"/>
      <c r="MIA641" s="340"/>
      <c r="MIB641" s="354"/>
      <c r="MIC641" s="313"/>
      <c r="MID641" s="340"/>
      <c r="MIE641" s="340"/>
      <c r="MIF641" s="354"/>
      <c r="MIG641" s="313"/>
      <c r="MIH641" s="340"/>
      <c r="MII641" s="340"/>
      <c r="MIJ641" s="354"/>
      <c r="MIK641" s="313"/>
      <c r="MIL641" s="340"/>
      <c r="MIM641" s="340"/>
      <c r="MIN641" s="354"/>
      <c r="MIO641" s="313"/>
      <c r="MIP641" s="340"/>
      <c r="MIQ641" s="340"/>
      <c r="MIR641" s="354"/>
      <c r="MIS641" s="313"/>
      <c r="MIT641" s="340"/>
      <c r="MIU641" s="340"/>
      <c r="MIV641" s="354"/>
      <c r="MIW641" s="313"/>
      <c r="MIX641" s="340"/>
      <c r="MIY641" s="340"/>
      <c r="MIZ641" s="354"/>
      <c r="MJA641" s="313"/>
      <c r="MJB641" s="340"/>
      <c r="MJC641" s="340"/>
      <c r="MJD641" s="354"/>
      <c r="MJE641" s="313"/>
      <c r="MJF641" s="340"/>
      <c r="MJG641" s="340"/>
      <c r="MJH641" s="354"/>
      <c r="MJI641" s="313"/>
      <c r="MJJ641" s="340"/>
      <c r="MJK641" s="340"/>
      <c r="MJL641" s="354"/>
      <c r="MJM641" s="313"/>
      <c r="MJN641" s="340"/>
      <c r="MJO641" s="340"/>
      <c r="MJP641" s="354"/>
      <c r="MJQ641" s="313"/>
      <c r="MJR641" s="340"/>
      <c r="MJS641" s="340"/>
      <c r="MJT641" s="354"/>
      <c r="MJU641" s="313"/>
      <c r="MJV641" s="340"/>
      <c r="MJW641" s="340"/>
      <c r="MJX641" s="354"/>
      <c r="MJY641" s="313"/>
      <c r="MJZ641" s="340"/>
      <c r="MKA641" s="340"/>
      <c r="MKB641" s="354"/>
      <c r="MKC641" s="313"/>
      <c r="MKD641" s="340"/>
      <c r="MKE641" s="340"/>
      <c r="MKF641" s="354"/>
      <c r="MKG641" s="313"/>
      <c r="MKH641" s="340"/>
      <c r="MKI641" s="340"/>
      <c r="MKJ641" s="354"/>
      <c r="MKK641" s="313"/>
      <c r="MKL641" s="340"/>
      <c r="MKM641" s="340"/>
      <c r="MKN641" s="354"/>
      <c r="MKO641" s="313"/>
      <c r="MKP641" s="340"/>
      <c r="MKQ641" s="340"/>
      <c r="MKR641" s="354"/>
      <c r="MKS641" s="313"/>
      <c r="MKT641" s="340"/>
      <c r="MKU641" s="340"/>
      <c r="MKV641" s="354"/>
      <c r="MKW641" s="313"/>
      <c r="MKX641" s="340"/>
      <c r="MKY641" s="340"/>
      <c r="MKZ641" s="354"/>
      <c r="MLA641" s="313"/>
      <c r="MLB641" s="340"/>
      <c r="MLC641" s="340"/>
      <c r="MLD641" s="354"/>
      <c r="MLE641" s="313"/>
      <c r="MLF641" s="340"/>
      <c r="MLG641" s="340"/>
      <c r="MLH641" s="354"/>
      <c r="MLI641" s="313"/>
      <c r="MLJ641" s="340"/>
      <c r="MLK641" s="340"/>
      <c r="MLL641" s="354"/>
      <c r="MLM641" s="313"/>
      <c r="MLN641" s="340"/>
      <c r="MLO641" s="340"/>
      <c r="MLP641" s="354"/>
      <c r="MLQ641" s="313"/>
      <c r="MLR641" s="340"/>
      <c r="MLS641" s="340"/>
      <c r="MLT641" s="354"/>
      <c r="MLU641" s="313"/>
      <c r="MLV641" s="340"/>
      <c r="MLW641" s="340"/>
      <c r="MLX641" s="354"/>
      <c r="MLY641" s="313"/>
      <c r="MLZ641" s="340"/>
      <c r="MMA641" s="340"/>
      <c r="MMB641" s="354"/>
      <c r="MMC641" s="313"/>
      <c r="MMD641" s="340"/>
      <c r="MME641" s="340"/>
      <c r="MMF641" s="354"/>
      <c r="MMG641" s="313"/>
      <c r="MMH641" s="340"/>
      <c r="MMI641" s="340"/>
      <c r="MMJ641" s="354"/>
      <c r="MMK641" s="313"/>
      <c r="MML641" s="340"/>
      <c r="MMM641" s="340"/>
      <c r="MMN641" s="354"/>
      <c r="MMO641" s="313"/>
      <c r="MMP641" s="340"/>
      <c r="MMQ641" s="340"/>
      <c r="MMR641" s="354"/>
      <c r="MMS641" s="313"/>
      <c r="MMT641" s="340"/>
      <c r="MMU641" s="340"/>
      <c r="MMV641" s="354"/>
      <c r="MMW641" s="313"/>
      <c r="MMX641" s="340"/>
      <c r="MMY641" s="340"/>
      <c r="MMZ641" s="354"/>
      <c r="MNA641" s="313"/>
      <c r="MNB641" s="340"/>
      <c r="MNC641" s="340"/>
      <c r="MND641" s="354"/>
      <c r="MNE641" s="313"/>
      <c r="MNF641" s="340"/>
      <c r="MNG641" s="340"/>
      <c r="MNH641" s="354"/>
      <c r="MNI641" s="313"/>
      <c r="MNJ641" s="340"/>
      <c r="MNK641" s="340"/>
      <c r="MNL641" s="354"/>
      <c r="MNM641" s="313"/>
      <c r="MNN641" s="340"/>
      <c r="MNO641" s="340"/>
      <c r="MNP641" s="354"/>
      <c r="MNQ641" s="313"/>
      <c r="MNR641" s="340"/>
      <c r="MNS641" s="340"/>
      <c r="MNT641" s="354"/>
      <c r="MNU641" s="313"/>
      <c r="MNV641" s="340"/>
      <c r="MNW641" s="340"/>
      <c r="MNX641" s="354"/>
      <c r="MNY641" s="313"/>
      <c r="MNZ641" s="340"/>
      <c r="MOA641" s="340"/>
      <c r="MOB641" s="354"/>
      <c r="MOC641" s="313"/>
      <c r="MOD641" s="340"/>
      <c r="MOE641" s="340"/>
      <c r="MOF641" s="354"/>
      <c r="MOG641" s="313"/>
      <c r="MOH641" s="340"/>
      <c r="MOI641" s="340"/>
      <c r="MOJ641" s="354"/>
      <c r="MOK641" s="313"/>
      <c r="MOL641" s="340"/>
      <c r="MOM641" s="340"/>
      <c r="MON641" s="354"/>
      <c r="MOO641" s="313"/>
      <c r="MOP641" s="340"/>
      <c r="MOQ641" s="340"/>
      <c r="MOR641" s="354"/>
      <c r="MOS641" s="313"/>
      <c r="MOT641" s="340"/>
      <c r="MOU641" s="340"/>
      <c r="MOV641" s="354"/>
      <c r="MOW641" s="313"/>
      <c r="MOX641" s="340"/>
      <c r="MOY641" s="340"/>
      <c r="MOZ641" s="354"/>
      <c r="MPA641" s="313"/>
      <c r="MPB641" s="340"/>
      <c r="MPC641" s="340"/>
      <c r="MPD641" s="354"/>
      <c r="MPE641" s="313"/>
      <c r="MPF641" s="340"/>
      <c r="MPG641" s="340"/>
      <c r="MPH641" s="354"/>
      <c r="MPI641" s="313"/>
      <c r="MPJ641" s="340"/>
      <c r="MPK641" s="340"/>
      <c r="MPL641" s="354"/>
      <c r="MPM641" s="313"/>
      <c r="MPN641" s="340"/>
      <c r="MPO641" s="340"/>
      <c r="MPP641" s="354"/>
      <c r="MPQ641" s="313"/>
      <c r="MPR641" s="340"/>
      <c r="MPS641" s="340"/>
      <c r="MPT641" s="354"/>
      <c r="MPU641" s="313"/>
      <c r="MPV641" s="340"/>
      <c r="MPW641" s="340"/>
      <c r="MPX641" s="354"/>
      <c r="MPY641" s="313"/>
      <c r="MPZ641" s="340"/>
      <c r="MQA641" s="340"/>
      <c r="MQB641" s="354"/>
      <c r="MQC641" s="313"/>
      <c r="MQD641" s="340"/>
      <c r="MQE641" s="340"/>
      <c r="MQF641" s="354"/>
      <c r="MQG641" s="313"/>
      <c r="MQH641" s="340"/>
      <c r="MQI641" s="340"/>
      <c r="MQJ641" s="354"/>
      <c r="MQK641" s="313"/>
      <c r="MQL641" s="340"/>
      <c r="MQM641" s="340"/>
      <c r="MQN641" s="354"/>
      <c r="MQO641" s="313"/>
      <c r="MQP641" s="340"/>
      <c r="MQQ641" s="340"/>
      <c r="MQR641" s="354"/>
      <c r="MQS641" s="313"/>
      <c r="MQT641" s="340"/>
      <c r="MQU641" s="340"/>
      <c r="MQV641" s="354"/>
      <c r="MQW641" s="313"/>
      <c r="MQX641" s="340"/>
      <c r="MQY641" s="340"/>
      <c r="MQZ641" s="354"/>
      <c r="MRA641" s="313"/>
      <c r="MRB641" s="340"/>
      <c r="MRC641" s="340"/>
      <c r="MRD641" s="354"/>
      <c r="MRE641" s="313"/>
      <c r="MRF641" s="340"/>
      <c r="MRG641" s="340"/>
      <c r="MRH641" s="354"/>
      <c r="MRI641" s="313"/>
      <c r="MRJ641" s="340"/>
      <c r="MRK641" s="340"/>
      <c r="MRL641" s="354"/>
      <c r="MRM641" s="313"/>
      <c r="MRN641" s="340"/>
      <c r="MRO641" s="340"/>
      <c r="MRP641" s="354"/>
      <c r="MRQ641" s="313"/>
      <c r="MRR641" s="340"/>
      <c r="MRS641" s="340"/>
      <c r="MRT641" s="354"/>
      <c r="MRU641" s="313"/>
      <c r="MRV641" s="340"/>
      <c r="MRW641" s="340"/>
      <c r="MRX641" s="354"/>
      <c r="MRY641" s="313"/>
      <c r="MRZ641" s="340"/>
      <c r="MSA641" s="340"/>
      <c r="MSB641" s="354"/>
      <c r="MSC641" s="313"/>
      <c r="MSD641" s="340"/>
      <c r="MSE641" s="340"/>
      <c r="MSF641" s="354"/>
      <c r="MSG641" s="313"/>
      <c r="MSH641" s="340"/>
      <c r="MSI641" s="340"/>
      <c r="MSJ641" s="354"/>
      <c r="MSK641" s="313"/>
      <c r="MSL641" s="340"/>
      <c r="MSM641" s="340"/>
      <c r="MSN641" s="354"/>
      <c r="MSO641" s="313"/>
      <c r="MSP641" s="340"/>
      <c r="MSQ641" s="340"/>
      <c r="MSR641" s="354"/>
      <c r="MSS641" s="313"/>
      <c r="MST641" s="340"/>
      <c r="MSU641" s="340"/>
      <c r="MSV641" s="354"/>
      <c r="MSW641" s="313"/>
      <c r="MSX641" s="340"/>
      <c r="MSY641" s="340"/>
      <c r="MSZ641" s="354"/>
      <c r="MTA641" s="313"/>
      <c r="MTB641" s="340"/>
      <c r="MTC641" s="340"/>
      <c r="MTD641" s="354"/>
      <c r="MTE641" s="313"/>
      <c r="MTF641" s="340"/>
      <c r="MTG641" s="340"/>
      <c r="MTH641" s="354"/>
      <c r="MTI641" s="313"/>
      <c r="MTJ641" s="340"/>
      <c r="MTK641" s="340"/>
      <c r="MTL641" s="354"/>
      <c r="MTM641" s="313"/>
      <c r="MTN641" s="340"/>
      <c r="MTO641" s="340"/>
      <c r="MTP641" s="354"/>
      <c r="MTQ641" s="313"/>
      <c r="MTR641" s="340"/>
      <c r="MTS641" s="340"/>
      <c r="MTT641" s="354"/>
      <c r="MTU641" s="313"/>
      <c r="MTV641" s="340"/>
      <c r="MTW641" s="340"/>
      <c r="MTX641" s="354"/>
      <c r="MTY641" s="313"/>
      <c r="MTZ641" s="340"/>
      <c r="MUA641" s="340"/>
      <c r="MUB641" s="354"/>
      <c r="MUC641" s="313"/>
      <c r="MUD641" s="340"/>
      <c r="MUE641" s="340"/>
      <c r="MUF641" s="354"/>
      <c r="MUG641" s="313"/>
      <c r="MUH641" s="340"/>
      <c r="MUI641" s="340"/>
      <c r="MUJ641" s="354"/>
      <c r="MUK641" s="313"/>
      <c r="MUL641" s="340"/>
      <c r="MUM641" s="340"/>
      <c r="MUN641" s="354"/>
      <c r="MUO641" s="313"/>
      <c r="MUP641" s="340"/>
      <c r="MUQ641" s="340"/>
      <c r="MUR641" s="354"/>
      <c r="MUS641" s="313"/>
      <c r="MUT641" s="340"/>
      <c r="MUU641" s="340"/>
      <c r="MUV641" s="354"/>
      <c r="MUW641" s="313"/>
      <c r="MUX641" s="340"/>
      <c r="MUY641" s="340"/>
      <c r="MUZ641" s="354"/>
      <c r="MVA641" s="313"/>
      <c r="MVB641" s="340"/>
      <c r="MVC641" s="340"/>
      <c r="MVD641" s="354"/>
      <c r="MVE641" s="313"/>
      <c r="MVF641" s="340"/>
      <c r="MVG641" s="340"/>
      <c r="MVH641" s="354"/>
      <c r="MVI641" s="313"/>
      <c r="MVJ641" s="340"/>
      <c r="MVK641" s="340"/>
      <c r="MVL641" s="354"/>
      <c r="MVM641" s="313"/>
      <c r="MVN641" s="340"/>
      <c r="MVO641" s="340"/>
      <c r="MVP641" s="354"/>
      <c r="MVQ641" s="313"/>
      <c r="MVR641" s="340"/>
      <c r="MVS641" s="340"/>
      <c r="MVT641" s="354"/>
      <c r="MVU641" s="313"/>
      <c r="MVV641" s="340"/>
      <c r="MVW641" s="340"/>
      <c r="MVX641" s="354"/>
      <c r="MVY641" s="313"/>
      <c r="MVZ641" s="340"/>
      <c r="MWA641" s="340"/>
      <c r="MWB641" s="354"/>
      <c r="MWC641" s="313"/>
      <c r="MWD641" s="340"/>
      <c r="MWE641" s="340"/>
      <c r="MWF641" s="354"/>
      <c r="MWG641" s="313"/>
      <c r="MWH641" s="340"/>
      <c r="MWI641" s="340"/>
      <c r="MWJ641" s="354"/>
      <c r="MWK641" s="313"/>
      <c r="MWL641" s="340"/>
      <c r="MWM641" s="340"/>
      <c r="MWN641" s="354"/>
      <c r="MWO641" s="313"/>
      <c r="MWP641" s="340"/>
      <c r="MWQ641" s="340"/>
      <c r="MWR641" s="354"/>
      <c r="MWS641" s="313"/>
      <c r="MWT641" s="340"/>
      <c r="MWU641" s="340"/>
      <c r="MWV641" s="354"/>
      <c r="MWW641" s="313"/>
      <c r="MWX641" s="340"/>
      <c r="MWY641" s="340"/>
      <c r="MWZ641" s="354"/>
      <c r="MXA641" s="313"/>
      <c r="MXB641" s="340"/>
      <c r="MXC641" s="340"/>
      <c r="MXD641" s="354"/>
      <c r="MXE641" s="313"/>
      <c r="MXF641" s="340"/>
      <c r="MXG641" s="340"/>
      <c r="MXH641" s="354"/>
      <c r="MXI641" s="313"/>
      <c r="MXJ641" s="340"/>
      <c r="MXK641" s="340"/>
      <c r="MXL641" s="354"/>
      <c r="MXM641" s="313"/>
      <c r="MXN641" s="340"/>
      <c r="MXO641" s="340"/>
      <c r="MXP641" s="354"/>
      <c r="MXQ641" s="313"/>
      <c r="MXR641" s="340"/>
      <c r="MXS641" s="340"/>
      <c r="MXT641" s="354"/>
      <c r="MXU641" s="313"/>
      <c r="MXV641" s="340"/>
      <c r="MXW641" s="340"/>
      <c r="MXX641" s="354"/>
      <c r="MXY641" s="313"/>
      <c r="MXZ641" s="340"/>
      <c r="MYA641" s="340"/>
      <c r="MYB641" s="354"/>
      <c r="MYC641" s="313"/>
      <c r="MYD641" s="340"/>
      <c r="MYE641" s="340"/>
      <c r="MYF641" s="354"/>
      <c r="MYG641" s="313"/>
      <c r="MYH641" s="340"/>
      <c r="MYI641" s="340"/>
      <c r="MYJ641" s="354"/>
      <c r="MYK641" s="313"/>
      <c r="MYL641" s="340"/>
      <c r="MYM641" s="340"/>
      <c r="MYN641" s="354"/>
      <c r="MYO641" s="313"/>
      <c r="MYP641" s="340"/>
      <c r="MYQ641" s="340"/>
      <c r="MYR641" s="354"/>
      <c r="MYS641" s="313"/>
      <c r="MYT641" s="340"/>
      <c r="MYU641" s="340"/>
      <c r="MYV641" s="354"/>
      <c r="MYW641" s="313"/>
      <c r="MYX641" s="340"/>
      <c r="MYY641" s="340"/>
      <c r="MYZ641" s="354"/>
      <c r="MZA641" s="313"/>
      <c r="MZB641" s="340"/>
      <c r="MZC641" s="340"/>
      <c r="MZD641" s="354"/>
      <c r="MZE641" s="313"/>
      <c r="MZF641" s="340"/>
      <c r="MZG641" s="340"/>
      <c r="MZH641" s="354"/>
      <c r="MZI641" s="313"/>
      <c r="MZJ641" s="340"/>
      <c r="MZK641" s="340"/>
      <c r="MZL641" s="354"/>
      <c r="MZM641" s="313"/>
      <c r="MZN641" s="340"/>
      <c r="MZO641" s="340"/>
      <c r="MZP641" s="354"/>
      <c r="MZQ641" s="313"/>
      <c r="MZR641" s="340"/>
      <c r="MZS641" s="340"/>
      <c r="MZT641" s="354"/>
      <c r="MZU641" s="313"/>
      <c r="MZV641" s="340"/>
      <c r="MZW641" s="340"/>
      <c r="MZX641" s="354"/>
      <c r="MZY641" s="313"/>
      <c r="MZZ641" s="340"/>
      <c r="NAA641" s="340"/>
      <c r="NAB641" s="354"/>
      <c r="NAC641" s="313"/>
      <c r="NAD641" s="340"/>
      <c r="NAE641" s="340"/>
      <c r="NAF641" s="354"/>
      <c r="NAG641" s="313"/>
      <c r="NAH641" s="340"/>
      <c r="NAI641" s="340"/>
      <c r="NAJ641" s="354"/>
      <c r="NAK641" s="313"/>
      <c r="NAL641" s="340"/>
      <c r="NAM641" s="340"/>
      <c r="NAN641" s="354"/>
      <c r="NAO641" s="313"/>
      <c r="NAP641" s="340"/>
      <c r="NAQ641" s="340"/>
      <c r="NAR641" s="354"/>
      <c r="NAS641" s="313"/>
      <c r="NAT641" s="340"/>
      <c r="NAU641" s="340"/>
      <c r="NAV641" s="354"/>
      <c r="NAW641" s="313"/>
      <c r="NAX641" s="340"/>
      <c r="NAY641" s="340"/>
      <c r="NAZ641" s="354"/>
      <c r="NBA641" s="313"/>
      <c r="NBB641" s="340"/>
      <c r="NBC641" s="340"/>
      <c r="NBD641" s="354"/>
      <c r="NBE641" s="313"/>
      <c r="NBF641" s="340"/>
      <c r="NBG641" s="340"/>
      <c r="NBH641" s="354"/>
      <c r="NBI641" s="313"/>
      <c r="NBJ641" s="340"/>
      <c r="NBK641" s="340"/>
      <c r="NBL641" s="354"/>
      <c r="NBM641" s="313"/>
      <c r="NBN641" s="340"/>
      <c r="NBO641" s="340"/>
      <c r="NBP641" s="354"/>
      <c r="NBQ641" s="313"/>
      <c r="NBR641" s="340"/>
      <c r="NBS641" s="340"/>
      <c r="NBT641" s="354"/>
      <c r="NBU641" s="313"/>
      <c r="NBV641" s="340"/>
      <c r="NBW641" s="340"/>
      <c r="NBX641" s="354"/>
      <c r="NBY641" s="313"/>
      <c r="NBZ641" s="340"/>
      <c r="NCA641" s="340"/>
      <c r="NCB641" s="354"/>
      <c r="NCC641" s="313"/>
      <c r="NCD641" s="340"/>
      <c r="NCE641" s="340"/>
      <c r="NCF641" s="354"/>
      <c r="NCG641" s="313"/>
      <c r="NCH641" s="340"/>
      <c r="NCI641" s="340"/>
      <c r="NCJ641" s="354"/>
      <c r="NCK641" s="313"/>
      <c r="NCL641" s="340"/>
      <c r="NCM641" s="340"/>
      <c r="NCN641" s="354"/>
      <c r="NCO641" s="313"/>
      <c r="NCP641" s="340"/>
      <c r="NCQ641" s="340"/>
      <c r="NCR641" s="354"/>
      <c r="NCS641" s="313"/>
      <c r="NCT641" s="340"/>
      <c r="NCU641" s="340"/>
      <c r="NCV641" s="354"/>
      <c r="NCW641" s="313"/>
      <c r="NCX641" s="340"/>
      <c r="NCY641" s="340"/>
      <c r="NCZ641" s="354"/>
      <c r="NDA641" s="313"/>
      <c r="NDB641" s="340"/>
      <c r="NDC641" s="340"/>
      <c r="NDD641" s="354"/>
      <c r="NDE641" s="313"/>
      <c r="NDF641" s="340"/>
      <c r="NDG641" s="340"/>
      <c r="NDH641" s="354"/>
      <c r="NDI641" s="313"/>
      <c r="NDJ641" s="340"/>
      <c r="NDK641" s="340"/>
      <c r="NDL641" s="354"/>
      <c r="NDM641" s="313"/>
      <c r="NDN641" s="340"/>
      <c r="NDO641" s="340"/>
      <c r="NDP641" s="354"/>
      <c r="NDQ641" s="313"/>
      <c r="NDR641" s="340"/>
      <c r="NDS641" s="340"/>
      <c r="NDT641" s="354"/>
      <c r="NDU641" s="313"/>
      <c r="NDV641" s="340"/>
      <c r="NDW641" s="340"/>
      <c r="NDX641" s="354"/>
      <c r="NDY641" s="313"/>
      <c r="NDZ641" s="340"/>
      <c r="NEA641" s="340"/>
      <c r="NEB641" s="354"/>
      <c r="NEC641" s="313"/>
      <c r="NED641" s="340"/>
      <c r="NEE641" s="340"/>
      <c r="NEF641" s="354"/>
      <c r="NEG641" s="313"/>
      <c r="NEH641" s="340"/>
      <c r="NEI641" s="340"/>
      <c r="NEJ641" s="354"/>
      <c r="NEK641" s="313"/>
      <c r="NEL641" s="340"/>
      <c r="NEM641" s="340"/>
      <c r="NEN641" s="354"/>
      <c r="NEO641" s="313"/>
      <c r="NEP641" s="340"/>
      <c r="NEQ641" s="340"/>
      <c r="NER641" s="354"/>
      <c r="NES641" s="313"/>
      <c r="NET641" s="340"/>
      <c r="NEU641" s="340"/>
      <c r="NEV641" s="354"/>
      <c r="NEW641" s="313"/>
      <c r="NEX641" s="340"/>
      <c r="NEY641" s="340"/>
      <c r="NEZ641" s="354"/>
      <c r="NFA641" s="313"/>
      <c r="NFB641" s="340"/>
      <c r="NFC641" s="340"/>
      <c r="NFD641" s="354"/>
      <c r="NFE641" s="313"/>
      <c r="NFF641" s="340"/>
      <c r="NFG641" s="340"/>
      <c r="NFH641" s="354"/>
      <c r="NFI641" s="313"/>
      <c r="NFJ641" s="340"/>
      <c r="NFK641" s="340"/>
      <c r="NFL641" s="354"/>
      <c r="NFM641" s="313"/>
      <c r="NFN641" s="340"/>
      <c r="NFO641" s="340"/>
      <c r="NFP641" s="354"/>
      <c r="NFQ641" s="313"/>
      <c r="NFR641" s="340"/>
      <c r="NFS641" s="340"/>
      <c r="NFT641" s="354"/>
      <c r="NFU641" s="313"/>
      <c r="NFV641" s="340"/>
      <c r="NFW641" s="340"/>
      <c r="NFX641" s="354"/>
      <c r="NFY641" s="313"/>
      <c r="NFZ641" s="340"/>
      <c r="NGA641" s="340"/>
      <c r="NGB641" s="354"/>
      <c r="NGC641" s="313"/>
      <c r="NGD641" s="340"/>
      <c r="NGE641" s="340"/>
      <c r="NGF641" s="354"/>
      <c r="NGG641" s="313"/>
      <c r="NGH641" s="340"/>
      <c r="NGI641" s="340"/>
      <c r="NGJ641" s="354"/>
      <c r="NGK641" s="313"/>
      <c r="NGL641" s="340"/>
      <c r="NGM641" s="340"/>
      <c r="NGN641" s="354"/>
      <c r="NGO641" s="313"/>
      <c r="NGP641" s="340"/>
      <c r="NGQ641" s="340"/>
      <c r="NGR641" s="354"/>
      <c r="NGS641" s="313"/>
      <c r="NGT641" s="340"/>
      <c r="NGU641" s="340"/>
      <c r="NGV641" s="354"/>
      <c r="NGW641" s="313"/>
      <c r="NGX641" s="340"/>
      <c r="NGY641" s="340"/>
      <c r="NGZ641" s="354"/>
      <c r="NHA641" s="313"/>
      <c r="NHB641" s="340"/>
      <c r="NHC641" s="340"/>
      <c r="NHD641" s="354"/>
      <c r="NHE641" s="313"/>
      <c r="NHF641" s="340"/>
      <c r="NHG641" s="340"/>
      <c r="NHH641" s="354"/>
      <c r="NHI641" s="313"/>
      <c r="NHJ641" s="340"/>
      <c r="NHK641" s="340"/>
      <c r="NHL641" s="354"/>
      <c r="NHM641" s="313"/>
      <c r="NHN641" s="340"/>
      <c r="NHO641" s="340"/>
      <c r="NHP641" s="354"/>
      <c r="NHQ641" s="313"/>
      <c r="NHR641" s="340"/>
      <c r="NHS641" s="340"/>
      <c r="NHT641" s="354"/>
      <c r="NHU641" s="313"/>
      <c r="NHV641" s="340"/>
      <c r="NHW641" s="340"/>
      <c r="NHX641" s="354"/>
      <c r="NHY641" s="313"/>
      <c r="NHZ641" s="340"/>
      <c r="NIA641" s="340"/>
      <c r="NIB641" s="354"/>
      <c r="NIC641" s="313"/>
      <c r="NID641" s="340"/>
      <c r="NIE641" s="340"/>
      <c r="NIF641" s="354"/>
      <c r="NIG641" s="313"/>
      <c r="NIH641" s="340"/>
      <c r="NII641" s="340"/>
      <c r="NIJ641" s="354"/>
      <c r="NIK641" s="313"/>
      <c r="NIL641" s="340"/>
      <c r="NIM641" s="340"/>
      <c r="NIN641" s="354"/>
      <c r="NIO641" s="313"/>
      <c r="NIP641" s="340"/>
      <c r="NIQ641" s="340"/>
      <c r="NIR641" s="354"/>
      <c r="NIS641" s="313"/>
      <c r="NIT641" s="340"/>
      <c r="NIU641" s="340"/>
      <c r="NIV641" s="354"/>
      <c r="NIW641" s="313"/>
      <c r="NIX641" s="340"/>
      <c r="NIY641" s="340"/>
      <c r="NIZ641" s="354"/>
      <c r="NJA641" s="313"/>
      <c r="NJB641" s="340"/>
      <c r="NJC641" s="340"/>
      <c r="NJD641" s="354"/>
      <c r="NJE641" s="313"/>
      <c r="NJF641" s="340"/>
      <c r="NJG641" s="340"/>
      <c r="NJH641" s="354"/>
      <c r="NJI641" s="313"/>
      <c r="NJJ641" s="340"/>
      <c r="NJK641" s="340"/>
      <c r="NJL641" s="354"/>
      <c r="NJM641" s="313"/>
      <c r="NJN641" s="340"/>
      <c r="NJO641" s="340"/>
      <c r="NJP641" s="354"/>
      <c r="NJQ641" s="313"/>
      <c r="NJR641" s="340"/>
      <c r="NJS641" s="340"/>
      <c r="NJT641" s="354"/>
      <c r="NJU641" s="313"/>
      <c r="NJV641" s="340"/>
      <c r="NJW641" s="340"/>
      <c r="NJX641" s="354"/>
      <c r="NJY641" s="313"/>
      <c r="NJZ641" s="340"/>
      <c r="NKA641" s="340"/>
      <c r="NKB641" s="354"/>
      <c r="NKC641" s="313"/>
      <c r="NKD641" s="340"/>
      <c r="NKE641" s="340"/>
      <c r="NKF641" s="354"/>
      <c r="NKG641" s="313"/>
      <c r="NKH641" s="340"/>
      <c r="NKI641" s="340"/>
      <c r="NKJ641" s="354"/>
      <c r="NKK641" s="313"/>
      <c r="NKL641" s="340"/>
      <c r="NKM641" s="340"/>
      <c r="NKN641" s="354"/>
      <c r="NKO641" s="313"/>
      <c r="NKP641" s="340"/>
      <c r="NKQ641" s="340"/>
      <c r="NKR641" s="354"/>
      <c r="NKS641" s="313"/>
      <c r="NKT641" s="340"/>
      <c r="NKU641" s="340"/>
      <c r="NKV641" s="354"/>
      <c r="NKW641" s="313"/>
      <c r="NKX641" s="340"/>
      <c r="NKY641" s="340"/>
      <c r="NKZ641" s="354"/>
      <c r="NLA641" s="313"/>
      <c r="NLB641" s="340"/>
      <c r="NLC641" s="340"/>
      <c r="NLD641" s="354"/>
      <c r="NLE641" s="313"/>
      <c r="NLF641" s="340"/>
      <c r="NLG641" s="340"/>
      <c r="NLH641" s="354"/>
      <c r="NLI641" s="313"/>
      <c r="NLJ641" s="340"/>
      <c r="NLK641" s="340"/>
      <c r="NLL641" s="354"/>
      <c r="NLM641" s="313"/>
      <c r="NLN641" s="340"/>
      <c r="NLO641" s="340"/>
      <c r="NLP641" s="354"/>
      <c r="NLQ641" s="313"/>
      <c r="NLR641" s="340"/>
      <c r="NLS641" s="340"/>
      <c r="NLT641" s="354"/>
      <c r="NLU641" s="313"/>
      <c r="NLV641" s="340"/>
      <c r="NLW641" s="340"/>
      <c r="NLX641" s="354"/>
      <c r="NLY641" s="313"/>
      <c r="NLZ641" s="340"/>
      <c r="NMA641" s="340"/>
      <c r="NMB641" s="354"/>
      <c r="NMC641" s="313"/>
      <c r="NMD641" s="340"/>
      <c r="NME641" s="340"/>
      <c r="NMF641" s="354"/>
      <c r="NMG641" s="313"/>
      <c r="NMH641" s="340"/>
      <c r="NMI641" s="340"/>
      <c r="NMJ641" s="354"/>
      <c r="NMK641" s="313"/>
      <c r="NML641" s="340"/>
      <c r="NMM641" s="340"/>
      <c r="NMN641" s="354"/>
      <c r="NMO641" s="313"/>
      <c r="NMP641" s="340"/>
      <c r="NMQ641" s="340"/>
      <c r="NMR641" s="354"/>
      <c r="NMS641" s="313"/>
      <c r="NMT641" s="340"/>
      <c r="NMU641" s="340"/>
      <c r="NMV641" s="354"/>
      <c r="NMW641" s="313"/>
      <c r="NMX641" s="340"/>
      <c r="NMY641" s="340"/>
      <c r="NMZ641" s="354"/>
      <c r="NNA641" s="313"/>
      <c r="NNB641" s="340"/>
      <c r="NNC641" s="340"/>
      <c r="NND641" s="354"/>
      <c r="NNE641" s="313"/>
      <c r="NNF641" s="340"/>
      <c r="NNG641" s="340"/>
      <c r="NNH641" s="354"/>
      <c r="NNI641" s="313"/>
      <c r="NNJ641" s="340"/>
      <c r="NNK641" s="340"/>
      <c r="NNL641" s="354"/>
      <c r="NNM641" s="313"/>
      <c r="NNN641" s="340"/>
      <c r="NNO641" s="340"/>
      <c r="NNP641" s="354"/>
      <c r="NNQ641" s="313"/>
      <c r="NNR641" s="340"/>
      <c r="NNS641" s="340"/>
      <c r="NNT641" s="354"/>
      <c r="NNU641" s="313"/>
      <c r="NNV641" s="340"/>
      <c r="NNW641" s="340"/>
      <c r="NNX641" s="354"/>
      <c r="NNY641" s="313"/>
      <c r="NNZ641" s="340"/>
      <c r="NOA641" s="340"/>
      <c r="NOB641" s="354"/>
      <c r="NOC641" s="313"/>
      <c r="NOD641" s="340"/>
      <c r="NOE641" s="340"/>
      <c r="NOF641" s="354"/>
      <c r="NOG641" s="313"/>
      <c r="NOH641" s="340"/>
      <c r="NOI641" s="340"/>
      <c r="NOJ641" s="354"/>
      <c r="NOK641" s="313"/>
      <c r="NOL641" s="340"/>
      <c r="NOM641" s="340"/>
      <c r="NON641" s="354"/>
      <c r="NOO641" s="313"/>
      <c r="NOP641" s="340"/>
      <c r="NOQ641" s="340"/>
      <c r="NOR641" s="354"/>
      <c r="NOS641" s="313"/>
      <c r="NOT641" s="340"/>
      <c r="NOU641" s="340"/>
      <c r="NOV641" s="354"/>
      <c r="NOW641" s="313"/>
      <c r="NOX641" s="340"/>
      <c r="NOY641" s="340"/>
      <c r="NOZ641" s="354"/>
      <c r="NPA641" s="313"/>
      <c r="NPB641" s="340"/>
      <c r="NPC641" s="340"/>
      <c r="NPD641" s="354"/>
      <c r="NPE641" s="313"/>
      <c r="NPF641" s="340"/>
      <c r="NPG641" s="340"/>
      <c r="NPH641" s="354"/>
      <c r="NPI641" s="313"/>
      <c r="NPJ641" s="340"/>
      <c r="NPK641" s="340"/>
      <c r="NPL641" s="354"/>
      <c r="NPM641" s="313"/>
      <c r="NPN641" s="340"/>
      <c r="NPO641" s="340"/>
      <c r="NPP641" s="354"/>
      <c r="NPQ641" s="313"/>
      <c r="NPR641" s="340"/>
      <c r="NPS641" s="340"/>
      <c r="NPT641" s="354"/>
      <c r="NPU641" s="313"/>
      <c r="NPV641" s="340"/>
      <c r="NPW641" s="340"/>
      <c r="NPX641" s="354"/>
      <c r="NPY641" s="313"/>
      <c r="NPZ641" s="340"/>
      <c r="NQA641" s="340"/>
      <c r="NQB641" s="354"/>
      <c r="NQC641" s="313"/>
      <c r="NQD641" s="340"/>
      <c r="NQE641" s="340"/>
      <c r="NQF641" s="354"/>
      <c r="NQG641" s="313"/>
      <c r="NQH641" s="340"/>
      <c r="NQI641" s="340"/>
      <c r="NQJ641" s="354"/>
      <c r="NQK641" s="313"/>
      <c r="NQL641" s="340"/>
      <c r="NQM641" s="340"/>
      <c r="NQN641" s="354"/>
      <c r="NQO641" s="313"/>
      <c r="NQP641" s="340"/>
      <c r="NQQ641" s="340"/>
      <c r="NQR641" s="354"/>
      <c r="NQS641" s="313"/>
      <c r="NQT641" s="340"/>
      <c r="NQU641" s="340"/>
      <c r="NQV641" s="354"/>
      <c r="NQW641" s="313"/>
      <c r="NQX641" s="340"/>
      <c r="NQY641" s="340"/>
      <c r="NQZ641" s="354"/>
      <c r="NRA641" s="313"/>
      <c r="NRB641" s="340"/>
      <c r="NRC641" s="340"/>
      <c r="NRD641" s="354"/>
      <c r="NRE641" s="313"/>
      <c r="NRF641" s="340"/>
      <c r="NRG641" s="340"/>
      <c r="NRH641" s="354"/>
      <c r="NRI641" s="313"/>
      <c r="NRJ641" s="340"/>
      <c r="NRK641" s="340"/>
      <c r="NRL641" s="354"/>
      <c r="NRM641" s="313"/>
      <c r="NRN641" s="340"/>
      <c r="NRO641" s="340"/>
      <c r="NRP641" s="354"/>
      <c r="NRQ641" s="313"/>
      <c r="NRR641" s="340"/>
      <c r="NRS641" s="340"/>
      <c r="NRT641" s="354"/>
      <c r="NRU641" s="313"/>
      <c r="NRV641" s="340"/>
      <c r="NRW641" s="340"/>
      <c r="NRX641" s="354"/>
      <c r="NRY641" s="313"/>
      <c r="NRZ641" s="340"/>
      <c r="NSA641" s="340"/>
      <c r="NSB641" s="354"/>
      <c r="NSC641" s="313"/>
      <c r="NSD641" s="340"/>
      <c r="NSE641" s="340"/>
      <c r="NSF641" s="354"/>
      <c r="NSG641" s="313"/>
      <c r="NSH641" s="340"/>
      <c r="NSI641" s="340"/>
      <c r="NSJ641" s="354"/>
      <c r="NSK641" s="313"/>
      <c r="NSL641" s="340"/>
      <c r="NSM641" s="340"/>
      <c r="NSN641" s="354"/>
      <c r="NSO641" s="313"/>
      <c r="NSP641" s="340"/>
      <c r="NSQ641" s="340"/>
      <c r="NSR641" s="354"/>
      <c r="NSS641" s="313"/>
      <c r="NST641" s="340"/>
      <c r="NSU641" s="340"/>
      <c r="NSV641" s="354"/>
      <c r="NSW641" s="313"/>
      <c r="NSX641" s="340"/>
      <c r="NSY641" s="340"/>
      <c r="NSZ641" s="354"/>
      <c r="NTA641" s="313"/>
      <c r="NTB641" s="340"/>
      <c r="NTC641" s="340"/>
      <c r="NTD641" s="354"/>
      <c r="NTE641" s="313"/>
      <c r="NTF641" s="340"/>
      <c r="NTG641" s="340"/>
      <c r="NTH641" s="354"/>
      <c r="NTI641" s="313"/>
      <c r="NTJ641" s="340"/>
      <c r="NTK641" s="340"/>
      <c r="NTL641" s="354"/>
      <c r="NTM641" s="313"/>
      <c r="NTN641" s="340"/>
      <c r="NTO641" s="340"/>
      <c r="NTP641" s="354"/>
      <c r="NTQ641" s="313"/>
      <c r="NTR641" s="340"/>
      <c r="NTS641" s="340"/>
      <c r="NTT641" s="354"/>
      <c r="NTU641" s="313"/>
      <c r="NTV641" s="340"/>
      <c r="NTW641" s="340"/>
      <c r="NTX641" s="354"/>
      <c r="NTY641" s="313"/>
      <c r="NTZ641" s="340"/>
      <c r="NUA641" s="340"/>
      <c r="NUB641" s="354"/>
      <c r="NUC641" s="313"/>
      <c r="NUD641" s="340"/>
      <c r="NUE641" s="340"/>
      <c r="NUF641" s="354"/>
      <c r="NUG641" s="313"/>
      <c r="NUH641" s="340"/>
      <c r="NUI641" s="340"/>
      <c r="NUJ641" s="354"/>
      <c r="NUK641" s="313"/>
      <c r="NUL641" s="340"/>
      <c r="NUM641" s="340"/>
      <c r="NUN641" s="354"/>
      <c r="NUO641" s="313"/>
      <c r="NUP641" s="340"/>
      <c r="NUQ641" s="340"/>
      <c r="NUR641" s="354"/>
      <c r="NUS641" s="313"/>
      <c r="NUT641" s="340"/>
      <c r="NUU641" s="340"/>
      <c r="NUV641" s="354"/>
      <c r="NUW641" s="313"/>
      <c r="NUX641" s="340"/>
      <c r="NUY641" s="340"/>
      <c r="NUZ641" s="354"/>
      <c r="NVA641" s="313"/>
      <c r="NVB641" s="340"/>
      <c r="NVC641" s="340"/>
      <c r="NVD641" s="354"/>
      <c r="NVE641" s="313"/>
      <c r="NVF641" s="340"/>
      <c r="NVG641" s="340"/>
      <c r="NVH641" s="354"/>
      <c r="NVI641" s="313"/>
      <c r="NVJ641" s="340"/>
      <c r="NVK641" s="340"/>
      <c r="NVL641" s="354"/>
      <c r="NVM641" s="313"/>
      <c r="NVN641" s="340"/>
      <c r="NVO641" s="340"/>
      <c r="NVP641" s="354"/>
      <c r="NVQ641" s="313"/>
      <c r="NVR641" s="340"/>
      <c r="NVS641" s="340"/>
      <c r="NVT641" s="354"/>
      <c r="NVU641" s="313"/>
      <c r="NVV641" s="340"/>
      <c r="NVW641" s="340"/>
      <c r="NVX641" s="354"/>
      <c r="NVY641" s="313"/>
      <c r="NVZ641" s="340"/>
      <c r="NWA641" s="340"/>
      <c r="NWB641" s="354"/>
      <c r="NWC641" s="313"/>
      <c r="NWD641" s="340"/>
      <c r="NWE641" s="340"/>
      <c r="NWF641" s="354"/>
      <c r="NWG641" s="313"/>
      <c r="NWH641" s="340"/>
      <c r="NWI641" s="340"/>
      <c r="NWJ641" s="354"/>
      <c r="NWK641" s="313"/>
      <c r="NWL641" s="340"/>
      <c r="NWM641" s="340"/>
      <c r="NWN641" s="354"/>
      <c r="NWO641" s="313"/>
      <c r="NWP641" s="340"/>
      <c r="NWQ641" s="340"/>
      <c r="NWR641" s="354"/>
      <c r="NWS641" s="313"/>
      <c r="NWT641" s="340"/>
      <c r="NWU641" s="340"/>
      <c r="NWV641" s="354"/>
      <c r="NWW641" s="313"/>
      <c r="NWX641" s="340"/>
      <c r="NWY641" s="340"/>
      <c r="NWZ641" s="354"/>
      <c r="NXA641" s="313"/>
      <c r="NXB641" s="340"/>
      <c r="NXC641" s="340"/>
      <c r="NXD641" s="354"/>
      <c r="NXE641" s="313"/>
      <c r="NXF641" s="340"/>
      <c r="NXG641" s="340"/>
      <c r="NXH641" s="354"/>
      <c r="NXI641" s="313"/>
      <c r="NXJ641" s="340"/>
      <c r="NXK641" s="340"/>
      <c r="NXL641" s="354"/>
      <c r="NXM641" s="313"/>
      <c r="NXN641" s="340"/>
      <c r="NXO641" s="340"/>
      <c r="NXP641" s="354"/>
      <c r="NXQ641" s="313"/>
      <c r="NXR641" s="340"/>
      <c r="NXS641" s="340"/>
      <c r="NXT641" s="354"/>
      <c r="NXU641" s="313"/>
      <c r="NXV641" s="340"/>
      <c r="NXW641" s="340"/>
      <c r="NXX641" s="354"/>
      <c r="NXY641" s="313"/>
      <c r="NXZ641" s="340"/>
      <c r="NYA641" s="340"/>
      <c r="NYB641" s="354"/>
      <c r="NYC641" s="313"/>
      <c r="NYD641" s="340"/>
      <c r="NYE641" s="340"/>
      <c r="NYF641" s="354"/>
      <c r="NYG641" s="313"/>
      <c r="NYH641" s="340"/>
      <c r="NYI641" s="340"/>
      <c r="NYJ641" s="354"/>
      <c r="NYK641" s="313"/>
      <c r="NYL641" s="340"/>
      <c r="NYM641" s="340"/>
      <c r="NYN641" s="354"/>
      <c r="NYO641" s="313"/>
      <c r="NYP641" s="340"/>
      <c r="NYQ641" s="340"/>
      <c r="NYR641" s="354"/>
      <c r="NYS641" s="313"/>
      <c r="NYT641" s="340"/>
      <c r="NYU641" s="340"/>
      <c r="NYV641" s="354"/>
      <c r="NYW641" s="313"/>
      <c r="NYX641" s="340"/>
      <c r="NYY641" s="340"/>
      <c r="NYZ641" s="354"/>
      <c r="NZA641" s="313"/>
      <c r="NZB641" s="340"/>
      <c r="NZC641" s="340"/>
      <c r="NZD641" s="354"/>
      <c r="NZE641" s="313"/>
      <c r="NZF641" s="340"/>
      <c r="NZG641" s="340"/>
      <c r="NZH641" s="354"/>
      <c r="NZI641" s="313"/>
      <c r="NZJ641" s="340"/>
      <c r="NZK641" s="340"/>
      <c r="NZL641" s="354"/>
      <c r="NZM641" s="313"/>
      <c r="NZN641" s="340"/>
      <c r="NZO641" s="340"/>
      <c r="NZP641" s="354"/>
      <c r="NZQ641" s="313"/>
      <c r="NZR641" s="340"/>
      <c r="NZS641" s="340"/>
      <c r="NZT641" s="354"/>
      <c r="NZU641" s="313"/>
      <c r="NZV641" s="340"/>
      <c r="NZW641" s="340"/>
      <c r="NZX641" s="354"/>
      <c r="NZY641" s="313"/>
      <c r="NZZ641" s="340"/>
      <c r="OAA641" s="340"/>
      <c r="OAB641" s="354"/>
      <c r="OAC641" s="313"/>
      <c r="OAD641" s="340"/>
      <c r="OAE641" s="340"/>
      <c r="OAF641" s="354"/>
      <c r="OAG641" s="313"/>
      <c r="OAH641" s="340"/>
      <c r="OAI641" s="340"/>
      <c r="OAJ641" s="354"/>
      <c r="OAK641" s="313"/>
      <c r="OAL641" s="340"/>
      <c r="OAM641" s="340"/>
      <c r="OAN641" s="354"/>
      <c r="OAO641" s="313"/>
      <c r="OAP641" s="340"/>
      <c r="OAQ641" s="340"/>
      <c r="OAR641" s="354"/>
      <c r="OAS641" s="313"/>
      <c r="OAT641" s="340"/>
      <c r="OAU641" s="340"/>
      <c r="OAV641" s="354"/>
      <c r="OAW641" s="313"/>
      <c r="OAX641" s="340"/>
      <c r="OAY641" s="340"/>
      <c r="OAZ641" s="354"/>
      <c r="OBA641" s="313"/>
      <c r="OBB641" s="340"/>
      <c r="OBC641" s="340"/>
      <c r="OBD641" s="354"/>
      <c r="OBE641" s="313"/>
      <c r="OBF641" s="340"/>
      <c r="OBG641" s="340"/>
      <c r="OBH641" s="354"/>
      <c r="OBI641" s="313"/>
      <c r="OBJ641" s="340"/>
      <c r="OBK641" s="340"/>
      <c r="OBL641" s="354"/>
      <c r="OBM641" s="313"/>
      <c r="OBN641" s="340"/>
      <c r="OBO641" s="340"/>
      <c r="OBP641" s="354"/>
      <c r="OBQ641" s="313"/>
      <c r="OBR641" s="340"/>
      <c r="OBS641" s="340"/>
      <c r="OBT641" s="354"/>
      <c r="OBU641" s="313"/>
      <c r="OBV641" s="340"/>
      <c r="OBW641" s="340"/>
      <c r="OBX641" s="354"/>
      <c r="OBY641" s="313"/>
      <c r="OBZ641" s="340"/>
      <c r="OCA641" s="340"/>
      <c r="OCB641" s="354"/>
      <c r="OCC641" s="313"/>
      <c r="OCD641" s="340"/>
      <c r="OCE641" s="340"/>
      <c r="OCF641" s="354"/>
      <c r="OCG641" s="313"/>
      <c r="OCH641" s="340"/>
      <c r="OCI641" s="340"/>
      <c r="OCJ641" s="354"/>
      <c r="OCK641" s="313"/>
      <c r="OCL641" s="340"/>
      <c r="OCM641" s="340"/>
      <c r="OCN641" s="354"/>
      <c r="OCO641" s="313"/>
      <c r="OCP641" s="340"/>
      <c r="OCQ641" s="340"/>
      <c r="OCR641" s="354"/>
      <c r="OCS641" s="313"/>
      <c r="OCT641" s="340"/>
      <c r="OCU641" s="340"/>
      <c r="OCV641" s="354"/>
      <c r="OCW641" s="313"/>
      <c r="OCX641" s="340"/>
      <c r="OCY641" s="340"/>
      <c r="OCZ641" s="354"/>
      <c r="ODA641" s="313"/>
      <c r="ODB641" s="340"/>
      <c r="ODC641" s="340"/>
      <c r="ODD641" s="354"/>
      <c r="ODE641" s="313"/>
      <c r="ODF641" s="340"/>
      <c r="ODG641" s="340"/>
      <c r="ODH641" s="354"/>
      <c r="ODI641" s="313"/>
      <c r="ODJ641" s="340"/>
      <c r="ODK641" s="340"/>
      <c r="ODL641" s="354"/>
      <c r="ODM641" s="313"/>
      <c r="ODN641" s="340"/>
      <c r="ODO641" s="340"/>
      <c r="ODP641" s="354"/>
      <c r="ODQ641" s="313"/>
      <c r="ODR641" s="340"/>
      <c r="ODS641" s="340"/>
      <c r="ODT641" s="354"/>
      <c r="ODU641" s="313"/>
      <c r="ODV641" s="340"/>
      <c r="ODW641" s="340"/>
      <c r="ODX641" s="354"/>
      <c r="ODY641" s="313"/>
      <c r="ODZ641" s="340"/>
      <c r="OEA641" s="340"/>
      <c r="OEB641" s="354"/>
      <c r="OEC641" s="313"/>
      <c r="OED641" s="340"/>
      <c r="OEE641" s="340"/>
      <c r="OEF641" s="354"/>
      <c r="OEG641" s="313"/>
      <c r="OEH641" s="340"/>
      <c r="OEI641" s="340"/>
      <c r="OEJ641" s="354"/>
      <c r="OEK641" s="313"/>
      <c r="OEL641" s="340"/>
      <c r="OEM641" s="340"/>
      <c r="OEN641" s="354"/>
      <c r="OEO641" s="313"/>
      <c r="OEP641" s="340"/>
      <c r="OEQ641" s="340"/>
      <c r="OER641" s="354"/>
      <c r="OES641" s="313"/>
      <c r="OET641" s="340"/>
      <c r="OEU641" s="340"/>
      <c r="OEV641" s="354"/>
      <c r="OEW641" s="313"/>
      <c r="OEX641" s="340"/>
      <c r="OEY641" s="340"/>
      <c r="OEZ641" s="354"/>
      <c r="OFA641" s="313"/>
      <c r="OFB641" s="340"/>
      <c r="OFC641" s="340"/>
      <c r="OFD641" s="354"/>
      <c r="OFE641" s="313"/>
      <c r="OFF641" s="340"/>
      <c r="OFG641" s="340"/>
      <c r="OFH641" s="354"/>
      <c r="OFI641" s="313"/>
      <c r="OFJ641" s="340"/>
      <c r="OFK641" s="340"/>
      <c r="OFL641" s="354"/>
      <c r="OFM641" s="313"/>
      <c r="OFN641" s="340"/>
      <c r="OFO641" s="340"/>
      <c r="OFP641" s="354"/>
      <c r="OFQ641" s="313"/>
      <c r="OFR641" s="340"/>
      <c r="OFS641" s="340"/>
      <c r="OFT641" s="354"/>
      <c r="OFU641" s="313"/>
      <c r="OFV641" s="340"/>
      <c r="OFW641" s="340"/>
      <c r="OFX641" s="354"/>
      <c r="OFY641" s="313"/>
      <c r="OFZ641" s="340"/>
      <c r="OGA641" s="340"/>
      <c r="OGB641" s="354"/>
      <c r="OGC641" s="313"/>
      <c r="OGD641" s="340"/>
      <c r="OGE641" s="340"/>
      <c r="OGF641" s="354"/>
      <c r="OGG641" s="313"/>
      <c r="OGH641" s="340"/>
      <c r="OGI641" s="340"/>
      <c r="OGJ641" s="354"/>
      <c r="OGK641" s="313"/>
      <c r="OGL641" s="340"/>
      <c r="OGM641" s="340"/>
      <c r="OGN641" s="354"/>
      <c r="OGO641" s="313"/>
      <c r="OGP641" s="340"/>
      <c r="OGQ641" s="340"/>
      <c r="OGR641" s="354"/>
      <c r="OGS641" s="313"/>
      <c r="OGT641" s="340"/>
      <c r="OGU641" s="340"/>
      <c r="OGV641" s="354"/>
      <c r="OGW641" s="313"/>
      <c r="OGX641" s="340"/>
      <c r="OGY641" s="340"/>
      <c r="OGZ641" s="354"/>
      <c r="OHA641" s="313"/>
      <c r="OHB641" s="340"/>
      <c r="OHC641" s="340"/>
      <c r="OHD641" s="354"/>
      <c r="OHE641" s="313"/>
      <c r="OHF641" s="340"/>
      <c r="OHG641" s="340"/>
      <c r="OHH641" s="354"/>
      <c r="OHI641" s="313"/>
      <c r="OHJ641" s="340"/>
      <c r="OHK641" s="340"/>
      <c r="OHL641" s="354"/>
      <c r="OHM641" s="313"/>
      <c r="OHN641" s="340"/>
      <c r="OHO641" s="340"/>
      <c r="OHP641" s="354"/>
      <c r="OHQ641" s="313"/>
      <c r="OHR641" s="340"/>
      <c r="OHS641" s="340"/>
      <c r="OHT641" s="354"/>
      <c r="OHU641" s="313"/>
      <c r="OHV641" s="340"/>
      <c r="OHW641" s="340"/>
      <c r="OHX641" s="354"/>
      <c r="OHY641" s="313"/>
      <c r="OHZ641" s="340"/>
      <c r="OIA641" s="340"/>
      <c r="OIB641" s="354"/>
      <c r="OIC641" s="313"/>
      <c r="OID641" s="340"/>
      <c r="OIE641" s="340"/>
      <c r="OIF641" s="354"/>
      <c r="OIG641" s="313"/>
      <c r="OIH641" s="340"/>
      <c r="OII641" s="340"/>
      <c r="OIJ641" s="354"/>
      <c r="OIK641" s="313"/>
      <c r="OIL641" s="340"/>
      <c r="OIM641" s="340"/>
      <c r="OIN641" s="354"/>
      <c r="OIO641" s="313"/>
      <c r="OIP641" s="340"/>
      <c r="OIQ641" s="340"/>
      <c r="OIR641" s="354"/>
      <c r="OIS641" s="313"/>
      <c r="OIT641" s="340"/>
      <c r="OIU641" s="340"/>
      <c r="OIV641" s="354"/>
      <c r="OIW641" s="313"/>
      <c r="OIX641" s="340"/>
      <c r="OIY641" s="340"/>
      <c r="OIZ641" s="354"/>
      <c r="OJA641" s="313"/>
      <c r="OJB641" s="340"/>
      <c r="OJC641" s="340"/>
      <c r="OJD641" s="354"/>
      <c r="OJE641" s="313"/>
      <c r="OJF641" s="340"/>
      <c r="OJG641" s="340"/>
      <c r="OJH641" s="354"/>
      <c r="OJI641" s="313"/>
      <c r="OJJ641" s="340"/>
      <c r="OJK641" s="340"/>
      <c r="OJL641" s="354"/>
      <c r="OJM641" s="313"/>
      <c r="OJN641" s="340"/>
      <c r="OJO641" s="340"/>
      <c r="OJP641" s="354"/>
      <c r="OJQ641" s="313"/>
      <c r="OJR641" s="340"/>
      <c r="OJS641" s="340"/>
      <c r="OJT641" s="354"/>
      <c r="OJU641" s="313"/>
      <c r="OJV641" s="340"/>
      <c r="OJW641" s="340"/>
      <c r="OJX641" s="354"/>
      <c r="OJY641" s="313"/>
      <c r="OJZ641" s="340"/>
      <c r="OKA641" s="340"/>
      <c r="OKB641" s="354"/>
      <c r="OKC641" s="313"/>
      <c r="OKD641" s="340"/>
      <c r="OKE641" s="340"/>
      <c r="OKF641" s="354"/>
      <c r="OKG641" s="313"/>
      <c r="OKH641" s="340"/>
      <c r="OKI641" s="340"/>
      <c r="OKJ641" s="354"/>
      <c r="OKK641" s="313"/>
      <c r="OKL641" s="340"/>
      <c r="OKM641" s="340"/>
      <c r="OKN641" s="354"/>
      <c r="OKO641" s="313"/>
      <c r="OKP641" s="340"/>
      <c r="OKQ641" s="340"/>
      <c r="OKR641" s="354"/>
      <c r="OKS641" s="313"/>
      <c r="OKT641" s="340"/>
      <c r="OKU641" s="340"/>
      <c r="OKV641" s="354"/>
      <c r="OKW641" s="313"/>
      <c r="OKX641" s="340"/>
      <c r="OKY641" s="340"/>
      <c r="OKZ641" s="354"/>
      <c r="OLA641" s="313"/>
      <c r="OLB641" s="340"/>
      <c r="OLC641" s="340"/>
      <c r="OLD641" s="354"/>
      <c r="OLE641" s="313"/>
      <c r="OLF641" s="340"/>
      <c r="OLG641" s="340"/>
      <c r="OLH641" s="354"/>
      <c r="OLI641" s="313"/>
      <c r="OLJ641" s="340"/>
      <c r="OLK641" s="340"/>
      <c r="OLL641" s="354"/>
      <c r="OLM641" s="313"/>
      <c r="OLN641" s="340"/>
      <c r="OLO641" s="340"/>
      <c r="OLP641" s="354"/>
      <c r="OLQ641" s="313"/>
      <c r="OLR641" s="340"/>
      <c r="OLS641" s="340"/>
      <c r="OLT641" s="354"/>
      <c r="OLU641" s="313"/>
      <c r="OLV641" s="340"/>
      <c r="OLW641" s="340"/>
      <c r="OLX641" s="354"/>
      <c r="OLY641" s="313"/>
      <c r="OLZ641" s="340"/>
      <c r="OMA641" s="340"/>
      <c r="OMB641" s="354"/>
      <c r="OMC641" s="313"/>
      <c r="OMD641" s="340"/>
      <c r="OME641" s="340"/>
      <c r="OMF641" s="354"/>
      <c r="OMG641" s="313"/>
      <c r="OMH641" s="340"/>
      <c r="OMI641" s="340"/>
      <c r="OMJ641" s="354"/>
      <c r="OMK641" s="313"/>
      <c r="OML641" s="340"/>
      <c r="OMM641" s="340"/>
      <c r="OMN641" s="354"/>
      <c r="OMO641" s="313"/>
      <c r="OMP641" s="340"/>
      <c r="OMQ641" s="340"/>
      <c r="OMR641" s="354"/>
      <c r="OMS641" s="313"/>
      <c r="OMT641" s="340"/>
      <c r="OMU641" s="340"/>
      <c r="OMV641" s="354"/>
      <c r="OMW641" s="313"/>
      <c r="OMX641" s="340"/>
      <c r="OMY641" s="340"/>
      <c r="OMZ641" s="354"/>
      <c r="ONA641" s="313"/>
      <c r="ONB641" s="340"/>
      <c r="ONC641" s="340"/>
      <c r="OND641" s="354"/>
      <c r="ONE641" s="313"/>
      <c r="ONF641" s="340"/>
      <c r="ONG641" s="340"/>
      <c r="ONH641" s="354"/>
      <c r="ONI641" s="313"/>
      <c r="ONJ641" s="340"/>
      <c r="ONK641" s="340"/>
      <c r="ONL641" s="354"/>
      <c r="ONM641" s="313"/>
      <c r="ONN641" s="340"/>
      <c r="ONO641" s="340"/>
      <c r="ONP641" s="354"/>
      <c r="ONQ641" s="313"/>
      <c r="ONR641" s="340"/>
      <c r="ONS641" s="340"/>
      <c r="ONT641" s="354"/>
      <c r="ONU641" s="313"/>
      <c r="ONV641" s="340"/>
      <c r="ONW641" s="340"/>
      <c r="ONX641" s="354"/>
      <c r="ONY641" s="313"/>
      <c r="ONZ641" s="340"/>
      <c r="OOA641" s="340"/>
      <c r="OOB641" s="354"/>
      <c r="OOC641" s="313"/>
      <c r="OOD641" s="340"/>
      <c r="OOE641" s="340"/>
      <c r="OOF641" s="354"/>
      <c r="OOG641" s="313"/>
      <c r="OOH641" s="340"/>
      <c r="OOI641" s="340"/>
      <c r="OOJ641" s="354"/>
      <c r="OOK641" s="313"/>
      <c r="OOL641" s="340"/>
      <c r="OOM641" s="340"/>
      <c r="OON641" s="354"/>
      <c r="OOO641" s="313"/>
      <c r="OOP641" s="340"/>
      <c r="OOQ641" s="340"/>
      <c r="OOR641" s="354"/>
      <c r="OOS641" s="313"/>
      <c r="OOT641" s="340"/>
      <c r="OOU641" s="340"/>
      <c r="OOV641" s="354"/>
      <c r="OOW641" s="313"/>
      <c r="OOX641" s="340"/>
      <c r="OOY641" s="340"/>
      <c r="OOZ641" s="354"/>
      <c r="OPA641" s="313"/>
      <c r="OPB641" s="340"/>
      <c r="OPC641" s="340"/>
      <c r="OPD641" s="354"/>
      <c r="OPE641" s="313"/>
      <c r="OPF641" s="340"/>
      <c r="OPG641" s="340"/>
      <c r="OPH641" s="354"/>
      <c r="OPI641" s="313"/>
      <c r="OPJ641" s="340"/>
      <c r="OPK641" s="340"/>
      <c r="OPL641" s="354"/>
      <c r="OPM641" s="313"/>
      <c r="OPN641" s="340"/>
      <c r="OPO641" s="340"/>
      <c r="OPP641" s="354"/>
      <c r="OPQ641" s="313"/>
      <c r="OPR641" s="340"/>
      <c r="OPS641" s="340"/>
      <c r="OPT641" s="354"/>
      <c r="OPU641" s="313"/>
      <c r="OPV641" s="340"/>
      <c r="OPW641" s="340"/>
      <c r="OPX641" s="354"/>
      <c r="OPY641" s="313"/>
      <c r="OPZ641" s="340"/>
      <c r="OQA641" s="340"/>
      <c r="OQB641" s="354"/>
      <c r="OQC641" s="313"/>
      <c r="OQD641" s="340"/>
      <c r="OQE641" s="340"/>
      <c r="OQF641" s="354"/>
      <c r="OQG641" s="313"/>
      <c r="OQH641" s="340"/>
      <c r="OQI641" s="340"/>
      <c r="OQJ641" s="354"/>
      <c r="OQK641" s="313"/>
      <c r="OQL641" s="340"/>
      <c r="OQM641" s="340"/>
      <c r="OQN641" s="354"/>
      <c r="OQO641" s="313"/>
      <c r="OQP641" s="340"/>
      <c r="OQQ641" s="340"/>
      <c r="OQR641" s="354"/>
      <c r="OQS641" s="313"/>
      <c r="OQT641" s="340"/>
      <c r="OQU641" s="340"/>
      <c r="OQV641" s="354"/>
      <c r="OQW641" s="313"/>
      <c r="OQX641" s="340"/>
      <c r="OQY641" s="340"/>
      <c r="OQZ641" s="354"/>
      <c r="ORA641" s="313"/>
      <c r="ORB641" s="340"/>
      <c r="ORC641" s="340"/>
      <c r="ORD641" s="354"/>
      <c r="ORE641" s="313"/>
      <c r="ORF641" s="340"/>
      <c r="ORG641" s="340"/>
      <c r="ORH641" s="354"/>
      <c r="ORI641" s="313"/>
      <c r="ORJ641" s="340"/>
      <c r="ORK641" s="340"/>
      <c r="ORL641" s="354"/>
      <c r="ORM641" s="313"/>
      <c r="ORN641" s="340"/>
      <c r="ORO641" s="340"/>
      <c r="ORP641" s="354"/>
      <c r="ORQ641" s="313"/>
      <c r="ORR641" s="340"/>
      <c r="ORS641" s="340"/>
      <c r="ORT641" s="354"/>
      <c r="ORU641" s="313"/>
      <c r="ORV641" s="340"/>
      <c r="ORW641" s="340"/>
      <c r="ORX641" s="354"/>
      <c r="ORY641" s="313"/>
      <c r="ORZ641" s="340"/>
      <c r="OSA641" s="340"/>
      <c r="OSB641" s="354"/>
      <c r="OSC641" s="313"/>
      <c r="OSD641" s="340"/>
      <c r="OSE641" s="340"/>
      <c r="OSF641" s="354"/>
      <c r="OSG641" s="313"/>
      <c r="OSH641" s="340"/>
      <c r="OSI641" s="340"/>
      <c r="OSJ641" s="354"/>
      <c r="OSK641" s="313"/>
      <c r="OSL641" s="340"/>
      <c r="OSM641" s="340"/>
      <c r="OSN641" s="354"/>
      <c r="OSO641" s="313"/>
      <c r="OSP641" s="340"/>
      <c r="OSQ641" s="340"/>
      <c r="OSR641" s="354"/>
      <c r="OSS641" s="313"/>
      <c r="OST641" s="340"/>
      <c r="OSU641" s="340"/>
      <c r="OSV641" s="354"/>
      <c r="OSW641" s="313"/>
      <c r="OSX641" s="340"/>
      <c r="OSY641" s="340"/>
      <c r="OSZ641" s="354"/>
      <c r="OTA641" s="313"/>
      <c r="OTB641" s="340"/>
      <c r="OTC641" s="340"/>
      <c r="OTD641" s="354"/>
      <c r="OTE641" s="313"/>
      <c r="OTF641" s="340"/>
      <c r="OTG641" s="340"/>
      <c r="OTH641" s="354"/>
      <c r="OTI641" s="313"/>
      <c r="OTJ641" s="340"/>
      <c r="OTK641" s="340"/>
      <c r="OTL641" s="354"/>
      <c r="OTM641" s="313"/>
      <c r="OTN641" s="340"/>
      <c r="OTO641" s="340"/>
      <c r="OTP641" s="354"/>
      <c r="OTQ641" s="313"/>
      <c r="OTR641" s="340"/>
      <c r="OTS641" s="340"/>
      <c r="OTT641" s="354"/>
      <c r="OTU641" s="313"/>
      <c r="OTV641" s="340"/>
      <c r="OTW641" s="340"/>
      <c r="OTX641" s="354"/>
      <c r="OTY641" s="313"/>
      <c r="OTZ641" s="340"/>
      <c r="OUA641" s="340"/>
      <c r="OUB641" s="354"/>
      <c r="OUC641" s="313"/>
      <c r="OUD641" s="340"/>
      <c r="OUE641" s="340"/>
      <c r="OUF641" s="354"/>
      <c r="OUG641" s="313"/>
      <c r="OUH641" s="340"/>
      <c r="OUI641" s="340"/>
      <c r="OUJ641" s="354"/>
      <c r="OUK641" s="313"/>
      <c r="OUL641" s="340"/>
      <c r="OUM641" s="340"/>
      <c r="OUN641" s="354"/>
      <c r="OUO641" s="313"/>
      <c r="OUP641" s="340"/>
      <c r="OUQ641" s="340"/>
      <c r="OUR641" s="354"/>
      <c r="OUS641" s="313"/>
      <c r="OUT641" s="340"/>
      <c r="OUU641" s="340"/>
      <c r="OUV641" s="354"/>
      <c r="OUW641" s="313"/>
      <c r="OUX641" s="340"/>
      <c r="OUY641" s="340"/>
      <c r="OUZ641" s="354"/>
      <c r="OVA641" s="313"/>
      <c r="OVB641" s="340"/>
      <c r="OVC641" s="340"/>
      <c r="OVD641" s="354"/>
      <c r="OVE641" s="313"/>
      <c r="OVF641" s="340"/>
      <c r="OVG641" s="340"/>
      <c r="OVH641" s="354"/>
      <c r="OVI641" s="313"/>
      <c r="OVJ641" s="340"/>
      <c r="OVK641" s="340"/>
      <c r="OVL641" s="354"/>
      <c r="OVM641" s="313"/>
      <c r="OVN641" s="340"/>
      <c r="OVO641" s="340"/>
      <c r="OVP641" s="354"/>
      <c r="OVQ641" s="313"/>
      <c r="OVR641" s="340"/>
      <c r="OVS641" s="340"/>
      <c r="OVT641" s="354"/>
      <c r="OVU641" s="313"/>
      <c r="OVV641" s="340"/>
      <c r="OVW641" s="340"/>
      <c r="OVX641" s="354"/>
      <c r="OVY641" s="313"/>
      <c r="OVZ641" s="340"/>
      <c r="OWA641" s="340"/>
      <c r="OWB641" s="354"/>
      <c r="OWC641" s="313"/>
      <c r="OWD641" s="340"/>
      <c r="OWE641" s="340"/>
      <c r="OWF641" s="354"/>
      <c r="OWG641" s="313"/>
      <c r="OWH641" s="340"/>
      <c r="OWI641" s="340"/>
      <c r="OWJ641" s="354"/>
      <c r="OWK641" s="313"/>
      <c r="OWL641" s="340"/>
      <c r="OWM641" s="340"/>
      <c r="OWN641" s="354"/>
      <c r="OWO641" s="313"/>
      <c r="OWP641" s="340"/>
      <c r="OWQ641" s="340"/>
      <c r="OWR641" s="354"/>
      <c r="OWS641" s="313"/>
      <c r="OWT641" s="340"/>
      <c r="OWU641" s="340"/>
      <c r="OWV641" s="354"/>
      <c r="OWW641" s="313"/>
      <c r="OWX641" s="340"/>
      <c r="OWY641" s="340"/>
      <c r="OWZ641" s="354"/>
      <c r="OXA641" s="313"/>
      <c r="OXB641" s="340"/>
      <c r="OXC641" s="340"/>
      <c r="OXD641" s="354"/>
      <c r="OXE641" s="313"/>
      <c r="OXF641" s="340"/>
      <c r="OXG641" s="340"/>
      <c r="OXH641" s="354"/>
      <c r="OXI641" s="313"/>
      <c r="OXJ641" s="340"/>
      <c r="OXK641" s="340"/>
      <c r="OXL641" s="354"/>
      <c r="OXM641" s="313"/>
      <c r="OXN641" s="340"/>
      <c r="OXO641" s="340"/>
      <c r="OXP641" s="354"/>
      <c r="OXQ641" s="313"/>
      <c r="OXR641" s="340"/>
      <c r="OXS641" s="340"/>
      <c r="OXT641" s="354"/>
      <c r="OXU641" s="313"/>
      <c r="OXV641" s="340"/>
      <c r="OXW641" s="340"/>
      <c r="OXX641" s="354"/>
      <c r="OXY641" s="313"/>
      <c r="OXZ641" s="340"/>
      <c r="OYA641" s="340"/>
      <c r="OYB641" s="354"/>
      <c r="OYC641" s="313"/>
      <c r="OYD641" s="340"/>
      <c r="OYE641" s="340"/>
      <c r="OYF641" s="354"/>
      <c r="OYG641" s="313"/>
      <c r="OYH641" s="340"/>
      <c r="OYI641" s="340"/>
      <c r="OYJ641" s="354"/>
      <c r="OYK641" s="313"/>
      <c r="OYL641" s="340"/>
      <c r="OYM641" s="340"/>
      <c r="OYN641" s="354"/>
      <c r="OYO641" s="313"/>
      <c r="OYP641" s="340"/>
      <c r="OYQ641" s="340"/>
      <c r="OYR641" s="354"/>
      <c r="OYS641" s="313"/>
      <c r="OYT641" s="340"/>
      <c r="OYU641" s="340"/>
      <c r="OYV641" s="354"/>
      <c r="OYW641" s="313"/>
      <c r="OYX641" s="340"/>
      <c r="OYY641" s="340"/>
      <c r="OYZ641" s="354"/>
      <c r="OZA641" s="313"/>
      <c r="OZB641" s="340"/>
      <c r="OZC641" s="340"/>
      <c r="OZD641" s="354"/>
      <c r="OZE641" s="313"/>
      <c r="OZF641" s="340"/>
      <c r="OZG641" s="340"/>
      <c r="OZH641" s="354"/>
      <c r="OZI641" s="313"/>
      <c r="OZJ641" s="340"/>
      <c r="OZK641" s="340"/>
      <c r="OZL641" s="354"/>
      <c r="OZM641" s="313"/>
      <c r="OZN641" s="340"/>
      <c r="OZO641" s="340"/>
      <c r="OZP641" s="354"/>
      <c r="OZQ641" s="313"/>
      <c r="OZR641" s="340"/>
      <c r="OZS641" s="340"/>
      <c r="OZT641" s="354"/>
      <c r="OZU641" s="313"/>
      <c r="OZV641" s="340"/>
      <c r="OZW641" s="340"/>
      <c r="OZX641" s="354"/>
      <c r="OZY641" s="313"/>
      <c r="OZZ641" s="340"/>
      <c r="PAA641" s="340"/>
      <c r="PAB641" s="354"/>
      <c r="PAC641" s="313"/>
      <c r="PAD641" s="340"/>
      <c r="PAE641" s="340"/>
      <c r="PAF641" s="354"/>
      <c r="PAG641" s="313"/>
      <c r="PAH641" s="340"/>
      <c r="PAI641" s="340"/>
      <c r="PAJ641" s="354"/>
      <c r="PAK641" s="313"/>
      <c r="PAL641" s="340"/>
      <c r="PAM641" s="340"/>
      <c r="PAN641" s="354"/>
      <c r="PAO641" s="313"/>
      <c r="PAP641" s="340"/>
      <c r="PAQ641" s="340"/>
      <c r="PAR641" s="354"/>
      <c r="PAS641" s="313"/>
      <c r="PAT641" s="340"/>
      <c r="PAU641" s="340"/>
      <c r="PAV641" s="354"/>
      <c r="PAW641" s="313"/>
      <c r="PAX641" s="340"/>
      <c r="PAY641" s="340"/>
      <c r="PAZ641" s="354"/>
      <c r="PBA641" s="313"/>
      <c r="PBB641" s="340"/>
      <c r="PBC641" s="340"/>
      <c r="PBD641" s="354"/>
      <c r="PBE641" s="313"/>
      <c r="PBF641" s="340"/>
      <c r="PBG641" s="340"/>
      <c r="PBH641" s="354"/>
      <c r="PBI641" s="313"/>
      <c r="PBJ641" s="340"/>
      <c r="PBK641" s="340"/>
      <c r="PBL641" s="354"/>
      <c r="PBM641" s="313"/>
      <c r="PBN641" s="340"/>
      <c r="PBO641" s="340"/>
      <c r="PBP641" s="354"/>
      <c r="PBQ641" s="313"/>
      <c r="PBR641" s="340"/>
      <c r="PBS641" s="340"/>
      <c r="PBT641" s="354"/>
      <c r="PBU641" s="313"/>
      <c r="PBV641" s="340"/>
      <c r="PBW641" s="340"/>
      <c r="PBX641" s="354"/>
      <c r="PBY641" s="313"/>
      <c r="PBZ641" s="340"/>
      <c r="PCA641" s="340"/>
      <c r="PCB641" s="354"/>
      <c r="PCC641" s="313"/>
      <c r="PCD641" s="340"/>
      <c r="PCE641" s="340"/>
      <c r="PCF641" s="354"/>
      <c r="PCG641" s="313"/>
      <c r="PCH641" s="340"/>
      <c r="PCI641" s="340"/>
      <c r="PCJ641" s="354"/>
      <c r="PCK641" s="313"/>
      <c r="PCL641" s="340"/>
      <c r="PCM641" s="340"/>
      <c r="PCN641" s="354"/>
      <c r="PCO641" s="313"/>
      <c r="PCP641" s="340"/>
      <c r="PCQ641" s="340"/>
      <c r="PCR641" s="354"/>
      <c r="PCS641" s="313"/>
      <c r="PCT641" s="340"/>
      <c r="PCU641" s="340"/>
      <c r="PCV641" s="354"/>
      <c r="PCW641" s="313"/>
      <c r="PCX641" s="340"/>
      <c r="PCY641" s="340"/>
      <c r="PCZ641" s="354"/>
      <c r="PDA641" s="313"/>
      <c r="PDB641" s="340"/>
      <c r="PDC641" s="340"/>
      <c r="PDD641" s="354"/>
      <c r="PDE641" s="313"/>
      <c r="PDF641" s="340"/>
      <c r="PDG641" s="340"/>
      <c r="PDH641" s="354"/>
      <c r="PDI641" s="313"/>
      <c r="PDJ641" s="340"/>
      <c r="PDK641" s="340"/>
      <c r="PDL641" s="354"/>
      <c r="PDM641" s="313"/>
      <c r="PDN641" s="340"/>
      <c r="PDO641" s="340"/>
      <c r="PDP641" s="354"/>
      <c r="PDQ641" s="313"/>
      <c r="PDR641" s="340"/>
      <c r="PDS641" s="340"/>
      <c r="PDT641" s="354"/>
      <c r="PDU641" s="313"/>
      <c r="PDV641" s="340"/>
      <c r="PDW641" s="340"/>
      <c r="PDX641" s="354"/>
      <c r="PDY641" s="313"/>
      <c r="PDZ641" s="340"/>
      <c r="PEA641" s="340"/>
      <c r="PEB641" s="354"/>
      <c r="PEC641" s="313"/>
      <c r="PED641" s="340"/>
      <c r="PEE641" s="340"/>
      <c r="PEF641" s="354"/>
      <c r="PEG641" s="313"/>
      <c r="PEH641" s="340"/>
      <c r="PEI641" s="340"/>
      <c r="PEJ641" s="354"/>
      <c r="PEK641" s="313"/>
      <c r="PEL641" s="340"/>
      <c r="PEM641" s="340"/>
      <c r="PEN641" s="354"/>
      <c r="PEO641" s="313"/>
      <c r="PEP641" s="340"/>
      <c r="PEQ641" s="340"/>
      <c r="PER641" s="354"/>
      <c r="PES641" s="313"/>
      <c r="PET641" s="340"/>
      <c r="PEU641" s="340"/>
      <c r="PEV641" s="354"/>
      <c r="PEW641" s="313"/>
      <c r="PEX641" s="340"/>
      <c r="PEY641" s="340"/>
      <c r="PEZ641" s="354"/>
      <c r="PFA641" s="313"/>
      <c r="PFB641" s="340"/>
      <c r="PFC641" s="340"/>
      <c r="PFD641" s="354"/>
      <c r="PFE641" s="313"/>
      <c r="PFF641" s="340"/>
      <c r="PFG641" s="340"/>
      <c r="PFH641" s="354"/>
      <c r="PFI641" s="313"/>
      <c r="PFJ641" s="340"/>
      <c r="PFK641" s="340"/>
      <c r="PFL641" s="354"/>
      <c r="PFM641" s="313"/>
      <c r="PFN641" s="340"/>
      <c r="PFO641" s="340"/>
      <c r="PFP641" s="354"/>
      <c r="PFQ641" s="313"/>
      <c r="PFR641" s="340"/>
      <c r="PFS641" s="340"/>
      <c r="PFT641" s="354"/>
      <c r="PFU641" s="313"/>
      <c r="PFV641" s="340"/>
      <c r="PFW641" s="340"/>
      <c r="PFX641" s="354"/>
      <c r="PFY641" s="313"/>
      <c r="PFZ641" s="340"/>
      <c r="PGA641" s="340"/>
      <c r="PGB641" s="354"/>
      <c r="PGC641" s="313"/>
      <c r="PGD641" s="340"/>
      <c r="PGE641" s="340"/>
      <c r="PGF641" s="354"/>
      <c r="PGG641" s="313"/>
      <c r="PGH641" s="340"/>
      <c r="PGI641" s="340"/>
      <c r="PGJ641" s="354"/>
      <c r="PGK641" s="313"/>
      <c r="PGL641" s="340"/>
      <c r="PGM641" s="340"/>
      <c r="PGN641" s="354"/>
      <c r="PGO641" s="313"/>
      <c r="PGP641" s="340"/>
      <c r="PGQ641" s="340"/>
      <c r="PGR641" s="354"/>
      <c r="PGS641" s="313"/>
      <c r="PGT641" s="340"/>
      <c r="PGU641" s="340"/>
      <c r="PGV641" s="354"/>
      <c r="PGW641" s="313"/>
      <c r="PGX641" s="340"/>
      <c r="PGY641" s="340"/>
      <c r="PGZ641" s="354"/>
      <c r="PHA641" s="313"/>
      <c r="PHB641" s="340"/>
      <c r="PHC641" s="340"/>
      <c r="PHD641" s="354"/>
      <c r="PHE641" s="313"/>
      <c r="PHF641" s="340"/>
      <c r="PHG641" s="340"/>
      <c r="PHH641" s="354"/>
      <c r="PHI641" s="313"/>
      <c r="PHJ641" s="340"/>
      <c r="PHK641" s="340"/>
      <c r="PHL641" s="354"/>
      <c r="PHM641" s="313"/>
      <c r="PHN641" s="340"/>
      <c r="PHO641" s="340"/>
      <c r="PHP641" s="354"/>
      <c r="PHQ641" s="313"/>
      <c r="PHR641" s="340"/>
      <c r="PHS641" s="340"/>
      <c r="PHT641" s="354"/>
      <c r="PHU641" s="313"/>
      <c r="PHV641" s="340"/>
      <c r="PHW641" s="340"/>
      <c r="PHX641" s="354"/>
      <c r="PHY641" s="313"/>
      <c r="PHZ641" s="340"/>
      <c r="PIA641" s="340"/>
      <c r="PIB641" s="354"/>
      <c r="PIC641" s="313"/>
      <c r="PID641" s="340"/>
      <c r="PIE641" s="340"/>
      <c r="PIF641" s="354"/>
      <c r="PIG641" s="313"/>
      <c r="PIH641" s="340"/>
      <c r="PII641" s="340"/>
      <c r="PIJ641" s="354"/>
      <c r="PIK641" s="313"/>
      <c r="PIL641" s="340"/>
      <c r="PIM641" s="340"/>
      <c r="PIN641" s="354"/>
      <c r="PIO641" s="313"/>
      <c r="PIP641" s="340"/>
      <c r="PIQ641" s="340"/>
      <c r="PIR641" s="354"/>
      <c r="PIS641" s="313"/>
      <c r="PIT641" s="340"/>
      <c r="PIU641" s="340"/>
      <c r="PIV641" s="354"/>
      <c r="PIW641" s="313"/>
      <c r="PIX641" s="340"/>
      <c r="PIY641" s="340"/>
      <c r="PIZ641" s="354"/>
      <c r="PJA641" s="313"/>
      <c r="PJB641" s="340"/>
      <c r="PJC641" s="340"/>
      <c r="PJD641" s="354"/>
      <c r="PJE641" s="313"/>
      <c r="PJF641" s="340"/>
      <c r="PJG641" s="340"/>
      <c r="PJH641" s="354"/>
      <c r="PJI641" s="313"/>
      <c r="PJJ641" s="340"/>
      <c r="PJK641" s="340"/>
      <c r="PJL641" s="354"/>
      <c r="PJM641" s="313"/>
      <c r="PJN641" s="340"/>
      <c r="PJO641" s="340"/>
      <c r="PJP641" s="354"/>
      <c r="PJQ641" s="313"/>
      <c r="PJR641" s="340"/>
      <c r="PJS641" s="340"/>
      <c r="PJT641" s="354"/>
      <c r="PJU641" s="313"/>
      <c r="PJV641" s="340"/>
      <c r="PJW641" s="340"/>
      <c r="PJX641" s="354"/>
      <c r="PJY641" s="313"/>
      <c r="PJZ641" s="340"/>
      <c r="PKA641" s="340"/>
      <c r="PKB641" s="354"/>
      <c r="PKC641" s="313"/>
      <c r="PKD641" s="340"/>
      <c r="PKE641" s="340"/>
      <c r="PKF641" s="354"/>
      <c r="PKG641" s="313"/>
      <c r="PKH641" s="340"/>
      <c r="PKI641" s="340"/>
      <c r="PKJ641" s="354"/>
      <c r="PKK641" s="313"/>
      <c r="PKL641" s="340"/>
      <c r="PKM641" s="340"/>
      <c r="PKN641" s="354"/>
      <c r="PKO641" s="313"/>
      <c r="PKP641" s="340"/>
      <c r="PKQ641" s="340"/>
      <c r="PKR641" s="354"/>
      <c r="PKS641" s="313"/>
      <c r="PKT641" s="340"/>
      <c r="PKU641" s="340"/>
      <c r="PKV641" s="354"/>
      <c r="PKW641" s="313"/>
      <c r="PKX641" s="340"/>
      <c r="PKY641" s="340"/>
      <c r="PKZ641" s="354"/>
      <c r="PLA641" s="313"/>
      <c r="PLB641" s="340"/>
      <c r="PLC641" s="340"/>
      <c r="PLD641" s="354"/>
      <c r="PLE641" s="313"/>
      <c r="PLF641" s="340"/>
      <c r="PLG641" s="340"/>
      <c r="PLH641" s="354"/>
      <c r="PLI641" s="313"/>
      <c r="PLJ641" s="340"/>
      <c r="PLK641" s="340"/>
      <c r="PLL641" s="354"/>
      <c r="PLM641" s="313"/>
      <c r="PLN641" s="340"/>
      <c r="PLO641" s="340"/>
      <c r="PLP641" s="354"/>
      <c r="PLQ641" s="313"/>
      <c r="PLR641" s="340"/>
      <c r="PLS641" s="340"/>
      <c r="PLT641" s="354"/>
      <c r="PLU641" s="313"/>
      <c r="PLV641" s="340"/>
      <c r="PLW641" s="340"/>
      <c r="PLX641" s="354"/>
      <c r="PLY641" s="313"/>
      <c r="PLZ641" s="340"/>
      <c r="PMA641" s="340"/>
      <c r="PMB641" s="354"/>
      <c r="PMC641" s="313"/>
      <c r="PMD641" s="340"/>
      <c r="PME641" s="340"/>
      <c r="PMF641" s="354"/>
      <c r="PMG641" s="313"/>
      <c r="PMH641" s="340"/>
      <c r="PMI641" s="340"/>
      <c r="PMJ641" s="354"/>
      <c r="PMK641" s="313"/>
      <c r="PML641" s="340"/>
      <c r="PMM641" s="340"/>
      <c r="PMN641" s="354"/>
      <c r="PMO641" s="313"/>
      <c r="PMP641" s="340"/>
      <c r="PMQ641" s="340"/>
      <c r="PMR641" s="354"/>
      <c r="PMS641" s="313"/>
      <c r="PMT641" s="340"/>
      <c r="PMU641" s="340"/>
      <c r="PMV641" s="354"/>
      <c r="PMW641" s="313"/>
      <c r="PMX641" s="340"/>
      <c r="PMY641" s="340"/>
      <c r="PMZ641" s="354"/>
      <c r="PNA641" s="313"/>
      <c r="PNB641" s="340"/>
      <c r="PNC641" s="340"/>
      <c r="PND641" s="354"/>
      <c r="PNE641" s="313"/>
      <c r="PNF641" s="340"/>
      <c r="PNG641" s="340"/>
      <c r="PNH641" s="354"/>
      <c r="PNI641" s="313"/>
      <c r="PNJ641" s="340"/>
      <c r="PNK641" s="340"/>
      <c r="PNL641" s="354"/>
      <c r="PNM641" s="313"/>
      <c r="PNN641" s="340"/>
      <c r="PNO641" s="340"/>
      <c r="PNP641" s="354"/>
      <c r="PNQ641" s="313"/>
      <c r="PNR641" s="340"/>
      <c r="PNS641" s="340"/>
      <c r="PNT641" s="354"/>
      <c r="PNU641" s="313"/>
      <c r="PNV641" s="340"/>
      <c r="PNW641" s="340"/>
      <c r="PNX641" s="354"/>
      <c r="PNY641" s="313"/>
      <c r="PNZ641" s="340"/>
      <c r="POA641" s="340"/>
      <c r="POB641" s="354"/>
      <c r="POC641" s="313"/>
      <c r="POD641" s="340"/>
      <c r="POE641" s="340"/>
      <c r="POF641" s="354"/>
      <c r="POG641" s="313"/>
      <c r="POH641" s="340"/>
      <c r="POI641" s="340"/>
      <c r="POJ641" s="354"/>
      <c r="POK641" s="313"/>
      <c r="POL641" s="340"/>
      <c r="POM641" s="340"/>
      <c r="PON641" s="354"/>
      <c r="POO641" s="313"/>
      <c r="POP641" s="340"/>
      <c r="POQ641" s="340"/>
      <c r="POR641" s="354"/>
      <c r="POS641" s="313"/>
      <c r="POT641" s="340"/>
      <c r="POU641" s="340"/>
      <c r="POV641" s="354"/>
      <c r="POW641" s="313"/>
      <c r="POX641" s="340"/>
      <c r="POY641" s="340"/>
      <c r="POZ641" s="354"/>
      <c r="PPA641" s="313"/>
      <c r="PPB641" s="340"/>
      <c r="PPC641" s="340"/>
      <c r="PPD641" s="354"/>
      <c r="PPE641" s="313"/>
      <c r="PPF641" s="340"/>
      <c r="PPG641" s="340"/>
      <c r="PPH641" s="354"/>
      <c r="PPI641" s="313"/>
      <c r="PPJ641" s="340"/>
      <c r="PPK641" s="340"/>
      <c r="PPL641" s="354"/>
      <c r="PPM641" s="313"/>
      <c r="PPN641" s="340"/>
      <c r="PPO641" s="340"/>
      <c r="PPP641" s="354"/>
      <c r="PPQ641" s="313"/>
      <c r="PPR641" s="340"/>
      <c r="PPS641" s="340"/>
      <c r="PPT641" s="354"/>
      <c r="PPU641" s="313"/>
      <c r="PPV641" s="340"/>
      <c r="PPW641" s="340"/>
      <c r="PPX641" s="354"/>
      <c r="PPY641" s="313"/>
      <c r="PPZ641" s="340"/>
      <c r="PQA641" s="340"/>
      <c r="PQB641" s="354"/>
      <c r="PQC641" s="313"/>
      <c r="PQD641" s="340"/>
      <c r="PQE641" s="340"/>
      <c r="PQF641" s="354"/>
      <c r="PQG641" s="313"/>
      <c r="PQH641" s="340"/>
      <c r="PQI641" s="340"/>
      <c r="PQJ641" s="354"/>
      <c r="PQK641" s="313"/>
      <c r="PQL641" s="340"/>
      <c r="PQM641" s="340"/>
      <c r="PQN641" s="354"/>
      <c r="PQO641" s="313"/>
      <c r="PQP641" s="340"/>
      <c r="PQQ641" s="340"/>
      <c r="PQR641" s="354"/>
      <c r="PQS641" s="313"/>
      <c r="PQT641" s="340"/>
      <c r="PQU641" s="340"/>
      <c r="PQV641" s="354"/>
      <c r="PQW641" s="313"/>
      <c r="PQX641" s="340"/>
      <c r="PQY641" s="340"/>
      <c r="PQZ641" s="354"/>
      <c r="PRA641" s="313"/>
      <c r="PRB641" s="340"/>
      <c r="PRC641" s="340"/>
      <c r="PRD641" s="354"/>
      <c r="PRE641" s="313"/>
      <c r="PRF641" s="340"/>
      <c r="PRG641" s="340"/>
      <c r="PRH641" s="354"/>
      <c r="PRI641" s="313"/>
      <c r="PRJ641" s="340"/>
      <c r="PRK641" s="340"/>
      <c r="PRL641" s="354"/>
      <c r="PRM641" s="313"/>
      <c r="PRN641" s="340"/>
      <c r="PRO641" s="340"/>
      <c r="PRP641" s="354"/>
      <c r="PRQ641" s="313"/>
      <c r="PRR641" s="340"/>
      <c r="PRS641" s="340"/>
      <c r="PRT641" s="354"/>
      <c r="PRU641" s="313"/>
      <c r="PRV641" s="340"/>
      <c r="PRW641" s="340"/>
      <c r="PRX641" s="354"/>
      <c r="PRY641" s="313"/>
      <c r="PRZ641" s="340"/>
      <c r="PSA641" s="340"/>
      <c r="PSB641" s="354"/>
      <c r="PSC641" s="313"/>
      <c r="PSD641" s="340"/>
      <c r="PSE641" s="340"/>
      <c r="PSF641" s="354"/>
      <c r="PSG641" s="313"/>
      <c r="PSH641" s="340"/>
      <c r="PSI641" s="340"/>
      <c r="PSJ641" s="354"/>
      <c r="PSK641" s="313"/>
      <c r="PSL641" s="340"/>
      <c r="PSM641" s="340"/>
      <c r="PSN641" s="354"/>
      <c r="PSO641" s="313"/>
      <c r="PSP641" s="340"/>
      <c r="PSQ641" s="340"/>
      <c r="PSR641" s="354"/>
      <c r="PSS641" s="313"/>
      <c r="PST641" s="340"/>
      <c r="PSU641" s="340"/>
      <c r="PSV641" s="354"/>
      <c r="PSW641" s="313"/>
      <c r="PSX641" s="340"/>
      <c r="PSY641" s="340"/>
      <c r="PSZ641" s="354"/>
      <c r="PTA641" s="313"/>
      <c r="PTB641" s="340"/>
      <c r="PTC641" s="340"/>
      <c r="PTD641" s="354"/>
      <c r="PTE641" s="313"/>
      <c r="PTF641" s="340"/>
      <c r="PTG641" s="340"/>
      <c r="PTH641" s="354"/>
      <c r="PTI641" s="313"/>
      <c r="PTJ641" s="340"/>
      <c r="PTK641" s="340"/>
      <c r="PTL641" s="354"/>
      <c r="PTM641" s="313"/>
      <c r="PTN641" s="340"/>
      <c r="PTO641" s="340"/>
      <c r="PTP641" s="354"/>
      <c r="PTQ641" s="313"/>
      <c r="PTR641" s="340"/>
      <c r="PTS641" s="340"/>
      <c r="PTT641" s="354"/>
      <c r="PTU641" s="313"/>
      <c r="PTV641" s="340"/>
      <c r="PTW641" s="340"/>
      <c r="PTX641" s="354"/>
      <c r="PTY641" s="313"/>
      <c r="PTZ641" s="340"/>
      <c r="PUA641" s="340"/>
      <c r="PUB641" s="354"/>
      <c r="PUC641" s="313"/>
      <c r="PUD641" s="340"/>
      <c r="PUE641" s="340"/>
      <c r="PUF641" s="354"/>
      <c r="PUG641" s="313"/>
      <c r="PUH641" s="340"/>
      <c r="PUI641" s="340"/>
      <c r="PUJ641" s="354"/>
      <c r="PUK641" s="313"/>
      <c r="PUL641" s="340"/>
      <c r="PUM641" s="340"/>
      <c r="PUN641" s="354"/>
      <c r="PUO641" s="313"/>
      <c r="PUP641" s="340"/>
      <c r="PUQ641" s="340"/>
      <c r="PUR641" s="354"/>
      <c r="PUS641" s="313"/>
      <c r="PUT641" s="340"/>
      <c r="PUU641" s="340"/>
      <c r="PUV641" s="354"/>
      <c r="PUW641" s="313"/>
      <c r="PUX641" s="340"/>
      <c r="PUY641" s="340"/>
      <c r="PUZ641" s="354"/>
      <c r="PVA641" s="313"/>
      <c r="PVB641" s="340"/>
      <c r="PVC641" s="340"/>
      <c r="PVD641" s="354"/>
      <c r="PVE641" s="313"/>
      <c r="PVF641" s="340"/>
      <c r="PVG641" s="340"/>
      <c r="PVH641" s="354"/>
      <c r="PVI641" s="313"/>
      <c r="PVJ641" s="340"/>
      <c r="PVK641" s="340"/>
      <c r="PVL641" s="354"/>
      <c r="PVM641" s="313"/>
      <c r="PVN641" s="340"/>
      <c r="PVO641" s="340"/>
      <c r="PVP641" s="354"/>
      <c r="PVQ641" s="313"/>
      <c r="PVR641" s="340"/>
      <c r="PVS641" s="340"/>
      <c r="PVT641" s="354"/>
      <c r="PVU641" s="313"/>
      <c r="PVV641" s="340"/>
      <c r="PVW641" s="340"/>
      <c r="PVX641" s="354"/>
      <c r="PVY641" s="313"/>
      <c r="PVZ641" s="340"/>
      <c r="PWA641" s="340"/>
      <c r="PWB641" s="354"/>
      <c r="PWC641" s="313"/>
      <c r="PWD641" s="340"/>
      <c r="PWE641" s="340"/>
      <c r="PWF641" s="354"/>
      <c r="PWG641" s="313"/>
      <c r="PWH641" s="340"/>
      <c r="PWI641" s="340"/>
      <c r="PWJ641" s="354"/>
      <c r="PWK641" s="313"/>
      <c r="PWL641" s="340"/>
      <c r="PWM641" s="340"/>
      <c r="PWN641" s="354"/>
      <c r="PWO641" s="313"/>
      <c r="PWP641" s="340"/>
      <c r="PWQ641" s="340"/>
      <c r="PWR641" s="354"/>
      <c r="PWS641" s="313"/>
      <c r="PWT641" s="340"/>
      <c r="PWU641" s="340"/>
      <c r="PWV641" s="354"/>
      <c r="PWW641" s="313"/>
      <c r="PWX641" s="340"/>
      <c r="PWY641" s="340"/>
      <c r="PWZ641" s="354"/>
      <c r="PXA641" s="313"/>
      <c r="PXB641" s="340"/>
      <c r="PXC641" s="340"/>
      <c r="PXD641" s="354"/>
      <c r="PXE641" s="313"/>
      <c r="PXF641" s="340"/>
      <c r="PXG641" s="340"/>
      <c r="PXH641" s="354"/>
      <c r="PXI641" s="313"/>
      <c r="PXJ641" s="340"/>
      <c r="PXK641" s="340"/>
      <c r="PXL641" s="354"/>
      <c r="PXM641" s="313"/>
      <c r="PXN641" s="340"/>
      <c r="PXO641" s="340"/>
      <c r="PXP641" s="354"/>
      <c r="PXQ641" s="313"/>
      <c r="PXR641" s="340"/>
      <c r="PXS641" s="340"/>
      <c r="PXT641" s="354"/>
      <c r="PXU641" s="313"/>
      <c r="PXV641" s="340"/>
      <c r="PXW641" s="340"/>
      <c r="PXX641" s="354"/>
      <c r="PXY641" s="313"/>
      <c r="PXZ641" s="340"/>
      <c r="PYA641" s="340"/>
      <c r="PYB641" s="354"/>
      <c r="PYC641" s="313"/>
      <c r="PYD641" s="340"/>
      <c r="PYE641" s="340"/>
      <c r="PYF641" s="354"/>
      <c r="PYG641" s="313"/>
      <c r="PYH641" s="340"/>
      <c r="PYI641" s="340"/>
      <c r="PYJ641" s="354"/>
      <c r="PYK641" s="313"/>
      <c r="PYL641" s="340"/>
      <c r="PYM641" s="340"/>
      <c r="PYN641" s="354"/>
      <c r="PYO641" s="313"/>
      <c r="PYP641" s="340"/>
      <c r="PYQ641" s="340"/>
      <c r="PYR641" s="354"/>
      <c r="PYS641" s="313"/>
      <c r="PYT641" s="340"/>
      <c r="PYU641" s="340"/>
      <c r="PYV641" s="354"/>
      <c r="PYW641" s="313"/>
      <c r="PYX641" s="340"/>
      <c r="PYY641" s="340"/>
      <c r="PYZ641" s="354"/>
      <c r="PZA641" s="313"/>
      <c r="PZB641" s="340"/>
      <c r="PZC641" s="340"/>
      <c r="PZD641" s="354"/>
      <c r="PZE641" s="313"/>
      <c r="PZF641" s="340"/>
      <c r="PZG641" s="340"/>
      <c r="PZH641" s="354"/>
      <c r="PZI641" s="313"/>
      <c r="PZJ641" s="340"/>
      <c r="PZK641" s="340"/>
      <c r="PZL641" s="354"/>
      <c r="PZM641" s="313"/>
      <c r="PZN641" s="340"/>
      <c r="PZO641" s="340"/>
      <c r="PZP641" s="354"/>
      <c r="PZQ641" s="313"/>
      <c r="PZR641" s="340"/>
      <c r="PZS641" s="340"/>
      <c r="PZT641" s="354"/>
      <c r="PZU641" s="313"/>
      <c r="PZV641" s="340"/>
      <c r="PZW641" s="340"/>
      <c r="PZX641" s="354"/>
      <c r="PZY641" s="313"/>
      <c r="PZZ641" s="340"/>
      <c r="QAA641" s="340"/>
      <c r="QAB641" s="354"/>
      <c r="QAC641" s="313"/>
      <c r="QAD641" s="340"/>
      <c r="QAE641" s="340"/>
      <c r="QAF641" s="354"/>
      <c r="QAG641" s="313"/>
      <c r="QAH641" s="340"/>
      <c r="QAI641" s="340"/>
      <c r="QAJ641" s="354"/>
      <c r="QAK641" s="313"/>
      <c r="QAL641" s="340"/>
      <c r="QAM641" s="340"/>
      <c r="QAN641" s="354"/>
      <c r="QAO641" s="313"/>
      <c r="QAP641" s="340"/>
      <c r="QAQ641" s="340"/>
      <c r="QAR641" s="354"/>
      <c r="QAS641" s="313"/>
      <c r="QAT641" s="340"/>
      <c r="QAU641" s="340"/>
      <c r="QAV641" s="354"/>
      <c r="QAW641" s="313"/>
      <c r="QAX641" s="340"/>
      <c r="QAY641" s="340"/>
      <c r="QAZ641" s="354"/>
      <c r="QBA641" s="313"/>
      <c r="QBB641" s="340"/>
      <c r="QBC641" s="340"/>
      <c r="QBD641" s="354"/>
      <c r="QBE641" s="313"/>
      <c r="QBF641" s="340"/>
      <c r="QBG641" s="340"/>
      <c r="QBH641" s="354"/>
      <c r="QBI641" s="313"/>
      <c r="QBJ641" s="340"/>
      <c r="QBK641" s="340"/>
      <c r="QBL641" s="354"/>
      <c r="QBM641" s="313"/>
      <c r="QBN641" s="340"/>
      <c r="QBO641" s="340"/>
      <c r="QBP641" s="354"/>
      <c r="QBQ641" s="313"/>
      <c r="QBR641" s="340"/>
      <c r="QBS641" s="340"/>
      <c r="QBT641" s="354"/>
      <c r="QBU641" s="313"/>
      <c r="QBV641" s="340"/>
      <c r="QBW641" s="340"/>
      <c r="QBX641" s="354"/>
      <c r="QBY641" s="313"/>
      <c r="QBZ641" s="340"/>
      <c r="QCA641" s="340"/>
      <c r="QCB641" s="354"/>
      <c r="QCC641" s="313"/>
      <c r="QCD641" s="340"/>
      <c r="QCE641" s="340"/>
      <c r="QCF641" s="354"/>
      <c r="QCG641" s="313"/>
      <c r="QCH641" s="340"/>
      <c r="QCI641" s="340"/>
      <c r="QCJ641" s="354"/>
      <c r="QCK641" s="313"/>
      <c r="QCL641" s="340"/>
      <c r="QCM641" s="340"/>
      <c r="QCN641" s="354"/>
      <c r="QCO641" s="313"/>
      <c r="QCP641" s="340"/>
      <c r="QCQ641" s="340"/>
      <c r="QCR641" s="354"/>
      <c r="QCS641" s="313"/>
      <c r="QCT641" s="340"/>
      <c r="QCU641" s="340"/>
      <c r="QCV641" s="354"/>
      <c r="QCW641" s="313"/>
      <c r="QCX641" s="340"/>
      <c r="QCY641" s="340"/>
      <c r="QCZ641" s="354"/>
      <c r="QDA641" s="313"/>
      <c r="QDB641" s="340"/>
      <c r="QDC641" s="340"/>
      <c r="QDD641" s="354"/>
      <c r="QDE641" s="313"/>
      <c r="QDF641" s="340"/>
      <c r="QDG641" s="340"/>
      <c r="QDH641" s="354"/>
      <c r="QDI641" s="313"/>
      <c r="QDJ641" s="340"/>
      <c r="QDK641" s="340"/>
      <c r="QDL641" s="354"/>
      <c r="QDM641" s="313"/>
      <c r="QDN641" s="340"/>
      <c r="QDO641" s="340"/>
      <c r="QDP641" s="354"/>
      <c r="QDQ641" s="313"/>
      <c r="QDR641" s="340"/>
      <c r="QDS641" s="340"/>
      <c r="QDT641" s="354"/>
      <c r="QDU641" s="313"/>
      <c r="QDV641" s="340"/>
      <c r="QDW641" s="340"/>
      <c r="QDX641" s="354"/>
      <c r="QDY641" s="313"/>
      <c r="QDZ641" s="340"/>
      <c r="QEA641" s="340"/>
      <c r="QEB641" s="354"/>
      <c r="QEC641" s="313"/>
      <c r="QED641" s="340"/>
      <c r="QEE641" s="340"/>
      <c r="QEF641" s="354"/>
      <c r="QEG641" s="313"/>
      <c r="QEH641" s="340"/>
      <c r="QEI641" s="340"/>
      <c r="QEJ641" s="354"/>
      <c r="QEK641" s="313"/>
      <c r="QEL641" s="340"/>
      <c r="QEM641" s="340"/>
      <c r="QEN641" s="354"/>
      <c r="QEO641" s="313"/>
      <c r="QEP641" s="340"/>
      <c r="QEQ641" s="340"/>
      <c r="QER641" s="354"/>
      <c r="QES641" s="313"/>
      <c r="QET641" s="340"/>
      <c r="QEU641" s="340"/>
      <c r="QEV641" s="354"/>
      <c r="QEW641" s="313"/>
      <c r="QEX641" s="340"/>
      <c r="QEY641" s="340"/>
      <c r="QEZ641" s="354"/>
      <c r="QFA641" s="313"/>
      <c r="QFB641" s="340"/>
      <c r="QFC641" s="340"/>
      <c r="QFD641" s="354"/>
      <c r="QFE641" s="313"/>
      <c r="QFF641" s="340"/>
      <c r="QFG641" s="340"/>
      <c r="QFH641" s="354"/>
      <c r="QFI641" s="313"/>
      <c r="QFJ641" s="340"/>
      <c r="QFK641" s="340"/>
      <c r="QFL641" s="354"/>
      <c r="QFM641" s="313"/>
      <c r="QFN641" s="340"/>
      <c r="QFO641" s="340"/>
      <c r="QFP641" s="354"/>
      <c r="QFQ641" s="313"/>
      <c r="QFR641" s="340"/>
      <c r="QFS641" s="340"/>
      <c r="QFT641" s="354"/>
      <c r="QFU641" s="313"/>
      <c r="QFV641" s="340"/>
      <c r="QFW641" s="340"/>
      <c r="QFX641" s="354"/>
      <c r="QFY641" s="313"/>
      <c r="QFZ641" s="340"/>
      <c r="QGA641" s="340"/>
      <c r="QGB641" s="354"/>
      <c r="QGC641" s="313"/>
      <c r="QGD641" s="340"/>
      <c r="QGE641" s="340"/>
      <c r="QGF641" s="354"/>
      <c r="QGG641" s="313"/>
      <c r="QGH641" s="340"/>
      <c r="QGI641" s="340"/>
      <c r="QGJ641" s="354"/>
      <c r="QGK641" s="313"/>
      <c r="QGL641" s="340"/>
      <c r="QGM641" s="340"/>
      <c r="QGN641" s="354"/>
      <c r="QGO641" s="313"/>
      <c r="QGP641" s="340"/>
      <c r="QGQ641" s="340"/>
      <c r="QGR641" s="354"/>
      <c r="QGS641" s="313"/>
      <c r="QGT641" s="340"/>
      <c r="QGU641" s="340"/>
      <c r="QGV641" s="354"/>
      <c r="QGW641" s="313"/>
      <c r="QGX641" s="340"/>
      <c r="QGY641" s="340"/>
      <c r="QGZ641" s="354"/>
      <c r="QHA641" s="313"/>
      <c r="QHB641" s="340"/>
      <c r="QHC641" s="340"/>
      <c r="QHD641" s="354"/>
      <c r="QHE641" s="313"/>
      <c r="QHF641" s="340"/>
      <c r="QHG641" s="340"/>
      <c r="QHH641" s="354"/>
      <c r="QHI641" s="313"/>
      <c r="QHJ641" s="340"/>
      <c r="QHK641" s="340"/>
      <c r="QHL641" s="354"/>
      <c r="QHM641" s="313"/>
      <c r="QHN641" s="340"/>
      <c r="QHO641" s="340"/>
      <c r="QHP641" s="354"/>
      <c r="QHQ641" s="313"/>
      <c r="QHR641" s="340"/>
      <c r="QHS641" s="340"/>
      <c r="QHT641" s="354"/>
      <c r="QHU641" s="313"/>
      <c r="QHV641" s="340"/>
      <c r="QHW641" s="340"/>
      <c r="QHX641" s="354"/>
      <c r="QHY641" s="313"/>
      <c r="QHZ641" s="340"/>
      <c r="QIA641" s="340"/>
      <c r="QIB641" s="354"/>
      <c r="QIC641" s="313"/>
      <c r="QID641" s="340"/>
      <c r="QIE641" s="340"/>
      <c r="QIF641" s="354"/>
      <c r="QIG641" s="313"/>
      <c r="QIH641" s="340"/>
      <c r="QII641" s="340"/>
      <c r="QIJ641" s="354"/>
      <c r="QIK641" s="313"/>
      <c r="QIL641" s="340"/>
      <c r="QIM641" s="340"/>
      <c r="QIN641" s="354"/>
      <c r="QIO641" s="313"/>
      <c r="QIP641" s="340"/>
      <c r="QIQ641" s="340"/>
      <c r="QIR641" s="354"/>
      <c r="QIS641" s="313"/>
      <c r="QIT641" s="340"/>
      <c r="QIU641" s="340"/>
      <c r="QIV641" s="354"/>
      <c r="QIW641" s="313"/>
      <c r="QIX641" s="340"/>
      <c r="QIY641" s="340"/>
      <c r="QIZ641" s="354"/>
      <c r="QJA641" s="313"/>
      <c r="QJB641" s="340"/>
      <c r="QJC641" s="340"/>
      <c r="QJD641" s="354"/>
      <c r="QJE641" s="313"/>
      <c r="QJF641" s="340"/>
      <c r="QJG641" s="340"/>
      <c r="QJH641" s="354"/>
      <c r="QJI641" s="313"/>
      <c r="QJJ641" s="340"/>
      <c r="QJK641" s="340"/>
      <c r="QJL641" s="354"/>
      <c r="QJM641" s="313"/>
      <c r="QJN641" s="340"/>
      <c r="QJO641" s="340"/>
      <c r="QJP641" s="354"/>
      <c r="QJQ641" s="313"/>
      <c r="QJR641" s="340"/>
      <c r="QJS641" s="340"/>
      <c r="QJT641" s="354"/>
      <c r="QJU641" s="313"/>
      <c r="QJV641" s="340"/>
      <c r="QJW641" s="340"/>
      <c r="QJX641" s="354"/>
      <c r="QJY641" s="313"/>
      <c r="QJZ641" s="340"/>
      <c r="QKA641" s="340"/>
      <c r="QKB641" s="354"/>
      <c r="QKC641" s="313"/>
      <c r="QKD641" s="340"/>
      <c r="QKE641" s="340"/>
      <c r="QKF641" s="354"/>
      <c r="QKG641" s="313"/>
      <c r="QKH641" s="340"/>
      <c r="QKI641" s="340"/>
      <c r="QKJ641" s="354"/>
      <c r="QKK641" s="313"/>
      <c r="QKL641" s="340"/>
      <c r="QKM641" s="340"/>
      <c r="QKN641" s="354"/>
      <c r="QKO641" s="313"/>
      <c r="QKP641" s="340"/>
      <c r="QKQ641" s="340"/>
      <c r="QKR641" s="354"/>
      <c r="QKS641" s="313"/>
      <c r="QKT641" s="340"/>
      <c r="QKU641" s="340"/>
      <c r="QKV641" s="354"/>
      <c r="QKW641" s="313"/>
      <c r="QKX641" s="340"/>
      <c r="QKY641" s="340"/>
      <c r="QKZ641" s="354"/>
      <c r="QLA641" s="313"/>
      <c r="QLB641" s="340"/>
      <c r="QLC641" s="340"/>
      <c r="QLD641" s="354"/>
      <c r="QLE641" s="313"/>
      <c r="QLF641" s="340"/>
      <c r="QLG641" s="340"/>
      <c r="QLH641" s="354"/>
      <c r="QLI641" s="313"/>
      <c r="QLJ641" s="340"/>
      <c r="QLK641" s="340"/>
      <c r="QLL641" s="354"/>
      <c r="QLM641" s="313"/>
      <c r="QLN641" s="340"/>
      <c r="QLO641" s="340"/>
      <c r="QLP641" s="354"/>
      <c r="QLQ641" s="313"/>
      <c r="QLR641" s="340"/>
      <c r="QLS641" s="340"/>
      <c r="QLT641" s="354"/>
      <c r="QLU641" s="313"/>
      <c r="QLV641" s="340"/>
      <c r="QLW641" s="340"/>
      <c r="QLX641" s="354"/>
      <c r="QLY641" s="313"/>
      <c r="QLZ641" s="340"/>
      <c r="QMA641" s="340"/>
      <c r="QMB641" s="354"/>
      <c r="QMC641" s="313"/>
      <c r="QMD641" s="340"/>
      <c r="QME641" s="340"/>
      <c r="QMF641" s="354"/>
      <c r="QMG641" s="313"/>
      <c r="QMH641" s="340"/>
      <c r="QMI641" s="340"/>
      <c r="QMJ641" s="354"/>
      <c r="QMK641" s="313"/>
      <c r="QML641" s="340"/>
      <c r="QMM641" s="340"/>
      <c r="QMN641" s="354"/>
      <c r="QMO641" s="313"/>
      <c r="QMP641" s="340"/>
      <c r="QMQ641" s="340"/>
      <c r="QMR641" s="354"/>
      <c r="QMS641" s="313"/>
      <c r="QMT641" s="340"/>
      <c r="QMU641" s="340"/>
      <c r="QMV641" s="354"/>
      <c r="QMW641" s="313"/>
      <c r="QMX641" s="340"/>
      <c r="QMY641" s="340"/>
      <c r="QMZ641" s="354"/>
      <c r="QNA641" s="313"/>
      <c r="QNB641" s="340"/>
      <c r="QNC641" s="340"/>
      <c r="QND641" s="354"/>
      <c r="QNE641" s="313"/>
      <c r="QNF641" s="340"/>
      <c r="QNG641" s="340"/>
      <c r="QNH641" s="354"/>
      <c r="QNI641" s="313"/>
      <c r="QNJ641" s="340"/>
      <c r="QNK641" s="340"/>
      <c r="QNL641" s="354"/>
      <c r="QNM641" s="313"/>
      <c r="QNN641" s="340"/>
      <c r="QNO641" s="340"/>
      <c r="QNP641" s="354"/>
      <c r="QNQ641" s="313"/>
      <c r="QNR641" s="340"/>
      <c r="QNS641" s="340"/>
      <c r="QNT641" s="354"/>
      <c r="QNU641" s="313"/>
      <c r="QNV641" s="340"/>
      <c r="QNW641" s="340"/>
      <c r="QNX641" s="354"/>
      <c r="QNY641" s="313"/>
      <c r="QNZ641" s="340"/>
      <c r="QOA641" s="340"/>
      <c r="QOB641" s="354"/>
      <c r="QOC641" s="313"/>
      <c r="QOD641" s="340"/>
      <c r="QOE641" s="340"/>
      <c r="QOF641" s="354"/>
      <c r="QOG641" s="313"/>
      <c r="QOH641" s="340"/>
      <c r="QOI641" s="340"/>
      <c r="QOJ641" s="354"/>
      <c r="QOK641" s="313"/>
      <c r="QOL641" s="340"/>
      <c r="QOM641" s="340"/>
      <c r="QON641" s="354"/>
      <c r="QOO641" s="313"/>
      <c r="QOP641" s="340"/>
      <c r="QOQ641" s="340"/>
      <c r="QOR641" s="354"/>
      <c r="QOS641" s="313"/>
      <c r="QOT641" s="340"/>
      <c r="QOU641" s="340"/>
      <c r="QOV641" s="354"/>
      <c r="QOW641" s="313"/>
      <c r="QOX641" s="340"/>
      <c r="QOY641" s="340"/>
      <c r="QOZ641" s="354"/>
      <c r="QPA641" s="313"/>
      <c r="QPB641" s="340"/>
      <c r="QPC641" s="340"/>
      <c r="QPD641" s="354"/>
      <c r="QPE641" s="313"/>
      <c r="QPF641" s="340"/>
      <c r="QPG641" s="340"/>
      <c r="QPH641" s="354"/>
      <c r="QPI641" s="313"/>
      <c r="QPJ641" s="340"/>
      <c r="QPK641" s="340"/>
      <c r="QPL641" s="354"/>
      <c r="QPM641" s="313"/>
      <c r="QPN641" s="340"/>
      <c r="QPO641" s="340"/>
      <c r="QPP641" s="354"/>
      <c r="QPQ641" s="313"/>
      <c r="QPR641" s="340"/>
      <c r="QPS641" s="340"/>
      <c r="QPT641" s="354"/>
      <c r="QPU641" s="313"/>
      <c r="QPV641" s="340"/>
      <c r="QPW641" s="340"/>
      <c r="QPX641" s="354"/>
      <c r="QPY641" s="313"/>
      <c r="QPZ641" s="340"/>
      <c r="QQA641" s="340"/>
      <c r="QQB641" s="354"/>
      <c r="QQC641" s="313"/>
      <c r="QQD641" s="340"/>
      <c r="QQE641" s="340"/>
      <c r="QQF641" s="354"/>
      <c r="QQG641" s="313"/>
      <c r="QQH641" s="340"/>
      <c r="QQI641" s="340"/>
      <c r="QQJ641" s="354"/>
      <c r="QQK641" s="313"/>
      <c r="QQL641" s="340"/>
      <c r="QQM641" s="340"/>
      <c r="QQN641" s="354"/>
      <c r="QQO641" s="313"/>
      <c r="QQP641" s="340"/>
      <c r="QQQ641" s="340"/>
      <c r="QQR641" s="354"/>
      <c r="QQS641" s="313"/>
      <c r="QQT641" s="340"/>
      <c r="QQU641" s="340"/>
      <c r="QQV641" s="354"/>
      <c r="QQW641" s="313"/>
      <c r="QQX641" s="340"/>
      <c r="QQY641" s="340"/>
      <c r="QQZ641" s="354"/>
      <c r="QRA641" s="313"/>
      <c r="QRB641" s="340"/>
      <c r="QRC641" s="340"/>
      <c r="QRD641" s="354"/>
      <c r="QRE641" s="313"/>
      <c r="QRF641" s="340"/>
      <c r="QRG641" s="340"/>
      <c r="QRH641" s="354"/>
      <c r="QRI641" s="313"/>
      <c r="QRJ641" s="340"/>
      <c r="QRK641" s="340"/>
      <c r="QRL641" s="354"/>
      <c r="QRM641" s="313"/>
      <c r="QRN641" s="340"/>
      <c r="QRO641" s="340"/>
      <c r="QRP641" s="354"/>
      <c r="QRQ641" s="313"/>
      <c r="QRR641" s="340"/>
      <c r="QRS641" s="340"/>
      <c r="QRT641" s="354"/>
      <c r="QRU641" s="313"/>
      <c r="QRV641" s="340"/>
      <c r="QRW641" s="340"/>
      <c r="QRX641" s="354"/>
      <c r="QRY641" s="313"/>
      <c r="QRZ641" s="340"/>
      <c r="QSA641" s="340"/>
      <c r="QSB641" s="354"/>
      <c r="QSC641" s="313"/>
      <c r="QSD641" s="340"/>
      <c r="QSE641" s="340"/>
      <c r="QSF641" s="354"/>
      <c r="QSG641" s="313"/>
      <c r="QSH641" s="340"/>
      <c r="QSI641" s="340"/>
      <c r="QSJ641" s="354"/>
      <c r="QSK641" s="313"/>
      <c r="QSL641" s="340"/>
      <c r="QSM641" s="340"/>
      <c r="QSN641" s="354"/>
      <c r="QSO641" s="313"/>
      <c r="QSP641" s="340"/>
      <c r="QSQ641" s="340"/>
      <c r="QSR641" s="354"/>
      <c r="QSS641" s="313"/>
      <c r="QST641" s="340"/>
      <c r="QSU641" s="340"/>
      <c r="QSV641" s="354"/>
      <c r="QSW641" s="313"/>
      <c r="QSX641" s="340"/>
      <c r="QSY641" s="340"/>
      <c r="QSZ641" s="354"/>
      <c r="QTA641" s="313"/>
      <c r="QTB641" s="340"/>
      <c r="QTC641" s="340"/>
      <c r="QTD641" s="354"/>
      <c r="QTE641" s="313"/>
      <c r="QTF641" s="340"/>
      <c r="QTG641" s="340"/>
      <c r="QTH641" s="354"/>
      <c r="QTI641" s="313"/>
      <c r="QTJ641" s="340"/>
      <c r="QTK641" s="340"/>
      <c r="QTL641" s="354"/>
      <c r="QTM641" s="313"/>
      <c r="QTN641" s="340"/>
      <c r="QTO641" s="340"/>
      <c r="QTP641" s="354"/>
      <c r="QTQ641" s="313"/>
      <c r="QTR641" s="340"/>
      <c r="QTS641" s="340"/>
      <c r="QTT641" s="354"/>
      <c r="QTU641" s="313"/>
      <c r="QTV641" s="340"/>
      <c r="QTW641" s="340"/>
      <c r="QTX641" s="354"/>
      <c r="QTY641" s="313"/>
      <c r="QTZ641" s="340"/>
      <c r="QUA641" s="340"/>
      <c r="QUB641" s="354"/>
      <c r="QUC641" s="313"/>
      <c r="QUD641" s="340"/>
      <c r="QUE641" s="340"/>
      <c r="QUF641" s="354"/>
      <c r="QUG641" s="313"/>
      <c r="QUH641" s="340"/>
      <c r="QUI641" s="340"/>
      <c r="QUJ641" s="354"/>
      <c r="QUK641" s="313"/>
      <c r="QUL641" s="340"/>
      <c r="QUM641" s="340"/>
      <c r="QUN641" s="354"/>
      <c r="QUO641" s="313"/>
      <c r="QUP641" s="340"/>
      <c r="QUQ641" s="340"/>
      <c r="QUR641" s="354"/>
      <c r="QUS641" s="313"/>
      <c r="QUT641" s="340"/>
      <c r="QUU641" s="340"/>
      <c r="QUV641" s="354"/>
      <c r="QUW641" s="313"/>
      <c r="QUX641" s="340"/>
      <c r="QUY641" s="340"/>
      <c r="QUZ641" s="354"/>
      <c r="QVA641" s="313"/>
      <c r="QVB641" s="340"/>
      <c r="QVC641" s="340"/>
      <c r="QVD641" s="354"/>
      <c r="QVE641" s="313"/>
      <c r="QVF641" s="340"/>
      <c r="QVG641" s="340"/>
      <c r="QVH641" s="354"/>
      <c r="QVI641" s="313"/>
      <c r="QVJ641" s="340"/>
      <c r="QVK641" s="340"/>
      <c r="QVL641" s="354"/>
      <c r="QVM641" s="313"/>
      <c r="QVN641" s="340"/>
      <c r="QVO641" s="340"/>
      <c r="QVP641" s="354"/>
      <c r="QVQ641" s="313"/>
      <c r="QVR641" s="340"/>
      <c r="QVS641" s="340"/>
      <c r="QVT641" s="354"/>
      <c r="QVU641" s="313"/>
      <c r="QVV641" s="340"/>
      <c r="QVW641" s="340"/>
      <c r="QVX641" s="354"/>
      <c r="QVY641" s="313"/>
      <c r="QVZ641" s="340"/>
      <c r="QWA641" s="340"/>
      <c r="QWB641" s="354"/>
      <c r="QWC641" s="313"/>
      <c r="QWD641" s="340"/>
      <c r="QWE641" s="340"/>
      <c r="QWF641" s="354"/>
      <c r="QWG641" s="313"/>
      <c r="QWH641" s="340"/>
      <c r="QWI641" s="340"/>
      <c r="QWJ641" s="354"/>
      <c r="QWK641" s="313"/>
      <c r="QWL641" s="340"/>
      <c r="QWM641" s="340"/>
      <c r="QWN641" s="354"/>
      <c r="QWO641" s="313"/>
      <c r="QWP641" s="340"/>
      <c r="QWQ641" s="340"/>
      <c r="QWR641" s="354"/>
      <c r="QWS641" s="313"/>
      <c r="QWT641" s="340"/>
      <c r="QWU641" s="340"/>
      <c r="QWV641" s="354"/>
      <c r="QWW641" s="313"/>
      <c r="QWX641" s="340"/>
      <c r="QWY641" s="340"/>
      <c r="QWZ641" s="354"/>
      <c r="QXA641" s="313"/>
      <c r="QXB641" s="340"/>
      <c r="QXC641" s="340"/>
      <c r="QXD641" s="354"/>
      <c r="QXE641" s="313"/>
      <c r="QXF641" s="340"/>
      <c r="QXG641" s="340"/>
      <c r="QXH641" s="354"/>
      <c r="QXI641" s="313"/>
      <c r="QXJ641" s="340"/>
      <c r="QXK641" s="340"/>
      <c r="QXL641" s="354"/>
      <c r="QXM641" s="313"/>
      <c r="QXN641" s="340"/>
      <c r="QXO641" s="340"/>
      <c r="QXP641" s="354"/>
      <c r="QXQ641" s="313"/>
      <c r="QXR641" s="340"/>
      <c r="QXS641" s="340"/>
      <c r="QXT641" s="354"/>
      <c r="QXU641" s="313"/>
      <c r="QXV641" s="340"/>
      <c r="QXW641" s="340"/>
      <c r="QXX641" s="354"/>
      <c r="QXY641" s="313"/>
      <c r="QXZ641" s="340"/>
      <c r="QYA641" s="340"/>
      <c r="QYB641" s="354"/>
      <c r="QYC641" s="313"/>
      <c r="QYD641" s="340"/>
      <c r="QYE641" s="340"/>
      <c r="QYF641" s="354"/>
      <c r="QYG641" s="313"/>
      <c r="QYH641" s="340"/>
      <c r="QYI641" s="340"/>
      <c r="QYJ641" s="354"/>
      <c r="QYK641" s="313"/>
      <c r="QYL641" s="340"/>
      <c r="QYM641" s="340"/>
      <c r="QYN641" s="354"/>
      <c r="QYO641" s="313"/>
      <c r="QYP641" s="340"/>
      <c r="QYQ641" s="340"/>
      <c r="QYR641" s="354"/>
      <c r="QYS641" s="313"/>
      <c r="QYT641" s="340"/>
      <c r="QYU641" s="340"/>
      <c r="QYV641" s="354"/>
      <c r="QYW641" s="313"/>
      <c r="QYX641" s="340"/>
      <c r="QYY641" s="340"/>
      <c r="QYZ641" s="354"/>
      <c r="QZA641" s="313"/>
      <c r="QZB641" s="340"/>
      <c r="QZC641" s="340"/>
      <c r="QZD641" s="354"/>
      <c r="QZE641" s="313"/>
      <c r="QZF641" s="340"/>
      <c r="QZG641" s="340"/>
      <c r="QZH641" s="354"/>
      <c r="QZI641" s="313"/>
      <c r="QZJ641" s="340"/>
      <c r="QZK641" s="340"/>
      <c r="QZL641" s="354"/>
      <c r="QZM641" s="313"/>
      <c r="QZN641" s="340"/>
      <c r="QZO641" s="340"/>
      <c r="QZP641" s="354"/>
      <c r="QZQ641" s="313"/>
      <c r="QZR641" s="340"/>
      <c r="QZS641" s="340"/>
      <c r="QZT641" s="354"/>
      <c r="QZU641" s="313"/>
      <c r="QZV641" s="340"/>
      <c r="QZW641" s="340"/>
      <c r="QZX641" s="354"/>
      <c r="QZY641" s="313"/>
      <c r="QZZ641" s="340"/>
      <c r="RAA641" s="340"/>
      <c r="RAB641" s="354"/>
      <c r="RAC641" s="313"/>
      <c r="RAD641" s="340"/>
      <c r="RAE641" s="340"/>
      <c r="RAF641" s="354"/>
      <c r="RAG641" s="313"/>
      <c r="RAH641" s="340"/>
      <c r="RAI641" s="340"/>
      <c r="RAJ641" s="354"/>
      <c r="RAK641" s="313"/>
      <c r="RAL641" s="340"/>
      <c r="RAM641" s="340"/>
      <c r="RAN641" s="354"/>
      <c r="RAO641" s="313"/>
      <c r="RAP641" s="340"/>
      <c r="RAQ641" s="340"/>
      <c r="RAR641" s="354"/>
      <c r="RAS641" s="313"/>
      <c r="RAT641" s="340"/>
      <c r="RAU641" s="340"/>
      <c r="RAV641" s="354"/>
      <c r="RAW641" s="313"/>
      <c r="RAX641" s="340"/>
      <c r="RAY641" s="340"/>
      <c r="RAZ641" s="354"/>
      <c r="RBA641" s="313"/>
      <c r="RBB641" s="340"/>
      <c r="RBC641" s="340"/>
      <c r="RBD641" s="354"/>
      <c r="RBE641" s="313"/>
      <c r="RBF641" s="340"/>
      <c r="RBG641" s="340"/>
      <c r="RBH641" s="354"/>
      <c r="RBI641" s="313"/>
      <c r="RBJ641" s="340"/>
      <c r="RBK641" s="340"/>
      <c r="RBL641" s="354"/>
      <c r="RBM641" s="313"/>
      <c r="RBN641" s="340"/>
      <c r="RBO641" s="340"/>
      <c r="RBP641" s="354"/>
      <c r="RBQ641" s="313"/>
      <c r="RBR641" s="340"/>
      <c r="RBS641" s="340"/>
      <c r="RBT641" s="354"/>
      <c r="RBU641" s="313"/>
      <c r="RBV641" s="340"/>
      <c r="RBW641" s="340"/>
      <c r="RBX641" s="354"/>
      <c r="RBY641" s="313"/>
      <c r="RBZ641" s="340"/>
      <c r="RCA641" s="340"/>
      <c r="RCB641" s="354"/>
      <c r="RCC641" s="313"/>
      <c r="RCD641" s="340"/>
      <c r="RCE641" s="340"/>
      <c r="RCF641" s="354"/>
      <c r="RCG641" s="313"/>
      <c r="RCH641" s="340"/>
      <c r="RCI641" s="340"/>
      <c r="RCJ641" s="354"/>
      <c r="RCK641" s="313"/>
      <c r="RCL641" s="340"/>
      <c r="RCM641" s="340"/>
      <c r="RCN641" s="354"/>
      <c r="RCO641" s="313"/>
      <c r="RCP641" s="340"/>
      <c r="RCQ641" s="340"/>
      <c r="RCR641" s="354"/>
      <c r="RCS641" s="313"/>
      <c r="RCT641" s="340"/>
      <c r="RCU641" s="340"/>
      <c r="RCV641" s="354"/>
      <c r="RCW641" s="313"/>
      <c r="RCX641" s="340"/>
      <c r="RCY641" s="340"/>
      <c r="RCZ641" s="354"/>
      <c r="RDA641" s="313"/>
      <c r="RDB641" s="340"/>
      <c r="RDC641" s="340"/>
      <c r="RDD641" s="354"/>
      <c r="RDE641" s="313"/>
      <c r="RDF641" s="340"/>
      <c r="RDG641" s="340"/>
      <c r="RDH641" s="354"/>
      <c r="RDI641" s="313"/>
      <c r="RDJ641" s="340"/>
      <c r="RDK641" s="340"/>
      <c r="RDL641" s="354"/>
      <c r="RDM641" s="313"/>
      <c r="RDN641" s="340"/>
      <c r="RDO641" s="340"/>
      <c r="RDP641" s="354"/>
      <c r="RDQ641" s="313"/>
      <c r="RDR641" s="340"/>
      <c r="RDS641" s="340"/>
      <c r="RDT641" s="354"/>
      <c r="RDU641" s="313"/>
      <c r="RDV641" s="340"/>
      <c r="RDW641" s="340"/>
      <c r="RDX641" s="354"/>
      <c r="RDY641" s="313"/>
      <c r="RDZ641" s="340"/>
      <c r="REA641" s="340"/>
      <c r="REB641" s="354"/>
      <c r="REC641" s="313"/>
      <c r="RED641" s="340"/>
      <c r="REE641" s="340"/>
      <c r="REF641" s="354"/>
      <c r="REG641" s="313"/>
      <c r="REH641" s="340"/>
      <c r="REI641" s="340"/>
      <c r="REJ641" s="354"/>
      <c r="REK641" s="313"/>
      <c r="REL641" s="340"/>
      <c r="REM641" s="340"/>
      <c r="REN641" s="354"/>
      <c r="REO641" s="313"/>
      <c r="REP641" s="340"/>
      <c r="REQ641" s="340"/>
      <c r="RER641" s="354"/>
      <c r="RES641" s="313"/>
      <c r="RET641" s="340"/>
      <c r="REU641" s="340"/>
      <c r="REV641" s="354"/>
      <c r="REW641" s="313"/>
      <c r="REX641" s="340"/>
      <c r="REY641" s="340"/>
      <c r="REZ641" s="354"/>
      <c r="RFA641" s="313"/>
      <c r="RFB641" s="340"/>
      <c r="RFC641" s="340"/>
      <c r="RFD641" s="354"/>
      <c r="RFE641" s="313"/>
      <c r="RFF641" s="340"/>
      <c r="RFG641" s="340"/>
      <c r="RFH641" s="354"/>
      <c r="RFI641" s="313"/>
      <c r="RFJ641" s="340"/>
      <c r="RFK641" s="340"/>
      <c r="RFL641" s="354"/>
      <c r="RFM641" s="313"/>
      <c r="RFN641" s="340"/>
      <c r="RFO641" s="340"/>
      <c r="RFP641" s="354"/>
      <c r="RFQ641" s="313"/>
      <c r="RFR641" s="340"/>
      <c r="RFS641" s="340"/>
      <c r="RFT641" s="354"/>
      <c r="RFU641" s="313"/>
      <c r="RFV641" s="340"/>
      <c r="RFW641" s="340"/>
      <c r="RFX641" s="354"/>
      <c r="RFY641" s="313"/>
      <c r="RFZ641" s="340"/>
      <c r="RGA641" s="340"/>
      <c r="RGB641" s="354"/>
      <c r="RGC641" s="313"/>
      <c r="RGD641" s="340"/>
      <c r="RGE641" s="340"/>
      <c r="RGF641" s="354"/>
      <c r="RGG641" s="313"/>
      <c r="RGH641" s="340"/>
      <c r="RGI641" s="340"/>
      <c r="RGJ641" s="354"/>
      <c r="RGK641" s="313"/>
      <c r="RGL641" s="340"/>
      <c r="RGM641" s="340"/>
      <c r="RGN641" s="354"/>
      <c r="RGO641" s="313"/>
      <c r="RGP641" s="340"/>
      <c r="RGQ641" s="340"/>
      <c r="RGR641" s="354"/>
      <c r="RGS641" s="313"/>
      <c r="RGT641" s="340"/>
      <c r="RGU641" s="340"/>
      <c r="RGV641" s="354"/>
      <c r="RGW641" s="313"/>
      <c r="RGX641" s="340"/>
      <c r="RGY641" s="340"/>
      <c r="RGZ641" s="354"/>
      <c r="RHA641" s="313"/>
      <c r="RHB641" s="340"/>
      <c r="RHC641" s="340"/>
      <c r="RHD641" s="354"/>
      <c r="RHE641" s="313"/>
      <c r="RHF641" s="340"/>
      <c r="RHG641" s="340"/>
      <c r="RHH641" s="354"/>
      <c r="RHI641" s="313"/>
      <c r="RHJ641" s="340"/>
      <c r="RHK641" s="340"/>
      <c r="RHL641" s="354"/>
      <c r="RHM641" s="313"/>
      <c r="RHN641" s="340"/>
      <c r="RHO641" s="340"/>
      <c r="RHP641" s="354"/>
      <c r="RHQ641" s="313"/>
      <c r="RHR641" s="340"/>
      <c r="RHS641" s="340"/>
      <c r="RHT641" s="354"/>
      <c r="RHU641" s="313"/>
      <c r="RHV641" s="340"/>
      <c r="RHW641" s="340"/>
      <c r="RHX641" s="354"/>
      <c r="RHY641" s="313"/>
      <c r="RHZ641" s="340"/>
      <c r="RIA641" s="340"/>
      <c r="RIB641" s="354"/>
      <c r="RIC641" s="313"/>
      <c r="RID641" s="340"/>
      <c r="RIE641" s="340"/>
      <c r="RIF641" s="354"/>
      <c r="RIG641" s="313"/>
      <c r="RIH641" s="340"/>
      <c r="RII641" s="340"/>
      <c r="RIJ641" s="354"/>
      <c r="RIK641" s="313"/>
      <c r="RIL641" s="340"/>
      <c r="RIM641" s="340"/>
      <c r="RIN641" s="354"/>
      <c r="RIO641" s="313"/>
      <c r="RIP641" s="340"/>
      <c r="RIQ641" s="340"/>
      <c r="RIR641" s="354"/>
      <c r="RIS641" s="313"/>
      <c r="RIT641" s="340"/>
      <c r="RIU641" s="340"/>
      <c r="RIV641" s="354"/>
      <c r="RIW641" s="313"/>
      <c r="RIX641" s="340"/>
      <c r="RIY641" s="340"/>
      <c r="RIZ641" s="354"/>
      <c r="RJA641" s="313"/>
      <c r="RJB641" s="340"/>
      <c r="RJC641" s="340"/>
      <c r="RJD641" s="354"/>
      <c r="RJE641" s="313"/>
      <c r="RJF641" s="340"/>
      <c r="RJG641" s="340"/>
      <c r="RJH641" s="354"/>
      <c r="RJI641" s="313"/>
      <c r="RJJ641" s="340"/>
      <c r="RJK641" s="340"/>
      <c r="RJL641" s="354"/>
      <c r="RJM641" s="313"/>
      <c r="RJN641" s="340"/>
      <c r="RJO641" s="340"/>
      <c r="RJP641" s="354"/>
      <c r="RJQ641" s="313"/>
      <c r="RJR641" s="340"/>
      <c r="RJS641" s="340"/>
      <c r="RJT641" s="354"/>
      <c r="RJU641" s="313"/>
      <c r="RJV641" s="340"/>
      <c r="RJW641" s="340"/>
      <c r="RJX641" s="354"/>
      <c r="RJY641" s="313"/>
      <c r="RJZ641" s="340"/>
      <c r="RKA641" s="340"/>
      <c r="RKB641" s="354"/>
      <c r="RKC641" s="313"/>
      <c r="RKD641" s="340"/>
      <c r="RKE641" s="340"/>
      <c r="RKF641" s="354"/>
      <c r="RKG641" s="313"/>
      <c r="RKH641" s="340"/>
      <c r="RKI641" s="340"/>
      <c r="RKJ641" s="354"/>
      <c r="RKK641" s="313"/>
      <c r="RKL641" s="340"/>
      <c r="RKM641" s="340"/>
      <c r="RKN641" s="354"/>
      <c r="RKO641" s="313"/>
      <c r="RKP641" s="340"/>
      <c r="RKQ641" s="340"/>
      <c r="RKR641" s="354"/>
      <c r="RKS641" s="313"/>
      <c r="RKT641" s="340"/>
      <c r="RKU641" s="340"/>
      <c r="RKV641" s="354"/>
      <c r="RKW641" s="313"/>
      <c r="RKX641" s="340"/>
      <c r="RKY641" s="340"/>
      <c r="RKZ641" s="354"/>
      <c r="RLA641" s="313"/>
      <c r="RLB641" s="340"/>
      <c r="RLC641" s="340"/>
      <c r="RLD641" s="354"/>
      <c r="RLE641" s="313"/>
      <c r="RLF641" s="340"/>
      <c r="RLG641" s="340"/>
      <c r="RLH641" s="354"/>
      <c r="RLI641" s="313"/>
      <c r="RLJ641" s="340"/>
      <c r="RLK641" s="340"/>
      <c r="RLL641" s="354"/>
      <c r="RLM641" s="313"/>
      <c r="RLN641" s="340"/>
      <c r="RLO641" s="340"/>
      <c r="RLP641" s="354"/>
      <c r="RLQ641" s="313"/>
      <c r="RLR641" s="340"/>
      <c r="RLS641" s="340"/>
      <c r="RLT641" s="354"/>
      <c r="RLU641" s="313"/>
      <c r="RLV641" s="340"/>
      <c r="RLW641" s="340"/>
      <c r="RLX641" s="354"/>
      <c r="RLY641" s="313"/>
      <c r="RLZ641" s="340"/>
      <c r="RMA641" s="340"/>
      <c r="RMB641" s="354"/>
      <c r="RMC641" s="313"/>
      <c r="RMD641" s="340"/>
      <c r="RME641" s="340"/>
      <c r="RMF641" s="354"/>
      <c r="RMG641" s="313"/>
      <c r="RMH641" s="340"/>
      <c r="RMI641" s="340"/>
      <c r="RMJ641" s="354"/>
      <c r="RMK641" s="313"/>
      <c r="RML641" s="340"/>
      <c r="RMM641" s="340"/>
      <c r="RMN641" s="354"/>
      <c r="RMO641" s="313"/>
      <c r="RMP641" s="340"/>
      <c r="RMQ641" s="340"/>
      <c r="RMR641" s="354"/>
      <c r="RMS641" s="313"/>
      <c r="RMT641" s="340"/>
      <c r="RMU641" s="340"/>
      <c r="RMV641" s="354"/>
      <c r="RMW641" s="313"/>
      <c r="RMX641" s="340"/>
      <c r="RMY641" s="340"/>
      <c r="RMZ641" s="354"/>
      <c r="RNA641" s="313"/>
      <c r="RNB641" s="340"/>
      <c r="RNC641" s="340"/>
      <c r="RND641" s="354"/>
      <c r="RNE641" s="313"/>
      <c r="RNF641" s="340"/>
      <c r="RNG641" s="340"/>
      <c r="RNH641" s="354"/>
      <c r="RNI641" s="313"/>
      <c r="RNJ641" s="340"/>
      <c r="RNK641" s="340"/>
      <c r="RNL641" s="354"/>
      <c r="RNM641" s="313"/>
      <c r="RNN641" s="340"/>
      <c r="RNO641" s="340"/>
      <c r="RNP641" s="354"/>
      <c r="RNQ641" s="313"/>
      <c r="RNR641" s="340"/>
      <c r="RNS641" s="340"/>
      <c r="RNT641" s="354"/>
      <c r="RNU641" s="313"/>
      <c r="RNV641" s="340"/>
      <c r="RNW641" s="340"/>
      <c r="RNX641" s="354"/>
      <c r="RNY641" s="313"/>
      <c r="RNZ641" s="340"/>
      <c r="ROA641" s="340"/>
      <c r="ROB641" s="354"/>
      <c r="ROC641" s="313"/>
      <c r="ROD641" s="340"/>
      <c r="ROE641" s="340"/>
      <c r="ROF641" s="354"/>
      <c r="ROG641" s="313"/>
      <c r="ROH641" s="340"/>
      <c r="ROI641" s="340"/>
      <c r="ROJ641" s="354"/>
      <c r="ROK641" s="313"/>
      <c r="ROL641" s="340"/>
      <c r="ROM641" s="340"/>
      <c r="RON641" s="354"/>
      <c r="ROO641" s="313"/>
      <c r="ROP641" s="340"/>
      <c r="ROQ641" s="340"/>
      <c r="ROR641" s="354"/>
      <c r="ROS641" s="313"/>
      <c r="ROT641" s="340"/>
      <c r="ROU641" s="340"/>
      <c r="ROV641" s="354"/>
      <c r="ROW641" s="313"/>
      <c r="ROX641" s="340"/>
      <c r="ROY641" s="340"/>
      <c r="ROZ641" s="354"/>
      <c r="RPA641" s="313"/>
      <c r="RPB641" s="340"/>
      <c r="RPC641" s="340"/>
      <c r="RPD641" s="354"/>
      <c r="RPE641" s="313"/>
      <c r="RPF641" s="340"/>
      <c r="RPG641" s="340"/>
      <c r="RPH641" s="354"/>
      <c r="RPI641" s="313"/>
      <c r="RPJ641" s="340"/>
      <c r="RPK641" s="340"/>
      <c r="RPL641" s="354"/>
      <c r="RPM641" s="313"/>
      <c r="RPN641" s="340"/>
      <c r="RPO641" s="340"/>
      <c r="RPP641" s="354"/>
      <c r="RPQ641" s="313"/>
      <c r="RPR641" s="340"/>
      <c r="RPS641" s="340"/>
      <c r="RPT641" s="354"/>
      <c r="RPU641" s="313"/>
      <c r="RPV641" s="340"/>
      <c r="RPW641" s="340"/>
      <c r="RPX641" s="354"/>
      <c r="RPY641" s="313"/>
      <c r="RPZ641" s="340"/>
      <c r="RQA641" s="340"/>
      <c r="RQB641" s="354"/>
      <c r="RQC641" s="313"/>
      <c r="RQD641" s="340"/>
      <c r="RQE641" s="340"/>
      <c r="RQF641" s="354"/>
      <c r="RQG641" s="313"/>
      <c r="RQH641" s="340"/>
      <c r="RQI641" s="340"/>
      <c r="RQJ641" s="354"/>
      <c r="RQK641" s="313"/>
      <c r="RQL641" s="340"/>
      <c r="RQM641" s="340"/>
      <c r="RQN641" s="354"/>
      <c r="RQO641" s="313"/>
      <c r="RQP641" s="340"/>
      <c r="RQQ641" s="340"/>
      <c r="RQR641" s="354"/>
      <c r="RQS641" s="313"/>
      <c r="RQT641" s="340"/>
      <c r="RQU641" s="340"/>
      <c r="RQV641" s="354"/>
      <c r="RQW641" s="313"/>
      <c r="RQX641" s="340"/>
      <c r="RQY641" s="340"/>
      <c r="RQZ641" s="354"/>
      <c r="RRA641" s="313"/>
      <c r="RRB641" s="340"/>
      <c r="RRC641" s="340"/>
      <c r="RRD641" s="354"/>
      <c r="RRE641" s="313"/>
      <c r="RRF641" s="340"/>
      <c r="RRG641" s="340"/>
      <c r="RRH641" s="354"/>
      <c r="RRI641" s="313"/>
      <c r="RRJ641" s="340"/>
      <c r="RRK641" s="340"/>
      <c r="RRL641" s="354"/>
      <c r="RRM641" s="313"/>
      <c r="RRN641" s="340"/>
      <c r="RRO641" s="340"/>
      <c r="RRP641" s="354"/>
      <c r="RRQ641" s="313"/>
      <c r="RRR641" s="340"/>
      <c r="RRS641" s="340"/>
      <c r="RRT641" s="354"/>
      <c r="RRU641" s="313"/>
      <c r="RRV641" s="340"/>
      <c r="RRW641" s="340"/>
      <c r="RRX641" s="354"/>
      <c r="RRY641" s="313"/>
      <c r="RRZ641" s="340"/>
      <c r="RSA641" s="340"/>
      <c r="RSB641" s="354"/>
      <c r="RSC641" s="313"/>
      <c r="RSD641" s="340"/>
      <c r="RSE641" s="340"/>
      <c r="RSF641" s="354"/>
      <c r="RSG641" s="313"/>
      <c r="RSH641" s="340"/>
      <c r="RSI641" s="340"/>
      <c r="RSJ641" s="354"/>
      <c r="RSK641" s="313"/>
      <c r="RSL641" s="340"/>
      <c r="RSM641" s="340"/>
      <c r="RSN641" s="354"/>
      <c r="RSO641" s="313"/>
      <c r="RSP641" s="340"/>
      <c r="RSQ641" s="340"/>
      <c r="RSR641" s="354"/>
      <c r="RSS641" s="313"/>
      <c r="RST641" s="340"/>
      <c r="RSU641" s="340"/>
      <c r="RSV641" s="354"/>
      <c r="RSW641" s="313"/>
      <c r="RSX641" s="340"/>
      <c r="RSY641" s="340"/>
      <c r="RSZ641" s="354"/>
      <c r="RTA641" s="313"/>
      <c r="RTB641" s="340"/>
      <c r="RTC641" s="340"/>
      <c r="RTD641" s="354"/>
      <c r="RTE641" s="313"/>
      <c r="RTF641" s="340"/>
      <c r="RTG641" s="340"/>
      <c r="RTH641" s="354"/>
      <c r="RTI641" s="313"/>
      <c r="RTJ641" s="340"/>
      <c r="RTK641" s="340"/>
      <c r="RTL641" s="354"/>
      <c r="RTM641" s="313"/>
      <c r="RTN641" s="340"/>
      <c r="RTO641" s="340"/>
      <c r="RTP641" s="354"/>
      <c r="RTQ641" s="313"/>
      <c r="RTR641" s="340"/>
      <c r="RTS641" s="340"/>
      <c r="RTT641" s="354"/>
      <c r="RTU641" s="313"/>
      <c r="RTV641" s="340"/>
      <c r="RTW641" s="340"/>
      <c r="RTX641" s="354"/>
      <c r="RTY641" s="313"/>
      <c r="RTZ641" s="340"/>
      <c r="RUA641" s="340"/>
      <c r="RUB641" s="354"/>
      <c r="RUC641" s="313"/>
      <c r="RUD641" s="340"/>
      <c r="RUE641" s="340"/>
      <c r="RUF641" s="354"/>
      <c r="RUG641" s="313"/>
      <c r="RUH641" s="340"/>
      <c r="RUI641" s="340"/>
      <c r="RUJ641" s="354"/>
      <c r="RUK641" s="313"/>
      <c r="RUL641" s="340"/>
      <c r="RUM641" s="340"/>
      <c r="RUN641" s="354"/>
      <c r="RUO641" s="313"/>
      <c r="RUP641" s="340"/>
      <c r="RUQ641" s="340"/>
      <c r="RUR641" s="354"/>
      <c r="RUS641" s="313"/>
      <c r="RUT641" s="340"/>
      <c r="RUU641" s="340"/>
      <c r="RUV641" s="354"/>
      <c r="RUW641" s="313"/>
      <c r="RUX641" s="340"/>
      <c r="RUY641" s="340"/>
      <c r="RUZ641" s="354"/>
      <c r="RVA641" s="313"/>
      <c r="RVB641" s="340"/>
      <c r="RVC641" s="340"/>
      <c r="RVD641" s="354"/>
      <c r="RVE641" s="313"/>
      <c r="RVF641" s="340"/>
      <c r="RVG641" s="340"/>
      <c r="RVH641" s="354"/>
      <c r="RVI641" s="313"/>
      <c r="RVJ641" s="340"/>
      <c r="RVK641" s="340"/>
      <c r="RVL641" s="354"/>
      <c r="RVM641" s="313"/>
      <c r="RVN641" s="340"/>
      <c r="RVO641" s="340"/>
      <c r="RVP641" s="354"/>
      <c r="RVQ641" s="313"/>
      <c r="RVR641" s="340"/>
      <c r="RVS641" s="340"/>
      <c r="RVT641" s="354"/>
      <c r="RVU641" s="313"/>
      <c r="RVV641" s="340"/>
      <c r="RVW641" s="340"/>
      <c r="RVX641" s="354"/>
      <c r="RVY641" s="313"/>
      <c r="RVZ641" s="340"/>
      <c r="RWA641" s="340"/>
      <c r="RWB641" s="354"/>
      <c r="RWC641" s="313"/>
      <c r="RWD641" s="340"/>
      <c r="RWE641" s="340"/>
      <c r="RWF641" s="354"/>
      <c r="RWG641" s="313"/>
      <c r="RWH641" s="340"/>
      <c r="RWI641" s="340"/>
      <c r="RWJ641" s="354"/>
      <c r="RWK641" s="313"/>
      <c r="RWL641" s="340"/>
      <c r="RWM641" s="340"/>
      <c r="RWN641" s="354"/>
      <c r="RWO641" s="313"/>
      <c r="RWP641" s="340"/>
      <c r="RWQ641" s="340"/>
      <c r="RWR641" s="354"/>
      <c r="RWS641" s="313"/>
      <c r="RWT641" s="340"/>
      <c r="RWU641" s="340"/>
      <c r="RWV641" s="354"/>
      <c r="RWW641" s="313"/>
      <c r="RWX641" s="340"/>
      <c r="RWY641" s="340"/>
      <c r="RWZ641" s="354"/>
      <c r="RXA641" s="313"/>
      <c r="RXB641" s="340"/>
      <c r="RXC641" s="340"/>
      <c r="RXD641" s="354"/>
      <c r="RXE641" s="313"/>
      <c r="RXF641" s="340"/>
      <c r="RXG641" s="340"/>
      <c r="RXH641" s="354"/>
      <c r="RXI641" s="313"/>
      <c r="RXJ641" s="340"/>
      <c r="RXK641" s="340"/>
      <c r="RXL641" s="354"/>
      <c r="RXM641" s="313"/>
      <c r="RXN641" s="340"/>
      <c r="RXO641" s="340"/>
      <c r="RXP641" s="354"/>
      <c r="RXQ641" s="313"/>
      <c r="RXR641" s="340"/>
      <c r="RXS641" s="340"/>
      <c r="RXT641" s="354"/>
      <c r="RXU641" s="313"/>
      <c r="RXV641" s="340"/>
      <c r="RXW641" s="340"/>
      <c r="RXX641" s="354"/>
      <c r="RXY641" s="313"/>
      <c r="RXZ641" s="340"/>
      <c r="RYA641" s="340"/>
      <c r="RYB641" s="354"/>
      <c r="RYC641" s="313"/>
      <c r="RYD641" s="340"/>
      <c r="RYE641" s="340"/>
      <c r="RYF641" s="354"/>
      <c r="RYG641" s="313"/>
      <c r="RYH641" s="340"/>
      <c r="RYI641" s="340"/>
      <c r="RYJ641" s="354"/>
      <c r="RYK641" s="313"/>
      <c r="RYL641" s="340"/>
      <c r="RYM641" s="340"/>
      <c r="RYN641" s="354"/>
      <c r="RYO641" s="313"/>
      <c r="RYP641" s="340"/>
      <c r="RYQ641" s="340"/>
      <c r="RYR641" s="354"/>
      <c r="RYS641" s="313"/>
      <c r="RYT641" s="340"/>
      <c r="RYU641" s="340"/>
      <c r="RYV641" s="354"/>
      <c r="RYW641" s="313"/>
      <c r="RYX641" s="340"/>
      <c r="RYY641" s="340"/>
      <c r="RYZ641" s="354"/>
      <c r="RZA641" s="313"/>
      <c r="RZB641" s="340"/>
      <c r="RZC641" s="340"/>
      <c r="RZD641" s="354"/>
      <c r="RZE641" s="313"/>
      <c r="RZF641" s="340"/>
      <c r="RZG641" s="340"/>
      <c r="RZH641" s="354"/>
      <c r="RZI641" s="313"/>
      <c r="RZJ641" s="340"/>
      <c r="RZK641" s="340"/>
      <c r="RZL641" s="354"/>
      <c r="RZM641" s="313"/>
      <c r="RZN641" s="340"/>
      <c r="RZO641" s="340"/>
      <c r="RZP641" s="354"/>
      <c r="RZQ641" s="313"/>
      <c r="RZR641" s="340"/>
      <c r="RZS641" s="340"/>
      <c r="RZT641" s="354"/>
      <c r="RZU641" s="313"/>
      <c r="RZV641" s="340"/>
      <c r="RZW641" s="340"/>
      <c r="RZX641" s="354"/>
      <c r="RZY641" s="313"/>
      <c r="RZZ641" s="340"/>
      <c r="SAA641" s="340"/>
      <c r="SAB641" s="354"/>
      <c r="SAC641" s="313"/>
      <c r="SAD641" s="340"/>
      <c r="SAE641" s="340"/>
      <c r="SAF641" s="354"/>
      <c r="SAG641" s="313"/>
      <c r="SAH641" s="340"/>
      <c r="SAI641" s="340"/>
      <c r="SAJ641" s="354"/>
      <c r="SAK641" s="313"/>
      <c r="SAL641" s="340"/>
      <c r="SAM641" s="340"/>
      <c r="SAN641" s="354"/>
      <c r="SAO641" s="313"/>
      <c r="SAP641" s="340"/>
      <c r="SAQ641" s="340"/>
      <c r="SAR641" s="354"/>
      <c r="SAS641" s="313"/>
      <c r="SAT641" s="340"/>
      <c r="SAU641" s="340"/>
      <c r="SAV641" s="354"/>
      <c r="SAW641" s="313"/>
      <c r="SAX641" s="340"/>
      <c r="SAY641" s="340"/>
      <c r="SAZ641" s="354"/>
      <c r="SBA641" s="313"/>
      <c r="SBB641" s="340"/>
      <c r="SBC641" s="340"/>
      <c r="SBD641" s="354"/>
      <c r="SBE641" s="313"/>
      <c r="SBF641" s="340"/>
      <c r="SBG641" s="340"/>
      <c r="SBH641" s="354"/>
      <c r="SBI641" s="313"/>
      <c r="SBJ641" s="340"/>
      <c r="SBK641" s="340"/>
      <c r="SBL641" s="354"/>
      <c r="SBM641" s="313"/>
      <c r="SBN641" s="340"/>
      <c r="SBO641" s="340"/>
      <c r="SBP641" s="354"/>
      <c r="SBQ641" s="313"/>
      <c r="SBR641" s="340"/>
      <c r="SBS641" s="340"/>
      <c r="SBT641" s="354"/>
      <c r="SBU641" s="313"/>
      <c r="SBV641" s="340"/>
      <c r="SBW641" s="340"/>
      <c r="SBX641" s="354"/>
      <c r="SBY641" s="313"/>
      <c r="SBZ641" s="340"/>
      <c r="SCA641" s="340"/>
      <c r="SCB641" s="354"/>
      <c r="SCC641" s="313"/>
      <c r="SCD641" s="340"/>
      <c r="SCE641" s="340"/>
      <c r="SCF641" s="354"/>
      <c r="SCG641" s="313"/>
      <c r="SCH641" s="340"/>
      <c r="SCI641" s="340"/>
      <c r="SCJ641" s="354"/>
      <c r="SCK641" s="313"/>
      <c r="SCL641" s="340"/>
      <c r="SCM641" s="340"/>
      <c r="SCN641" s="354"/>
      <c r="SCO641" s="313"/>
      <c r="SCP641" s="340"/>
      <c r="SCQ641" s="340"/>
      <c r="SCR641" s="354"/>
      <c r="SCS641" s="313"/>
      <c r="SCT641" s="340"/>
      <c r="SCU641" s="340"/>
      <c r="SCV641" s="354"/>
      <c r="SCW641" s="313"/>
      <c r="SCX641" s="340"/>
      <c r="SCY641" s="340"/>
      <c r="SCZ641" s="354"/>
      <c r="SDA641" s="313"/>
      <c r="SDB641" s="340"/>
      <c r="SDC641" s="340"/>
      <c r="SDD641" s="354"/>
      <c r="SDE641" s="313"/>
      <c r="SDF641" s="340"/>
      <c r="SDG641" s="340"/>
      <c r="SDH641" s="354"/>
      <c r="SDI641" s="313"/>
      <c r="SDJ641" s="340"/>
      <c r="SDK641" s="340"/>
      <c r="SDL641" s="354"/>
      <c r="SDM641" s="313"/>
      <c r="SDN641" s="340"/>
      <c r="SDO641" s="340"/>
      <c r="SDP641" s="354"/>
      <c r="SDQ641" s="313"/>
      <c r="SDR641" s="340"/>
      <c r="SDS641" s="340"/>
      <c r="SDT641" s="354"/>
      <c r="SDU641" s="313"/>
      <c r="SDV641" s="340"/>
      <c r="SDW641" s="340"/>
      <c r="SDX641" s="354"/>
      <c r="SDY641" s="313"/>
      <c r="SDZ641" s="340"/>
      <c r="SEA641" s="340"/>
      <c r="SEB641" s="354"/>
      <c r="SEC641" s="313"/>
      <c r="SED641" s="340"/>
      <c r="SEE641" s="340"/>
      <c r="SEF641" s="354"/>
      <c r="SEG641" s="313"/>
      <c r="SEH641" s="340"/>
      <c r="SEI641" s="340"/>
      <c r="SEJ641" s="354"/>
      <c r="SEK641" s="313"/>
      <c r="SEL641" s="340"/>
      <c r="SEM641" s="340"/>
      <c r="SEN641" s="354"/>
      <c r="SEO641" s="313"/>
      <c r="SEP641" s="340"/>
      <c r="SEQ641" s="340"/>
      <c r="SER641" s="354"/>
      <c r="SES641" s="313"/>
      <c r="SET641" s="340"/>
      <c r="SEU641" s="340"/>
      <c r="SEV641" s="354"/>
      <c r="SEW641" s="313"/>
      <c r="SEX641" s="340"/>
      <c r="SEY641" s="340"/>
      <c r="SEZ641" s="354"/>
      <c r="SFA641" s="313"/>
      <c r="SFB641" s="340"/>
      <c r="SFC641" s="340"/>
      <c r="SFD641" s="354"/>
      <c r="SFE641" s="313"/>
      <c r="SFF641" s="340"/>
      <c r="SFG641" s="340"/>
      <c r="SFH641" s="354"/>
      <c r="SFI641" s="313"/>
      <c r="SFJ641" s="340"/>
      <c r="SFK641" s="340"/>
      <c r="SFL641" s="354"/>
      <c r="SFM641" s="313"/>
      <c r="SFN641" s="340"/>
      <c r="SFO641" s="340"/>
      <c r="SFP641" s="354"/>
      <c r="SFQ641" s="313"/>
      <c r="SFR641" s="340"/>
      <c r="SFS641" s="340"/>
      <c r="SFT641" s="354"/>
      <c r="SFU641" s="313"/>
      <c r="SFV641" s="340"/>
      <c r="SFW641" s="340"/>
      <c r="SFX641" s="354"/>
      <c r="SFY641" s="313"/>
      <c r="SFZ641" s="340"/>
      <c r="SGA641" s="340"/>
      <c r="SGB641" s="354"/>
      <c r="SGC641" s="313"/>
      <c r="SGD641" s="340"/>
      <c r="SGE641" s="340"/>
      <c r="SGF641" s="354"/>
      <c r="SGG641" s="313"/>
      <c r="SGH641" s="340"/>
      <c r="SGI641" s="340"/>
      <c r="SGJ641" s="354"/>
      <c r="SGK641" s="313"/>
      <c r="SGL641" s="340"/>
      <c r="SGM641" s="340"/>
      <c r="SGN641" s="354"/>
      <c r="SGO641" s="313"/>
      <c r="SGP641" s="340"/>
      <c r="SGQ641" s="340"/>
      <c r="SGR641" s="354"/>
      <c r="SGS641" s="313"/>
      <c r="SGT641" s="340"/>
      <c r="SGU641" s="340"/>
      <c r="SGV641" s="354"/>
      <c r="SGW641" s="313"/>
      <c r="SGX641" s="340"/>
      <c r="SGY641" s="340"/>
      <c r="SGZ641" s="354"/>
      <c r="SHA641" s="313"/>
      <c r="SHB641" s="340"/>
      <c r="SHC641" s="340"/>
      <c r="SHD641" s="354"/>
      <c r="SHE641" s="313"/>
      <c r="SHF641" s="340"/>
      <c r="SHG641" s="340"/>
      <c r="SHH641" s="354"/>
      <c r="SHI641" s="313"/>
      <c r="SHJ641" s="340"/>
      <c r="SHK641" s="340"/>
      <c r="SHL641" s="354"/>
      <c r="SHM641" s="313"/>
      <c r="SHN641" s="340"/>
      <c r="SHO641" s="340"/>
      <c r="SHP641" s="354"/>
      <c r="SHQ641" s="313"/>
      <c r="SHR641" s="340"/>
      <c r="SHS641" s="340"/>
      <c r="SHT641" s="354"/>
      <c r="SHU641" s="313"/>
      <c r="SHV641" s="340"/>
      <c r="SHW641" s="340"/>
      <c r="SHX641" s="354"/>
      <c r="SHY641" s="313"/>
      <c r="SHZ641" s="340"/>
      <c r="SIA641" s="340"/>
      <c r="SIB641" s="354"/>
      <c r="SIC641" s="313"/>
      <c r="SID641" s="340"/>
      <c r="SIE641" s="340"/>
      <c r="SIF641" s="354"/>
      <c r="SIG641" s="313"/>
      <c r="SIH641" s="340"/>
      <c r="SII641" s="340"/>
      <c r="SIJ641" s="354"/>
      <c r="SIK641" s="313"/>
      <c r="SIL641" s="340"/>
      <c r="SIM641" s="340"/>
      <c r="SIN641" s="354"/>
      <c r="SIO641" s="313"/>
      <c r="SIP641" s="340"/>
      <c r="SIQ641" s="340"/>
      <c r="SIR641" s="354"/>
      <c r="SIS641" s="313"/>
      <c r="SIT641" s="340"/>
      <c r="SIU641" s="340"/>
      <c r="SIV641" s="354"/>
      <c r="SIW641" s="313"/>
      <c r="SIX641" s="340"/>
      <c r="SIY641" s="340"/>
      <c r="SIZ641" s="354"/>
      <c r="SJA641" s="313"/>
      <c r="SJB641" s="340"/>
      <c r="SJC641" s="340"/>
      <c r="SJD641" s="354"/>
      <c r="SJE641" s="313"/>
      <c r="SJF641" s="340"/>
      <c r="SJG641" s="340"/>
      <c r="SJH641" s="354"/>
      <c r="SJI641" s="313"/>
      <c r="SJJ641" s="340"/>
      <c r="SJK641" s="340"/>
      <c r="SJL641" s="354"/>
      <c r="SJM641" s="313"/>
      <c r="SJN641" s="340"/>
      <c r="SJO641" s="340"/>
      <c r="SJP641" s="354"/>
      <c r="SJQ641" s="313"/>
      <c r="SJR641" s="340"/>
      <c r="SJS641" s="340"/>
      <c r="SJT641" s="354"/>
      <c r="SJU641" s="313"/>
      <c r="SJV641" s="340"/>
      <c r="SJW641" s="340"/>
      <c r="SJX641" s="354"/>
      <c r="SJY641" s="313"/>
      <c r="SJZ641" s="340"/>
      <c r="SKA641" s="340"/>
      <c r="SKB641" s="354"/>
      <c r="SKC641" s="313"/>
      <c r="SKD641" s="340"/>
      <c r="SKE641" s="340"/>
      <c r="SKF641" s="354"/>
      <c r="SKG641" s="313"/>
      <c r="SKH641" s="340"/>
      <c r="SKI641" s="340"/>
      <c r="SKJ641" s="354"/>
      <c r="SKK641" s="313"/>
      <c r="SKL641" s="340"/>
      <c r="SKM641" s="340"/>
      <c r="SKN641" s="354"/>
      <c r="SKO641" s="313"/>
      <c r="SKP641" s="340"/>
      <c r="SKQ641" s="340"/>
      <c r="SKR641" s="354"/>
      <c r="SKS641" s="313"/>
      <c r="SKT641" s="340"/>
      <c r="SKU641" s="340"/>
      <c r="SKV641" s="354"/>
      <c r="SKW641" s="313"/>
      <c r="SKX641" s="340"/>
      <c r="SKY641" s="340"/>
      <c r="SKZ641" s="354"/>
      <c r="SLA641" s="313"/>
      <c r="SLB641" s="340"/>
      <c r="SLC641" s="340"/>
      <c r="SLD641" s="354"/>
      <c r="SLE641" s="313"/>
      <c r="SLF641" s="340"/>
      <c r="SLG641" s="340"/>
      <c r="SLH641" s="354"/>
      <c r="SLI641" s="313"/>
      <c r="SLJ641" s="340"/>
      <c r="SLK641" s="340"/>
      <c r="SLL641" s="354"/>
      <c r="SLM641" s="313"/>
      <c r="SLN641" s="340"/>
      <c r="SLO641" s="340"/>
      <c r="SLP641" s="354"/>
      <c r="SLQ641" s="313"/>
      <c r="SLR641" s="340"/>
      <c r="SLS641" s="340"/>
      <c r="SLT641" s="354"/>
      <c r="SLU641" s="313"/>
      <c r="SLV641" s="340"/>
      <c r="SLW641" s="340"/>
      <c r="SLX641" s="354"/>
      <c r="SLY641" s="313"/>
      <c r="SLZ641" s="340"/>
      <c r="SMA641" s="340"/>
      <c r="SMB641" s="354"/>
      <c r="SMC641" s="313"/>
      <c r="SMD641" s="340"/>
      <c r="SME641" s="340"/>
      <c r="SMF641" s="354"/>
      <c r="SMG641" s="313"/>
      <c r="SMH641" s="340"/>
      <c r="SMI641" s="340"/>
      <c r="SMJ641" s="354"/>
      <c r="SMK641" s="313"/>
      <c r="SML641" s="340"/>
      <c r="SMM641" s="340"/>
      <c r="SMN641" s="354"/>
      <c r="SMO641" s="313"/>
      <c r="SMP641" s="340"/>
      <c r="SMQ641" s="340"/>
      <c r="SMR641" s="354"/>
      <c r="SMS641" s="313"/>
      <c r="SMT641" s="340"/>
      <c r="SMU641" s="340"/>
      <c r="SMV641" s="354"/>
      <c r="SMW641" s="313"/>
      <c r="SMX641" s="340"/>
      <c r="SMY641" s="340"/>
      <c r="SMZ641" s="354"/>
      <c r="SNA641" s="313"/>
      <c r="SNB641" s="340"/>
      <c r="SNC641" s="340"/>
      <c r="SND641" s="354"/>
      <c r="SNE641" s="313"/>
      <c r="SNF641" s="340"/>
      <c r="SNG641" s="340"/>
      <c r="SNH641" s="354"/>
      <c r="SNI641" s="313"/>
      <c r="SNJ641" s="340"/>
      <c r="SNK641" s="340"/>
      <c r="SNL641" s="354"/>
      <c r="SNM641" s="313"/>
      <c r="SNN641" s="340"/>
      <c r="SNO641" s="340"/>
      <c r="SNP641" s="354"/>
      <c r="SNQ641" s="313"/>
      <c r="SNR641" s="340"/>
      <c r="SNS641" s="340"/>
      <c r="SNT641" s="354"/>
      <c r="SNU641" s="313"/>
      <c r="SNV641" s="340"/>
      <c r="SNW641" s="340"/>
      <c r="SNX641" s="354"/>
      <c r="SNY641" s="313"/>
      <c r="SNZ641" s="340"/>
      <c r="SOA641" s="340"/>
      <c r="SOB641" s="354"/>
      <c r="SOC641" s="313"/>
      <c r="SOD641" s="340"/>
      <c r="SOE641" s="340"/>
      <c r="SOF641" s="354"/>
      <c r="SOG641" s="313"/>
      <c r="SOH641" s="340"/>
      <c r="SOI641" s="340"/>
      <c r="SOJ641" s="354"/>
      <c r="SOK641" s="313"/>
      <c r="SOL641" s="340"/>
      <c r="SOM641" s="340"/>
      <c r="SON641" s="354"/>
      <c r="SOO641" s="313"/>
      <c r="SOP641" s="340"/>
      <c r="SOQ641" s="340"/>
      <c r="SOR641" s="354"/>
      <c r="SOS641" s="313"/>
      <c r="SOT641" s="340"/>
      <c r="SOU641" s="340"/>
      <c r="SOV641" s="354"/>
      <c r="SOW641" s="313"/>
      <c r="SOX641" s="340"/>
      <c r="SOY641" s="340"/>
      <c r="SOZ641" s="354"/>
      <c r="SPA641" s="313"/>
      <c r="SPB641" s="340"/>
      <c r="SPC641" s="340"/>
      <c r="SPD641" s="354"/>
      <c r="SPE641" s="313"/>
      <c r="SPF641" s="340"/>
      <c r="SPG641" s="340"/>
      <c r="SPH641" s="354"/>
      <c r="SPI641" s="313"/>
      <c r="SPJ641" s="340"/>
      <c r="SPK641" s="340"/>
      <c r="SPL641" s="354"/>
      <c r="SPM641" s="313"/>
      <c r="SPN641" s="340"/>
      <c r="SPO641" s="340"/>
      <c r="SPP641" s="354"/>
      <c r="SPQ641" s="313"/>
      <c r="SPR641" s="340"/>
      <c r="SPS641" s="340"/>
      <c r="SPT641" s="354"/>
      <c r="SPU641" s="313"/>
      <c r="SPV641" s="340"/>
      <c r="SPW641" s="340"/>
      <c r="SPX641" s="354"/>
      <c r="SPY641" s="313"/>
      <c r="SPZ641" s="340"/>
      <c r="SQA641" s="340"/>
      <c r="SQB641" s="354"/>
      <c r="SQC641" s="313"/>
      <c r="SQD641" s="340"/>
      <c r="SQE641" s="340"/>
      <c r="SQF641" s="354"/>
      <c r="SQG641" s="313"/>
      <c r="SQH641" s="340"/>
      <c r="SQI641" s="340"/>
      <c r="SQJ641" s="354"/>
      <c r="SQK641" s="313"/>
      <c r="SQL641" s="340"/>
      <c r="SQM641" s="340"/>
      <c r="SQN641" s="354"/>
      <c r="SQO641" s="313"/>
      <c r="SQP641" s="340"/>
      <c r="SQQ641" s="340"/>
      <c r="SQR641" s="354"/>
      <c r="SQS641" s="313"/>
      <c r="SQT641" s="340"/>
      <c r="SQU641" s="340"/>
      <c r="SQV641" s="354"/>
      <c r="SQW641" s="313"/>
      <c r="SQX641" s="340"/>
      <c r="SQY641" s="340"/>
      <c r="SQZ641" s="354"/>
      <c r="SRA641" s="313"/>
      <c r="SRB641" s="340"/>
      <c r="SRC641" s="340"/>
      <c r="SRD641" s="354"/>
      <c r="SRE641" s="313"/>
      <c r="SRF641" s="340"/>
      <c r="SRG641" s="340"/>
      <c r="SRH641" s="354"/>
      <c r="SRI641" s="313"/>
      <c r="SRJ641" s="340"/>
      <c r="SRK641" s="340"/>
      <c r="SRL641" s="354"/>
      <c r="SRM641" s="313"/>
      <c r="SRN641" s="340"/>
      <c r="SRO641" s="340"/>
      <c r="SRP641" s="354"/>
      <c r="SRQ641" s="313"/>
      <c r="SRR641" s="340"/>
      <c r="SRS641" s="340"/>
      <c r="SRT641" s="354"/>
      <c r="SRU641" s="313"/>
      <c r="SRV641" s="340"/>
      <c r="SRW641" s="340"/>
      <c r="SRX641" s="354"/>
      <c r="SRY641" s="313"/>
      <c r="SRZ641" s="340"/>
      <c r="SSA641" s="340"/>
      <c r="SSB641" s="354"/>
      <c r="SSC641" s="313"/>
      <c r="SSD641" s="340"/>
      <c r="SSE641" s="340"/>
      <c r="SSF641" s="354"/>
      <c r="SSG641" s="313"/>
      <c r="SSH641" s="340"/>
      <c r="SSI641" s="340"/>
      <c r="SSJ641" s="354"/>
      <c r="SSK641" s="313"/>
      <c r="SSL641" s="340"/>
      <c r="SSM641" s="340"/>
      <c r="SSN641" s="354"/>
      <c r="SSO641" s="313"/>
      <c r="SSP641" s="340"/>
      <c r="SSQ641" s="340"/>
      <c r="SSR641" s="354"/>
      <c r="SSS641" s="313"/>
      <c r="SST641" s="340"/>
      <c r="SSU641" s="340"/>
      <c r="SSV641" s="354"/>
      <c r="SSW641" s="313"/>
      <c r="SSX641" s="340"/>
      <c r="SSY641" s="340"/>
      <c r="SSZ641" s="354"/>
      <c r="STA641" s="313"/>
      <c r="STB641" s="340"/>
      <c r="STC641" s="340"/>
      <c r="STD641" s="354"/>
      <c r="STE641" s="313"/>
      <c r="STF641" s="340"/>
      <c r="STG641" s="340"/>
      <c r="STH641" s="354"/>
      <c r="STI641" s="313"/>
      <c r="STJ641" s="340"/>
      <c r="STK641" s="340"/>
      <c r="STL641" s="354"/>
      <c r="STM641" s="313"/>
      <c r="STN641" s="340"/>
      <c r="STO641" s="340"/>
      <c r="STP641" s="354"/>
      <c r="STQ641" s="313"/>
      <c r="STR641" s="340"/>
      <c r="STS641" s="340"/>
      <c r="STT641" s="354"/>
      <c r="STU641" s="313"/>
      <c r="STV641" s="340"/>
      <c r="STW641" s="340"/>
      <c r="STX641" s="354"/>
      <c r="STY641" s="313"/>
      <c r="STZ641" s="340"/>
      <c r="SUA641" s="340"/>
      <c r="SUB641" s="354"/>
      <c r="SUC641" s="313"/>
      <c r="SUD641" s="340"/>
      <c r="SUE641" s="340"/>
      <c r="SUF641" s="354"/>
      <c r="SUG641" s="313"/>
      <c r="SUH641" s="340"/>
      <c r="SUI641" s="340"/>
      <c r="SUJ641" s="354"/>
      <c r="SUK641" s="313"/>
      <c r="SUL641" s="340"/>
      <c r="SUM641" s="340"/>
      <c r="SUN641" s="354"/>
      <c r="SUO641" s="313"/>
      <c r="SUP641" s="340"/>
      <c r="SUQ641" s="340"/>
      <c r="SUR641" s="354"/>
      <c r="SUS641" s="313"/>
      <c r="SUT641" s="340"/>
      <c r="SUU641" s="340"/>
      <c r="SUV641" s="354"/>
      <c r="SUW641" s="313"/>
      <c r="SUX641" s="340"/>
      <c r="SUY641" s="340"/>
      <c r="SUZ641" s="354"/>
      <c r="SVA641" s="313"/>
      <c r="SVB641" s="340"/>
      <c r="SVC641" s="340"/>
      <c r="SVD641" s="354"/>
      <c r="SVE641" s="313"/>
      <c r="SVF641" s="340"/>
      <c r="SVG641" s="340"/>
      <c r="SVH641" s="354"/>
      <c r="SVI641" s="313"/>
      <c r="SVJ641" s="340"/>
      <c r="SVK641" s="340"/>
      <c r="SVL641" s="354"/>
      <c r="SVM641" s="313"/>
      <c r="SVN641" s="340"/>
      <c r="SVO641" s="340"/>
      <c r="SVP641" s="354"/>
      <c r="SVQ641" s="313"/>
      <c r="SVR641" s="340"/>
      <c r="SVS641" s="340"/>
      <c r="SVT641" s="354"/>
      <c r="SVU641" s="313"/>
      <c r="SVV641" s="340"/>
      <c r="SVW641" s="340"/>
      <c r="SVX641" s="354"/>
      <c r="SVY641" s="313"/>
      <c r="SVZ641" s="340"/>
      <c r="SWA641" s="340"/>
      <c r="SWB641" s="354"/>
      <c r="SWC641" s="313"/>
      <c r="SWD641" s="340"/>
      <c r="SWE641" s="340"/>
      <c r="SWF641" s="354"/>
      <c r="SWG641" s="313"/>
      <c r="SWH641" s="340"/>
      <c r="SWI641" s="340"/>
      <c r="SWJ641" s="354"/>
      <c r="SWK641" s="313"/>
      <c r="SWL641" s="340"/>
      <c r="SWM641" s="340"/>
      <c r="SWN641" s="354"/>
      <c r="SWO641" s="313"/>
      <c r="SWP641" s="340"/>
      <c r="SWQ641" s="340"/>
      <c r="SWR641" s="354"/>
      <c r="SWS641" s="313"/>
      <c r="SWT641" s="340"/>
      <c r="SWU641" s="340"/>
      <c r="SWV641" s="354"/>
      <c r="SWW641" s="313"/>
      <c r="SWX641" s="340"/>
      <c r="SWY641" s="340"/>
      <c r="SWZ641" s="354"/>
      <c r="SXA641" s="313"/>
      <c r="SXB641" s="340"/>
      <c r="SXC641" s="340"/>
      <c r="SXD641" s="354"/>
      <c r="SXE641" s="313"/>
      <c r="SXF641" s="340"/>
      <c r="SXG641" s="340"/>
      <c r="SXH641" s="354"/>
      <c r="SXI641" s="313"/>
      <c r="SXJ641" s="340"/>
      <c r="SXK641" s="340"/>
      <c r="SXL641" s="354"/>
      <c r="SXM641" s="313"/>
      <c r="SXN641" s="340"/>
      <c r="SXO641" s="340"/>
      <c r="SXP641" s="354"/>
      <c r="SXQ641" s="313"/>
      <c r="SXR641" s="340"/>
      <c r="SXS641" s="340"/>
      <c r="SXT641" s="354"/>
      <c r="SXU641" s="313"/>
      <c r="SXV641" s="340"/>
      <c r="SXW641" s="340"/>
      <c r="SXX641" s="354"/>
      <c r="SXY641" s="313"/>
      <c r="SXZ641" s="340"/>
      <c r="SYA641" s="340"/>
      <c r="SYB641" s="354"/>
      <c r="SYC641" s="313"/>
      <c r="SYD641" s="340"/>
      <c r="SYE641" s="340"/>
      <c r="SYF641" s="354"/>
      <c r="SYG641" s="313"/>
      <c r="SYH641" s="340"/>
      <c r="SYI641" s="340"/>
      <c r="SYJ641" s="354"/>
      <c r="SYK641" s="313"/>
      <c r="SYL641" s="340"/>
      <c r="SYM641" s="340"/>
      <c r="SYN641" s="354"/>
      <c r="SYO641" s="313"/>
      <c r="SYP641" s="340"/>
      <c r="SYQ641" s="340"/>
      <c r="SYR641" s="354"/>
      <c r="SYS641" s="313"/>
      <c r="SYT641" s="340"/>
      <c r="SYU641" s="340"/>
      <c r="SYV641" s="354"/>
      <c r="SYW641" s="313"/>
      <c r="SYX641" s="340"/>
      <c r="SYY641" s="340"/>
      <c r="SYZ641" s="354"/>
      <c r="SZA641" s="313"/>
      <c r="SZB641" s="340"/>
      <c r="SZC641" s="340"/>
      <c r="SZD641" s="354"/>
      <c r="SZE641" s="313"/>
      <c r="SZF641" s="340"/>
      <c r="SZG641" s="340"/>
      <c r="SZH641" s="354"/>
      <c r="SZI641" s="313"/>
      <c r="SZJ641" s="340"/>
      <c r="SZK641" s="340"/>
      <c r="SZL641" s="354"/>
      <c r="SZM641" s="313"/>
      <c r="SZN641" s="340"/>
      <c r="SZO641" s="340"/>
      <c r="SZP641" s="354"/>
      <c r="SZQ641" s="313"/>
      <c r="SZR641" s="340"/>
      <c r="SZS641" s="340"/>
      <c r="SZT641" s="354"/>
      <c r="SZU641" s="313"/>
      <c r="SZV641" s="340"/>
      <c r="SZW641" s="340"/>
      <c r="SZX641" s="354"/>
      <c r="SZY641" s="313"/>
      <c r="SZZ641" s="340"/>
      <c r="TAA641" s="340"/>
      <c r="TAB641" s="354"/>
      <c r="TAC641" s="313"/>
      <c r="TAD641" s="340"/>
      <c r="TAE641" s="340"/>
      <c r="TAF641" s="354"/>
      <c r="TAG641" s="313"/>
      <c r="TAH641" s="340"/>
      <c r="TAI641" s="340"/>
      <c r="TAJ641" s="354"/>
      <c r="TAK641" s="313"/>
      <c r="TAL641" s="340"/>
      <c r="TAM641" s="340"/>
      <c r="TAN641" s="354"/>
      <c r="TAO641" s="313"/>
      <c r="TAP641" s="340"/>
      <c r="TAQ641" s="340"/>
      <c r="TAR641" s="354"/>
      <c r="TAS641" s="313"/>
      <c r="TAT641" s="340"/>
      <c r="TAU641" s="340"/>
      <c r="TAV641" s="354"/>
      <c r="TAW641" s="313"/>
      <c r="TAX641" s="340"/>
      <c r="TAY641" s="340"/>
      <c r="TAZ641" s="354"/>
      <c r="TBA641" s="313"/>
      <c r="TBB641" s="340"/>
      <c r="TBC641" s="340"/>
      <c r="TBD641" s="354"/>
      <c r="TBE641" s="313"/>
      <c r="TBF641" s="340"/>
      <c r="TBG641" s="340"/>
      <c r="TBH641" s="354"/>
      <c r="TBI641" s="313"/>
      <c r="TBJ641" s="340"/>
      <c r="TBK641" s="340"/>
      <c r="TBL641" s="354"/>
      <c r="TBM641" s="313"/>
      <c r="TBN641" s="340"/>
      <c r="TBO641" s="340"/>
      <c r="TBP641" s="354"/>
      <c r="TBQ641" s="313"/>
      <c r="TBR641" s="340"/>
      <c r="TBS641" s="340"/>
      <c r="TBT641" s="354"/>
      <c r="TBU641" s="313"/>
      <c r="TBV641" s="340"/>
      <c r="TBW641" s="340"/>
      <c r="TBX641" s="354"/>
      <c r="TBY641" s="313"/>
      <c r="TBZ641" s="340"/>
      <c r="TCA641" s="340"/>
      <c r="TCB641" s="354"/>
      <c r="TCC641" s="313"/>
      <c r="TCD641" s="340"/>
      <c r="TCE641" s="340"/>
      <c r="TCF641" s="354"/>
      <c r="TCG641" s="313"/>
      <c r="TCH641" s="340"/>
      <c r="TCI641" s="340"/>
      <c r="TCJ641" s="354"/>
      <c r="TCK641" s="313"/>
      <c r="TCL641" s="340"/>
      <c r="TCM641" s="340"/>
      <c r="TCN641" s="354"/>
      <c r="TCO641" s="313"/>
      <c r="TCP641" s="340"/>
      <c r="TCQ641" s="340"/>
      <c r="TCR641" s="354"/>
      <c r="TCS641" s="313"/>
      <c r="TCT641" s="340"/>
      <c r="TCU641" s="340"/>
      <c r="TCV641" s="354"/>
      <c r="TCW641" s="313"/>
      <c r="TCX641" s="340"/>
      <c r="TCY641" s="340"/>
      <c r="TCZ641" s="354"/>
      <c r="TDA641" s="313"/>
      <c r="TDB641" s="340"/>
      <c r="TDC641" s="340"/>
      <c r="TDD641" s="354"/>
      <c r="TDE641" s="313"/>
      <c r="TDF641" s="340"/>
      <c r="TDG641" s="340"/>
      <c r="TDH641" s="354"/>
      <c r="TDI641" s="313"/>
      <c r="TDJ641" s="340"/>
      <c r="TDK641" s="340"/>
      <c r="TDL641" s="354"/>
      <c r="TDM641" s="313"/>
      <c r="TDN641" s="340"/>
      <c r="TDO641" s="340"/>
      <c r="TDP641" s="354"/>
      <c r="TDQ641" s="313"/>
      <c r="TDR641" s="340"/>
      <c r="TDS641" s="340"/>
      <c r="TDT641" s="354"/>
      <c r="TDU641" s="313"/>
      <c r="TDV641" s="340"/>
      <c r="TDW641" s="340"/>
      <c r="TDX641" s="354"/>
      <c r="TDY641" s="313"/>
      <c r="TDZ641" s="340"/>
      <c r="TEA641" s="340"/>
      <c r="TEB641" s="354"/>
      <c r="TEC641" s="313"/>
      <c r="TED641" s="340"/>
      <c r="TEE641" s="340"/>
      <c r="TEF641" s="354"/>
      <c r="TEG641" s="313"/>
      <c r="TEH641" s="340"/>
      <c r="TEI641" s="340"/>
      <c r="TEJ641" s="354"/>
      <c r="TEK641" s="313"/>
      <c r="TEL641" s="340"/>
      <c r="TEM641" s="340"/>
      <c r="TEN641" s="354"/>
      <c r="TEO641" s="313"/>
      <c r="TEP641" s="340"/>
      <c r="TEQ641" s="340"/>
      <c r="TER641" s="354"/>
      <c r="TES641" s="313"/>
      <c r="TET641" s="340"/>
      <c r="TEU641" s="340"/>
      <c r="TEV641" s="354"/>
      <c r="TEW641" s="313"/>
      <c r="TEX641" s="340"/>
      <c r="TEY641" s="340"/>
      <c r="TEZ641" s="354"/>
      <c r="TFA641" s="313"/>
      <c r="TFB641" s="340"/>
      <c r="TFC641" s="340"/>
      <c r="TFD641" s="354"/>
      <c r="TFE641" s="313"/>
      <c r="TFF641" s="340"/>
      <c r="TFG641" s="340"/>
      <c r="TFH641" s="354"/>
      <c r="TFI641" s="313"/>
      <c r="TFJ641" s="340"/>
      <c r="TFK641" s="340"/>
      <c r="TFL641" s="354"/>
      <c r="TFM641" s="313"/>
      <c r="TFN641" s="340"/>
      <c r="TFO641" s="340"/>
      <c r="TFP641" s="354"/>
      <c r="TFQ641" s="313"/>
      <c r="TFR641" s="340"/>
      <c r="TFS641" s="340"/>
      <c r="TFT641" s="354"/>
      <c r="TFU641" s="313"/>
      <c r="TFV641" s="340"/>
      <c r="TFW641" s="340"/>
      <c r="TFX641" s="354"/>
      <c r="TFY641" s="313"/>
      <c r="TFZ641" s="340"/>
      <c r="TGA641" s="340"/>
      <c r="TGB641" s="354"/>
      <c r="TGC641" s="313"/>
      <c r="TGD641" s="340"/>
      <c r="TGE641" s="340"/>
      <c r="TGF641" s="354"/>
      <c r="TGG641" s="313"/>
      <c r="TGH641" s="340"/>
      <c r="TGI641" s="340"/>
      <c r="TGJ641" s="354"/>
      <c r="TGK641" s="313"/>
      <c r="TGL641" s="340"/>
      <c r="TGM641" s="340"/>
      <c r="TGN641" s="354"/>
      <c r="TGO641" s="313"/>
      <c r="TGP641" s="340"/>
      <c r="TGQ641" s="340"/>
      <c r="TGR641" s="354"/>
      <c r="TGS641" s="313"/>
      <c r="TGT641" s="340"/>
      <c r="TGU641" s="340"/>
      <c r="TGV641" s="354"/>
      <c r="TGW641" s="313"/>
      <c r="TGX641" s="340"/>
      <c r="TGY641" s="340"/>
      <c r="TGZ641" s="354"/>
      <c r="THA641" s="313"/>
      <c r="THB641" s="340"/>
      <c r="THC641" s="340"/>
      <c r="THD641" s="354"/>
      <c r="THE641" s="313"/>
      <c r="THF641" s="340"/>
      <c r="THG641" s="340"/>
      <c r="THH641" s="354"/>
      <c r="THI641" s="313"/>
      <c r="THJ641" s="340"/>
      <c r="THK641" s="340"/>
      <c r="THL641" s="354"/>
      <c r="THM641" s="313"/>
      <c r="THN641" s="340"/>
      <c r="THO641" s="340"/>
      <c r="THP641" s="354"/>
      <c r="THQ641" s="313"/>
      <c r="THR641" s="340"/>
      <c r="THS641" s="340"/>
      <c r="THT641" s="354"/>
      <c r="THU641" s="313"/>
      <c r="THV641" s="340"/>
      <c r="THW641" s="340"/>
      <c r="THX641" s="354"/>
      <c r="THY641" s="313"/>
      <c r="THZ641" s="340"/>
      <c r="TIA641" s="340"/>
      <c r="TIB641" s="354"/>
      <c r="TIC641" s="313"/>
      <c r="TID641" s="340"/>
      <c r="TIE641" s="340"/>
      <c r="TIF641" s="354"/>
      <c r="TIG641" s="313"/>
      <c r="TIH641" s="340"/>
      <c r="TII641" s="340"/>
      <c r="TIJ641" s="354"/>
      <c r="TIK641" s="313"/>
      <c r="TIL641" s="340"/>
      <c r="TIM641" s="340"/>
      <c r="TIN641" s="354"/>
      <c r="TIO641" s="313"/>
      <c r="TIP641" s="340"/>
      <c r="TIQ641" s="340"/>
      <c r="TIR641" s="354"/>
      <c r="TIS641" s="313"/>
      <c r="TIT641" s="340"/>
      <c r="TIU641" s="340"/>
      <c r="TIV641" s="354"/>
      <c r="TIW641" s="313"/>
      <c r="TIX641" s="340"/>
      <c r="TIY641" s="340"/>
      <c r="TIZ641" s="354"/>
      <c r="TJA641" s="313"/>
      <c r="TJB641" s="340"/>
      <c r="TJC641" s="340"/>
      <c r="TJD641" s="354"/>
      <c r="TJE641" s="313"/>
      <c r="TJF641" s="340"/>
      <c r="TJG641" s="340"/>
      <c r="TJH641" s="354"/>
      <c r="TJI641" s="313"/>
      <c r="TJJ641" s="340"/>
      <c r="TJK641" s="340"/>
      <c r="TJL641" s="354"/>
      <c r="TJM641" s="313"/>
      <c r="TJN641" s="340"/>
      <c r="TJO641" s="340"/>
      <c r="TJP641" s="354"/>
      <c r="TJQ641" s="313"/>
      <c r="TJR641" s="340"/>
      <c r="TJS641" s="340"/>
      <c r="TJT641" s="354"/>
      <c r="TJU641" s="313"/>
      <c r="TJV641" s="340"/>
      <c r="TJW641" s="340"/>
      <c r="TJX641" s="354"/>
      <c r="TJY641" s="313"/>
      <c r="TJZ641" s="340"/>
      <c r="TKA641" s="340"/>
      <c r="TKB641" s="354"/>
      <c r="TKC641" s="313"/>
      <c r="TKD641" s="340"/>
      <c r="TKE641" s="340"/>
      <c r="TKF641" s="354"/>
      <c r="TKG641" s="313"/>
      <c r="TKH641" s="340"/>
      <c r="TKI641" s="340"/>
      <c r="TKJ641" s="354"/>
      <c r="TKK641" s="313"/>
      <c r="TKL641" s="340"/>
      <c r="TKM641" s="340"/>
      <c r="TKN641" s="354"/>
      <c r="TKO641" s="313"/>
      <c r="TKP641" s="340"/>
      <c r="TKQ641" s="340"/>
      <c r="TKR641" s="354"/>
      <c r="TKS641" s="313"/>
      <c r="TKT641" s="340"/>
      <c r="TKU641" s="340"/>
      <c r="TKV641" s="354"/>
      <c r="TKW641" s="313"/>
      <c r="TKX641" s="340"/>
      <c r="TKY641" s="340"/>
      <c r="TKZ641" s="354"/>
      <c r="TLA641" s="313"/>
      <c r="TLB641" s="340"/>
      <c r="TLC641" s="340"/>
      <c r="TLD641" s="354"/>
      <c r="TLE641" s="313"/>
      <c r="TLF641" s="340"/>
      <c r="TLG641" s="340"/>
      <c r="TLH641" s="354"/>
      <c r="TLI641" s="313"/>
      <c r="TLJ641" s="340"/>
      <c r="TLK641" s="340"/>
      <c r="TLL641" s="354"/>
      <c r="TLM641" s="313"/>
      <c r="TLN641" s="340"/>
      <c r="TLO641" s="340"/>
      <c r="TLP641" s="354"/>
      <c r="TLQ641" s="313"/>
      <c r="TLR641" s="340"/>
      <c r="TLS641" s="340"/>
      <c r="TLT641" s="354"/>
      <c r="TLU641" s="313"/>
      <c r="TLV641" s="340"/>
      <c r="TLW641" s="340"/>
      <c r="TLX641" s="354"/>
      <c r="TLY641" s="313"/>
      <c r="TLZ641" s="340"/>
      <c r="TMA641" s="340"/>
      <c r="TMB641" s="354"/>
      <c r="TMC641" s="313"/>
      <c r="TMD641" s="340"/>
      <c r="TME641" s="340"/>
      <c r="TMF641" s="354"/>
      <c r="TMG641" s="313"/>
      <c r="TMH641" s="340"/>
      <c r="TMI641" s="340"/>
      <c r="TMJ641" s="354"/>
      <c r="TMK641" s="313"/>
      <c r="TML641" s="340"/>
      <c r="TMM641" s="340"/>
      <c r="TMN641" s="354"/>
      <c r="TMO641" s="313"/>
      <c r="TMP641" s="340"/>
      <c r="TMQ641" s="340"/>
      <c r="TMR641" s="354"/>
      <c r="TMS641" s="313"/>
      <c r="TMT641" s="340"/>
      <c r="TMU641" s="340"/>
      <c r="TMV641" s="354"/>
      <c r="TMW641" s="313"/>
      <c r="TMX641" s="340"/>
      <c r="TMY641" s="340"/>
      <c r="TMZ641" s="354"/>
      <c r="TNA641" s="313"/>
      <c r="TNB641" s="340"/>
      <c r="TNC641" s="340"/>
      <c r="TND641" s="354"/>
      <c r="TNE641" s="313"/>
      <c r="TNF641" s="340"/>
      <c r="TNG641" s="340"/>
      <c r="TNH641" s="354"/>
      <c r="TNI641" s="313"/>
      <c r="TNJ641" s="340"/>
      <c r="TNK641" s="340"/>
      <c r="TNL641" s="354"/>
      <c r="TNM641" s="313"/>
      <c r="TNN641" s="340"/>
      <c r="TNO641" s="340"/>
      <c r="TNP641" s="354"/>
      <c r="TNQ641" s="313"/>
      <c r="TNR641" s="340"/>
      <c r="TNS641" s="340"/>
      <c r="TNT641" s="354"/>
      <c r="TNU641" s="313"/>
      <c r="TNV641" s="340"/>
      <c r="TNW641" s="340"/>
      <c r="TNX641" s="354"/>
      <c r="TNY641" s="313"/>
      <c r="TNZ641" s="340"/>
      <c r="TOA641" s="340"/>
      <c r="TOB641" s="354"/>
      <c r="TOC641" s="313"/>
      <c r="TOD641" s="340"/>
      <c r="TOE641" s="340"/>
      <c r="TOF641" s="354"/>
      <c r="TOG641" s="313"/>
      <c r="TOH641" s="340"/>
      <c r="TOI641" s="340"/>
      <c r="TOJ641" s="354"/>
      <c r="TOK641" s="313"/>
      <c r="TOL641" s="340"/>
      <c r="TOM641" s="340"/>
      <c r="TON641" s="354"/>
      <c r="TOO641" s="313"/>
      <c r="TOP641" s="340"/>
      <c r="TOQ641" s="340"/>
      <c r="TOR641" s="354"/>
      <c r="TOS641" s="313"/>
      <c r="TOT641" s="340"/>
      <c r="TOU641" s="340"/>
      <c r="TOV641" s="354"/>
      <c r="TOW641" s="313"/>
      <c r="TOX641" s="340"/>
      <c r="TOY641" s="340"/>
      <c r="TOZ641" s="354"/>
      <c r="TPA641" s="313"/>
      <c r="TPB641" s="340"/>
      <c r="TPC641" s="340"/>
      <c r="TPD641" s="354"/>
      <c r="TPE641" s="313"/>
      <c r="TPF641" s="340"/>
      <c r="TPG641" s="340"/>
      <c r="TPH641" s="354"/>
      <c r="TPI641" s="313"/>
      <c r="TPJ641" s="340"/>
      <c r="TPK641" s="340"/>
      <c r="TPL641" s="354"/>
      <c r="TPM641" s="313"/>
      <c r="TPN641" s="340"/>
      <c r="TPO641" s="340"/>
      <c r="TPP641" s="354"/>
      <c r="TPQ641" s="313"/>
      <c r="TPR641" s="340"/>
      <c r="TPS641" s="340"/>
      <c r="TPT641" s="354"/>
      <c r="TPU641" s="313"/>
      <c r="TPV641" s="340"/>
      <c r="TPW641" s="340"/>
      <c r="TPX641" s="354"/>
      <c r="TPY641" s="313"/>
      <c r="TPZ641" s="340"/>
      <c r="TQA641" s="340"/>
      <c r="TQB641" s="354"/>
      <c r="TQC641" s="313"/>
      <c r="TQD641" s="340"/>
      <c r="TQE641" s="340"/>
      <c r="TQF641" s="354"/>
      <c r="TQG641" s="313"/>
      <c r="TQH641" s="340"/>
      <c r="TQI641" s="340"/>
      <c r="TQJ641" s="354"/>
      <c r="TQK641" s="313"/>
      <c r="TQL641" s="340"/>
      <c r="TQM641" s="340"/>
      <c r="TQN641" s="354"/>
      <c r="TQO641" s="313"/>
      <c r="TQP641" s="340"/>
      <c r="TQQ641" s="340"/>
      <c r="TQR641" s="354"/>
      <c r="TQS641" s="313"/>
      <c r="TQT641" s="340"/>
      <c r="TQU641" s="340"/>
      <c r="TQV641" s="354"/>
      <c r="TQW641" s="313"/>
      <c r="TQX641" s="340"/>
      <c r="TQY641" s="340"/>
      <c r="TQZ641" s="354"/>
      <c r="TRA641" s="313"/>
      <c r="TRB641" s="340"/>
      <c r="TRC641" s="340"/>
      <c r="TRD641" s="354"/>
      <c r="TRE641" s="313"/>
      <c r="TRF641" s="340"/>
      <c r="TRG641" s="340"/>
      <c r="TRH641" s="354"/>
      <c r="TRI641" s="313"/>
      <c r="TRJ641" s="340"/>
      <c r="TRK641" s="340"/>
      <c r="TRL641" s="354"/>
      <c r="TRM641" s="313"/>
      <c r="TRN641" s="340"/>
      <c r="TRO641" s="340"/>
      <c r="TRP641" s="354"/>
      <c r="TRQ641" s="313"/>
      <c r="TRR641" s="340"/>
      <c r="TRS641" s="340"/>
      <c r="TRT641" s="354"/>
      <c r="TRU641" s="313"/>
      <c r="TRV641" s="340"/>
      <c r="TRW641" s="340"/>
      <c r="TRX641" s="354"/>
      <c r="TRY641" s="313"/>
      <c r="TRZ641" s="340"/>
      <c r="TSA641" s="340"/>
      <c r="TSB641" s="354"/>
      <c r="TSC641" s="313"/>
      <c r="TSD641" s="340"/>
      <c r="TSE641" s="340"/>
      <c r="TSF641" s="354"/>
      <c r="TSG641" s="313"/>
      <c r="TSH641" s="340"/>
      <c r="TSI641" s="340"/>
      <c r="TSJ641" s="354"/>
      <c r="TSK641" s="313"/>
      <c r="TSL641" s="340"/>
      <c r="TSM641" s="340"/>
      <c r="TSN641" s="354"/>
      <c r="TSO641" s="313"/>
      <c r="TSP641" s="340"/>
      <c r="TSQ641" s="340"/>
      <c r="TSR641" s="354"/>
      <c r="TSS641" s="313"/>
      <c r="TST641" s="340"/>
      <c r="TSU641" s="340"/>
      <c r="TSV641" s="354"/>
      <c r="TSW641" s="313"/>
      <c r="TSX641" s="340"/>
      <c r="TSY641" s="340"/>
      <c r="TSZ641" s="354"/>
      <c r="TTA641" s="313"/>
      <c r="TTB641" s="340"/>
      <c r="TTC641" s="340"/>
      <c r="TTD641" s="354"/>
      <c r="TTE641" s="313"/>
      <c r="TTF641" s="340"/>
      <c r="TTG641" s="340"/>
      <c r="TTH641" s="354"/>
      <c r="TTI641" s="313"/>
      <c r="TTJ641" s="340"/>
      <c r="TTK641" s="340"/>
      <c r="TTL641" s="354"/>
      <c r="TTM641" s="313"/>
      <c r="TTN641" s="340"/>
      <c r="TTO641" s="340"/>
      <c r="TTP641" s="354"/>
      <c r="TTQ641" s="313"/>
      <c r="TTR641" s="340"/>
      <c r="TTS641" s="340"/>
      <c r="TTT641" s="354"/>
      <c r="TTU641" s="313"/>
      <c r="TTV641" s="340"/>
      <c r="TTW641" s="340"/>
      <c r="TTX641" s="354"/>
      <c r="TTY641" s="313"/>
      <c r="TTZ641" s="340"/>
      <c r="TUA641" s="340"/>
      <c r="TUB641" s="354"/>
      <c r="TUC641" s="313"/>
      <c r="TUD641" s="340"/>
      <c r="TUE641" s="340"/>
      <c r="TUF641" s="354"/>
      <c r="TUG641" s="313"/>
      <c r="TUH641" s="340"/>
      <c r="TUI641" s="340"/>
      <c r="TUJ641" s="354"/>
      <c r="TUK641" s="313"/>
      <c r="TUL641" s="340"/>
      <c r="TUM641" s="340"/>
      <c r="TUN641" s="354"/>
      <c r="TUO641" s="313"/>
      <c r="TUP641" s="340"/>
      <c r="TUQ641" s="340"/>
      <c r="TUR641" s="354"/>
      <c r="TUS641" s="313"/>
      <c r="TUT641" s="340"/>
      <c r="TUU641" s="340"/>
      <c r="TUV641" s="354"/>
      <c r="TUW641" s="313"/>
      <c r="TUX641" s="340"/>
      <c r="TUY641" s="340"/>
      <c r="TUZ641" s="354"/>
      <c r="TVA641" s="313"/>
      <c r="TVB641" s="340"/>
      <c r="TVC641" s="340"/>
      <c r="TVD641" s="354"/>
      <c r="TVE641" s="313"/>
      <c r="TVF641" s="340"/>
      <c r="TVG641" s="340"/>
      <c r="TVH641" s="354"/>
      <c r="TVI641" s="313"/>
      <c r="TVJ641" s="340"/>
      <c r="TVK641" s="340"/>
      <c r="TVL641" s="354"/>
      <c r="TVM641" s="313"/>
      <c r="TVN641" s="340"/>
      <c r="TVO641" s="340"/>
      <c r="TVP641" s="354"/>
      <c r="TVQ641" s="313"/>
      <c r="TVR641" s="340"/>
      <c r="TVS641" s="340"/>
      <c r="TVT641" s="354"/>
      <c r="TVU641" s="313"/>
      <c r="TVV641" s="340"/>
      <c r="TVW641" s="340"/>
      <c r="TVX641" s="354"/>
      <c r="TVY641" s="313"/>
      <c r="TVZ641" s="340"/>
      <c r="TWA641" s="340"/>
      <c r="TWB641" s="354"/>
      <c r="TWC641" s="313"/>
      <c r="TWD641" s="340"/>
      <c r="TWE641" s="340"/>
      <c r="TWF641" s="354"/>
      <c r="TWG641" s="313"/>
      <c r="TWH641" s="340"/>
      <c r="TWI641" s="340"/>
      <c r="TWJ641" s="354"/>
      <c r="TWK641" s="313"/>
      <c r="TWL641" s="340"/>
      <c r="TWM641" s="340"/>
      <c r="TWN641" s="354"/>
      <c r="TWO641" s="313"/>
      <c r="TWP641" s="340"/>
      <c r="TWQ641" s="340"/>
      <c r="TWR641" s="354"/>
      <c r="TWS641" s="313"/>
      <c r="TWT641" s="340"/>
      <c r="TWU641" s="340"/>
      <c r="TWV641" s="354"/>
      <c r="TWW641" s="313"/>
      <c r="TWX641" s="340"/>
      <c r="TWY641" s="340"/>
      <c r="TWZ641" s="354"/>
      <c r="TXA641" s="313"/>
      <c r="TXB641" s="340"/>
      <c r="TXC641" s="340"/>
      <c r="TXD641" s="354"/>
      <c r="TXE641" s="313"/>
      <c r="TXF641" s="340"/>
      <c r="TXG641" s="340"/>
      <c r="TXH641" s="354"/>
      <c r="TXI641" s="313"/>
      <c r="TXJ641" s="340"/>
      <c r="TXK641" s="340"/>
      <c r="TXL641" s="354"/>
      <c r="TXM641" s="313"/>
      <c r="TXN641" s="340"/>
      <c r="TXO641" s="340"/>
      <c r="TXP641" s="354"/>
      <c r="TXQ641" s="313"/>
      <c r="TXR641" s="340"/>
      <c r="TXS641" s="340"/>
      <c r="TXT641" s="354"/>
      <c r="TXU641" s="313"/>
      <c r="TXV641" s="340"/>
      <c r="TXW641" s="340"/>
      <c r="TXX641" s="354"/>
      <c r="TXY641" s="313"/>
      <c r="TXZ641" s="340"/>
      <c r="TYA641" s="340"/>
      <c r="TYB641" s="354"/>
      <c r="TYC641" s="313"/>
      <c r="TYD641" s="340"/>
      <c r="TYE641" s="340"/>
      <c r="TYF641" s="354"/>
      <c r="TYG641" s="313"/>
      <c r="TYH641" s="340"/>
      <c r="TYI641" s="340"/>
      <c r="TYJ641" s="354"/>
      <c r="TYK641" s="313"/>
      <c r="TYL641" s="340"/>
      <c r="TYM641" s="340"/>
      <c r="TYN641" s="354"/>
      <c r="TYO641" s="313"/>
      <c r="TYP641" s="340"/>
      <c r="TYQ641" s="340"/>
      <c r="TYR641" s="354"/>
      <c r="TYS641" s="313"/>
      <c r="TYT641" s="340"/>
      <c r="TYU641" s="340"/>
      <c r="TYV641" s="354"/>
      <c r="TYW641" s="313"/>
      <c r="TYX641" s="340"/>
      <c r="TYY641" s="340"/>
      <c r="TYZ641" s="354"/>
      <c r="TZA641" s="313"/>
      <c r="TZB641" s="340"/>
      <c r="TZC641" s="340"/>
      <c r="TZD641" s="354"/>
      <c r="TZE641" s="313"/>
      <c r="TZF641" s="340"/>
      <c r="TZG641" s="340"/>
      <c r="TZH641" s="354"/>
      <c r="TZI641" s="313"/>
      <c r="TZJ641" s="340"/>
      <c r="TZK641" s="340"/>
      <c r="TZL641" s="354"/>
      <c r="TZM641" s="313"/>
      <c r="TZN641" s="340"/>
      <c r="TZO641" s="340"/>
      <c r="TZP641" s="354"/>
      <c r="TZQ641" s="313"/>
      <c r="TZR641" s="340"/>
      <c r="TZS641" s="340"/>
      <c r="TZT641" s="354"/>
      <c r="TZU641" s="313"/>
      <c r="TZV641" s="340"/>
      <c r="TZW641" s="340"/>
      <c r="TZX641" s="354"/>
      <c r="TZY641" s="313"/>
      <c r="TZZ641" s="340"/>
      <c r="UAA641" s="340"/>
      <c r="UAB641" s="354"/>
      <c r="UAC641" s="313"/>
      <c r="UAD641" s="340"/>
      <c r="UAE641" s="340"/>
      <c r="UAF641" s="354"/>
      <c r="UAG641" s="313"/>
      <c r="UAH641" s="340"/>
      <c r="UAI641" s="340"/>
      <c r="UAJ641" s="354"/>
      <c r="UAK641" s="313"/>
      <c r="UAL641" s="340"/>
      <c r="UAM641" s="340"/>
      <c r="UAN641" s="354"/>
      <c r="UAO641" s="313"/>
      <c r="UAP641" s="340"/>
      <c r="UAQ641" s="340"/>
      <c r="UAR641" s="354"/>
      <c r="UAS641" s="313"/>
      <c r="UAT641" s="340"/>
      <c r="UAU641" s="340"/>
      <c r="UAV641" s="354"/>
      <c r="UAW641" s="313"/>
      <c r="UAX641" s="340"/>
      <c r="UAY641" s="340"/>
      <c r="UAZ641" s="354"/>
      <c r="UBA641" s="313"/>
      <c r="UBB641" s="340"/>
      <c r="UBC641" s="340"/>
      <c r="UBD641" s="354"/>
      <c r="UBE641" s="313"/>
      <c r="UBF641" s="340"/>
      <c r="UBG641" s="340"/>
      <c r="UBH641" s="354"/>
      <c r="UBI641" s="313"/>
      <c r="UBJ641" s="340"/>
      <c r="UBK641" s="340"/>
      <c r="UBL641" s="354"/>
      <c r="UBM641" s="313"/>
      <c r="UBN641" s="340"/>
      <c r="UBO641" s="340"/>
      <c r="UBP641" s="354"/>
      <c r="UBQ641" s="313"/>
      <c r="UBR641" s="340"/>
      <c r="UBS641" s="340"/>
      <c r="UBT641" s="354"/>
      <c r="UBU641" s="313"/>
      <c r="UBV641" s="340"/>
      <c r="UBW641" s="340"/>
      <c r="UBX641" s="354"/>
      <c r="UBY641" s="313"/>
      <c r="UBZ641" s="340"/>
      <c r="UCA641" s="340"/>
      <c r="UCB641" s="354"/>
      <c r="UCC641" s="313"/>
      <c r="UCD641" s="340"/>
      <c r="UCE641" s="340"/>
      <c r="UCF641" s="354"/>
      <c r="UCG641" s="313"/>
      <c r="UCH641" s="340"/>
      <c r="UCI641" s="340"/>
      <c r="UCJ641" s="354"/>
      <c r="UCK641" s="313"/>
      <c r="UCL641" s="340"/>
      <c r="UCM641" s="340"/>
      <c r="UCN641" s="354"/>
      <c r="UCO641" s="313"/>
      <c r="UCP641" s="340"/>
      <c r="UCQ641" s="340"/>
      <c r="UCR641" s="354"/>
      <c r="UCS641" s="313"/>
      <c r="UCT641" s="340"/>
      <c r="UCU641" s="340"/>
      <c r="UCV641" s="354"/>
      <c r="UCW641" s="313"/>
      <c r="UCX641" s="340"/>
      <c r="UCY641" s="340"/>
      <c r="UCZ641" s="354"/>
      <c r="UDA641" s="313"/>
      <c r="UDB641" s="340"/>
      <c r="UDC641" s="340"/>
      <c r="UDD641" s="354"/>
      <c r="UDE641" s="313"/>
      <c r="UDF641" s="340"/>
      <c r="UDG641" s="340"/>
      <c r="UDH641" s="354"/>
      <c r="UDI641" s="313"/>
      <c r="UDJ641" s="340"/>
      <c r="UDK641" s="340"/>
      <c r="UDL641" s="354"/>
      <c r="UDM641" s="313"/>
      <c r="UDN641" s="340"/>
      <c r="UDO641" s="340"/>
      <c r="UDP641" s="354"/>
      <c r="UDQ641" s="313"/>
      <c r="UDR641" s="340"/>
      <c r="UDS641" s="340"/>
      <c r="UDT641" s="354"/>
      <c r="UDU641" s="313"/>
      <c r="UDV641" s="340"/>
      <c r="UDW641" s="340"/>
      <c r="UDX641" s="354"/>
      <c r="UDY641" s="313"/>
      <c r="UDZ641" s="340"/>
      <c r="UEA641" s="340"/>
      <c r="UEB641" s="354"/>
      <c r="UEC641" s="313"/>
      <c r="UED641" s="340"/>
      <c r="UEE641" s="340"/>
      <c r="UEF641" s="354"/>
      <c r="UEG641" s="313"/>
      <c r="UEH641" s="340"/>
      <c r="UEI641" s="340"/>
      <c r="UEJ641" s="354"/>
      <c r="UEK641" s="313"/>
      <c r="UEL641" s="340"/>
      <c r="UEM641" s="340"/>
      <c r="UEN641" s="354"/>
      <c r="UEO641" s="313"/>
      <c r="UEP641" s="340"/>
      <c r="UEQ641" s="340"/>
      <c r="UER641" s="354"/>
      <c r="UES641" s="313"/>
      <c r="UET641" s="340"/>
      <c r="UEU641" s="340"/>
      <c r="UEV641" s="354"/>
      <c r="UEW641" s="313"/>
      <c r="UEX641" s="340"/>
      <c r="UEY641" s="340"/>
      <c r="UEZ641" s="354"/>
      <c r="UFA641" s="313"/>
      <c r="UFB641" s="340"/>
      <c r="UFC641" s="340"/>
      <c r="UFD641" s="354"/>
      <c r="UFE641" s="313"/>
      <c r="UFF641" s="340"/>
      <c r="UFG641" s="340"/>
      <c r="UFH641" s="354"/>
      <c r="UFI641" s="313"/>
      <c r="UFJ641" s="340"/>
      <c r="UFK641" s="340"/>
      <c r="UFL641" s="354"/>
      <c r="UFM641" s="313"/>
      <c r="UFN641" s="340"/>
      <c r="UFO641" s="340"/>
      <c r="UFP641" s="354"/>
      <c r="UFQ641" s="313"/>
      <c r="UFR641" s="340"/>
      <c r="UFS641" s="340"/>
      <c r="UFT641" s="354"/>
      <c r="UFU641" s="313"/>
      <c r="UFV641" s="340"/>
      <c r="UFW641" s="340"/>
      <c r="UFX641" s="354"/>
      <c r="UFY641" s="313"/>
      <c r="UFZ641" s="340"/>
      <c r="UGA641" s="340"/>
      <c r="UGB641" s="354"/>
      <c r="UGC641" s="313"/>
      <c r="UGD641" s="340"/>
      <c r="UGE641" s="340"/>
      <c r="UGF641" s="354"/>
      <c r="UGG641" s="313"/>
      <c r="UGH641" s="340"/>
      <c r="UGI641" s="340"/>
      <c r="UGJ641" s="354"/>
      <c r="UGK641" s="313"/>
      <c r="UGL641" s="340"/>
      <c r="UGM641" s="340"/>
      <c r="UGN641" s="354"/>
      <c r="UGO641" s="313"/>
      <c r="UGP641" s="340"/>
      <c r="UGQ641" s="340"/>
      <c r="UGR641" s="354"/>
      <c r="UGS641" s="313"/>
      <c r="UGT641" s="340"/>
      <c r="UGU641" s="340"/>
      <c r="UGV641" s="354"/>
      <c r="UGW641" s="313"/>
      <c r="UGX641" s="340"/>
      <c r="UGY641" s="340"/>
      <c r="UGZ641" s="354"/>
      <c r="UHA641" s="313"/>
      <c r="UHB641" s="340"/>
      <c r="UHC641" s="340"/>
      <c r="UHD641" s="354"/>
      <c r="UHE641" s="313"/>
      <c r="UHF641" s="340"/>
      <c r="UHG641" s="340"/>
      <c r="UHH641" s="354"/>
      <c r="UHI641" s="313"/>
      <c r="UHJ641" s="340"/>
      <c r="UHK641" s="340"/>
      <c r="UHL641" s="354"/>
      <c r="UHM641" s="313"/>
      <c r="UHN641" s="340"/>
      <c r="UHO641" s="340"/>
      <c r="UHP641" s="354"/>
      <c r="UHQ641" s="313"/>
      <c r="UHR641" s="340"/>
      <c r="UHS641" s="340"/>
      <c r="UHT641" s="354"/>
      <c r="UHU641" s="313"/>
      <c r="UHV641" s="340"/>
      <c r="UHW641" s="340"/>
      <c r="UHX641" s="354"/>
      <c r="UHY641" s="313"/>
      <c r="UHZ641" s="340"/>
      <c r="UIA641" s="340"/>
      <c r="UIB641" s="354"/>
      <c r="UIC641" s="313"/>
      <c r="UID641" s="340"/>
      <c r="UIE641" s="340"/>
      <c r="UIF641" s="354"/>
      <c r="UIG641" s="313"/>
      <c r="UIH641" s="340"/>
      <c r="UII641" s="340"/>
      <c r="UIJ641" s="354"/>
      <c r="UIK641" s="313"/>
      <c r="UIL641" s="340"/>
      <c r="UIM641" s="340"/>
      <c r="UIN641" s="354"/>
      <c r="UIO641" s="313"/>
      <c r="UIP641" s="340"/>
      <c r="UIQ641" s="340"/>
      <c r="UIR641" s="354"/>
      <c r="UIS641" s="313"/>
      <c r="UIT641" s="340"/>
      <c r="UIU641" s="340"/>
      <c r="UIV641" s="354"/>
      <c r="UIW641" s="313"/>
      <c r="UIX641" s="340"/>
      <c r="UIY641" s="340"/>
      <c r="UIZ641" s="354"/>
      <c r="UJA641" s="313"/>
      <c r="UJB641" s="340"/>
      <c r="UJC641" s="340"/>
      <c r="UJD641" s="354"/>
      <c r="UJE641" s="313"/>
      <c r="UJF641" s="340"/>
      <c r="UJG641" s="340"/>
      <c r="UJH641" s="354"/>
      <c r="UJI641" s="313"/>
      <c r="UJJ641" s="340"/>
      <c r="UJK641" s="340"/>
      <c r="UJL641" s="354"/>
      <c r="UJM641" s="313"/>
      <c r="UJN641" s="340"/>
      <c r="UJO641" s="340"/>
      <c r="UJP641" s="354"/>
      <c r="UJQ641" s="313"/>
      <c r="UJR641" s="340"/>
      <c r="UJS641" s="340"/>
      <c r="UJT641" s="354"/>
      <c r="UJU641" s="313"/>
      <c r="UJV641" s="340"/>
      <c r="UJW641" s="340"/>
      <c r="UJX641" s="354"/>
      <c r="UJY641" s="313"/>
      <c r="UJZ641" s="340"/>
      <c r="UKA641" s="340"/>
      <c r="UKB641" s="354"/>
      <c r="UKC641" s="313"/>
      <c r="UKD641" s="340"/>
      <c r="UKE641" s="340"/>
      <c r="UKF641" s="354"/>
      <c r="UKG641" s="313"/>
      <c r="UKH641" s="340"/>
      <c r="UKI641" s="340"/>
      <c r="UKJ641" s="354"/>
      <c r="UKK641" s="313"/>
      <c r="UKL641" s="340"/>
      <c r="UKM641" s="340"/>
      <c r="UKN641" s="354"/>
      <c r="UKO641" s="313"/>
      <c r="UKP641" s="340"/>
      <c r="UKQ641" s="340"/>
      <c r="UKR641" s="354"/>
      <c r="UKS641" s="313"/>
      <c r="UKT641" s="340"/>
      <c r="UKU641" s="340"/>
      <c r="UKV641" s="354"/>
      <c r="UKW641" s="313"/>
      <c r="UKX641" s="340"/>
      <c r="UKY641" s="340"/>
      <c r="UKZ641" s="354"/>
      <c r="ULA641" s="313"/>
      <c r="ULB641" s="340"/>
      <c r="ULC641" s="340"/>
      <c r="ULD641" s="354"/>
      <c r="ULE641" s="313"/>
      <c r="ULF641" s="340"/>
      <c r="ULG641" s="340"/>
      <c r="ULH641" s="354"/>
      <c r="ULI641" s="313"/>
      <c r="ULJ641" s="340"/>
      <c r="ULK641" s="340"/>
      <c r="ULL641" s="354"/>
      <c r="ULM641" s="313"/>
      <c r="ULN641" s="340"/>
      <c r="ULO641" s="340"/>
      <c r="ULP641" s="354"/>
      <c r="ULQ641" s="313"/>
      <c r="ULR641" s="340"/>
      <c r="ULS641" s="340"/>
      <c r="ULT641" s="354"/>
      <c r="ULU641" s="313"/>
      <c r="ULV641" s="340"/>
      <c r="ULW641" s="340"/>
      <c r="ULX641" s="354"/>
      <c r="ULY641" s="313"/>
      <c r="ULZ641" s="340"/>
      <c r="UMA641" s="340"/>
      <c r="UMB641" s="354"/>
      <c r="UMC641" s="313"/>
      <c r="UMD641" s="340"/>
      <c r="UME641" s="340"/>
      <c r="UMF641" s="354"/>
      <c r="UMG641" s="313"/>
      <c r="UMH641" s="340"/>
      <c r="UMI641" s="340"/>
      <c r="UMJ641" s="354"/>
      <c r="UMK641" s="313"/>
      <c r="UML641" s="340"/>
      <c r="UMM641" s="340"/>
      <c r="UMN641" s="354"/>
      <c r="UMO641" s="313"/>
      <c r="UMP641" s="340"/>
      <c r="UMQ641" s="340"/>
      <c r="UMR641" s="354"/>
      <c r="UMS641" s="313"/>
      <c r="UMT641" s="340"/>
      <c r="UMU641" s="340"/>
      <c r="UMV641" s="354"/>
      <c r="UMW641" s="313"/>
      <c r="UMX641" s="340"/>
      <c r="UMY641" s="340"/>
      <c r="UMZ641" s="354"/>
      <c r="UNA641" s="313"/>
      <c r="UNB641" s="340"/>
      <c r="UNC641" s="340"/>
      <c r="UND641" s="354"/>
      <c r="UNE641" s="313"/>
      <c r="UNF641" s="340"/>
      <c r="UNG641" s="340"/>
      <c r="UNH641" s="354"/>
      <c r="UNI641" s="313"/>
      <c r="UNJ641" s="340"/>
      <c r="UNK641" s="340"/>
      <c r="UNL641" s="354"/>
      <c r="UNM641" s="313"/>
      <c r="UNN641" s="340"/>
      <c r="UNO641" s="340"/>
      <c r="UNP641" s="354"/>
      <c r="UNQ641" s="313"/>
      <c r="UNR641" s="340"/>
      <c r="UNS641" s="340"/>
      <c r="UNT641" s="354"/>
      <c r="UNU641" s="313"/>
      <c r="UNV641" s="340"/>
      <c r="UNW641" s="340"/>
      <c r="UNX641" s="354"/>
      <c r="UNY641" s="313"/>
      <c r="UNZ641" s="340"/>
      <c r="UOA641" s="340"/>
      <c r="UOB641" s="354"/>
      <c r="UOC641" s="313"/>
      <c r="UOD641" s="340"/>
      <c r="UOE641" s="340"/>
      <c r="UOF641" s="354"/>
      <c r="UOG641" s="313"/>
      <c r="UOH641" s="340"/>
      <c r="UOI641" s="340"/>
      <c r="UOJ641" s="354"/>
      <c r="UOK641" s="313"/>
      <c r="UOL641" s="340"/>
      <c r="UOM641" s="340"/>
      <c r="UON641" s="354"/>
      <c r="UOO641" s="313"/>
      <c r="UOP641" s="340"/>
      <c r="UOQ641" s="340"/>
      <c r="UOR641" s="354"/>
      <c r="UOS641" s="313"/>
      <c r="UOT641" s="340"/>
      <c r="UOU641" s="340"/>
      <c r="UOV641" s="354"/>
      <c r="UOW641" s="313"/>
      <c r="UOX641" s="340"/>
      <c r="UOY641" s="340"/>
      <c r="UOZ641" s="354"/>
      <c r="UPA641" s="313"/>
      <c r="UPB641" s="340"/>
      <c r="UPC641" s="340"/>
      <c r="UPD641" s="354"/>
      <c r="UPE641" s="313"/>
      <c r="UPF641" s="340"/>
      <c r="UPG641" s="340"/>
      <c r="UPH641" s="354"/>
      <c r="UPI641" s="313"/>
      <c r="UPJ641" s="340"/>
      <c r="UPK641" s="340"/>
      <c r="UPL641" s="354"/>
      <c r="UPM641" s="313"/>
      <c r="UPN641" s="340"/>
      <c r="UPO641" s="340"/>
      <c r="UPP641" s="354"/>
      <c r="UPQ641" s="313"/>
      <c r="UPR641" s="340"/>
      <c r="UPS641" s="340"/>
      <c r="UPT641" s="354"/>
      <c r="UPU641" s="313"/>
      <c r="UPV641" s="340"/>
      <c r="UPW641" s="340"/>
      <c r="UPX641" s="354"/>
      <c r="UPY641" s="313"/>
      <c r="UPZ641" s="340"/>
      <c r="UQA641" s="340"/>
      <c r="UQB641" s="354"/>
      <c r="UQC641" s="313"/>
      <c r="UQD641" s="340"/>
      <c r="UQE641" s="340"/>
      <c r="UQF641" s="354"/>
      <c r="UQG641" s="313"/>
      <c r="UQH641" s="340"/>
      <c r="UQI641" s="340"/>
      <c r="UQJ641" s="354"/>
      <c r="UQK641" s="313"/>
      <c r="UQL641" s="340"/>
      <c r="UQM641" s="340"/>
      <c r="UQN641" s="354"/>
      <c r="UQO641" s="313"/>
      <c r="UQP641" s="340"/>
      <c r="UQQ641" s="340"/>
      <c r="UQR641" s="354"/>
      <c r="UQS641" s="313"/>
      <c r="UQT641" s="340"/>
      <c r="UQU641" s="340"/>
      <c r="UQV641" s="354"/>
      <c r="UQW641" s="313"/>
      <c r="UQX641" s="340"/>
      <c r="UQY641" s="340"/>
      <c r="UQZ641" s="354"/>
      <c r="URA641" s="313"/>
      <c r="URB641" s="340"/>
      <c r="URC641" s="340"/>
      <c r="URD641" s="354"/>
      <c r="URE641" s="313"/>
      <c r="URF641" s="340"/>
      <c r="URG641" s="340"/>
      <c r="URH641" s="354"/>
      <c r="URI641" s="313"/>
      <c r="URJ641" s="340"/>
      <c r="URK641" s="340"/>
      <c r="URL641" s="354"/>
      <c r="URM641" s="313"/>
      <c r="URN641" s="340"/>
      <c r="URO641" s="340"/>
      <c r="URP641" s="354"/>
      <c r="URQ641" s="313"/>
      <c r="URR641" s="340"/>
      <c r="URS641" s="340"/>
      <c r="URT641" s="354"/>
      <c r="URU641" s="313"/>
      <c r="URV641" s="340"/>
      <c r="URW641" s="340"/>
      <c r="URX641" s="354"/>
      <c r="URY641" s="313"/>
      <c r="URZ641" s="340"/>
      <c r="USA641" s="340"/>
      <c r="USB641" s="354"/>
      <c r="USC641" s="313"/>
      <c r="USD641" s="340"/>
      <c r="USE641" s="340"/>
      <c r="USF641" s="354"/>
      <c r="USG641" s="313"/>
      <c r="USH641" s="340"/>
      <c r="USI641" s="340"/>
      <c r="USJ641" s="354"/>
      <c r="USK641" s="313"/>
      <c r="USL641" s="340"/>
      <c r="USM641" s="340"/>
      <c r="USN641" s="354"/>
      <c r="USO641" s="313"/>
      <c r="USP641" s="340"/>
      <c r="USQ641" s="340"/>
      <c r="USR641" s="354"/>
      <c r="USS641" s="313"/>
      <c r="UST641" s="340"/>
      <c r="USU641" s="340"/>
      <c r="USV641" s="354"/>
      <c r="USW641" s="313"/>
      <c r="USX641" s="340"/>
      <c r="USY641" s="340"/>
      <c r="USZ641" s="354"/>
      <c r="UTA641" s="313"/>
      <c r="UTB641" s="340"/>
      <c r="UTC641" s="340"/>
      <c r="UTD641" s="354"/>
      <c r="UTE641" s="313"/>
      <c r="UTF641" s="340"/>
      <c r="UTG641" s="340"/>
      <c r="UTH641" s="354"/>
      <c r="UTI641" s="313"/>
      <c r="UTJ641" s="340"/>
      <c r="UTK641" s="340"/>
      <c r="UTL641" s="354"/>
      <c r="UTM641" s="313"/>
      <c r="UTN641" s="340"/>
      <c r="UTO641" s="340"/>
      <c r="UTP641" s="354"/>
      <c r="UTQ641" s="313"/>
      <c r="UTR641" s="340"/>
      <c r="UTS641" s="340"/>
      <c r="UTT641" s="354"/>
      <c r="UTU641" s="313"/>
      <c r="UTV641" s="340"/>
      <c r="UTW641" s="340"/>
      <c r="UTX641" s="354"/>
      <c r="UTY641" s="313"/>
      <c r="UTZ641" s="340"/>
      <c r="UUA641" s="340"/>
      <c r="UUB641" s="354"/>
      <c r="UUC641" s="313"/>
      <c r="UUD641" s="340"/>
      <c r="UUE641" s="340"/>
      <c r="UUF641" s="354"/>
      <c r="UUG641" s="313"/>
      <c r="UUH641" s="340"/>
      <c r="UUI641" s="340"/>
      <c r="UUJ641" s="354"/>
      <c r="UUK641" s="313"/>
      <c r="UUL641" s="340"/>
      <c r="UUM641" s="340"/>
      <c r="UUN641" s="354"/>
      <c r="UUO641" s="313"/>
      <c r="UUP641" s="340"/>
      <c r="UUQ641" s="340"/>
      <c r="UUR641" s="354"/>
      <c r="UUS641" s="313"/>
      <c r="UUT641" s="340"/>
      <c r="UUU641" s="340"/>
      <c r="UUV641" s="354"/>
      <c r="UUW641" s="313"/>
      <c r="UUX641" s="340"/>
      <c r="UUY641" s="340"/>
      <c r="UUZ641" s="354"/>
      <c r="UVA641" s="313"/>
      <c r="UVB641" s="340"/>
      <c r="UVC641" s="340"/>
      <c r="UVD641" s="354"/>
      <c r="UVE641" s="313"/>
      <c r="UVF641" s="340"/>
      <c r="UVG641" s="340"/>
      <c r="UVH641" s="354"/>
      <c r="UVI641" s="313"/>
      <c r="UVJ641" s="340"/>
      <c r="UVK641" s="340"/>
      <c r="UVL641" s="354"/>
      <c r="UVM641" s="313"/>
      <c r="UVN641" s="340"/>
      <c r="UVO641" s="340"/>
      <c r="UVP641" s="354"/>
      <c r="UVQ641" s="313"/>
      <c r="UVR641" s="340"/>
      <c r="UVS641" s="340"/>
      <c r="UVT641" s="354"/>
      <c r="UVU641" s="313"/>
      <c r="UVV641" s="340"/>
      <c r="UVW641" s="340"/>
      <c r="UVX641" s="354"/>
      <c r="UVY641" s="313"/>
      <c r="UVZ641" s="340"/>
      <c r="UWA641" s="340"/>
      <c r="UWB641" s="354"/>
      <c r="UWC641" s="313"/>
      <c r="UWD641" s="340"/>
      <c r="UWE641" s="340"/>
      <c r="UWF641" s="354"/>
      <c r="UWG641" s="313"/>
      <c r="UWH641" s="340"/>
      <c r="UWI641" s="340"/>
      <c r="UWJ641" s="354"/>
      <c r="UWK641" s="313"/>
      <c r="UWL641" s="340"/>
      <c r="UWM641" s="340"/>
      <c r="UWN641" s="354"/>
      <c r="UWO641" s="313"/>
      <c r="UWP641" s="340"/>
      <c r="UWQ641" s="340"/>
      <c r="UWR641" s="354"/>
      <c r="UWS641" s="313"/>
      <c r="UWT641" s="340"/>
      <c r="UWU641" s="340"/>
      <c r="UWV641" s="354"/>
      <c r="UWW641" s="313"/>
      <c r="UWX641" s="340"/>
      <c r="UWY641" s="340"/>
      <c r="UWZ641" s="354"/>
      <c r="UXA641" s="313"/>
      <c r="UXB641" s="340"/>
      <c r="UXC641" s="340"/>
      <c r="UXD641" s="354"/>
      <c r="UXE641" s="313"/>
      <c r="UXF641" s="340"/>
      <c r="UXG641" s="340"/>
      <c r="UXH641" s="354"/>
      <c r="UXI641" s="313"/>
      <c r="UXJ641" s="340"/>
      <c r="UXK641" s="340"/>
      <c r="UXL641" s="354"/>
      <c r="UXM641" s="313"/>
      <c r="UXN641" s="340"/>
      <c r="UXO641" s="340"/>
      <c r="UXP641" s="354"/>
      <c r="UXQ641" s="313"/>
      <c r="UXR641" s="340"/>
      <c r="UXS641" s="340"/>
      <c r="UXT641" s="354"/>
      <c r="UXU641" s="313"/>
      <c r="UXV641" s="340"/>
      <c r="UXW641" s="340"/>
      <c r="UXX641" s="354"/>
      <c r="UXY641" s="313"/>
      <c r="UXZ641" s="340"/>
      <c r="UYA641" s="340"/>
      <c r="UYB641" s="354"/>
      <c r="UYC641" s="313"/>
      <c r="UYD641" s="340"/>
      <c r="UYE641" s="340"/>
      <c r="UYF641" s="354"/>
      <c r="UYG641" s="313"/>
      <c r="UYH641" s="340"/>
      <c r="UYI641" s="340"/>
      <c r="UYJ641" s="354"/>
      <c r="UYK641" s="313"/>
      <c r="UYL641" s="340"/>
      <c r="UYM641" s="340"/>
      <c r="UYN641" s="354"/>
      <c r="UYO641" s="313"/>
      <c r="UYP641" s="340"/>
      <c r="UYQ641" s="340"/>
      <c r="UYR641" s="354"/>
      <c r="UYS641" s="313"/>
      <c r="UYT641" s="340"/>
      <c r="UYU641" s="340"/>
      <c r="UYV641" s="354"/>
      <c r="UYW641" s="313"/>
      <c r="UYX641" s="340"/>
      <c r="UYY641" s="340"/>
      <c r="UYZ641" s="354"/>
      <c r="UZA641" s="313"/>
      <c r="UZB641" s="340"/>
      <c r="UZC641" s="340"/>
      <c r="UZD641" s="354"/>
      <c r="UZE641" s="313"/>
      <c r="UZF641" s="340"/>
      <c r="UZG641" s="340"/>
      <c r="UZH641" s="354"/>
      <c r="UZI641" s="313"/>
      <c r="UZJ641" s="340"/>
      <c r="UZK641" s="340"/>
      <c r="UZL641" s="354"/>
      <c r="UZM641" s="313"/>
      <c r="UZN641" s="340"/>
      <c r="UZO641" s="340"/>
      <c r="UZP641" s="354"/>
      <c r="UZQ641" s="313"/>
      <c r="UZR641" s="340"/>
      <c r="UZS641" s="340"/>
      <c r="UZT641" s="354"/>
      <c r="UZU641" s="313"/>
      <c r="UZV641" s="340"/>
      <c r="UZW641" s="340"/>
      <c r="UZX641" s="354"/>
      <c r="UZY641" s="313"/>
      <c r="UZZ641" s="340"/>
      <c r="VAA641" s="340"/>
      <c r="VAB641" s="354"/>
      <c r="VAC641" s="313"/>
      <c r="VAD641" s="340"/>
      <c r="VAE641" s="340"/>
      <c r="VAF641" s="354"/>
      <c r="VAG641" s="313"/>
      <c r="VAH641" s="340"/>
      <c r="VAI641" s="340"/>
      <c r="VAJ641" s="354"/>
      <c r="VAK641" s="313"/>
      <c r="VAL641" s="340"/>
      <c r="VAM641" s="340"/>
      <c r="VAN641" s="354"/>
      <c r="VAO641" s="313"/>
      <c r="VAP641" s="340"/>
      <c r="VAQ641" s="340"/>
      <c r="VAR641" s="354"/>
      <c r="VAS641" s="313"/>
      <c r="VAT641" s="340"/>
      <c r="VAU641" s="340"/>
      <c r="VAV641" s="354"/>
      <c r="VAW641" s="313"/>
      <c r="VAX641" s="340"/>
      <c r="VAY641" s="340"/>
      <c r="VAZ641" s="354"/>
      <c r="VBA641" s="313"/>
      <c r="VBB641" s="340"/>
      <c r="VBC641" s="340"/>
      <c r="VBD641" s="354"/>
      <c r="VBE641" s="313"/>
      <c r="VBF641" s="340"/>
      <c r="VBG641" s="340"/>
      <c r="VBH641" s="354"/>
      <c r="VBI641" s="313"/>
      <c r="VBJ641" s="340"/>
      <c r="VBK641" s="340"/>
      <c r="VBL641" s="354"/>
      <c r="VBM641" s="313"/>
      <c r="VBN641" s="340"/>
      <c r="VBO641" s="340"/>
      <c r="VBP641" s="354"/>
      <c r="VBQ641" s="313"/>
      <c r="VBR641" s="340"/>
      <c r="VBS641" s="340"/>
      <c r="VBT641" s="354"/>
      <c r="VBU641" s="313"/>
      <c r="VBV641" s="340"/>
      <c r="VBW641" s="340"/>
      <c r="VBX641" s="354"/>
      <c r="VBY641" s="313"/>
      <c r="VBZ641" s="340"/>
      <c r="VCA641" s="340"/>
      <c r="VCB641" s="354"/>
      <c r="VCC641" s="313"/>
      <c r="VCD641" s="340"/>
      <c r="VCE641" s="340"/>
      <c r="VCF641" s="354"/>
      <c r="VCG641" s="313"/>
      <c r="VCH641" s="340"/>
      <c r="VCI641" s="340"/>
      <c r="VCJ641" s="354"/>
      <c r="VCK641" s="313"/>
      <c r="VCL641" s="340"/>
      <c r="VCM641" s="340"/>
      <c r="VCN641" s="354"/>
      <c r="VCO641" s="313"/>
      <c r="VCP641" s="340"/>
      <c r="VCQ641" s="340"/>
      <c r="VCR641" s="354"/>
      <c r="VCS641" s="313"/>
      <c r="VCT641" s="340"/>
      <c r="VCU641" s="340"/>
      <c r="VCV641" s="354"/>
      <c r="VCW641" s="313"/>
      <c r="VCX641" s="340"/>
      <c r="VCY641" s="340"/>
      <c r="VCZ641" s="354"/>
      <c r="VDA641" s="313"/>
      <c r="VDB641" s="340"/>
      <c r="VDC641" s="340"/>
      <c r="VDD641" s="354"/>
      <c r="VDE641" s="313"/>
      <c r="VDF641" s="340"/>
      <c r="VDG641" s="340"/>
      <c r="VDH641" s="354"/>
      <c r="VDI641" s="313"/>
      <c r="VDJ641" s="340"/>
      <c r="VDK641" s="340"/>
      <c r="VDL641" s="354"/>
      <c r="VDM641" s="313"/>
      <c r="VDN641" s="340"/>
      <c r="VDO641" s="340"/>
      <c r="VDP641" s="354"/>
      <c r="VDQ641" s="313"/>
      <c r="VDR641" s="340"/>
      <c r="VDS641" s="340"/>
      <c r="VDT641" s="354"/>
      <c r="VDU641" s="313"/>
      <c r="VDV641" s="340"/>
      <c r="VDW641" s="340"/>
      <c r="VDX641" s="354"/>
      <c r="VDY641" s="313"/>
      <c r="VDZ641" s="340"/>
      <c r="VEA641" s="340"/>
      <c r="VEB641" s="354"/>
      <c r="VEC641" s="313"/>
      <c r="VED641" s="340"/>
      <c r="VEE641" s="340"/>
      <c r="VEF641" s="354"/>
      <c r="VEG641" s="313"/>
      <c r="VEH641" s="340"/>
      <c r="VEI641" s="340"/>
      <c r="VEJ641" s="354"/>
      <c r="VEK641" s="313"/>
      <c r="VEL641" s="340"/>
      <c r="VEM641" s="340"/>
      <c r="VEN641" s="354"/>
      <c r="VEO641" s="313"/>
      <c r="VEP641" s="340"/>
      <c r="VEQ641" s="340"/>
      <c r="VER641" s="354"/>
      <c r="VES641" s="313"/>
      <c r="VET641" s="340"/>
      <c r="VEU641" s="340"/>
      <c r="VEV641" s="354"/>
      <c r="VEW641" s="313"/>
      <c r="VEX641" s="340"/>
      <c r="VEY641" s="340"/>
      <c r="VEZ641" s="354"/>
      <c r="VFA641" s="313"/>
      <c r="VFB641" s="340"/>
      <c r="VFC641" s="340"/>
      <c r="VFD641" s="354"/>
      <c r="VFE641" s="313"/>
      <c r="VFF641" s="340"/>
      <c r="VFG641" s="340"/>
      <c r="VFH641" s="354"/>
      <c r="VFI641" s="313"/>
      <c r="VFJ641" s="340"/>
      <c r="VFK641" s="340"/>
      <c r="VFL641" s="354"/>
      <c r="VFM641" s="313"/>
      <c r="VFN641" s="340"/>
      <c r="VFO641" s="340"/>
      <c r="VFP641" s="354"/>
      <c r="VFQ641" s="313"/>
      <c r="VFR641" s="340"/>
      <c r="VFS641" s="340"/>
      <c r="VFT641" s="354"/>
      <c r="VFU641" s="313"/>
      <c r="VFV641" s="340"/>
      <c r="VFW641" s="340"/>
      <c r="VFX641" s="354"/>
      <c r="VFY641" s="313"/>
      <c r="VFZ641" s="340"/>
      <c r="VGA641" s="340"/>
      <c r="VGB641" s="354"/>
      <c r="VGC641" s="313"/>
      <c r="VGD641" s="340"/>
      <c r="VGE641" s="340"/>
      <c r="VGF641" s="354"/>
      <c r="VGG641" s="313"/>
      <c r="VGH641" s="340"/>
      <c r="VGI641" s="340"/>
      <c r="VGJ641" s="354"/>
      <c r="VGK641" s="313"/>
      <c r="VGL641" s="340"/>
      <c r="VGM641" s="340"/>
      <c r="VGN641" s="354"/>
      <c r="VGO641" s="313"/>
      <c r="VGP641" s="340"/>
      <c r="VGQ641" s="340"/>
      <c r="VGR641" s="354"/>
      <c r="VGS641" s="313"/>
      <c r="VGT641" s="340"/>
      <c r="VGU641" s="340"/>
      <c r="VGV641" s="354"/>
      <c r="VGW641" s="313"/>
      <c r="VGX641" s="340"/>
      <c r="VGY641" s="340"/>
      <c r="VGZ641" s="354"/>
      <c r="VHA641" s="313"/>
      <c r="VHB641" s="340"/>
      <c r="VHC641" s="340"/>
      <c r="VHD641" s="354"/>
      <c r="VHE641" s="313"/>
      <c r="VHF641" s="340"/>
      <c r="VHG641" s="340"/>
      <c r="VHH641" s="354"/>
      <c r="VHI641" s="313"/>
      <c r="VHJ641" s="340"/>
      <c r="VHK641" s="340"/>
      <c r="VHL641" s="354"/>
      <c r="VHM641" s="313"/>
      <c r="VHN641" s="340"/>
      <c r="VHO641" s="340"/>
      <c r="VHP641" s="354"/>
      <c r="VHQ641" s="313"/>
      <c r="VHR641" s="340"/>
      <c r="VHS641" s="340"/>
      <c r="VHT641" s="354"/>
      <c r="VHU641" s="313"/>
      <c r="VHV641" s="340"/>
      <c r="VHW641" s="340"/>
      <c r="VHX641" s="354"/>
      <c r="VHY641" s="313"/>
      <c r="VHZ641" s="340"/>
      <c r="VIA641" s="340"/>
      <c r="VIB641" s="354"/>
      <c r="VIC641" s="313"/>
      <c r="VID641" s="340"/>
      <c r="VIE641" s="340"/>
      <c r="VIF641" s="354"/>
      <c r="VIG641" s="313"/>
      <c r="VIH641" s="340"/>
      <c r="VII641" s="340"/>
      <c r="VIJ641" s="354"/>
      <c r="VIK641" s="313"/>
      <c r="VIL641" s="340"/>
      <c r="VIM641" s="340"/>
      <c r="VIN641" s="354"/>
      <c r="VIO641" s="313"/>
      <c r="VIP641" s="340"/>
      <c r="VIQ641" s="340"/>
      <c r="VIR641" s="354"/>
      <c r="VIS641" s="313"/>
      <c r="VIT641" s="340"/>
      <c r="VIU641" s="340"/>
      <c r="VIV641" s="354"/>
      <c r="VIW641" s="313"/>
      <c r="VIX641" s="340"/>
      <c r="VIY641" s="340"/>
      <c r="VIZ641" s="354"/>
      <c r="VJA641" s="313"/>
      <c r="VJB641" s="340"/>
      <c r="VJC641" s="340"/>
      <c r="VJD641" s="354"/>
      <c r="VJE641" s="313"/>
      <c r="VJF641" s="340"/>
      <c r="VJG641" s="340"/>
      <c r="VJH641" s="354"/>
      <c r="VJI641" s="313"/>
      <c r="VJJ641" s="340"/>
      <c r="VJK641" s="340"/>
      <c r="VJL641" s="354"/>
      <c r="VJM641" s="313"/>
      <c r="VJN641" s="340"/>
      <c r="VJO641" s="340"/>
      <c r="VJP641" s="354"/>
      <c r="VJQ641" s="313"/>
      <c r="VJR641" s="340"/>
      <c r="VJS641" s="340"/>
      <c r="VJT641" s="354"/>
      <c r="VJU641" s="313"/>
      <c r="VJV641" s="340"/>
      <c r="VJW641" s="340"/>
      <c r="VJX641" s="354"/>
      <c r="VJY641" s="313"/>
      <c r="VJZ641" s="340"/>
      <c r="VKA641" s="340"/>
      <c r="VKB641" s="354"/>
      <c r="VKC641" s="313"/>
      <c r="VKD641" s="340"/>
      <c r="VKE641" s="340"/>
      <c r="VKF641" s="354"/>
      <c r="VKG641" s="313"/>
      <c r="VKH641" s="340"/>
      <c r="VKI641" s="340"/>
      <c r="VKJ641" s="354"/>
      <c r="VKK641" s="313"/>
      <c r="VKL641" s="340"/>
      <c r="VKM641" s="340"/>
      <c r="VKN641" s="354"/>
      <c r="VKO641" s="313"/>
      <c r="VKP641" s="340"/>
      <c r="VKQ641" s="340"/>
      <c r="VKR641" s="354"/>
      <c r="VKS641" s="313"/>
      <c r="VKT641" s="340"/>
      <c r="VKU641" s="340"/>
      <c r="VKV641" s="354"/>
      <c r="VKW641" s="313"/>
      <c r="VKX641" s="340"/>
      <c r="VKY641" s="340"/>
      <c r="VKZ641" s="354"/>
      <c r="VLA641" s="313"/>
      <c r="VLB641" s="340"/>
      <c r="VLC641" s="340"/>
      <c r="VLD641" s="354"/>
      <c r="VLE641" s="313"/>
      <c r="VLF641" s="340"/>
      <c r="VLG641" s="340"/>
      <c r="VLH641" s="354"/>
      <c r="VLI641" s="313"/>
      <c r="VLJ641" s="340"/>
      <c r="VLK641" s="340"/>
      <c r="VLL641" s="354"/>
      <c r="VLM641" s="313"/>
      <c r="VLN641" s="340"/>
      <c r="VLO641" s="340"/>
      <c r="VLP641" s="354"/>
      <c r="VLQ641" s="313"/>
      <c r="VLR641" s="340"/>
      <c r="VLS641" s="340"/>
      <c r="VLT641" s="354"/>
      <c r="VLU641" s="313"/>
      <c r="VLV641" s="340"/>
      <c r="VLW641" s="340"/>
      <c r="VLX641" s="354"/>
      <c r="VLY641" s="313"/>
      <c r="VLZ641" s="340"/>
      <c r="VMA641" s="340"/>
      <c r="VMB641" s="354"/>
      <c r="VMC641" s="313"/>
      <c r="VMD641" s="340"/>
      <c r="VME641" s="340"/>
      <c r="VMF641" s="354"/>
      <c r="VMG641" s="313"/>
      <c r="VMH641" s="340"/>
      <c r="VMI641" s="340"/>
      <c r="VMJ641" s="354"/>
      <c r="VMK641" s="313"/>
      <c r="VML641" s="340"/>
      <c r="VMM641" s="340"/>
      <c r="VMN641" s="354"/>
      <c r="VMO641" s="313"/>
      <c r="VMP641" s="340"/>
      <c r="VMQ641" s="340"/>
      <c r="VMR641" s="354"/>
      <c r="VMS641" s="313"/>
      <c r="VMT641" s="340"/>
      <c r="VMU641" s="340"/>
      <c r="VMV641" s="354"/>
      <c r="VMW641" s="313"/>
      <c r="VMX641" s="340"/>
      <c r="VMY641" s="340"/>
      <c r="VMZ641" s="354"/>
      <c r="VNA641" s="313"/>
      <c r="VNB641" s="340"/>
      <c r="VNC641" s="340"/>
      <c r="VND641" s="354"/>
      <c r="VNE641" s="313"/>
      <c r="VNF641" s="340"/>
      <c r="VNG641" s="340"/>
      <c r="VNH641" s="354"/>
      <c r="VNI641" s="313"/>
      <c r="VNJ641" s="340"/>
      <c r="VNK641" s="340"/>
      <c r="VNL641" s="354"/>
      <c r="VNM641" s="313"/>
      <c r="VNN641" s="340"/>
      <c r="VNO641" s="340"/>
      <c r="VNP641" s="354"/>
      <c r="VNQ641" s="313"/>
      <c r="VNR641" s="340"/>
      <c r="VNS641" s="340"/>
      <c r="VNT641" s="354"/>
      <c r="VNU641" s="313"/>
      <c r="VNV641" s="340"/>
      <c r="VNW641" s="340"/>
      <c r="VNX641" s="354"/>
      <c r="VNY641" s="313"/>
      <c r="VNZ641" s="340"/>
      <c r="VOA641" s="340"/>
      <c r="VOB641" s="354"/>
      <c r="VOC641" s="313"/>
      <c r="VOD641" s="340"/>
      <c r="VOE641" s="340"/>
      <c r="VOF641" s="354"/>
      <c r="VOG641" s="313"/>
      <c r="VOH641" s="340"/>
      <c r="VOI641" s="340"/>
      <c r="VOJ641" s="354"/>
      <c r="VOK641" s="313"/>
      <c r="VOL641" s="340"/>
      <c r="VOM641" s="340"/>
      <c r="VON641" s="354"/>
      <c r="VOO641" s="313"/>
      <c r="VOP641" s="340"/>
      <c r="VOQ641" s="340"/>
      <c r="VOR641" s="354"/>
      <c r="VOS641" s="313"/>
      <c r="VOT641" s="340"/>
      <c r="VOU641" s="340"/>
      <c r="VOV641" s="354"/>
      <c r="VOW641" s="313"/>
      <c r="VOX641" s="340"/>
      <c r="VOY641" s="340"/>
      <c r="VOZ641" s="354"/>
      <c r="VPA641" s="313"/>
      <c r="VPB641" s="340"/>
      <c r="VPC641" s="340"/>
      <c r="VPD641" s="354"/>
      <c r="VPE641" s="313"/>
      <c r="VPF641" s="340"/>
      <c r="VPG641" s="340"/>
      <c r="VPH641" s="354"/>
      <c r="VPI641" s="313"/>
      <c r="VPJ641" s="340"/>
      <c r="VPK641" s="340"/>
      <c r="VPL641" s="354"/>
      <c r="VPM641" s="313"/>
      <c r="VPN641" s="340"/>
      <c r="VPO641" s="340"/>
      <c r="VPP641" s="354"/>
      <c r="VPQ641" s="313"/>
      <c r="VPR641" s="340"/>
      <c r="VPS641" s="340"/>
      <c r="VPT641" s="354"/>
      <c r="VPU641" s="313"/>
      <c r="VPV641" s="340"/>
      <c r="VPW641" s="340"/>
      <c r="VPX641" s="354"/>
      <c r="VPY641" s="313"/>
      <c r="VPZ641" s="340"/>
      <c r="VQA641" s="340"/>
      <c r="VQB641" s="354"/>
      <c r="VQC641" s="313"/>
      <c r="VQD641" s="340"/>
      <c r="VQE641" s="340"/>
      <c r="VQF641" s="354"/>
      <c r="VQG641" s="313"/>
      <c r="VQH641" s="340"/>
      <c r="VQI641" s="340"/>
      <c r="VQJ641" s="354"/>
      <c r="VQK641" s="313"/>
      <c r="VQL641" s="340"/>
      <c r="VQM641" s="340"/>
      <c r="VQN641" s="354"/>
      <c r="VQO641" s="313"/>
      <c r="VQP641" s="340"/>
      <c r="VQQ641" s="340"/>
      <c r="VQR641" s="354"/>
      <c r="VQS641" s="313"/>
      <c r="VQT641" s="340"/>
      <c r="VQU641" s="340"/>
      <c r="VQV641" s="354"/>
      <c r="VQW641" s="313"/>
      <c r="VQX641" s="340"/>
      <c r="VQY641" s="340"/>
      <c r="VQZ641" s="354"/>
      <c r="VRA641" s="313"/>
      <c r="VRB641" s="340"/>
      <c r="VRC641" s="340"/>
      <c r="VRD641" s="354"/>
      <c r="VRE641" s="313"/>
      <c r="VRF641" s="340"/>
      <c r="VRG641" s="340"/>
      <c r="VRH641" s="354"/>
      <c r="VRI641" s="313"/>
      <c r="VRJ641" s="340"/>
      <c r="VRK641" s="340"/>
      <c r="VRL641" s="354"/>
      <c r="VRM641" s="313"/>
      <c r="VRN641" s="340"/>
      <c r="VRO641" s="340"/>
      <c r="VRP641" s="354"/>
      <c r="VRQ641" s="313"/>
      <c r="VRR641" s="340"/>
      <c r="VRS641" s="340"/>
      <c r="VRT641" s="354"/>
      <c r="VRU641" s="313"/>
      <c r="VRV641" s="340"/>
      <c r="VRW641" s="340"/>
      <c r="VRX641" s="354"/>
      <c r="VRY641" s="313"/>
      <c r="VRZ641" s="340"/>
      <c r="VSA641" s="340"/>
      <c r="VSB641" s="354"/>
      <c r="VSC641" s="313"/>
      <c r="VSD641" s="340"/>
      <c r="VSE641" s="340"/>
      <c r="VSF641" s="354"/>
      <c r="VSG641" s="313"/>
      <c r="VSH641" s="340"/>
      <c r="VSI641" s="340"/>
      <c r="VSJ641" s="354"/>
      <c r="VSK641" s="313"/>
      <c r="VSL641" s="340"/>
      <c r="VSM641" s="340"/>
      <c r="VSN641" s="354"/>
      <c r="VSO641" s="313"/>
      <c r="VSP641" s="340"/>
      <c r="VSQ641" s="340"/>
      <c r="VSR641" s="354"/>
      <c r="VSS641" s="313"/>
      <c r="VST641" s="340"/>
      <c r="VSU641" s="340"/>
      <c r="VSV641" s="354"/>
      <c r="VSW641" s="313"/>
      <c r="VSX641" s="340"/>
      <c r="VSY641" s="340"/>
      <c r="VSZ641" s="354"/>
      <c r="VTA641" s="313"/>
      <c r="VTB641" s="340"/>
      <c r="VTC641" s="340"/>
      <c r="VTD641" s="354"/>
      <c r="VTE641" s="313"/>
      <c r="VTF641" s="340"/>
      <c r="VTG641" s="340"/>
      <c r="VTH641" s="354"/>
      <c r="VTI641" s="313"/>
      <c r="VTJ641" s="340"/>
      <c r="VTK641" s="340"/>
      <c r="VTL641" s="354"/>
      <c r="VTM641" s="313"/>
      <c r="VTN641" s="340"/>
      <c r="VTO641" s="340"/>
      <c r="VTP641" s="354"/>
      <c r="VTQ641" s="313"/>
      <c r="VTR641" s="340"/>
      <c r="VTS641" s="340"/>
      <c r="VTT641" s="354"/>
      <c r="VTU641" s="313"/>
      <c r="VTV641" s="340"/>
      <c r="VTW641" s="340"/>
      <c r="VTX641" s="354"/>
      <c r="VTY641" s="313"/>
      <c r="VTZ641" s="340"/>
      <c r="VUA641" s="340"/>
      <c r="VUB641" s="354"/>
      <c r="VUC641" s="313"/>
      <c r="VUD641" s="340"/>
      <c r="VUE641" s="340"/>
      <c r="VUF641" s="354"/>
      <c r="VUG641" s="313"/>
      <c r="VUH641" s="340"/>
      <c r="VUI641" s="340"/>
      <c r="VUJ641" s="354"/>
      <c r="VUK641" s="313"/>
      <c r="VUL641" s="340"/>
      <c r="VUM641" s="340"/>
      <c r="VUN641" s="354"/>
      <c r="VUO641" s="313"/>
      <c r="VUP641" s="340"/>
      <c r="VUQ641" s="340"/>
      <c r="VUR641" s="354"/>
      <c r="VUS641" s="313"/>
      <c r="VUT641" s="340"/>
      <c r="VUU641" s="340"/>
      <c r="VUV641" s="354"/>
      <c r="VUW641" s="313"/>
      <c r="VUX641" s="340"/>
      <c r="VUY641" s="340"/>
      <c r="VUZ641" s="354"/>
      <c r="VVA641" s="313"/>
      <c r="VVB641" s="340"/>
      <c r="VVC641" s="340"/>
      <c r="VVD641" s="354"/>
      <c r="VVE641" s="313"/>
      <c r="VVF641" s="340"/>
      <c r="VVG641" s="340"/>
      <c r="VVH641" s="354"/>
      <c r="VVI641" s="313"/>
      <c r="VVJ641" s="340"/>
      <c r="VVK641" s="340"/>
      <c r="VVL641" s="354"/>
      <c r="VVM641" s="313"/>
      <c r="VVN641" s="340"/>
      <c r="VVO641" s="340"/>
      <c r="VVP641" s="354"/>
      <c r="VVQ641" s="313"/>
      <c r="VVR641" s="340"/>
      <c r="VVS641" s="340"/>
      <c r="VVT641" s="354"/>
      <c r="VVU641" s="313"/>
      <c r="VVV641" s="340"/>
      <c r="VVW641" s="340"/>
      <c r="VVX641" s="354"/>
      <c r="VVY641" s="313"/>
      <c r="VVZ641" s="340"/>
      <c r="VWA641" s="340"/>
      <c r="VWB641" s="354"/>
      <c r="VWC641" s="313"/>
      <c r="VWD641" s="340"/>
      <c r="VWE641" s="340"/>
      <c r="VWF641" s="354"/>
      <c r="VWG641" s="313"/>
      <c r="VWH641" s="340"/>
      <c r="VWI641" s="340"/>
      <c r="VWJ641" s="354"/>
      <c r="VWK641" s="313"/>
      <c r="VWL641" s="340"/>
      <c r="VWM641" s="340"/>
      <c r="VWN641" s="354"/>
      <c r="VWO641" s="313"/>
      <c r="VWP641" s="340"/>
      <c r="VWQ641" s="340"/>
      <c r="VWR641" s="354"/>
      <c r="VWS641" s="313"/>
      <c r="VWT641" s="340"/>
      <c r="VWU641" s="340"/>
      <c r="VWV641" s="354"/>
      <c r="VWW641" s="313"/>
      <c r="VWX641" s="340"/>
      <c r="VWY641" s="340"/>
      <c r="VWZ641" s="354"/>
      <c r="VXA641" s="313"/>
      <c r="VXB641" s="340"/>
      <c r="VXC641" s="340"/>
      <c r="VXD641" s="354"/>
      <c r="VXE641" s="313"/>
      <c r="VXF641" s="340"/>
      <c r="VXG641" s="340"/>
      <c r="VXH641" s="354"/>
      <c r="VXI641" s="313"/>
      <c r="VXJ641" s="340"/>
      <c r="VXK641" s="340"/>
      <c r="VXL641" s="354"/>
      <c r="VXM641" s="313"/>
      <c r="VXN641" s="340"/>
      <c r="VXO641" s="340"/>
      <c r="VXP641" s="354"/>
      <c r="VXQ641" s="313"/>
      <c r="VXR641" s="340"/>
      <c r="VXS641" s="340"/>
      <c r="VXT641" s="354"/>
      <c r="VXU641" s="313"/>
      <c r="VXV641" s="340"/>
      <c r="VXW641" s="340"/>
      <c r="VXX641" s="354"/>
      <c r="VXY641" s="313"/>
      <c r="VXZ641" s="340"/>
      <c r="VYA641" s="340"/>
      <c r="VYB641" s="354"/>
      <c r="VYC641" s="313"/>
      <c r="VYD641" s="340"/>
      <c r="VYE641" s="340"/>
      <c r="VYF641" s="354"/>
      <c r="VYG641" s="313"/>
      <c r="VYH641" s="340"/>
      <c r="VYI641" s="340"/>
      <c r="VYJ641" s="354"/>
      <c r="VYK641" s="313"/>
      <c r="VYL641" s="340"/>
      <c r="VYM641" s="340"/>
      <c r="VYN641" s="354"/>
      <c r="VYO641" s="313"/>
      <c r="VYP641" s="340"/>
      <c r="VYQ641" s="340"/>
      <c r="VYR641" s="354"/>
      <c r="VYS641" s="313"/>
      <c r="VYT641" s="340"/>
      <c r="VYU641" s="340"/>
      <c r="VYV641" s="354"/>
      <c r="VYW641" s="313"/>
      <c r="VYX641" s="340"/>
      <c r="VYY641" s="340"/>
      <c r="VYZ641" s="354"/>
      <c r="VZA641" s="313"/>
      <c r="VZB641" s="340"/>
      <c r="VZC641" s="340"/>
      <c r="VZD641" s="354"/>
      <c r="VZE641" s="313"/>
      <c r="VZF641" s="340"/>
      <c r="VZG641" s="340"/>
      <c r="VZH641" s="354"/>
      <c r="VZI641" s="313"/>
      <c r="VZJ641" s="340"/>
      <c r="VZK641" s="340"/>
      <c r="VZL641" s="354"/>
      <c r="VZM641" s="313"/>
      <c r="VZN641" s="340"/>
      <c r="VZO641" s="340"/>
      <c r="VZP641" s="354"/>
      <c r="VZQ641" s="313"/>
      <c r="VZR641" s="340"/>
      <c r="VZS641" s="340"/>
      <c r="VZT641" s="354"/>
      <c r="VZU641" s="313"/>
      <c r="VZV641" s="340"/>
      <c r="VZW641" s="340"/>
      <c r="VZX641" s="354"/>
      <c r="VZY641" s="313"/>
      <c r="VZZ641" s="340"/>
      <c r="WAA641" s="340"/>
      <c r="WAB641" s="354"/>
      <c r="WAC641" s="313"/>
      <c r="WAD641" s="340"/>
      <c r="WAE641" s="340"/>
      <c r="WAF641" s="354"/>
      <c r="WAG641" s="313"/>
      <c r="WAH641" s="340"/>
      <c r="WAI641" s="340"/>
      <c r="WAJ641" s="354"/>
      <c r="WAK641" s="313"/>
      <c r="WAL641" s="340"/>
      <c r="WAM641" s="340"/>
      <c r="WAN641" s="354"/>
      <c r="WAO641" s="313"/>
      <c r="WAP641" s="340"/>
      <c r="WAQ641" s="340"/>
      <c r="WAR641" s="354"/>
      <c r="WAS641" s="313"/>
      <c r="WAT641" s="340"/>
      <c r="WAU641" s="340"/>
      <c r="WAV641" s="354"/>
      <c r="WAW641" s="313"/>
      <c r="WAX641" s="340"/>
      <c r="WAY641" s="340"/>
      <c r="WAZ641" s="354"/>
      <c r="WBA641" s="313"/>
      <c r="WBB641" s="340"/>
      <c r="WBC641" s="340"/>
      <c r="WBD641" s="354"/>
      <c r="WBE641" s="313"/>
      <c r="WBF641" s="340"/>
      <c r="WBG641" s="340"/>
      <c r="WBH641" s="354"/>
      <c r="WBI641" s="313"/>
      <c r="WBJ641" s="340"/>
      <c r="WBK641" s="340"/>
      <c r="WBL641" s="354"/>
      <c r="WBM641" s="313"/>
      <c r="WBN641" s="340"/>
      <c r="WBO641" s="340"/>
      <c r="WBP641" s="354"/>
      <c r="WBQ641" s="313"/>
      <c r="WBR641" s="340"/>
      <c r="WBS641" s="340"/>
      <c r="WBT641" s="354"/>
      <c r="WBU641" s="313"/>
      <c r="WBV641" s="340"/>
      <c r="WBW641" s="340"/>
      <c r="WBX641" s="354"/>
      <c r="WBY641" s="313"/>
      <c r="WBZ641" s="340"/>
      <c r="WCA641" s="340"/>
      <c r="WCB641" s="354"/>
      <c r="WCC641" s="313"/>
      <c r="WCD641" s="340"/>
      <c r="WCE641" s="340"/>
      <c r="WCF641" s="354"/>
      <c r="WCG641" s="313"/>
      <c r="WCH641" s="340"/>
      <c r="WCI641" s="340"/>
      <c r="WCJ641" s="354"/>
      <c r="WCK641" s="313"/>
      <c r="WCL641" s="340"/>
      <c r="WCM641" s="340"/>
      <c r="WCN641" s="354"/>
      <c r="WCO641" s="313"/>
      <c r="WCP641" s="340"/>
      <c r="WCQ641" s="340"/>
      <c r="WCR641" s="354"/>
      <c r="WCS641" s="313"/>
      <c r="WCT641" s="340"/>
      <c r="WCU641" s="340"/>
      <c r="WCV641" s="354"/>
      <c r="WCW641" s="313"/>
      <c r="WCX641" s="340"/>
      <c r="WCY641" s="340"/>
      <c r="WCZ641" s="354"/>
      <c r="WDA641" s="313"/>
      <c r="WDB641" s="340"/>
      <c r="WDC641" s="340"/>
      <c r="WDD641" s="354"/>
      <c r="WDE641" s="313"/>
      <c r="WDF641" s="340"/>
      <c r="WDG641" s="340"/>
      <c r="WDH641" s="354"/>
      <c r="WDI641" s="313"/>
      <c r="WDJ641" s="340"/>
      <c r="WDK641" s="340"/>
      <c r="WDL641" s="354"/>
      <c r="WDM641" s="313"/>
      <c r="WDN641" s="340"/>
      <c r="WDO641" s="340"/>
      <c r="WDP641" s="354"/>
      <c r="WDQ641" s="313"/>
      <c r="WDR641" s="340"/>
      <c r="WDS641" s="340"/>
      <c r="WDT641" s="354"/>
      <c r="WDU641" s="313"/>
      <c r="WDV641" s="340"/>
      <c r="WDW641" s="340"/>
      <c r="WDX641" s="354"/>
      <c r="WDY641" s="313"/>
      <c r="WDZ641" s="340"/>
      <c r="WEA641" s="340"/>
      <c r="WEB641" s="354"/>
      <c r="WEC641" s="313"/>
      <c r="WED641" s="340"/>
      <c r="WEE641" s="340"/>
      <c r="WEF641" s="354"/>
      <c r="WEG641" s="313"/>
      <c r="WEH641" s="340"/>
      <c r="WEI641" s="340"/>
      <c r="WEJ641" s="354"/>
      <c r="WEK641" s="313"/>
      <c r="WEL641" s="340"/>
      <c r="WEM641" s="340"/>
      <c r="WEN641" s="354"/>
      <c r="WEO641" s="313"/>
      <c r="WEP641" s="340"/>
      <c r="WEQ641" s="340"/>
      <c r="WER641" s="354"/>
      <c r="WES641" s="313"/>
      <c r="WET641" s="340"/>
      <c r="WEU641" s="340"/>
      <c r="WEV641" s="354"/>
      <c r="WEW641" s="313"/>
      <c r="WEX641" s="340"/>
      <c r="WEY641" s="340"/>
      <c r="WEZ641" s="354"/>
      <c r="WFA641" s="313"/>
      <c r="WFB641" s="340"/>
      <c r="WFC641" s="340"/>
      <c r="WFD641" s="354"/>
      <c r="WFE641" s="313"/>
      <c r="WFF641" s="340"/>
      <c r="WFG641" s="340"/>
      <c r="WFH641" s="354"/>
      <c r="WFI641" s="313"/>
      <c r="WFJ641" s="340"/>
      <c r="WFK641" s="340"/>
      <c r="WFL641" s="354"/>
      <c r="WFM641" s="313"/>
      <c r="WFN641" s="340"/>
      <c r="WFO641" s="340"/>
      <c r="WFP641" s="354"/>
      <c r="WFQ641" s="313"/>
      <c r="WFR641" s="340"/>
      <c r="WFS641" s="340"/>
      <c r="WFT641" s="354"/>
      <c r="WFU641" s="313"/>
      <c r="WFV641" s="340"/>
      <c r="WFW641" s="340"/>
      <c r="WFX641" s="354"/>
      <c r="WFY641" s="313"/>
      <c r="WFZ641" s="340"/>
      <c r="WGA641" s="340"/>
      <c r="WGB641" s="354"/>
      <c r="WGC641" s="313"/>
      <c r="WGD641" s="340"/>
      <c r="WGE641" s="340"/>
      <c r="WGF641" s="354"/>
      <c r="WGG641" s="313"/>
      <c r="WGH641" s="340"/>
      <c r="WGI641" s="340"/>
      <c r="WGJ641" s="354"/>
      <c r="WGK641" s="313"/>
      <c r="WGL641" s="340"/>
      <c r="WGM641" s="340"/>
      <c r="WGN641" s="354"/>
      <c r="WGO641" s="313"/>
      <c r="WGP641" s="340"/>
      <c r="WGQ641" s="340"/>
      <c r="WGR641" s="354"/>
      <c r="WGS641" s="313"/>
      <c r="WGT641" s="340"/>
      <c r="WGU641" s="340"/>
      <c r="WGV641" s="354"/>
      <c r="WGW641" s="313"/>
      <c r="WGX641" s="340"/>
      <c r="WGY641" s="340"/>
      <c r="WGZ641" s="354"/>
      <c r="WHA641" s="313"/>
      <c r="WHB641" s="340"/>
      <c r="WHC641" s="340"/>
      <c r="WHD641" s="354"/>
      <c r="WHE641" s="313"/>
      <c r="WHF641" s="340"/>
      <c r="WHG641" s="340"/>
      <c r="WHH641" s="354"/>
      <c r="WHI641" s="313"/>
      <c r="WHJ641" s="340"/>
      <c r="WHK641" s="340"/>
      <c r="WHL641" s="354"/>
      <c r="WHM641" s="313"/>
      <c r="WHN641" s="340"/>
      <c r="WHO641" s="340"/>
      <c r="WHP641" s="354"/>
      <c r="WHQ641" s="313"/>
      <c r="WHR641" s="340"/>
      <c r="WHS641" s="340"/>
      <c r="WHT641" s="354"/>
      <c r="WHU641" s="313"/>
      <c r="WHV641" s="340"/>
      <c r="WHW641" s="340"/>
      <c r="WHX641" s="354"/>
      <c r="WHY641" s="313"/>
      <c r="WHZ641" s="340"/>
      <c r="WIA641" s="340"/>
      <c r="WIB641" s="354"/>
      <c r="WIC641" s="313"/>
      <c r="WID641" s="340"/>
      <c r="WIE641" s="340"/>
      <c r="WIF641" s="354"/>
      <c r="WIG641" s="313"/>
      <c r="WIH641" s="340"/>
      <c r="WII641" s="340"/>
      <c r="WIJ641" s="354"/>
      <c r="WIK641" s="313"/>
      <c r="WIL641" s="340"/>
      <c r="WIM641" s="340"/>
      <c r="WIN641" s="354"/>
      <c r="WIO641" s="313"/>
      <c r="WIP641" s="340"/>
      <c r="WIQ641" s="340"/>
      <c r="WIR641" s="354"/>
      <c r="WIS641" s="313"/>
      <c r="WIT641" s="340"/>
      <c r="WIU641" s="340"/>
      <c r="WIV641" s="354"/>
      <c r="WIW641" s="313"/>
      <c r="WIX641" s="340"/>
      <c r="WIY641" s="340"/>
      <c r="WIZ641" s="354"/>
      <c r="WJA641" s="313"/>
      <c r="WJB641" s="340"/>
      <c r="WJC641" s="340"/>
      <c r="WJD641" s="354"/>
      <c r="WJE641" s="313"/>
      <c r="WJF641" s="340"/>
      <c r="WJG641" s="340"/>
      <c r="WJH641" s="354"/>
      <c r="WJI641" s="313"/>
      <c r="WJJ641" s="340"/>
      <c r="WJK641" s="340"/>
      <c r="WJL641" s="354"/>
      <c r="WJM641" s="313"/>
      <c r="WJN641" s="340"/>
      <c r="WJO641" s="340"/>
      <c r="WJP641" s="354"/>
      <c r="WJQ641" s="313"/>
      <c r="WJR641" s="340"/>
      <c r="WJS641" s="340"/>
      <c r="WJT641" s="354"/>
      <c r="WJU641" s="313"/>
      <c r="WJV641" s="340"/>
      <c r="WJW641" s="340"/>
      <c r="WJX641" s="354"/>
      <c r="WJY641" s="313"/>
      <c r="WJZ641" s="340"/>
      <c r="WKA641" s="340"/>
      <c r="WKB641" s="354"/>
      <c r="WKC641" s="313"/>
      <c r="WKD641" s="340"/>
      <c r="WKE641" s="340"/>
      <c r="WKF641" s="354"/>
      <c r="WKG641" s="313"/>
      <c r="WKH641" s="340"/>
      <c r="WKI641" s="340"/>
      <c r="WKJ641" s="354"/>
      <c r="WKK641" s="313"/>
      <c r="WKL641" s="340"/>
      <c r="WKM641" s="340"/>
      <c r="WKN641" s="354"/>
      <c r="WKO641" s="313"/>
      <c r="WKP641" s="340"/>
      <c r="WKQ641" s="340"/>
      <c r="WKR641" s="354"/>
      <c r="WKS641" s="313"/>
      <c r="WKT641" s="340"/>
      <c r="WKU641" s="340"/>
      <c r="WKV641" s="354"/>
      <c r="WKW641" s="313"/>
      <c r="WKX641" s="340"/>
      <c r="WKY641" s="340"/>
      <c r="WKZ641" s="354"/>
      <c r="WLA641" s="313"/>
      <c r="WLB641" s="340"/>
      <c r="WLC641" s="340"/>
      <c r="WLD641" s="354"/>
      <c r="WLE641" s="313"/>
      <c r="WLF641" s="340"/>
      <c r="WLG641" s="340"/>
      <c r="WLH641" s="354"/>
      <c r="WLI641" s="313"/>
      <c r="WLJ641" s="340"/>
      <c r="WLK641" s="340"/>
      <c r="WLL641" s="354"/>
      <c r="WLM641" s="313"/>
      <c r="WLN641" s="340"/>
      <c r="WLO641" s="340"/>
      <c r="WLP641" s="354"/>
      <c r="WLQ641" s="313"/>
      <c r="WLR641" s="340"/>
      <c r="WLS641" s="340"/>
      <c r="WLT641" s="354"/>
      <c r="WLU641" s="313"/>
      <c r="WLV641" s="340"/>
      <c r="WLW641" s="340"/>
      <c r="WLX641" s="354"/>
      <c r="WLY641" s="313"/>
      <c r="WLZ641" s="340"/>
      <c r="WMA641" s="340"/>
      <c r="WMB641" s="354"/>
      <c r="WMC641" s="313"/>
      <c r="WMD641" s="340"/>
      <c r="WME641" s="340"/>
      <c r="WMF641" s="354"/>
      <c r="WMG641" s="313"/>
      <c r="WMH641" s="340"/>
      <c r="WMI641" s="340"/>
      <c r="WMJ641" s="354"/>
      <c r="WMK641" s="313"/>
      <c r="WML641" s="340"/>
      <c r="WMM641" s="340"/>
      <c r="WMN641" s="354"/>
      <c r="WMO641" s="313"/>
      <c r="WMP641" s="340"/>
      <c r="WMQ641" s="340"/>
      <c r="WMR641" s="354"/>
      <c r="WMS641" s="313"/>
      <c r="WMT641" s="340"/>
      <c r="WMU641" s="340"/>
      <c r="WMV641" s="354"/>
      <c r="WMW641" s="313"/>
      <c r="WMX641" s="340"/>
      <c r="WMY641" s="340"/>
      <c r="WMZ641" s="354"/>
      <c r="WNA641" s="313"/>
      <c r="WNB641" s="340"/>
      <c r="WNC641" s="340"/>
      <c r="WND641" s="354"/>
      <c r="WNE641" s="313"/>
      <c r="WNF641" s="340"/>
      <c r="WNG641" s="340"/>
      <c r="WNH641" s="354"/>
      <c r="WNI641" s="313"/>
      <c r="WNJ641" s="340"/>
      <c r="WNK641" s="340"/>
      <c r="WNL641" s="354"/>
      <c r="WNM641" s="313"/>
      <c r="WNN641" s="340"/>
      <c r="WNO641" s="340"/>
      <c r="WNP641" s="354"/>
      <c r="WNQ641" s="313"/>
      <c r="WNR641" s="340"/>
      <c r="WNS641" s="340"/>
      <c r="WNT641" s="354"/>
      <c r="WNU641" s="313"/>
      <c r="WNV641" s="340"/>
      <c r="WNW641" s="340"/>
      <c r="WNX641" s="354"/>
      <c r="WNY641" s="313"/>
      <c r="WNZ641" s="340"/>
      <c r="WOA641" s="340"/>
      <c r="WOB641" s="354"/>
      <c r="WOC641" s="313"/>
      <c r="WOD641" s="340"/>
      <c r="WOE641" s="340"/>
      <c r="WOF641" s="354"/>
      <c r="WOG641" s="313"/>
      <c r="WOH641" s="340"/>
      <c r="WOI641" s="340"/>
      <c r="WOJ641" s="354"/>
      <c r="WOK641" s="313"/>
      <c r="WOL641" s="340"/>
      <c r="WOM641" s="340"/>
      <c r="WON641" s="354"/>
      <c r="WOO641" s="313"/>
      <c r="WOP641" s="340"/>
      <c r="WOQ641" s="340"/>
      <c r="WOR641" s="354"/>
      <c r="WOS641" s="313"/>
      <c r="WOT641" s="340"/>
      <c r="WOU641" s="340"/>
      <c r="WOV641" s="354"/>
      <c r="WOW641" s="313"/>
      <c r="WOX641" s="340"/>
      <c r="WOY641" s="340"/>
      <c r="WOZ641" s="354"/>
      <c r="WPA641" s="313"/>
      <c r="WPB641" s="340"/>
      <c r="WPC641" s="340"/>
      <c r="WPD641" s="354"/>
      <c r="WPE641" s="313"/>
      <c r="WPF641" s="340"/>
      <c r="WPG641" s="340"/>
      <c r="WPH641" s="354"/>
      <c r="WPI641" s="313"/>
      <c r="WPJ641" s="340"/>
      <c r="WPK641" s="340"/>
      <c r="WPL641" s="354"/>
      <c r="WPM641" s="313"/>
      <c r="WPN641" s="340"/>
      <c r="WPO641" s="340"/>
      <c r="WPP641" s="354"/>
      <c r="WPQ641" s="313"/>
      <c r="WPR641" s="340"/>
      <c r="WPS641" s="340"/>
      <c r="WPT641" s="354"/>
      <c r="WPU641" s="313"/>
      <c r="WPV641" s="340"/>
      <c r="WPW641" s="340"/>
      <c r="WPX641" s="354"/>
      <c r="WPY641" s="313"/>
      <c r="WPZ641" s="340"/>
      <c r="WQA641" s="340"/>
      <c r="WQB641" s="354"/>
      <c r="WQC641" s="313"/>
      <c r="WQD641" s="340"/>
      <c r="WQE641" s="340"/>
      <c r="WQF641" s="354"/>
      <c r="WQG641" s="313"/>
      <c r="WQH641" s="340"/>
      <c r="WQI641" s="340"/>
      <c r="WQJ641" s="354"/>
      <c r="WQK641" s="313"/>
      <c r="WQL641" s="340"/>
      <c r="WQM641" s="340"/>
      <c r="WQN641" s="354"/>
      <c r="WQO641" s="313"/>
      <c r="WQP641" s="340"/>
      <c r="WQQ641" s="340"/>
      <c r="WQR641" s="354"/>
      <c r="WQS641" s="313"/>
      <c r="WQT641" s="340"/>
      <c r="WQU641" s="340"/>
      <c r="WQV641" s="354"/>
      <c r="WQW641" s="313"/>
      <c r="WQX641" s="340"/>
      <c r="WQY641" s="340"/>
      <c r="WQZ641" s="354"/>
      <c r="WRA641" s="313"/>
      <c r="WRB641" s="340"/>
      <c r="WRC641" s="340"/>
      <c r="WRD641" s="354"/>
      <c r="WRE641" s="313"/>
      <c r="WRF641" s="340"/>
      <c r="WRG641" s="340"/>
      <c r="WRH641" s="354"/>
      <c r="WRI641" s="313"/>
      <c r="WRJ641" s="340"/>
      <c r="WRK641" s="340"/>
      <c r="WRL641" s="354"/>
      <c r="WRM641" s="313"/>
      <c r="WRN641" s="340"/>
      <c r="WRO641" s="340"/>
      <c r="WRP641" s="354"/>
      <c r="WRQ641" s="313"/>
      <c r="WRR641" s="340"/>
      <c r="WRS641" s="340"/>
      <c r="WRT641" s="354"/>
      <c r="WRU641" s="313"/>
      <c r="WRV641" s="340"/>
      <c r="WRW641" s="340"/>
      <c r="WRX641" s="354"/>
      <c r="WRY641" s="313"/>
      <c r="WRZ641" s="340"/>
      <c r="WSA641" s="340"/>
      <c r="WSB641" s="354"/>
      <c r="WSC641" s="313"/>
      <c r="WSD641" s="340"/>
      <c r="WSE641" s="340"/>
      <c r="WSF641" s="354"/>
      <c r="WSG641" s="313"/>
      <c r="WSH641" s="340"/>
      <c r="WSI641" s="340"/>
      <c r="WSJ641" s="354"/>
      <c r="WSK641" s="313"/>
      <c r="WSL641" s="340"/>
      <c r="WSM641" s="340"/>
      <c r="WSN641" s="354"/>
      <c r="WSO641" s="313"/>
      <c r="WSP641" s="340"/>
      <c r="WSQ641" s="340"/>
      <c r="WSR641" s="354"/>
      <c r="WSS641" s="313"/>
      <c r="WST641" s="340"/>
      <c r="WSU641" s="340"/>
      <c r="WSV641" s="354"/>
      <c r="WSW641" s="313"/>
      <c r="WSX641" s="340"/>
      <c r="WSY641" s="340"/>
      <c r="WSZ641" s="354"/>
      <c r="WTA641" s="313"/>
      <c r="WTB641" s="340"/>
      <c r="WTC641" s="340"/>
      <c r="WTD641" s="354"/>
      <c r="WTE641" s="313"/>
      <c r="WTF641" s="340"/>
      <c r="WTG641" s="340"/>
      <c r="WTH641" s="354"/>
      <c r="WTI641" s="313"/>
      <c r="WTJ641" s="340"/>
      <c r="WTK641" s="340"/>
      <c r="WTL641" s="354"/>
      <c r="WTM641" s="313"/>
      <c r="WTN641" s="340"/>
      <c r="WTO641" s="340"/>
      <c r="WTP641" s="354"/>
      <c r="WTQ641" s="313"/>
      <c r="WTR641" s="340"/>
      <c r="WTS641" s="340"/>
      <c r="WTT641" s="354"/>
      <c r="WTU641" s="313"/>
      <c r="WTV641" s="340"/>
      <c r="WTW641" s="340"/>
      <c r="WTX641" s="354"/>
      <c r="WTY641" s="313"/>
      <c r="WTZ641" s="340"/>
      <c r="WUA641" s="340"/>
      <c r="WUB641" s="354"/>
      <c r="WUC641" s="313"/>
      <c r="WUD641" s="340"/>
      <c r="WUE641" s="340"/>
      <c r="WUF641" s="354"/>
      <c r="WUG641" s="313"/>
      <c r="WUH641" s="340"/>
      <c r="WUI641" s="340"/>
      <c r="WUJ641" s="354"/>
      <c r="WUK641" s="313"/>
      <c r="WUL641" s="340"/>
      <c r="WUM641" s="340"/>
      <c r="WUN641" s="354"/>
      <c r="WUO641" s="313"/>
      <c r="WUP641" s="340"/>
      <c r="WUQ641" s="340"/>
      <c r="WUR641" s="354"/>
      <c r="WUS641" s="313"/>
      <c r="WUT641" s="340"/>
      <c r="WUU641" s="340"/>
      <c r="WUV641" s="354"/>
      <c r="WUW641" s="313"/>
      <c r="WUX641" s="340"/>
      <c r="WUY641" s="340"/>
      <c r="WUZ641" s="354"/>
      <c r="WVA641" s="313"/>
      <c r="WVB641" s="340"/>
      <c r="WVC641" s="340"/>
      <c r="WVD641" s="354"/>
      <c r="WVE641" s="313"/>
      <c r="WVF641" s="340"/>
      <c r="WVG641" s="340"/>
      <c r="WVH641" s="354"/>
      <c r="WVI641" s="313"/>
      <c r="WVJ641" s="340"/>
      <c r="WVK641" s="340"/>
      <c r="WVL641" s="354"/>
      <c r="WVM641" s="313"/>
      <c r="WVN641" s="340"/>
      <c r="WVO641" s="340"/>
      <c r="WVP641" s="354"/>
      <c r="WVQ641" s="313"/>
      <c r="WVR641" s="340"/>
      <c r="WVS641" s="340"/>
      <c r="WVT641" s="354"/>
      <c r="WVU641" s="313"/>
      <c r="WVV641" s="340"/>
      <c r="WVW641" s="340"/>
      <c r="WVX641" s="354"/>
      <c r="WVY641" s="313"/>
      <c r="WVZ641" s="340"/>
      <c r="WWA641" s="340"/>
      <c r="WWB641" s="354"/>
      <c r="WWC641" s="313"/>
      <c r="WWD641" s="340"/>
      <c r="WWE641" s="340"/>
      <c r="WWF641" s="354"/>
      <c r="WWG641" s="313"/>
      <c r="WWH641" s="340"/>
      <c r="WWI641" s="340"/>
      <c r="WWJ641" s="354"/>
      <c r="WWK641" s="313"/>
      <c r="WWL641" s="340"/>
      <c r="WWM641" s="340"/>
      <c r="WWN641" s="354"/>
      <c r="WWO641" s="313"/>
      <c r="WWP641" s="340"/>
      <c r="WWQ641" s="340"/>
      <c r="WWR641" s="354"/>
      <c r="WWS641" s="313"/>
      <c r="WWT641" s="340"/>
      <c r="WWU641" s="340"/>
      <c r="WWV641" s="354"/>
      <c r="WWW641" s="313"/>
      <c r="WWX641" s="340"/>
      <c r="WWY641" s="340"/>
      <c r="WWZ641" s="354"/>
      <c r="WXA641" s="313"/>
      <c r="WXB641" s="340"/>
      <c r="WXC641" s="340"/>
      <c r="WXD641" s="354"/>
      <c r="WXE641" s="313"/>
      <c r="WXF641" s="340"/>
      <c r="WXG641" s="340"/>
      <c r="WXH641" s="354"/>
      <c r="WXI641" s="313"/>
      <c r="WXJ641" s="340"/>
      <c r="WXK641" s="340"/>
      <c r="WXL641" s="354"/>
      <c r="WXM641" s="313"/>
      <c r="WXN641" s="340"/>
      <c r="WXO641" s="340"/>
      <c r="WXP641" s="354"/>
      <c r="WXQ641" s="313"/>
      <c r="WXR641" s="340"/>
      <c r="WXS641" s="340"/>
      <c r="WXT641" s="354"/>
      <c r="WXU641" s="313"/>
      <c r="WXV641" s="340"/>
      <c r="WXW641" s="340"/>
      <c r="WXX641" s="354"/>
      <c r="WXY641" s="313"/>
      <c r="WXZ641" s="340"/>
      <c r="WYA641" s="340"/>
      <c r="WYB641" s="354"/>
      <c r="WYC641" s="313"/>
      <c r="WYD641" s="340"/>
      <c r="WYE641" s="340"/>
      <c r="WYF641" s="354"/>
      <c r="WYG641" s="313"/>
      <c r="WYH641" s="340"/>
      <c r="WYI641" s="340"/>
      <c r="WYJ641" s="354"/>
      <c r="WYK641" s="313"/>
      <c r="WYL641" s="340"/>
      <c r="WYM641" s="340"/>
      <c r="WYN641" s="354"/>
      <c r="WYO641" s="313"/>
      <c r="WYP641" s="340"/>
      <c r="WYQ641" s="340"/>
      <c r="WYR641" s="354"/>
      <c r="WYS641" s="313"/>
      <c r="WYT641" s="340"/>
      <c r="WYU641" s="340"/>
      <c r="WYV641" s="354"/>
      <c r="WYW641" s="313"/>
      <c r="WYX641" s="340"/>
      <c r="WYY641" s="340"/>
      <c r="WYZ641" s="354"/>
      <c r="WZA641" s="313"/>
      <c r="WZB641" s="340"/>
      <c r="WZC641" s="340"/>
      <c r="WZD641" s="354"/>
      <c r="WZE641" s="313"/>
      <c r="WZF641" s="340"/>
      <c r="WZG641" s="340"/>
      <c r="WZH641" s="354"/>
      <c r="WZI641" s="313"/>
      <c r="WZJ641" s="340"/>
      <c r="WZK641" s="340"/>
      <c r="WZL641" s="354"/>
      <c r="WZM641" s="313"/>
      <c r="WZN641" s="340"/>
      <c r="WZO641" s="340"/>
      <c r="WZP641" s="354"/>
      <c r="WZQ641" s="313"/>
      <c r="WZR641" s="340"/>
      <c r="WZS641" s="340"/>
      <c r="WZT641" s="354"/>
      <c r="WZU641" s="313"/>
      <c r="WZV641" s="340"/>
      <c r="WZW641" s="340"/>
      <c r="WZX641" s="354"/>
      <c r="WZY641" s="313"/>
      <c r="WZZ641" s="340"/>
      <c r="XAA641" s="340"/>
      <c r="XAB641" s="354"/>
      <c r="XAC641" s="313"/>
      <c r="XAD641" s="340"/>
      <c r="XAE641" s="340"/>
      <c r="XAF641" s="354"/>
      <c r="XAG641" s="313"/>
      <c r="XAH641" s="340"/>
      <c r="XAI641" s="340"/>
      <c r="XAJ641" s="354"/>
      <c r="XAK641" s="313"/>
      <c r="XAL641" s="340"/>
      <c r="XAM641" s="340"/>
      <c r="XAN641" s="354"/>
      <c r="XAO641" s="313"/>
      <c r="XAP641" s="340"/>
      <c r="XAQ641" s="340"/>
      <c r="XAR641" s="354"/>
      <c r="XAS641" s="313"/>
      <c r="XAT641" s="340"/>
      <c r="XAU641" s="340"/>
      <c r="XAV641" s="354"/>
      <c r="XAW641" s="313"/>
      <c r="XAX641" s="340"/>
      <c r="XAY641" s="340"/>
      <c r="XAZ641" s="354"/>
      <c r="XBA641" s="313"/>
      <c r="XBB641" s="340"/>
      <c r="XBC641" s="340"/>
      <c r="XBD641" s="354"/>
      <c r="XBE641" s="313"/>
      <c r="XBF641" s="340"/>
      <c r="XBG641" s="340"/>
      <c r="XBH641" s="354"/>
      <c r="XBI641" s="313"/>
      <c r="XBJ641" s="340"/>
      <c r="XBK641" s="340"/>
      <c r="XBL641" s="354"/>
      <c r="XBM641" s="313"/>
      <c r="XBN641" s="340"/>
      <c r="XBO641" s="340"/>
      <c r="XBP641" s="354"/>
      <c r="XBQ641" s="313"/>
      <c r="XBR641" s="340"/>
      <c r="XBS641" s="340"/>
      <c r="XBT641" s="354"/>
      <c r="XBU641" s="313"/>
      <c r="XBV641" s="340"/>
      <c r="XBW641" s="340"/>
      <c r="XBX641" s="354"/>
      <c r="XBY641" s="313"/>
      <c r="XBZ641" s="340"/>
      <c r="XCA641" s="340"/>
      <c r="XCB641" s="354"/>
      <c r="XCC641" s="313"/>
      <c r="XCD641" s="340"/>
      <c r="XCE641" s="340"/>
      <c r="XCF641" s="354"/>
      <c r="XCG641" s="313"/>
      <c r="XCH641" s="340"/>
      <c r="XCI641" s="340"/>
      <c r="XCJ641" s="354"/>
      <c r="XCK641" s="313"/>
      <c r="XCL641" s="340"/>
      <c r="XCM641" s="340"/>
      <c r="XCN641" s="354"/>
      <c r="XCO641" s="313"/>
      <c r="XCP641" s="340"/>
      <c r="XCQ641" s="340"/>
      <c r="XCR641" s="354"/>
      <c r="XCS641" s="313"/>
      <c r="XCT641" s="340"/>
      <c r="XCU641" s="340"/>
      <c r="XCV641" s="354"/>
      <c r="XCW641" s="313"/>
      <c r="XCX641" s="340"/>
      <c r="XCY641" s="340"/>
      <c r="XCZ641" s="354"/>
      <c r="XDA641" s="313"/>
      <c r="XDB641" s="340"/>
      <c r="XDC641" s="340"/>
      <c r="XDD641" s="354"/>
      <c r="XDE641" s="313"/>
      <c r="XDF641" s="340"/>
      <c r="XDG641" s="340"/>
      <c r="XDH641" s="354"/>
      <c r="XDI641" s="313"/>
      <c r="XDJ641" s="340"/>
      <c r="XDK641" s="340"/>
      <c r="XDL641" s="354"/>
      <c r="XDM641" s="313"/>
      <c r="XDN641" s="340"/>
      <c r="XDO641" s="340"/>
      <c r="XDP641" s="354"/>
      <c r="XDQ641" s="313"/>
      <c r="XDR641" s="340"/>
      <c r="XDS641" s="340"/>
      <c r="XDT641" s="354"/>
      <c r="XDU641" s="313"/>
      <c r="XDV641" s="340"/>
      <c r="XDW641" s="340"/>
      <c r="XDX641" s="354"/>
      <c r="XDY641" s="313"/>
      <c r="XDZ641" s="340"/>
      <c r="XEA641" s="340"/>
      <c r="XEB641" s="354"/>
      <c r="XEC641" s="313"/>
      <c r="XED641" s="340"/>
      <c r="XEE641" s="340"/>
      <c r="XEF641" s="354"/>
      <c r="XEG641" s="313"/>
      <c r="XEH641" s="340"/>
      <c r="XEI641" s="340"/>
      <c r="XEJ641" s="354"/>
      <c r="XEK641" s="313"/>
      <c r="XEL641" s="340"/>
      <c r="XEM641" s="340"/>
      <c r="XEN641" s="354"/>
      <c r="XEO641" s="313"/>
      <c r="XEP641" s="340"/>
      <c r="XEQ641" s="340"/>
      <c r="XER641" s="354"/>
      <c r="XES641" s="313"/>
      <c r="XET641" s="340"/>
      <c r="XEU641" s="340"/>
      <c r="XEV641" s="354"/>
      <c r="XEW641" s="313"/>
      <c r="XEX641" s="340"/>
      <c r="XEY641" s="340"/>
      <c r="XEZ641" s="354"/>
      <c r="XFA641" s="313"/>
      <c r="XFB641" s="340"/>
      <c r="XFC641" s="340"/>
      <c r="XFD641" s="354"/>
    </row>
    <row r="642" spans="1:16384" ht="12.95" hidden="1" customHeight="1" x14ac:dyDescent="0.25">
      <c r="A642" s="313"/>
      <c r="B642" s="340"/>
      <c r="C642" s="386"/>
      <c r="D642" s="373"/>
      <c r="E642" s="373"/>
      <c r="F642" s="373"/>
      <c r="G642" s="373"/>
      <c r="H642" s="373"/>
      <c r="I642" s="373"/>
      <c r="J642" s="373"/>
      <c r="K642" s="373"/>
      <c r="L642" s="373"/>
      <c r="M642" s="373"/>
      <c r="N642" s="373"/>
      <c r="O642" s="373"/>
      <c r="P642" s="373"/>
      <c r="Q642" s="373"/>
      <c r="R642" s="373"/>
      <c r="S642" s="373"/>
      <c r="T642" s="373"/>
      <c r="U642" s="389"/>
      <c r="V642" s="389"/>
      <c r="W642" s="355"/>
      <c r="X642" s="355"/>
      <c r="Y642" s="355"/>
      <c r="Z642" s="355"/>
      <c r="AA642" s="355"/>
      <c r="AB642" s="355"/>
      <c r="AC642" s="355"/>
      <c r="AD642" s="355"/>
      <c r="AE642" s="355"/>
      <c r="AF642" s="355"/>
      <c r="AG642" s="355"/>
      <c r="AH642" s="355"/>
      <c r="AI642" s="355"/>
      <c r="AJ642" s="344"/>
      <c r="AK642" s="345"/>
      <c r="AL642" s="340"/>
      <c r="AM642" s="354"/>
      <c r="AN642" s="340"/>
      <c r="AO642" s="340"/>
      <c r="AP642" s="340"/>
      <c r="AQ642" s="340"/>
      <c r="AR642" s="340"/>
      <c r="AS642" s="340"/>
      <c r="AT642" s="340"/>
      <c r="AU642" s="340"/>
      <c r="AV642" s="340"/>
      <c r="AW642" s="340"/>
      <c r="AX642" s="340"/>
      <c r="AY642" s="340"/>
      <c r="AZ642" s="340"/>
      <c r="BA642" s="340"/>
      <c r="BB642" s="340"/>
      <c r="BC642" s="340"/>
      <c r="BD642" s="340"/>
      <c r="BE642" s="342"/>
      <c r="BF642" s="342"/>
      <c r="BG642" s="358"/>
      <c r="BH642" s="358"/>
      <c r="BI642" s="358"/>
      <c r="BJ642" s="358"/>
      <c r="BK642" s="358"/>
      <c r="BL642" s="358"/>
      <c r="BM642" s="358"/>
      <c r="BN642" s="358"/>
      <c r="BO642" s="358"/>
      <c r="BP642" s="358"/>
      <c r="BQ642" s="358"/>
      <c r="BR642" s="358"/>
      <c r="BS642" s="358"/>
      <c r="BT642" s="359"/>
      <c r="BU642" s="346"/>
      <c r="BV642" s="310"/>
      <c r="BW642" s="310"/>
      <c r="BX642" s="291">
        <f t="shared" si="8"/>
        <v>0</v>
      </c>
      <c r="BY642" s="344"/>
      <c r="BZ642" s="347"/>
      <c r="CA642" s="347"/>
    </row>
    <row r="643" spans="1:16384" ht="15" hidden="1" customHeight="1" x14ac:dyDescent="0.25">
      <c r="A643" s="313">
        <f>STT</f>
        <v>9</v>
      </c>
      <c r="B643" s="340" t="s">
        <v>345</v>
      </c>
      <c r="C643" s="340" t="s">
        <v>887</v>
      </c>
      <c r="D643" s="354"/>
      <c r="E643" s="373"/>
      <c r="F643" s="373"/>
      <c r="G643" s="373"/>
      <c r="H643" s="373"/>
      <c r="I643" s="373"/>
      <c r="J643" s="373"/>
      <c r="K643" s="373"/>
      <c r="L643" s="373"/>
      <c r="M643" s="373"/>
      <c r="N643" s="373"/>
      <c r="O643" s="373"/>
      <c r="P643" s="373"/>
      <c r="Q643" s="373"/>
      <c r="R643" s="373"/>
      <c r="S643" s="373"/>
      <c r="T643" s="373"/>
      <c r="U643" s="389"/>
      <c r="V643" s="389"/>
      <c r="W643" s="355"/>
      <c r="X643" s="355"/>
      <c r="Y643" s="355"/>
      <c r="Z643" s="355"/>
      <c r="AA643" s="355"/>
      <c r="AB643" s="355"/>
      <c r="AC643" s="355"/>
      <c r="AD643" s="355"/>
      <c r="AE643" s="355"/>
      <c r="AF643" s="355"/>
      <c r="AG643" s="355"/>
      <c r="AH643" s="355"/>
      <c r="AI643" s="355"/>
      <c r="AJ643" s="344"/>
      <c r="AK643" s="345">
        <f>A643</f>
        <v>9</v>
      </c>
      <c r="AL643" s="340" t="s">
        <v>345</v>
      </c>
      <c r="AM643" s="340" t="s">
        <v>888</v>
      </c>
      <c r="AN643" s="354"/>
      <c r="AO643" s="373"/>
      <c r="AP643" s="373"/>
      <c r="AQ643" s="373"/>
      <c r="AR643" s="373"/>
      <c r="AS643" s="373"/>
      <c r="AT643" s="373"/>
      <c r="AU643" s="373"/>
      <c r="AV643" s="373"/>
      <c r="AW643" s="373"/>
      <c r="AX643" s="373"/>
      <c r="AY643" s="373"/>
      <c r="AZ643" s="373"/>
      <c r="BA643" s="373"/>
      <c r="BB643" s="373"/>
      <c r="BC643" s="340"/>
      <c r="BD643" s="340"/>
      <c r="BE643" s="342"/>
      <c r="BF643" s="342"/>
      <c r="BG643" s="358"/>
      <c r="BH643" s="358"/>
      <c r="BI643" s="358"/>
      <c r="BJ643" s="358"/>
      <c r="BK643" s="358"/>
      <c r="BL643" s="358"/>
      <c r="BM643" s="358"/>
      <c r="BN643" s="358"/>
      <c r="BO643" s="358"/>
      <c r="BP643" s="358"/>
      <c r="BQ643" s="358"/>
      <c r="BR643" s="358"/>
      <c r="BS643" s="358"/>
      <c r="BT643" s="359"/>
      <c r="BU643" s="346">
        <f>SUBTOTAL(103,A643)</f>
        <v>0</v>
      </c>
      <c r="BV643" s="310"/>
      <c r="BW643" s="310"/>
      <c r="BX643" s="291">
        <f t="shared" si="8"/>
        <v>0</v>
      </c>
      <c r="BY643" s="344"/>
      <c r="BZ643" s="347"/>
      <c r="CA643" s="347"/>
    </row>
    <row r="644" spans="1:16384" ht="15" hidden="1" customHeight="1" x14ac:dyDescent="0.25">
      <c r="A644" s="313"/>
      <c r="B644" s="340"/>
      <c r="C644" s="354"/>
      <c r="D644" s="354"/>
      <c r="E644" s="354"/>
      <c r="F644" s="354"/>
      <c r="G644" s="354"/>
      <c r="H644" s="354"/>
      <c r="I644" s="354"/>
      <c r="J644" s="354"/>
      <c r="K644" s="1476" t="str">
        <f>Ky_Nay1_V</f>
        <v>31/12/2017</v>
      </c>
      <c r="L644" s="1476"/>
      <c r="M644" s="1476"/>
      <c r="N644" s="1476"/>
      <c r="O644" s="1476"/>
      <c r="P644" s="1476"/>
      <c r="Q644" s="1476"/>
      <c r="R644" s="1476"/>
      <c r="S644" s="1476"/>
      <c r="T644" s="1476"/>
      <c r="U644" s="1476"/>
      <c r="V644" s="1476"/>
      <c r="W644" s="371"/>
      <c r="X644" s="1476" t="str">
        <f>Ky_Truoc1_V</f>
        <v>01/01/2017</v>
      </c>
      <c r="Y644" s="1476"/>
      <c r="Z644" s="1476"/>
      <c r="AA644" s="1476"/>
      <c r="AB644" s="1476"/>
      <c r="AC644" s="1476"/>
      <c r="AD644" s="1476"/>
      <c r="AE644" s="1476"/>
      <c r="AF644" s="1476"/>
      <c r="AG644" s="1476"/>
      <c r="AH644" s="1476"/>
      <c r="AI644" s="1476"/>
      <c r="AJ644" s="344"/>
      <c r="AK644" s="345"/>
      <c r="AL644" s="340"/>
      <c r="AM644" s="354"/>
      <c r="AN644" s="354"/>
      <c r="AO644" s="354"/>
      <c r="AP644" s="354"/>
      <c r="AQ644" s="354"/>
      <c r="AR644" s="354"/>
      <c r="AS644" s="354"/>
      <c r="AT644" s="354"/>
      <c r="AU644" s="1476" t="str">
        <f>Ky_Nay1_E</f>
        <v>31/12/2017</v>
      </c>
      <c r="AV644" s="1476"/>
      <c r="AW644" s="1476"/>
      <c r="AX644" s="1476"/>
      <c r="AY644" s="1476"/>
      <c r="AZ644" s="1476"/>
      <c r="BA644" s="1476"/>
      <c r="BB644" s="1476"/>
      <c r="BC644" s="1476"/>
      <c r="BD644" s="1476"/>
      <c r="BE644" s="1476"/>
      <c r="BF644" s="1476"/>
      <c r="BG644" s="371"/>
      <c r="BH644" s="1476" t="str">
        <f>Ky_Truoc1_E</f>
        <v>01/01/2017</v>
      </c>
      <c r="BI644" s="1476"/>
      <c r="BJ644" s="1476"/>
      <c r="BK644" s="1476"/>
      <c r="BL644" s="1476"/>
      <c r="BM644" s="1476"/>
      <c r="BN644" s="1476"/>
      <c r="BO644" s="1476"/>
      <c r="BP644" s="1476"/>
      <c r="BQ644" s="1476"/>
      <c r="BR644" s="1476"/>
      <c r="BS644" s="1476"/>
      <c r="BT644" s="359"/>
      <c r="BU644" s="346"/>
      <c r="BV644" s="310"/>
      <c r="BW644" s="310"/>
      <c r="BX644" s="291">
        <f t="shared" si="8"/>
        <v>0</v>
      </c>
      <c r="BY644" s="344"/>
      <c r="BZ644" s="347"/>
      <c r="CA644" s="347"/>
    </row>
    <row r="645" spans="1:16384" ht="15" hidden="1" customHeight="1" x14ac:dyDescent="0.25">
      <c r="A645" s="313"/>
      <c r="B645" s="340"/>
      <c r="C645" s="354"/>
      <c r="D645" s="354"/>
      <c r="E645" s="354"/>
      <c r="F645" s="354"/>
      <c r="G645" s="354"/>
      <c r="H645" s="354"/>
      <c r="I645" s="354"/>
      <c r="J645" s="354"/>
      <c r="K645" s="1483" t="s">
        <v>889</v>
      </c>
      <c r="L645" s="1483"/>
      <c r="M645" s="1483"/>
      <c r="N645" s="1483"/>
      <c r="O645" s="1483"/>
      <c r="P645" s="372"/>
      <c r="Q645" s="1483" t="s">
        <v>840</v>
      </c>
      <c r="R645" s="1483"/>
      <c r="S645" s="1483"/>
      <c r="T645" s="1483"/>
      <c r="U645" s="1483"/>
      <c r="V645" s="1483"/>
      <c r="W645" s="372"/>
      <c r="X645" s="1483" t="s">
        <v>889</v>
      </c>
      <c r="Y645" s="1483"/>
      <c r="Z645" s="1483"/>
      <c r="AA645" s="1483"/>
      <c r="AB645" s="1483"/>
      <c r="AC645" s="372"/>
      <c r="AD645" s="1483" t="s">
        <v>840</v>
      </c>
      <c r="AE645" s="1483"/>
      <c r="AF645" s="1483"/>
      <c r="AG645" s="1483"/>
      <c r="AH645" s="1483"/>
      <c r="AI645" s="1483"/>
      <c r="AJ645" s="344"/>
      <c r="AK645" s="345"/>
      <c r="AL645" s="340"/>
      <c r="AM645" s="354"/>
      <c r="AN645" s="354"/>
      <c r="AO645" s="354"/>
      <c r="AP645" s="354"/>
      <c r="AQ645" s="354"/>
      <c r="AR645" s="354"/>
      <c r="AS645" s="354"/>
      <c r="AT645" s="354"/>
      <c r="AU645" s="1483" t="s">
        <v>890</v>
      </c>
      <c r="AV645" s="1483"/>
      <c r="AW645" s="1483"/>
      <c r="AX645" s="1483"/>
      <c r="AY645" s="1483"/>
      <c r="AZ645" s="372"/>
      <c r="BA645" s="1483" t="s">
        <v>841</v>
      </c>
      <c r="BB645" s="1483"/>
      <c r="BC645" s="1483"/>
      <c r="BD645" s="1483"/>
      <c r="BE645" s="1483"/>
      <c r="BF645" s="1483"/>
      <c r="BG645" s="372"/>
      <c r="BH645" s="1483" t="s">
        <v>890</v>
      </c>
      <c r="BI645" s="1483"/>
      <c r="BJ645" s="1483"/>
      <c r="BK645" s="1483"/>
      <c r="BL645" s="1483"/>
      <c r="BM645" s="372"/>
      <c r="BN645" s="1483" t="s">
        <v>841</v>
      </c>
      <c r="BO645" s="1483"/>
      <c r="BP645" s="1483"/>
      <c r="BQ645" s="1483"/>
      <c r="BR645" s="1483"/>
      <c r="BS645" s="1483"/>
      <c r="BT645" s="359"/>
      <c r="BU645" s="346"/>
      <c r="BV645" s="310"/>
      <c r="BW645" s="310"/>
      <c r="BX645" s="291">
        <f t="shared" si="8"/>
        <v>0</v>
      </c>
      <c r="BY645" s="344"/>
      <c r="BZ645" s="347"/>
      <c r="CA645" s="347"/>
    </row>
    <row r="646" spans="1:16384" ht="15" hidden="1" customHeight="1" x14ac:dyDescent="0.25">
      <c r="A646" s="313"/>
      <c r="B646" s="340"/>
      <c r="D646" s="354"/>
      <c r="E646" s="354"/>
      <c r="F646" s="354"/>
      <c r="G646" s="354"/>
      <c r="H646" s="354"/>
      <c r="I646" s="354"/>
      <c r="J646" s="354"/>
      <c r="K646" s="1327"/>
      <c r="L646" s="1327"/>
      <c r="M646" s="1327"/>
      <c r="N646" s="1327"/>
      <c r="O646" s="1327"/>
      <c r="P646" s="372"/>
      <c r="Q646" s="1327" t="str">
        <f>Don_Vi_Tinh_V</f>
        <v>VND</v>
      </c>
      <c r="R646" s="1327"/>
      <c r="S646" s="1327"/>
      <c r="T646" s="1327"/>
      <c r="U646" s="1327"/>
      <c r="V646" s="1327"/>
      <c r="W646" s="372"/>
      <c r="X646" s="1327"/>
      <c r="Y646" s="1327"/>
      <c r="Z646" s="1327"/>
      <c r="AA646" s="1327"/>
      <c r="AB646" s="1327"/>
      <c r="AC646" s="372"/>
      <c r="AD646" s="1327" t="str">
        <f>Don_Vi_Tinh_V</f>
        <v>VND</v>
      </c>
      <c r="AE646" s="1327"/>
      <c r="AF646" s="1327"/>
      <c r="AG646" s="1327"/>
      <c r="AH646" s="1327"/>
      <c r="AI646" s="1327"/>
      <c r="AJ646" s="344"/>
      <c r="AK646" s="345"/>
      <c r="AL646" s="340"/>
      <c r="AN646" s="354"/>
      <c r="AO646" s="354"/>
      <c r="AP646" s="354"/>
      <c r="AQ646" s="354"/>
      <c r="AR646" s="354"/>
      <c r="AS646" s="354"/>
      <c r="AT646" s="354"/>
      <c r="AU646" s="1327"/>
      <c r="AV646" s="1327"/>
      <c r="AW646" s="1327"/>
      <c r="AX646" s="1327"/>
      <c r="AY646" s="1327"/>
      <c r="AZ646" s="372"/>
      <c r="BA646" s="1327" t="str">
        <f>Don_Vi_Tinh_E</f>
        <v>VND</v>
      </c>
      <c r="BB646" s="1327"/>
      <c r="BC646" s="1327"/>
      <c r="BD646" s="1327"/>
      <c r="BE646" s="1327"/>
      <c r="BF646" s="1327"/>
      <c r="BG646" s="372"/>
      <c r="BH646" s="1327"/>
      <c r="BI646" s="1327"/>
      <c r="BJ646" s="1327"/>
      <c r="BK646" s="1327"/>
      <c r="BL646" s="1327"/>
      <c r="BM646" s="372"/>
      <c r="BN646" s="1327" t="str">
        <f>Don_Vi_Tinh_E</f>
        <v>VND</v>
      </c>
      <c r="BO646" s="1327"/>
      <c r="BP646" s="1327"/>
      <c r="BQ646" s="1327"/>
      <c r="BR646" s="1327"/>
      <c r="BS646" s="1327"/>
      <c r="BT646" s="359"/>
      <c r="BU646" s="346"/>
      <c r="BV646" s="310"/>
      <c r="BW646" s="310"/>
      <c r="BX646" s="291">
        <f t="shared" si="8"/>
        <v>0</v>
      </c>
      <c r="BY646" s="344"/>
      <c r="BZ646" s="347"/>
      <c r="CA646" s="347"/>
    </row>
    <row r="647" spans="1:16384" ht="12.95" hidden="1" customHeight="1" x14ac:dyDescent="0.25">
      <c r="A647" s="313"/>
      <c r="B647" s="340"/>
      <c r="D647" s="354"/>
      <c r="E647" s="354"/>
      <c r="F647" s="354"/>
      <c r="G647" s="354"/>
      <c r="H647" s="354"/>
      <c r="I647" s="354"/>
      <c r="J647" s="354"/>
      <c r="K647" s="1318"/>
      <c r="L647" s="1318"/>
      <c r="M647" s="1318"/>
      <c r="N647" s="1318"/>
      <c r="O647" s="1318"/>
      <c r="P647" s="355"/>
      <c r="Q647" s="1318"/>
      <c r="R647" s="1318"/>
      <c r="S647" s="1318"/>
      <c r="T647" s="1318"/>
      <c r="U647" s="1318"/>
      <c r="V647" s="1318"/>
      <c r="W647" s="355"/>
      <c r="X647" s="1318"/>
      <c r="Y647" s="1318"/>
      <c r="Z647" s="1318"/>
      <c r="AA647" s="1318"/>
      <c r="AB647" s="1318"/>
      <c r="AC647" s="355"/>
      <c r="AD647" s="1318"/>
      <c r="AE647" s="1318"/>
      <c r="AF647" s="1318"/>
      <c r="AG647" s="1318"/>
      <c r="AH647" s="1318"/>
      <c r="AI647" s="1318"/>
      <c r="AJ647" s="344"/>
      <c r="AK647" s="345"/>
      <c r="AL647" s="340"/>
      <c r="AN647" s="354"/>
      <c r="AO647" s="354"/>
      <c r="AP647" s="354"/>
      <c r="AQ647" s="354"/>
      <c r="AR647" s="354"/>
      <c r="AS647" s="354"/>
      <c r="AT647" s="354"/>
      <c r="AU647" s="1318"/>
      <c r="AV647" s="1318"/>
      <c r="AW647" s="1318"/>
      <c r="AX647" s="1318"/>
      <c r="AY647" s="1318"/>
      <c r="AZ647" s="355"/>
      <c r="BA647" s="1318"/>
      <c r="BB647" s="1318"/>
      <c r="BC647" s="1318"/>
      <c r="BD647" s="1318"/>
      <c r="BE647" s="1318"/>
      <c r="BF647" s="1318"/>
      <c r="BG647" s="355"/>
      <c r="BH647" s="1318"/>
      <c r="BI647" s="1318"/>
      <c r="BJ647" s="1318"/>
      <c r="BK647" s="1318"/>
      <c r="BL647" s="1318"/>
      <c r="BM647" s="355"/>
      <c r="BN647" s="1318"/>
      <c r="BO647" s="1318"/>
      <c r="BP647" s="1318"/>
      <c r="BQ647" s="1318"/>
      <c r="BR647" s="1318"/>
      <c r="BS647" s="1318"/>
      <c r="BT647" s="359"/>
      <c r="BU647" s="346"/>
      <c r="BV647" s="310"/>
      <c r="BW647" s="310"/>
      <c r="BX647" s="291">
        <f t="shared" si="8"/>
        <v>0</v>
      </c>
      <c r="BY647" s="344"/>
      <c r="BZ647" s="347"/>
      <c r="CA647" s="347"/>
    </row>
    <row r="648" spans="1:16384" ht="15" hidden="1" customHeight="1" x14ac:dyDescent="0.25">
      <c r="A648" s="313"/>
      <c r="B648" s="340"/>
      <c r="C648" s="354" t="s">
        <v>891</v>
      </c>
      <c r="D648" s="354"/>
      <c r="E648" s="354"/>
      <c r="F648" s="354"/>
      <c r="G648" s="354"/>
      <c r="H648" s="354"/>
      <c r="I648" s="354"/>
      <c r="J648" s="354"/>
      <c r="K648" s="1566">
        <v>0</v>
      </c>
      <c r="L648" s="1566"/>
      <c r="M648" s="1566"/>
      <c r="N648" s="1566"/>
      <c r="O648" s="1566"/>
      <c r="P648" s="379"/>
      <c r="Q648" s="1566">
        <v>0</v>
      </c>
      <c r="R648" s="1566"/>
      <c r="S648" s="1566"/>
      <c r="T648" s="1566"/>
      <c r="U648" s="1566"/>
      <c r="V648" s="1566"/>
      <c r="W648" s="379"/>
      <c r="X648" s="1566">
        <v>0</v>
      </c>
      <c r="Y648" s="1566"/>
      <c r="Z648" s="1566"/>
      <c r="AA648" s="1566"/>
      <c r="AB648" s="1566"/>
      <c r="AC648" s="379"/>
      <c r="AD648" s="1566">
        <v>0</v>
      </c>
      <c r="AE648" s="1566"/>
      <c r="AF648" s="1566"/>
      <c r="AG648" s="1566"/>
      <c r="AH648" s="1566"/>
      <c r="AI648" s="1566"/>
      <c r="AJ648" s="344"/>
      <c r="AK648" s="345"/>
      <c r="AL648" s="340"/>
      <c r="AM648" s="354" t="s">
        <v>892</v>
      </c>
      <c r="AN648" s="354"/>
      <c r="AO648" s="354"/>
      <c r="AP648" s="354"/>
      <c r="AQ648" s="354"/>
      <c r="AR648" s="354"/>
      <c r="AS648" s="354"/>
      <c r="AT648" s="354"/>
      <c r="AU648" s="1566">
        <f>K648</f>
        <v>0</v>
      </c>
      <c r="AV648" s="1566"/>
      <c r="AW648" s="1566"/>
      <c r="AX648" s="1566"/>
      <c r="AY648" s="1566"/>
      <c r="AZ648" s="379"/>
      <c r="BA648" s="1566">
        <f>Q648</f>
        <v>0</v>
      </c>
      <c r="BB648" s="1566"/>
      <c r="BC648" s="1566"/>
      <c r="BD648" s="1566"/>
      <c r="BE648" s="1566"/>
      <c r="BF648" s="1566"/>
      <c r="BG648" s="379"/>
      <c r="BH648" s="1566">
        <f>X648</f>
        <v>0</v>
      </c>
      <c r="BI648" s="1566"/>
      <c r="BJ648" s="1566"/>
      <c r="BK648" s="1566"/>
      <c r="BL648" s="1566"/>
      <c r="BM648" s="379"/>
      <c r="BN648" s="1566">
        <f>AD648</f>
        <v>0</v>
      </c>
      <c r="BO648" s="1566"/>
      <c r="BP648" s="1566"/>
      <c r="BQ648" s="1566"/>
      <c r="BR648" s="1566"/>
      <c r="BS648" s="1566"/>
      <c r="BT648" s="359"/>
      <c r="BU648" s="346"/>
      <c r="BV648" s="310"/>
      <c r="BW648" s="310"/>
      <c r="BX648" s="291">
        <f t="shared" si="8"/>
        <v>0</v>
      </c>
      <c r="BY648" s="344"/>
      <c r="BZ648" s="347"/>
      <c r="CA648" s="347"/>
    </row>
    <row r="649" spans="1:16384" ht="15" hidden="1" customHeight="1" x14ac:dyDescent="0.25">
      <c r="A649" s="313"/>
      <c r="B649" s="340"/>
      <c r="C649" s="354" t="s">
        <v>893</v>
      </c>
      <c r="D649" s="354"/>
      <c r="E649" s="354"/>
      <c r="F649" s="354"/>
      <c r="G649" s="354"/>
      <c r="H649" s="354"/>
      <c r="I649" s="354"/>
      <c r="J649" s="354"/>
      <c r="K649" s="1566">
        <v>0</v>
      </c>
      <c r="L649" s="1566"/>
      <c r="M649" s="1566"/>
      <c r="N649" s="1566"/>
      <c r="O649" s="1566"/>
      <c r="P649" s="379"/>
      <c r="Q649" s="1566">
        <v>0</v>
      </c>
      <c r="R649" s="1566"/>
      <c r="S649" s="1566"/>
      <c r="T649" s="1566"/>
      <c r="U649" s="1566"/>
      <c r="V649" s="1566"/>
      <c r="W649" s="379"/>
      <c r="X649" s="1566">
        <v>0</v>
      </c>
      <c r="Y649" s="1566"/>
      <c r="Z649" s="1566"/>
      <c r="AA649" s="1566"/>
      <c r="AB649" s="1566"/>
      <c r="AC649" s="379"/>
      <c r="AD649" s="1566">
        <v>0</v>
      </c>
      <c r="AE649" s="1566"/>
      <c r="AF649" s="1566"/>
      <c r="AG649" s="1566"/>
      <c r="AH649" s="1566"/>
      <c r="AI649" s="1566"/>
      <c r="AJ649" s="344"/>
      <c r="AK649" s="345"/>
      <c r="AL649" s="340"/>
      <c r="AM649" s="354" t="s">
        <v>455</v>
      </c>
      <c r="AN649" s="354"/>
      <c r="AO649" s="354"/>
      <c r="AP649" s="354"/>
      <c r="AQ649" s="354"/>
      <c r="AR649" s="354"/>
      <c r="AS649" s="354"/>
      <c r="AT649" s="354"/>
      <c r="AU649" s="1566">
        <f>K649</f>
        <v>0</v>
      </c>
      <c r="AV649" s="1566"/>
      <c r="AW649" s="1566"/>
      <c r="AX649" s="1566"/>
      <c r="AY649" s="1566"/>
      <c r="AZ649" s="379"/>
      <c r="BA649" s="1566">
        <f>Q649</f>
        <v>0</v>
      </c>
      <c r="BB649" s="1566"/>
      <c r="BC649" s="1566"/>
      <c r="BD649" s="1566"/>
      <c r="BE649" s="1566"/>
      <c r="BF649" s="1566"/>
      <c r="BG649" s="379"/>
      <c r="BH649" s="1566">
        <f>X649</f>
        <v>0</v>
      </c>
      <c r="BI649" s="1566"/>
      <c r="BJ649" s="1566"/>
      <c r="BK649" s="1566"/>
      <c r="BL649" s="1566"/>
      <c r="BM649" s="379"/>
      <c r="BN649" s="1566">
        <f>AD649</f>
        <v>0</v>
      </c>
      <c r="BO649" s="1566"/>
      <c r="BP649" s="1566"/>
      <c r="BQ649" s="1566"/>
      <c r="BR649" s="1566"/>
      <c r="BS649" s="1566"/>
      <c r="BT649" s="359"/>
      <c r="BU649" s="346"/>
      <c r="BV649" s="310"/>
      <c r="BW649" s="310"/>
      <c r="BX649" s="291">
        <f t="shared" si="8"/>
        <v>0</v>
      </c>
      <c r="BY649" s="344"/>
      <c r="BZ649" s="347"/>
      <c r="CA649" s="347"/>
    </row>
    <row r="650" spans="1:16384" ht="15" hidden="1" customHeight="1" x14ac:dyDescent="0.25">
      <c r="A650" s="313"/>
      <c r="B650" s="340"/>
      <c r="C650" s="354" t="s">
        <v>469</v>
      </c>
      <c r="D650" s="354"/>
      <c r="E650" s="354"/>
      <c r="F650" s="354"/>
      <c r="G650" s="354"/>
      <c r="H650" s="354"/>
      <c r="I650" s="354"/>
      <c r="J650" s="354"/>
      <c r="K650" s="1566">
        <v>0</v>
      </c>
      <c r="L650" s="1566"/>
      <c r="M650" s="1566"/>
      <c r="N650" s="1566"/>
      <c r="O650" s="1566"/>
      <c r="P650" s="379"/>
      <c r="Q650" s="1566">
        <v>0</v>
      </c>
      <c r="R650" s="1566"/>
      <c r="S650" s="1566"/>
      <c r="T650" s="1566"/>
      <c r="U650" s="1566"/>
      <c r="V650" s="1566"/>
      <c r="W650" s="379"/>
      <c r="X650" s="1566">
        <v>0</v>
      </c>
      <c r="Y650" s="1566"/>
      <c r="Z650" s="1566"/>
      <c r="AA650" s="1566"/>
      <c r="AB650" s="1566"/>
      <c r="AC650" s="379"/>
      <c r="AD650" s="1566">
        <v>0</v>
      </c>
      <c r="AE650" s="1566"/>
      <c r="AF650" s="1566"/>
      <c r="AG650" s="1566"/>
      <c r="AH650" s="1566"/>
      <c r="AI650" s="1566"/>
      <c r="AJ650" s="344"/>
      <c r="AK650" s="345"/>
      <c r="AL650" s="340"/>
      <c r="AM650" s="354" t="s">
        <v>894</v>
      </c>
      <c r="AN650" s="354"/>
      <c r="AO650" s="354"/>
      <c r="AP650" s="354"/>
      <c r="AQ650" s="354"/>
      <c r="AR650" s="354"/>
      <c r="AS650" s="354"/>
      <c r="AT650" s="354"/>
      <c r="AU650" s="1566">
        <f>K650</f>
        <v>0</v>
      </c>
      <c r="AV650" s="1566"/>
      <c r="AW650" s="1566"/>
      <c r="AX650" s="1566"/>
      <c r="AY650" s="1566"/>
      <c r="AZ650" s="379"/>
      <c r="BA650" s="1566">
        <f>Q650</f>
        <v>0</v>
      </c>
      <c r="BB650" s="1566"/>
      <c r="BC650" s="1566"/>
      <c r="BD650" s="1566"/>
      <c r="BE650" s="1566"/>
      <c r="BF650" s="1566"/>
      <c r="BG650" s="379"/>
      <c r="BH650" s="1566">
        <f>X650</f>
        <v>0</v>
      </c>
      <c r="BI650" s="1566"/>
      <c r="BJ650" s="1566"/>
      <c r="BK650" s="1566"/>
      <c r="BL650" s="1566"/>
      <c r="BM650" s="379"/>
      <c r="BN650" s="1566">
        <f>AD650</f>
        <v>0</v>
      </c>
      <c r="BO650" s="1566"/>
      <c r="BP650" s="1566"/>
      <c r="BQ650" s="1566"/>
      <c r="BR650" s="1566"/>
      <c r="BS650" s="1566"/>
      <c r="BT650" s="359"/>
      <c r="BU650" s="346"/>
      <c r="BV650" s="310"/>
      <c r="BW650" s="310"/>
      <c r="BX650" s="291">
        <f t="shared" si="8"/>
        <v>0</v>
      </c>
      <c r="BY650" s="344"/>
      <c r="BZ650" s="347"/>
      <c r="CA650" s="347"/>
    </row>
    <row r="651" spans="1:16384" ht="15" hidden="1" customHeight="1" x14ac:dyDescent="0.25">
      <c r="A651" s="313"/>
      <c r="B651" s="340"/>
      <c r="C651" s="354" t="s">
        <v>895</v>
      </c>
      <c r="D651" s="354"/>
      <c r="E651" s="354"/>
      <c r="F651" s="354"/>
      <c r="G651" s="354"/>
      <c r="H651" s="354"/>
      <c r="I651" s="354"/>
      <c r="J651" s="354"/>
      <c r="K651" s="1566">
        <v>0</v>
      </c>
      <c r="L651" s="1566"/>
      <c r="M651" s="1566"/>
      <c r="N651" s="1566"/>
      <c r="O651" s="1566"/>
      <c r="P651" s="379"/>
      <c r="Q651" s="1566">
        <v>0</v>
      </c>
      <c r="R651" s="1566"/>
      <c r="S651" s="1566"/>
      <c r="T651" s="1566"/>
      <c r="U651" s="1566"/>
      <c r="V651" s="1566"/>
      <c r="W651" s="379"/>
      <c r="X651" s="1566">
        <v>0</v>
      </c>
      <c r="Y651" s="1566"/>
      <c r="Z651" s="1566"/>
      <c r="AA651" s="1566"/>
      <c r="AB651" s="1566"/>
      <c r="AC651" s="379"/>
      <c r="AD651" s="1566">
        <v>0</v>
      </c>
      <c r="AE651" s="1566"/>
      <c r="AF651" s="1566"/>
      <c r="AG651" s="1566"/>
      <c r="AH651" s="1566"/>
      <c r="AI651" s="1566"/>
      <c r="AJ651" s="344"/>
      <c r="AK651" s="345"/>
      <c r="AL651" s="340"/>
      <c r="AM651" s="354" t="s">
        <v>896</v>
      </c>
      <c r="AN651" s="354"/>
      <c r="AO651" s="354"/>
      <c r="AP651" s="354"/>
      <c r="AQ651" s="354"/>
      <c r="AR651" s="354"/>
      <c r="AS651" s="354"/>
      <c r="AT651" s="354"/>
      <c r="AU651" s="1566">
        <f>K651</f>
        <v>0</v>
      </c>
      <c r="AV651" s="1566"/>
      <c r="AW651" s="1566"/>
      <c r="AX651" s="1566"/>
      <c r="AY651" s="1566"/>
      <c r="AZ651" s="379"/>
      <c r="BA651" s="1566">
        <f>Q651</f>
        <v>0</v>
      </c>
      <c r="BB651" s="1566"/>
      <c r="BC651" s="1566"/>
      <c r="BD651" s="1566"/>
      <c r="BE651" s="1566"/>
      <c r="BF651" s="1566"/>
      <c r="BG651" s="379"/>
      <c r="BH651" s="1566">
        <f>X651</f>
        <v>0</v>
      </c>
      <c r="BI651" s="1566"/>
      <c r="BJ651" s="1566"/>
      <c r="BK651" s="1566"/>
      <c r="BL651" s="1566"/>
      <c r="BM651" s="379"/>
      <c r="BN651" s="1566">
        <f>AD651</f>
        <v>0</v>
      </c>
      <c r="BO651" s="1566"/>
      <c r="BP651" s="1566"/>
      <c r="BQ651" s="1566"/>
      <c r="BR651" s="1566"/>
      <c r="BS651" s="1566"/>
      <c r="BT651" s="359"/>
      <c r="BU651" s="346"/>
      <c r="BV651" s="310"/>
      <c r="BW651" s="310"/>
      <c r="BX651" s="291">
        <f t="shared" si="8"/>
        <v>0</v>
      </c>
      <c r="BY651" s="344"/>
      <c r="BZ651" s="347"/>
      <c r="CA651" s="347"/>
    </row>
    <row r="652" spans="1:16384" ht="12.95" hidden="1" customHeight="1" x14ac:dyDescent="0.25">
      <c r="A652" s="313"/>
      <c r="B652" s="340"/>
      <c r="C652" s="354"/>
      <c r="D652" s="354"/>
      <c r="E652" s="354"/>
      <c r="F652" s="354"/>
      <c r="G652" s="354"/>
      <c r="H652" s="354"/>
      <c r="I652" s="354"/>
      <c r="J652" s="354"/>
      <c r="K652" s="444"/>
      <c r="L652" s="444"/>
      <c r="M652" s="376"/>
      <c r="N652" s="376"/>
      <c r="O652" s="376"/>
      <c r="P652" s="376"/>
      <c r="Q652" s="1575"/>
      <c r="R652" s="1575"/>
      <c r="S652" s="1575"/>
      <c r="T652" s="1575"/>
      <c r="U652" s="1575"/>
      <c r="V652" s="1575"/>
      <c r="W652" s="376"/>
      <c r="X652" s="355"/>
      <c r="Y652" s="376"/>
      <c r="Z652" s="376"/>
      <c r="AA652" s="376"/>
      <c r="AB652" s="376"/>
      <c r="AC652" s="376"/>
      <c r="AD652" s="1575"/>
      <c r="AE652" s="1575"/>
      <c r="AF652" s="1575"/>
      <c r="AG652" s="1575"/>
      <c r="AH652" s="1575"/>
      <c r="AI652" s="1575"/>
      <c r="AJ652" s="344"/>
      <c r="AK652" s="345"/>
      <c r="AL652" s="340"/>
      <c r="AM652" s="354"/>
      <c r="AN652" s="354"/>
      <c r="AO652" s="354"/>
      <c r="AP652" s="354"/>
      <c r="AQ652" s="354"/>
      <c r="AR652" s="354"/>
      <c r="AS652" s="354"/>
      <c r="AT652" s="354"/>
      <c r="AU652" s="444"/>
      <c r="AV652" s="444"/>
      <c r="AW652" s="376"/>
      <c r="AX652" s="376"/>
      <c r="AY652" s="376"/>
      <c r="AZ652" s="376"/>
      <c r="BA652" s="1575"/>
      <c r="BB652" s="1575"/>
      <c r="BC652" s="1575"/>
      <c r="BD652" s="1575"/>
      <c r="BE652" s="1575"/>
      <c r="BF652" s="1575"/>
      <c r="BG652" s="376"/>
      <c r="BH652" s="355"/>
      <c r="BI652" s="376"/>
      <c r="BJ652" s="376"/>
      <c r="BK652" s="376"/>
      <c r="BL652" s="376"/>
      <c r="BM652" s="376"/>
      <c r="BN652" s="1575"/>
      <c r="BO652" s="1575"/>
      <c r="BP652" s="1575"/>
      <c r="BQ652" s="1575"/>
      <c r="BR652" s="1575"/>
      <c r="BS652" s="1575"/>
      <c r="BT652" s="359"/>
      <c r="BU652" s="346"/>
      <c r="BV652" s="310"/>
      <c r="BW652" s="310"/>
      <c r="BX652" s="291">
        <f t="shared" si="8"/>
        <v>0</v>
      </c>
      <c r="BY652" s="344"/>
      <c r="BZ652" s="347"/>
      <c r="CA652" s="347"/>
    </row>
    <row r="653" spans="1:16384" ht="15" hidden="1" customHeight="1" thickBot="1" x14ac:dyDescent="0.3">
      <c r="A653" s="313"/>
      <c r="B653" s="340"/>
      <c r="C653" s="360" t="s">
        <v>752</v>
      </c>
      <c r="D653" s="354"/>
      <c r="E653" s="354"/>
      <c r="F653" s="354"/>
      <c r="G653" s="354"/>
      <c r="H653" s="354"/>
      <c r="I653" s="354"/>
      <c r="J653" s="354"/>
      <c r="K653" s="444"/>
      <c r="L653" s="432"/>
      <c r="M653" s="376"/>
      <c r="N653" s="376"/>
      <c r="O653" s="376"/>
      <c r="P653" s="376"/>
      <c r="Q653" s="1574">
        <f>SUBTOTAL(109,Q648:V651)</f>
        <v>0</v>
      </c>
      <c r="R653" s="1574"/>
      <c r="S653" s="1574"/>
      <c r="T653" s="1574"/>
      <c r="U653" s="1574"/>
      <c r="V653" s="1574"/>
      <c r="W653" s="376"/>
      <c r="X653" s="432"/>
      <c r="Y653" s="376"/>
      <c r="Z653" s="376"/>
      <c r="AA653" s="376"/>
      <c r="AB653" s="376"/>
      <c r="AC653" s="376"/>
      <c r="AD653" s="1574">
        <f>SUBTOTAL(109,AD648:AI651)</f>
        <v>0</v>
      </c>
      <c r="AE653" s="1574"/>
      <c r="AF653" s="1574"/>
      <c r="AG653" s="1574"/>
      <c r="AH653" s="1574"/>
      <c r="AI653" s="1574"/>
      <c r="AJ653" s="344"/>
      <c r="AK653" s="345"/>
      <c r="AL653" s="340"/>
      <c r="AM653" s="360" t="s">
        <v>752</v>
      </c>
      <c r="AN653" s="354"/>
      <c r="AO653" s="354"/>
      <c r="AP653" s="354"/>
      <c r="AQ653" s="354"/>
      <c r="AR653" s="354"/>
      <c r="AS653" s="354"/>
      <c r="AT653" s="354"/>
      <c r="AU653" s="444"/>
      <c r="AV653" s="432"/>
      <c r="AW653" s="376"/>
      <c r="AX653" s="376"/>
      <c r="AY653" s="376"/>
      <c r="AZ653" s="376"/>
      <c r="BA653" s="1574">
        <f>SUBTOTAL(109,BA648:BF651)</f>
        <v>0</v>
      </c>
      <c r="BB653" s="1574"/>
      <c r="BC653" s="1574"/>
      <c r="BD653" s="1574"/>
      <c r="BE653" s="1574"/>
      <c r="BF653" s="1574"/>
      <c r="BG653" s="376"/>
      <c r="BH653" s="432"/>
      <c r="BI653" s="376"/>
      <c r="BJ653" s="376"/>
      <c r="BK653" s="376"/>
      <c r="BL653" s="376"/>
      <c r="BM653" s="376"/>
      <c r="BN653" s="1574">
        <f>SUBTOTAL(109,BN648:BS651)</f>
        <v>0</v>
      </c>
      <c r="BO653" s="1574"/>
      <c r="BP653" s="1574"/>
      <c r="BQ653" s="1574"/>
      <c r="BR653" s="1574"/>
      <c r="BS653" s="1574"/>
      <c r="BT653" s="361"/>
      <c r="BU653" s="362"/>
      <c r="BV653" s="310">
        <f>Q653-KN_CT139</f>
        <v>0</v>
      </c>
      <c r="BW653" s="310">
        <f>AD653-KT_CT139</f>
        <v>0</v>
      </c>
      <c r="BX653" s="291">
        <f t="shared" si="8"/>
        <v>0</v>
      </c>
      <c r="BY653" s="344"/>
      <c r="BZ653" s="347"/>
      <c r="CA653" s="347"/>
    </row>
    <row r="654" spans="1:16384" ht="14.1" hidden="1" customHeight="1" thickTop="1" x14ac:dyDescent="0.25">
      <c r="A654" s="313"/>
      <c r="B654" s="340"/>
      <c r="C654" s="373"/>
      <c r="D654" s="373"/>
      <c r="E654" s="373"/>
      <c r="F654" s="373"/>
      <c r="G654" s="373"/>
      <c r="H654" s="373"/>
      <c r="I654" s="373"/>
      <c r="J654" s="373"/>
      <c r="K654" s="373"/>
      <c r="L654" s="373"/>
      <c r="M654" s="373"/>
      <c r="N654" s="373"/>
      <c r="O654" s="373"/>
      <c r="P654" s="373"/>
      <c r="Q654" s="373"/>
      <c r="R654" s="373"/>
      <c r="S654" s="373"/>
      <c r="T654" s="373"/>
      <c r="U654" s="389"/>
      <c r="V654" s="389"/>
      <c r="W654" s="368"/>
      <c r="X654" s="368"/>
      <c r="Y654" s="368"/>
      <c r="Z654" s="368"/>
      <c r="AA654" s="368"/>
      <c r="AB654" s="368"/>
      <c r="AC654" s="343"/>
      <c r="AD654" s="368"/>
      <c r="AE654" s="368"/>
      <c r="AF654" s="368"/>
      <c r="AG654" s="368"/>
      <c r="AH654" s="368"/>
      <c r="AI654" s="368"/>
      <c r="AJ654" s="344"/>
      <c r="AK654" s="345"/>
      <c r="AL654" s="340"/>
      <c r="AM654" s="340"/>
      <c r="AN654" s="340"/>
      <c r="AO654" s="340"/>
      <c r="AP654" s="340"/>
      <c r="AQ654" s="340"/>
      <c r="AR654" s="340"/>
      <c r="AS654" s="340"/>
      <c r="AT654" s="340"/>
      <c r="AU654" s="340"/>
      <c r="AV654" s="340"/>
      <c r="AW654" s="340"/>
      <c r="AX654" s="340"/>
      <c r="AY654" s="340"/>
      <c r="AZ654" s="340"/>
      <c r="BA654" s="340"/>
      <c r="BB654" s="340"/>
      <c r="BC654" s="340"/>
      <c r="BD654" s="340"/>
      <c r="BE654" s="342"/>
      <c r="BF654" s="342"/>
      <c r="BG654" s="361"/>
      <c r="BH654" s="361"/>
      <c r="BI654" s="361"/>
      <c r="BJ654" s="361"/>
      <c r="BK654" s="361"/>
      <c r="BL654" s="361"/>
      <c r="BM654" s="342"/>
      <c r="BN654" s="361"/>
      <c r="BO654" s="361"/>
      <c r="BP654" s="361"/>
      <c r="BQ654" s="361"/>
      <c r="BR654" s="361"/>
      <c r="BS654" s="361"/>
      <c r="BT654" s="361"/>
      <c r="BU654" s="362"/>
      <c r="BV654" s="310"/>
      <c r="BW654" s="310"/>
      <c r="BX654" s="291">
        <f t="shared" si="8"/>
        <v>0</v>
      </c>
      <c r="BY654" s="344"/>
      <c r="BZ654" s="347"/>
      <c r="CA654" s="347"/>
    </row>
    <row r="655" spans="1:16384" ht="14.1" hidden="1" customHeight="1" x14ac:dyDescent="0.25">
      <c r="A655" s="313"/>
      <c r="B655" s="340"/>
      <c r="C655" s="445" t="s">
        <v>897</v>
      </c>
      <c r="D655" s="373"/>
      <c r="E655" s="373"/>
      <c r="F655" s="373"/>
      <c r="G655" s="373"/>
      <c r="H655" s="373"/>
      <c r="I655" s="373"/>
      <c r="J655" s="373"/>
      <c r="K655" s="373"/>
      <c r="L655" s="373"/>
      <c r="M655" s="373"/>
      <c r="N655" s="373"/>
      <c r="O655" s="373"/>
      <c r="P655" s="373"/>
      <c r="Q655" s="373"/>
      <c r="R655" s="373"/>
      <c r="S655" s="373"/>
      <c r="T655" s="373"/>
      <c r="U655" s="389"/>
      <c r="V655" s="389"/>
      <c r="W655" s="368"/>
      <c r="X655" s="368"/>
      <c r="Y655" s="368"/>
      <c r="Z655" s="368"/>
      <c r="AA655" s="368"/>
      <c r="AB655" s="368"/>
      <c r="AC655" s="343"/>
      <c r="AD655" s="368"/>
      <c r="AE655" s="368"/>
      <c r="AF655" s="368"/>
      <c r="AG655" s="368"/>
      <c r="AH655" s="368"/>
      <c r="AI655" s="368"/>
      <c r="AJ655" s="344"/>
      <c r="AK655" s="345"/>
      <c r="AL655" s="340"/>
      <c r="AM655" s="340"/>
      <c r="AN655" s="340"/>
      <c r="AO655" s="340"/>
      <c r="AP655" s="340"/>
      <c r="AQ655" s="340"/>
      <c r="AR655" s="340"/>
      <c r="AS655" s="340"/>
      <c r="AT655" s="340"/>
      <c r="AU655" s="340"/>
      <c r="AV655" s="340"/>
      <c r="AW655" s="340"/>
      <c r="AX655" s="340"/>
      <c r="AY655" s="340"/>
      <c r="AZ655" s="340"/>
      <c r="BA655" s="340"/>
      <c r="BB655" s="340"/>
      <c r="BC655" s="340"/>
      <c r="BD655" s="340"/>
      <c r="BE655" s="342"/>
      <c r="BF655" s="342"/>
      <c r="BG655" s="361"/>
      <c r="BH655" s="361"/>
      <c r="BI655" s="361"/>
      <c r="BJ655" s="361"/>
      <c r="BK655" s="361"/>
      <c r="BL655" s="361"/>
      <c r="BM655" s="342"/>
      <c r="BN655" s="361"/>
      <c r="BO655" s="361"/>
      <c r="BP655" s="361"/>
      <c r="BQ655" s="361"/>
      <c r="BR655" s="361"/>
      <c r="BS655" s="361"/>
      <c r="BT655" s="361"/>
      <c r="BU655" s="362"/>
      <c r="BV655" s="310"/>
      <c r="BW655" s="310"/>
      <c r="BX655" s="291">
        <f t="shared" si="8"/>
        <v>0</v>
      </c>
      <c r="BY655" s="344"/>
      <c r="BZ655" s="347"/>
      <c r="CA655" s="347"/>
    </row>
    <row r="656" spans="1:16384" ht="14.1" hidden="1" customHeight="1" x14ac:dyDescent="0.25">
      <c r="A656" s="313"/>
      <c r="B656" s="340"/>
      <c r="C656" s="445" t="s">
        <v>898</v>
      </c>
      <c r="D656" s="373"/>
      <c r="E656" s="373"/>
      <c r="F656" s="373"/>
      <c r="G656" s="373"/>
      <c r="H656" s="373"/>
      <c r="I656" s="373"/>
      <c r="J656" s="373"/>
      <c r="K656" s="373"/>
      <c r="L656" s="373"/>
      <c r="M656" s="373"/>
      <c r="N656" s="373"/>
      <c r="O656" s="373"/>
      <c r="P656" s="373"/>
      <c r="Q656" s="373"/>
      <c r="R656" s="373"/>
      <c r="S656" s="373"/>
      <c r="T656" s="373"/>
      <c r="U656" s="389"/>
      <c r="V656" s="389"/>
      <c r="W656" s="368"/>
      <c r="X656" s="368"/>
      <c r="Y656" s="368"/>
      <c r="Z656" s="368"/>
      <c r="AA656" s="368"/>
      <c r="AB656" s="368"/>
      <c r="AC656" s="343"/>
      <c r="AD656" s="368"/>
      <c r="AE656" s="368"/>
      <c r="AF656" s="368"/>
      <c r="AG656" s="368"/>
      <c r="AH656" s="368"/>
      <c r="AI656" s="368"/>
      <c r="AJ656" s="344"/>
      <c r="AK656" s="345"/>
      <c r="AL656" s="340"/>
      <c r="AM656" s="340"/>
      <c r="AN656" s="340"/>
      <c r="AO656" s="340"/>
      <c r="AP656" s="340"/>
      <c r="AQ656" s="340"/>
      <c r="AR656" s="340"/>
      <c r="AS656" s="340"/>
      <c r="AT656" s="340"/>
      <c r="AU656" s="340"/>
      <c r="AV656" s="340"/>
      <c r="AW656" s="340"/>
      <c r="AX656" s="340"/>
      <c r="AY656" s="340"/>
      <c r="AZ656" s="340"/>
      <c r="BA656" s="340"/>
      <c r="BB656" s="340"/>
      <c r="BC656" s="340"/>
      <c r="BD656" s="340"/>
      <c r="BE656" s="342"/>
      <c r="BF656" s="342"/>
      <c r="BG656" s="361"/>
      <c r="BH656" s="361"/>
      <c r="BI656" s="361"/>
      <c r="BJ656" s="361"/>
      <c r="BK656" s="361"/>
      <c r="BL656" s="361"/>
      <c r="BM656" s="342"/>
      <c r="BN656" s="361"/>
      <c r="BO656" s="361"/>
      <c r="BP656" s="361"/>
      <c r="BQ656" s="361"/>
      <c r="BR656" s="361"/>
      <c r="BS656" s="361"/>
      <c r="BT656" s="361"/>
      <c r="BU656" s="362"/>
      <c r="BV656" s="310"/>
      <c r="BW656" s="310"/>
      <c r="BX656" s="291">
        <f t="shared" si="8"/>
        <v>0</v>
      </c>
      <c r="BY656" s="344"/>
      <c r="BZ656" s="347"/>
      <c r="CA656" s="347"/>
    </row>
    <row r="657" spans="1:79" ht="14.1" hidden="1" customHeight="1" x14ac:dyDescent="0.25">
      <c r="A657" s="313"/>
      <c r="B657" s="340"/>
      <c r="C657" s="373"/>
      <c r="D657" s="373"/>
      <c r="E657" s="373"/>
      <c r="F657" s="373"/>
      <c r="G657" s="373"/>
      <c r="H657" s="373"/>
      <c r="I657" s="373"/>
      <c r="J657" s="373"/>
      <c r="K657" s="373"/>
      <c r="L657" s="373"/>
      <c r="M657" s="373"/>
      <c r="N657" s="373"/>
      <c r="O657" s="373"/>
      <c r="P657" s="373"/>
      <c r="Q657" s="373"/>
      <c r="R657" s="373"/>
      <c r="S657" s="373"/>
      <c r="T657" s="373"/>
      <c r="U657" s="389"/>
      <c r="V657" s="389"/>
      <c r="W657" s="1325" t="str">
        <f>Ky_Nay1_V</f>
        <v>31/12/2017</v>
      </c>
      <c r="X657" s="1325"/>
      <c r="Y657" s="1325"/>
      <c r="Z657" s="1325"/>
      <c r="AA657" s="1325"/>
      <c r="AB657" s="1325"/>
      <c r="AC657" s="351"/>
      <c r="AD657" s="1325" t="str">
        <f>Ky_Truoc1_V</f>
        <v>01/01/2017</v>
      </c>
      <c r="AE657" s="1325"/>
      <c r="AF657" s="1325"/>
      <c r="AG657" s="1325"/>
      <c r="AH657" s="1325"/>
      <c r="AI657" s="1325"/>
      <c r="AJ657" s="344"/>
      <c r="AK657" s="345"/>
      <c r="AL657" s="340"/>
      <c r="AM657" s="340"/>
      <c r="AN657" s="340"/>
      <c r="AO657" s="340"/>
      <c r="AP657" s="340"/>
      <c r="AQ657" s="340"/>
      <c r="AR657" s="340"/>
      <c r="AS657" s="340"/>
      <c r="AT657" s="340"/>
      <c r="AU657" s="340"/>
      <c r="AV657" s="340"/>
      <c r="AW657" s="340"/>
      <c r="AX657" s="340"/>
      <c r="AY657" s="340"/>
      <c r="AZ657" s="340"/>
      <c r="BA657" s="340"/>
      <c r="BB657" s="340"/>
      <c r="BC657" s="340"/>
      <c r="BD657" s="340"/>
      <c r="BE657" s="342"/>
      <c r="BF657" s="342"/>
      <c r="BG657" s="1325" t="str">
        <f>Ky_Nay1_V</f>
        <v>31/12/2017</v>
      </c>
      <c r="BH657" s="1325"/>
      <c r="BI657" s="1325"/>
      <c r="BJ657" s="1325"/>
      <c r="BK657" s="1325"/>
      <c r="BL657" s="1325"/>
      <c r="BM657" s="351"/>
      <c r="BN657" s="1325" t="str">
        <f>Ky_Truoc1_V</f>
        <v>01/01/2017</v>
      </c>
      <c r="BO657" s="1325"/>
      <c r="BP657" s="1325"/>
      <c r="BQ657" s="1325"/>
      <c r="BR657" s="1325"/>
      <c r="BS657" s="1325"/>
      <c r="BT657" s="361"/>
      <c r="BU657" s="362"/>
      <c r="BV657" s="310"/>
      <c r="BW657" s="310"/>
      <c r="BX657" s="291">
        <f t="shared" si="8"/>
        <v>0</v>
      </c>
      <c r="BY657" s="344"/>
      <c r="BZ657" s="347"/>
      <c r="CA657" s="347"/>
    </row>
    <row r="658" spans="1:79" ht="14.1" hidden="1" customHeight="1" x14ac:dyDescent="0.25">
      <c r="A658" s="313"/>
      <c r="B658" s="340"/>
      <c r="C658" s="373"/>
      <c r="D658" s="373"/>
      <c r="E658" s="373"/>
      <c r="F658" s="373"/>
      <c r="G658" s="373"/>
      <c r="H658" s="373"/>
      <c r="I658" s="373"/>
      <c r="J658" s="373"/>
      <c r="K658" s="373"/>
      <c r="L658" s="373"/>
      <c r="M658" s="373"/>
      <c r="N658" s="373"/>
      <c r="O658" s="373"/>
      <c r="P658" s="373"/>
      <c r="Q658" s="373"/>
      <c r="R658" s="373"/>
      <c r="S658" s="373"/>
      <c r="T658" s="373"/>
      <c r="U658" s="389"/>
      <c r="V658" s="389"/>
      <c r="W658" s="1327" t="str">
        <f>Don_Vi_Tinh_V</f>
        <v>VND</v>
      </c>
      <c r="X658" s="1327"/>
      <c r="Y658" s="1327"/>
      <c r="Z658" s="1327"/>
      <c r="AA658" s="1327"/>
      <c r="AB658" s="1327"/>
      <c r="AC658" s="351"/>
      <c r="AD658" s="1327" t="str">
        <f>Don_Vi_Tinh_V</f>
        <v>VND</v>
      </c>
      <c r="AE658" s="1327"/>
      <c r="AF658" s="1327"/>
      <c r="AG658" s="1327"/>
      <c r="AH658" s="1327"/>
      <c r="AI658" s="1327"/>
      <c r="AJ658" s="344"/>
      <c r="AK658" s="345"/>
      <c r="AL658" s="340"/>
      <c r="AM658" s="340"/>
      <c r="AN658" s="340"/>
      <c r="AO658" s="340"/>
      <c r="AP658" s="340"/>
      <c r="AQ658" s="340"/>
      <c r="AR658" s="340"/>
      <c r="AS658" s="340"/>
      <c r="AT658" s="340"/>
      <c r="AU658" s="340"/>
      <c r="AV658" s="340"/>
      <c r="AW658" s="340"/>
      <c r="AX658" s="340"/>
      <c r="AY658" s="340"/>
      <c r="AZ658" s="340"/>
      <c r="BA658" s="340"/>
      <c r="BB658" s="340"/>
      <c r="BC658" s="340"/>
      <c r="BD658" s="340"/>
      <c r="BE658" s="342"/>
      <c r="BF658" s="342"/>
      <c r="BG658" s="1327" t="str">
        <f>Don_Vi_Tinh_V</f>
        <v>VND</v>
      </c>
      <c r="BH658" s="1327"/>
      <c r="BI658" s="1327"/>
      <c r="BJ658" s="1327"/>
      <c r="BK658" s="1327"/>
      <c r="BL658" s="1327"/>
      <c r="BM658" s="351"/>
      <c r="BN658" s="1327" t="str">
        <f>Don_Vi_Tinh_V</f>
        <v>VND</v>
      </c>
      <c r="BO658" s="1327"/>
      <c r="BP658" s="1327"/>
      <c r="BQ658" s="1327"/>
      <c r="BR658" s="1327"/>
      <c r="BS658" s="1327"/>
      <c r="BT658" s="361"/>
      <c r="BU658" s="362"/>
      <c r="BV658" s="310"/>
      <c r="BW658" s="310"/>
      <c r="BX658" s="291">
        <f t="shared" si="8"/>
        <v>0</v>
      </c>
      <c r="BY658" s="344"/>
      <c r="BZ658" s="347"/>
      <c r="CA658" s="347"/>
    </row>
    <row r="659" spans="1:79" ht="12.95" hidden="1" customHeight="1" x14ac:dyDescent="0.25">
      <c r="A659" s="313"/>
      <c r="B659" s="340"/>
      <c r="C659" s="373"/>
      <c r="D659" s="373"/>
      <c r="E659" s="373"/>
      <c r="F659" s="373"/>
      <c r="G659" s="373"/>
      <c r="H659" s="373"/>
      <c r="I659" s="373"/>
      <c r="J659" s="373"/>
      <c r="K659" s="373"/>
      <c r="L659" s="373"/>
      <c r="M659" s="373"/>
      <c r="N659" s="373"/>
      <c r="O659" s="373"/>
      <c r="P659" s="373"/>
      <c r="Q659" s="373"/>
      <c r="R659" s="373"/>
      <c r="S659" s="373"/>
      <c r="T659" s="373"/>
      <c r="U659" s="389"/>
      <c r="V659" s="389"/>
      <c r="W659" s="355"/>
      <c r="X659" s="355"/>
      <c r="Y659" s="355"/>
      <c r="Z659" s="355"/>
      <c r="AA659" s="355"/>
      <c r="AB659" s="355"/>
      <c r="AC659" s="355"/>
      <c r="AD659" s="355"/>
      <c r="AE659" s="355"/>
      <c r="AF659" s="355"/>
      <c r="AG659" s="355"/>
      <c r="AH659" s="355"/>
      <c r="AI659" s="355"/>
      <c r="AJ659" s="344"/>
      <c r="AK659" s="345"/>
      <c r="AL659" s="340"/>
      <c r="AM659" s="340"/>
      <c r="AN659" s="340"/>
      <c r="AO659" s="340"/>
      <c r="AP659" s="340"/>
      <c r="AQ659" s="340"/>
      <c r="AR659" s="340"/>
      <c r="AS659" s="340"/>
      <c r="AT659" s="340"/>
      <c r="AU659" s="340"/>
      <c r="AV659" s="340"/>
      <c r="AW659" s="340"/>
      <c r="AX659" s="340"/>
      <c r="AY659" s="340"/>
      <c r="AZ659" s="340"/>
      <c r="BA659" s="340"/>
      <c r="BB659" s="340"/>
      <c r="BC659" s="340"/>
      <c r="BD659" s="340"/>
      <c r="BE659" s="342"/>
      <c r="BF659" s="342"/>
      <c r="BG659" s="355"/>
      <c r="BH659" s="355"/>
      <c r="BI659" s="355"/>
      <c r="BJ659" s="355"/>
      <c r="BK659" s="355"/>
      <c r="BL659" s="355"/>
      <c r="BM659" s="355"/>
      <c r="BN659" s="355"/>
      <c r="BO659" s="355"/>
      <c r="BP659" s="355"/>
      <c r="BQ659" s="355"/>
      <c r="BR659" s="355"/>
      <c r="BS659" s="355"/>
      <c r="BT659" s="361"/>
      <c r="BU659" s="362"/>
      <c r="BV659" s="310"/>
      <c r="BW659" s="310"/>
      <c r="BX659" s="291">
        <f t="shared" si="8"/>
        <v>0</v>
      </c>
      <c r="BY659" s="344"/>
      <c r="BZ659" s="347"/>
      <c r="CA659" s="347"/>
    </row>
    <row r="660" spans="1:79" ht="15" hidden="1" customHeight="1" x14ac:dyDescent="0.25">
      <c r="A660" s="369"/>
      <c r="B660" s="354"/>
      <c r="C660" s="354" t="s">
        <v>891</v>
      </c>
      <c r="D660" s="386"/>
      <c r="E660" s="386"/>
      <c r="F660" s="386"/>
      <c r="G660" s="386"/>
      <c r="H660" s="386"/>
      <c r="I660" s="386"/>
      <c r="J660" s="386"/>
      <c r="K660" s="386"/>
      <c r="L660" s="386"/>
      <c r="M660" s="386"/>
      <c r="N660" s="386"/>
      <c r="O660" s="386"/>
      <c r="P660" s="386"/>
      <c r="Q660" s="386"/>
      <c r="R660" s="386"/>
      <c r="S660" s="386"/>
      <c r="T660" s="386"/>
      <c r="U660" s="389"/>
      <c r="V660" s="389"/>
      <c r="W660" s="1318"/>
      <c r="X660" s="1318"/>
      <c r="Y660" s="1318"/>
      <c r="Z660" s="1318"/>
      <c r="AA660" s="1318"/>
      <c r="AB660" s="1318"/>
      <c r="AC660" s="355"/>
      <c r="AD660" s="1318"/>
      <c r="AE660" s="1318"/>
      <c r="AF660" s="1318"/>
      <c r="AG660" s="1318"/>
      <c r="AH660" s="1318"/>
      <c r="AI660" s="1318"/>
      <c r="AJ660" s="344"/>
      <c r="AK660" s="419"/>
      <c r="AL660" s="354"/>
      <c r="AM660" s="354" t="s">
        <v>892</v>
      </c>
      <c r="AN660" s="354"/>
      <c r="AO660" s="354"/>
      <c r="AP660" s="354"/>
      <c r="AQ660" s="354"/>
      <c r="AR660" s="354"/>
      <c r="AS660" s="354"/>
      <c r="AT660" s="354"/>
      <c r="AU660" s="354"/>
      <c r="AV660" s="354"/>
      <c r="AW660" s="354"/>
      <c r="AX660" s="354"/>
      <c r="AY660" s="354"/>
      <c r="AZ660" s="354"/>
      <c r="BA660" s="354"/>
      <c r="BB660" s="354"/>
      <c r="BC660" s="354"/>
      <c r="BD660" s="354"/>
      <c r="BE660" s="342"/>
      <c r="BF660" s="342"/>
      <c r="BG660" s="1318">
        <f>W660</f>
        <v>0</v>
      </c>
      <c r="BH660" s="1318"/>
      <c r="BI660" s="1318"/>
      <c r="BJ660" s="1318"/>
      <c r="BK660" s="1318"/>
      <c r="BL660" s="1318"/>
      <c r="BM660" s="355"/>
      <c r="BN660" s="1318">
        <f>AD660</f>
        <v>0</v>
      </c>
      <c r="BO660" s="1318"/>
      <c r="BP660" s="1318"/>
      <c r="BQ660" s="1318"/>
      <c r="BR660" s="1318"/>
      <c r="BS660" s="1318"/>
      <c r="BT660" s="356"/>
      <c r="BU660" s="357"/>
      <c r="BV660" s="310"/>
      <c r="BW660" s="310"/>
      <c r="BX660" s="291">
        <f t="shared" si="8"/>
        <v>0</v>
      </c>
      <c r="BY660" s="344"/>
      <c r="BZ660" s="347"/>
      <c r="CA660" s="347"/>
    </row>
    <row r="661" spans="1:79" ht="15" hidden="1" customHeight="1" x14ac:dyDescent="0.25">
      <c r="A661" s="313"/>
      <c r="B661" s="340"/>
      <c r="C661" s="354" t="s">
        <v>893</v>
      </c>
      <c r="D661" s="373"/>
      <c r="E661" s="373"/>
      <c r="F661" s="373"/>
      <c r="G661" s="373"/>
      <c r="H661" s="373"/>
      <c r="I661" s="373"/>
      <c r="J661" s="373"/>
      <c r="K661" s="373"/>
      <c r="L661" s="373"/>
      <c r="M661" s="373"/>
      <c r="N661" s="373"/>
      <c r="O661" s="373"/>
      <c r="P661" s="373"/>
      <c r="Q661" s="373"/>
      <c r="R661" s="373"/>
      <c r="S661" s="373"/>
      <c r="T661" s="373"/>
      <c r="U661" s="389"/>
      <c r="V661" s="389"/>
      <c r="W661" s="1318"/>
      <c r="X661" s="1318"/>
      <c r="Y661" s="1318"/>
      <c r="Z661" s="1318"/>
      <c r="AA661" s="1318"/>
      <c r="AB661" s="1318"/>
      <c r="AC661" s="355"/>
      <c r="AD661" s="1318"/>
      <c r="AE661" s="1318"/>
      <c r="AF661" s="1318"/>
      <c r="AG661" s="1318"/>
      <c r="AH661" s="1318"/>
      <c r="AI661" s="1318"/>
      <c r="AJ661" s="344"/>
      <c r="AK661" s="345"/>
      <c r="AL661" s="340"/>
      <c r="AM661" s="354" t="s">
        <v>455</v>
      </c>
      <c r="AN661" s="340"/>
      <c r="AO661" s="340"/>
      <c r="AP661" s="340"/>
      <c r="AQ661" s="340"/>
      <c r="AR661" s="340"/>
      <c r="AS661" s="340"/>
      <c r="AT661" s="340"/>
      <c r="AU661" s="340"/>
      <c r="AV661" s="340"/>
      <c r="AW661" s="340"/>
      <c r="AX661" s="340"/>
      <c r="AY661" s="340"/>
      <c r="AZ661" s="340"/>
      <c r="BA661" s="340"/>
      <c r="BB661" s="340"/>
      <c r="BC661" s="340"/>
      <c r="BD661" s="340"/>
      <c r="BE661" s="342"/>
      <c r="BF661" s="342"/>
      <c r="BG661" s="1318">
        <f>W661</f>
        <v>0</v>
      </c>
      <c r="BH661" s="1318"/>
      <c r="BI661" s="1318"/>
      <c r="BJ661" s="1318"/>
      <c r="BK661" s="1318"/>
      <c r="BL661" s="1318"/>
      <c r="BM661" s="355"/>
      <c r="BN661" s="1318">
        <f>AD661</f>
        <v>0</v>
      </c>
      <c r="BO661" s="1318"/>
      <c r="BP661" s="1318"/>
      <c r="BQ661" s="1318"/>
      <c r="BR661" s="1318"/>
      <c r="BS661" s="1318"/>
      <c r="BT661" s="361"/>
      <c r="BU661" s="362"/>
      <c r="BV661" s="310"/>
      <c r="BW661" s="310"/>
      <c r="BX661" s="291">
        <f t="shared" si="8"/>
        <v>0</v>
      </c>
      <c r="BY661" s="344"/>
      <c r="BZ661" s="347"/>
      <c r="CA661" s="347"/>
    </row>
    <row r="662" spans="1:79" ht="15" hidden="1" customHeight="1" x14ac:dyDescent="0.25">
      <c r="A662" s="313"/>
      <c r="B662" s="340"/>
      <c r="C662" s="354" t="s">
        <v>469</v>
      </c>
      <c r="D662" s="373"/>
      <c r="E662" s="373"/>
      <c r="F662" s="373"/>
      <c r="G662" s="373"/>
      <c r="H662" s="373"/>
      <c r="I662" s="373"/>
      <c r="J662" s="373"/>
      <c r="K662" s="373"/>
      <c r="L662" s="373"/>
      <c r="M662" s="373"/>
      <c r="N662" s="373"/>
      <c r="O662" s="373"/>
      <c r="P662" s="373"/>
      <c r="Q662" s="373"/>
      <c r="R662" s="373"/>
      <c r="S662" s="373"/>
      <c r="T662" s="373"/>
      <c r="U662" s="389"/>
      <c r="V662" s="389"/>
      <c r="W662" s="1318"/>
      <c r="X662" s="1318"/>
      <c r="Y662" s="1318"/>
      <c r="Z662" s="1318"/>
      <c r="AA662" s="1318"/>
      <c r="AB662" s="1318"/>
      <c r="AC662" s="355"/>
      <c r="AD662" s="1318"/>
      <c r="AE662" s="1318"/>
      <c r="AF662" s="1318"/>
      <c r="AG662" s="1318"/>
      <c r="AH662" s="1318"/>
      <c r="AI662" s="1318"/>
      <c r="AJ662" s="344"/>
      <c r="AK662" s="345"/>
      <c r="AL662" s="340"/>
      <c r="AM662" s="354" t="s">
        <v>894</v>
      </c>
      <c r="AN662" s="340"/>
      <c r="AO662" s="340"/>
      <c r="AP662" s="340"/>
      <c r="AQ662" s="340"/>
      <c r="AR662" s="340"/>
      <c r="AS662" s="340"/>
      <c r="AT662" s="340"/>
      <c r="AU662" s="340"/>
      <c r="AV662" s="340"/>
      <c r="AW662" s="340"/>
      <c r="AX662" s="340"/>
      <c r="AY662" s="340"/>
      <c r="AZ662" s="340"/>
      <c r="BA662" s="340"/>
      <c r="BB662" s="340"/>
      <c r="BC662" s="340"/>
      <c r="BD662" s="340"/>
      <c r="BE662" s="342"/>
      <c r="BF662" s="342"/>
      <c r="BG662" s="1318">
        <f>W662</f>
        <v>0</v>
      </c>
      <c r="BH662" s="1318"/>
      <c r="BI662" s="1318"/>
      <c r="BJ662" s="1318"/>
      <c r="BK662" s="1318"/>
      <c r="BL662" s="1318"/>
      <c r="BM662" s="355"/>
      <c r="BN662" s="1318">
        <f>AD662</f>
        <v>0</v>
      </c>
      <c r="BO662" s="1318"/>
      <c r="BP662" s="1318"/>
      <c r="BQ662" s="1318"/>
      <c r="BR662" s="1318"/>
      <c r="BS662" s="1318"/>
      <c r="BT662" s="361"/>
      <c r="BU662" s="362"/>
      <c r="BV662" s="310"/>
      <c r="BW662" s="310"/>
      <c r="BX662" s="291">
        <f t="shared" si="8"/>
        <v>0</v>
      </c>
      <c r="BY662" s="344"/>
      <c r="BZ662" s="347"/>
      <c r="CA662" s="347"/>
    </row>
    <row r="663" spans="1:79" ht="15" hidden="1" customHeight="1" x14ac:dyDescent="0.25">
      <c r="A663" s="313"/>
      <c r="B663" s="340"/>
      <c r="C663" s="354" t="s">
        <v>895</v>
      </c>
      <c r="D663" s="373"/>
      <c r="E663" s="373"/>
      <c r="F663" s="373"/>
      <c r="G663" s="373"/>
      <c r="H663" s="373"/>
      <c r="I663" s="373"/>
      <c r="J663" s="373"/>
      <c r="K663" s="373"/>
      <c r="L663" s="373"/>
      <c r="M663" s="373"/>
      <c r="N663" s="373"/>
      <c r="O663" s="373"/>
      <c r="P663" s="373"/>
      <c r="Q663" s="373"/>
      <c r="R663" s="373"/>
      <c r="S663" s="373"/>
      <c r="T663" s="373"/>
      <c r="U663" s="389"/>
      <c r="V663" s="389"/>
      <c r="W663" s="1318"/>
      <c r="X663" s="1318"/>
      <c r="Y663" s="1318"/>
      <c r="Z663" s="1318"/>
      <c r="AA663" s="1318"/>
      <c r="AB663" s="1318"/>
      <c r="AC663" s="355"/>
      <c r="AD663" s="1318"/>
      <c r="AE663" s="1318"/>
      <c r="AF663" s="1318"/>
      <c r="AG663" s="1318"/>
      <c r="AH663" s="1318"/>
      <c r="AI663" s="1318"/>
      <c r="AJ663" s="344"/>
      <c r="AK663" s="345"/>
      <c r="AL663" s="340"/>
      <c r="AM663" s="354" t="s">
        <v>896</v>
      </c>
      <c r="AN663" s="340"/>
      <c r="AO663" s="340"/>
      <c r="AP663" s="340"/>
      <c r="AQ663" s="340"/>
      <c r="AR663" s="340"/>
      <c r="AS663" s="340"/>
      <c r="AT663" s="340"/>
      <c r="AU663" s="340"/>
      <c r="AV663" s="340"/>
      <c r="AW663" s="340"/>
      <c r="AX663" s="340"/>
      <c r="AY663" s="340"/>
      <c r="AZ663" s="340"/>
      <c r="BA663" s="340"/>
      <c r="BB663" s="340"/>
      <c r="BC663" s="340"/>
      <c r="BD663" s="340"/>
      <c r="BE663" s="342"/>
      <c r="BF663" s="342"/>
      <c r="BG663" s="1318">
        <f>W663</f>
        <v>0</v>
      </c>
      <c r="BH663" s="1318"/>
      <c r="BI663" s="1318"/>
      <c r="BJ663" s="1318"/>
      <c r="BK663" s="1318"/>
      <c r="BL663" s="1318"/>
      <c r="BM663" s="355"/>
      <c r="BN663" s="1318">
        <f>AD663</f>
        <v>0</v>
      </c>
      <c r="BO663" s="1318"/>
      <c r="BP663" s="1318"/>
      <c r="BQ663" s="1318"/>
      <c r="BR663" s="1318"/>
      <c r="BS663" s="1318"/>
      <c r="BT663" s="361"/>
      <c r="BU663" s="362"/>
      <c r="BV663" s="310"/>
      <c r="BW663" s="310"/>
      <c r="BX663" s="291">
        <f t="shared" si="8"/>
        <v>0</v>
      </c>
      <c r="BY663" s="344"/>
      <c r="BZ663" s="347"/>
      <c r="CA663" s="347"/>
    </row>
    <row r="664" spans="1:79" ht="12.95" hidden="1" customHeight="1" x14ac:dyDescent="0.25">
      <c r="A664" s="313"/>
      <c r="B664" s="340"/>
      <c r="C664" s="373"/>
      <c r="D664" s="373"/>
      <c r="E664" s="373"/>
      <c r="F664" s="373"/>
      <c r="G664" s="373"/>
      <c r="H664" s="373"/>
      <c r="I664" s="373"/>
      <c r="J664" s="373"/>
      <c r="K664" s="373"/>
      <c r="L664" s="373"/>
      <c r="M664" s="373"/>
      <c r="N664" s="373"/>
      <c r="O664" s="373"/>
      <c r="P664" s="373"/>
      <c r="Q664" s="373"/>
      <c r="R664" s="373"/>
      <c r="S664" s="373"/>
      <c r="T664" s="373"/>
      <c r="U664" s="389"/>
      <c r="V664" s="389"/>
      <c r="W664" s="1318"/>
      <c r="X664" s="1318"/>
      <c r="Y664" s="1318"/>
      <c r="Z664" s="1318"/>
      <c r="AA664" s="1318"/>
      <c r="AB664" s="1318"/>
      <c r="AC664" s="355"/>
      <c r="AD664" s="1318"/>
      <c r="AE664" s="1318"/>
      <c r="AF664" s="1318"/>
      <c r="AG664" s="1318"/>
      <c r="AH664" s="1318"/>
      <c r="AI664" s="1318"/>
      <c r="AJ664" s="344"/>
      <c r="AK664" s="345"/>
      <c r="AL664" s="340"/>
      <c r="AM664" s="340"/>
      <c r="AN664" s="340"/>
      <c r="AO664" s="340"/>
      <c r="AP664" s="340"/>
      <c r="AQ664" s="340"/>
      <c r="AR664" s="340"/>
      <c r="AS664" s="340"/>
      <c r="AT664" s="340"/>
      <c r="AU664" s="340"/>
      <c r="AV664" s="340"/>
      <c r="AW664" s="340"/>
      <c r="AX664" s="340"/>
      <c r="AY664" s="340"/>
      <c r="AZ664" s="340"/>
      <c r="BA664" s="340"/>
      <c r="BB664" s="340"/>
      <c r="BC664" s="340"/>
      <c r="BD664" s="340"/>
      <c r="BE664" s="342"/>
      <c r="BF664" s="342"/>
      <c r="BG664" s="1318"/>
      <c r="BH664" s="1318"/>
      <c r="BI664" s="1318"/>
      <c r="BJ664" s="1318"/>
      <c r="BK664" s="1318"/>
      <c r="BL664" s="1318"/>
      <c r="BM664" s="355"/>
      <c r="BN664" s="1318"/>
      <c r="BO664" s="1318"/>
      <c r="BP664" s="1318"/>
      <c r="BQ664" s="1318"/>
      <c r="BR664" s="1318"/>
      <c r="BS664" s="1318"/>
      <c r="BT664" s="361"/>
      <c r="BU664" s="362"/>
      <c r="BV664" s="310"/>
      <c r="BW664" s="310"/>
      <c r="BX664" s="291">
        <f t="shared" si="8"/>
        <v>0</v>
      </c>
      <c r="BY664" s="344"/>
      <c r="BZ664" s="347"/>
      <c r="CA664" s="347"/>
    </row>
    <row r="665" spans="1:79" ht="15" hidden="1" customHeight="1" thickBot="1" x14ac:dyDescent="0.3">
      <c r="A665" s="313"/>
      <c r="B665" s="340"/>
      <c r="C665" s="360" t="s">
        <v>752</v>
      </c>
      <c r="D665" s="373"/>
      <c r="E665" s="373"/>
      <c r="F665" s="373"/>
      <c r="G665" s="373"/>
      <c r="H665" s="373"/>
      <c r="I665" s="373"/>
      <c r="J665" s="373"/>
      <c r="K665" s="373"/>
      <c r="L665" s="373"/>
      <c r="M665" s="373"/>
      <c r="N665" s="373"/>
      <c r="O665" s="373"/>
      <c r="P665" s="373"/>
      <c r="Q665" s="373"/>
      <c r="R665" s="373"/>
      <c r="S665" s="373"/>
      <c r="T665" s="373"/>
      <c r="U665" s="389"/>
      <c r="V665" s="389"/>
      <c r="W665" s="1359">
        <f>SUBTOTAL(109,W660:AB663)</f>
        <v>0</v>
      </c>
      <c r="X665" s="1359"/>
      <c r="Y665" s="1359"/>
      <c r="Z665" s="1359"/>
      <c r="AA665" s="1359"/>
      <c r="AB665" s="1359"/>
      <c r="AC665" s="363"/>
      <c r="AD665" s="1359">
        <f>SUBTOTAL(109,AD660:AI663)</f>
        <v>0</v>
      </c>
      <c r="AE665" s="1359"/>
      <c r="AF665" s="1359"/>
      <c r="AG665" s="1359"/>
      <c r="AH665" s="1359"/>
      <c r="AI665" s="1359"/>
      <c r="AJ665" s="344"/>
      <c r="AK665" s="345"/>
      <c r="AL665" s="340"/>
      <c r="AM665" s="360" t="s">
        <v>752</v>
      </c>
      <c r="AN665" s="340"/>
      <c r="AO665" s="340"/>
      <c r="AP665" s="340"/>
      <c r="AQ665" s="340"/>
      <c r="AR665" s="340"/>
      <c r="AS665" s="340"/>
      <c r="AT665" s="340"/>
      <c r="AU665" s="340"/>
      <c r="AV665" s="340"/>
      <c r="AW665" s="340"/>
      <c r="AX665" s="340"/>
      <c r="AY665" s="340"/>
      <c r="AZ665" s="340"/>
      <c r="BA665" s="340"/>
      <c r="BB665" s="340"/>
      <c r="BC665" s="340"/>
      <c r="BD665" s="340"/>
      <c r="BE665" s="342"/>
      <c r="BF665" s="342"/>
      <c r="BG665" s="1359">
        <f>SUBTOTAL(109,BG660:BL663)</f>
        <v>0</v>
      </c>
      <c r="BH665" s="1359"/>
      <c r="BI665" s="1359"/>
      <c r="BJ665" s="1359"/>
      <c r="BK665" s="1359"/>
      <c r="BL665" s="1359"/>
      <c r="BM665" s="363"/>
      <c r="BN665" s="1359">
        <f>SUBTOTAL(109,BN660:BS663)</f>
        <v>0</v>
      </c>
      <c r="BO665" s="1359"/>
      <c r="BP665" s="1359"/>
      <c r="BQ665" s="1359"/>
      <c r="BR665" s="1359"/>
      <c r="BS665" s="1359"/>
      <c r="BT665" s="361"/>
      <c r="BU665" s="362"/>
      <c r="BV665" s="310">
        <f>W665-KN_CT139</f>
        <v>0</v>
      </c>
      <c r="BW665" s="310">
        <f>AD665-KT_CT139</f>
        <v>0</v>
      </c>
      <c r="BX665" s="291">
        <f t="shared" si="8"/>
        <v>0</v>
      </c>
      <c r="BY665" s="344"/>
      <c r="BZ665" s="347"/>
      <c r="CA665" s="347"/>
    </row>
    <row r="666" spans="1:79" ht="2.1" hidden="1" customHeight="1" thickTop="1" x14ac:dyDescent="0.25">
      <c r="A666" s="313"/>
      <c r="B666" s="340"/>
      <c r="C666" s="373"/>
      <c r="D666" s="373"/>
      <c r="E666" s="373"/>
      <c r="F666" s="373"/>
      <c r="G666" s="373"/>
      <c r="H666" s="373"/>
      <c r="I666" s="373"/>
      <c r="J666" s="373"/>
      <c r="K666" s="373"/>
      <c r="L666" s="373"/>
      <c r="M666" s="373"/>
      <c r="N666" s="373"/>
      <c r="O666" s="373"/>
      <c r="P666" s="373"/>
      <c r="Q666" s="373"/>
      <c r="R666" s="373"/>
      <c r="S666" s="373"/>
      <c r="T666" s="373"/>
      <c r="U666" s="389"/>
      <c r="V666" s="389"/>
      <c r="W666" s="368"/>
      <c r="X666" s="368"/>
      <c r="Y666" s="368"/>
      <c r="Z666" s="368"/>
      <c r="AA666" s="368"/>
      <c r="AB666" s="368"/>
      <c r="AC666" s="343"/>
      <c r="AD666" s="368"/>
      <c r="AE666" s="368"/>
      <c r="AF666" s="368"/>
      <c r="AG666" s="368"/>
      <c r="AH666" s="368"/>
      <c r="AI666" s="368"/>
      <c r="AJ666" s="344"/>
      <c r="AK666" s="345"/>
      <c r="AL666" s="340"/>
      <c r="AM666" s="340"/>
      <c r="AN666" s="340"/>
      <c r="AO666" s="340"/>
      <c r="AP666" s="340"/>
      <c r="AQ666" s="340"/>
      <c r="AR666" s="340"/>
      <c r="AS666" s="340"/>
      <c r="AT666" s="340"/>
      <c r="AU666" s="340"/>
      <c r="AV666" s="340"/>
      <c r="AW666" s="340"/>
      <c r="AX666" s="340"/>
      <c r="AY666" s="340"/>
      <c r="AZ666" s="340"/>
      <c r="BA666" s="340"/>
      <c r="BB666" s="340"/>
      <c r="BC666" s="340"/>
      <c r="BD666" s="340"/>
      <c r="BE666" s="342"/>
      <c r="BF666" s="342"/>
      <c r="BG666" s="361"/>
      <c r="BH666" s="361"/>
      <c r="BI666" s="361"/>
      <c r="BJ666" s="361"/>
      <c r="BK666" s="361"/>
      <c r="BL666" s="361"/>
      <c r="BM666" s="342"/>
      <c r="BN666" s="361"/>
      <c r="BO666" s="361"/>
      <c r="BP666" s="361"/>
      <c r="BQ666" s="361"/>
      <c r="BR666" s="361"/>
      <c r="BS666" s="361"/>
      <c r="BT666" s="361"/>
      <c r="BU666" s="362"/>
      <c r="BV666" s="310"/>
      <c r="BW666" s="310"/>
      <c r="BX666" s="291">
        <f t="shared" si="8"/>
        <v>0</v>
      </c>
      <c r="BY666" s="344"/>
      <c r="BZ666" s="347"/>
      <c r="CA666" s="347"/>
    </row>
    <row r="667" spans="1:79" ht="12.95" customHeight="1" x14ac:dyDescent="0.25">
      <c r="A667" s="313"/>
      <c r="B667" s="340"/>
      <c r="C667" s="340"/>
      <c r="D667" s="340"/>
      <c r="E667" s="340"/>
      <c r="F667" s="340"/>
      <c r="G667" s="340"/>
      <c r="H667" s="340"/>
      <c r="I667" s="340"/>
      <c r="J667" s="340"/>
      <c r="K667" s="340"/>
      <c r="L667" s="340"/>
      <c r="M667" s="340"/>
      <c r="N667" s="340"/>
      <c r="O667" s="340"/>
      <c r="P667" s="340"/>
      <c r="Q667" s="340"/>
      <c r="R667" s="340"/>
      <c r="S667" s="340"/>
      <c r="T667" s="340"/>
      <c r="U667" s="342"/>
      <c r="V667" s="342"/>
      <c r="W667" s="368"/>
      <c r="X667" s="368"/>
      <c r="Y667" s="368"/>
      <c r="Z667" s="368"/>
      <c r="AA667" s="368"/>
      <c r="AB667" s="368"/>
      <c r="AC667" s="343"/>
      <c r="AD667" s="368"/>
      <c r="AE667" s="368"/>
      <c r="AF667" s="368"/>
      <c r="AG667" s="368"/>
      <c r="AH667" s="368"/>
      <c r="AI667" s="368"/>
      <c r="AJ667" s="344"/>
      <c r="AK667" s="345"/>
      <c r="AL667" s="340"/>
      <c r="AM667" s="340"/>
      <c r="AN667" s="340"/>
      <c r="AO667" s="340"/>
      <c r="AP667" s="340"/>
      <c r="AQ667" s="340"/>
      <c r="AR667" s="340"/>
      <c r="AS667" s="340"/>
      <c r="AT667" s="340"/>
      <c r="AU667" s="340"/>
      <c r="AV667" s="340"/>
      <c r="AW667" s="340"/>
      <c r="AX667" s="340"/>
      <c r="AY667" s="340"/>
      <c r="AZ667" s="340"/>
      <c r="BA667" s="340"/>
      <c r="BB667" s="340"/>
      <c r="BC667" s="340"/>
      <c r="BD667" s="340"/>
      <c r="BE667" s="342"/>
      <c r="BF667" s="342"/>
      <c r="BG667" s="361"/>
      <c r="BH667" s="361"/>
      <c r="BI667" s="361"/>
      <c r="BJ667" s="361"/>
      <c r="BK667" s="361"/>
      <c r="BL667" s="361"/>
      <c r="BM667" s="342"/>
      <c r="BN667" s="361"/>
      <c r="BO667" s="361"/>
      <c r="BP667" s="361"/>
      <c r="BQ667" s="361"/>
      <c r="BR667" s="361"/>
      <c r="BS667" s="361"/>
      <c r="BT667" s="361"/>
      <c r="BU667" s="362"/>
      <c r="BV667" s="310"/>
      <c r="BW667" s="310"/>
      <c r="BX667" s="291">
        <f t="shared" si="8"/>
        <v>0</v>
      </c>
      <c r="BY667" s="344"/>
      <c r="BZ667" s="347"/>
      <c r="CA667" s="347"/>
    </row>
    <row r="668" spans="1:79" ht="15" customHeight="1" x14ac:dyDescent="0.25">
      <c r="A668" s="313">
        <v>9</v>
      </c>
      <c r="B668" s="340" t="s">
        <v>345</v>
      </c>
      <c r="C668" s="340" t="s">
        <v>899</v>
      </c>
      <c r="D668" s="354"/>
      <c r="E668" s="354"/>
      <c r="F668" s="354"/>
      <c r="G668" s="354"/>
      <c r="H668" s="354"/>
      <c r="I668" s="354"/>
      <c r="J668" s="354"/>
      <c r="K668" s="354"/>
      <c r="L668" s="354"/>
      <c r="M668" s="354"/>
      <c r="N668" s="354"/>
      <c r="O668" s="354"/>
      <c r="P668" s="354"/>
      <c r="Q668" s="354"/>
      <c r="R668" s="354"/>
      <c r="S668" s="354"/>
      <c r="T668" s="354"/>
      <c r="U668" s="342"/>
      <c r="V668" s="342"/>
      <c r="W668" s="446"/>
      <c r="X668" s="446"/>
      <c r="Y668" s="446"/>
      <c r="Z668" s="446"/>
      <c r="AA668" s="446"/>
      <c r="AB668" s="446"/>
      <c r="AC668" s="343"/>
      <c r="AD668" s="446"/>
      <c r="AE668" s="446"/>
      <c r="AF668" s="446"/>
      <c r="AG668" s="446"/>
      <c r="AH668" s="446"/>
      <c r="AI668" s="446"/>
      <c r="AJ668" s="344"/>
      <c r="AK668" s="345">
        <f>A668</f>
        <v>9</v>
      </c>
      <c r="AL668" s="340" t="s">
        <v>345</v>
      </c>
      <c r="AM668" s="340" t="s">
        <v>900</v>
      </c>
      <c r="AN668" s="354"/>
      <c r="AO668" s="354"/>
      <c r="AP668" s="354"/>
      <c r="AQ668" s="354"/>
      <c r="AR668" s="354"/>
      <c r="AS668" s="354"/>
      <c r="AT668" s="354"/>
      <c r="AU668" s="354"/>
      <c r="AV668" s="354"/>
      <c r="AW668" s="354"/>
      <c r="AX668" s="354"/>
      <c r="AY668" s="354"/>
      <c r="AZ668" s="354"/>
      <c r="BA668" s="354"/>
      <c r="BB668" s="354"/>
      <c r="BC668" s="354"/>
      <c r="BD668" s="354"/>
      <c r="BE668" s="342"/>
      <c r="BF668" s="342"/>
      <c r="BG668" s="356"/>
      <c r="BH668" s="356"/>
      <c r="BI668" s="356"/>
      <c r="BJ668" s="356"/>
      <c r="BK668" s="356"/>
      <c r="BL668" s="356"/>
      <c r="BM668" s="342"/>
      <c r="BN668" s="356"/>
      <c r="BO668" s="356"/>
      <c r="BP668" s="356"/>
      <c r="BQ668" s="356"/>
      <c r="BR668" s="356"/>
      <c r="BS668" s="356"/>
      <c r="BT668" s="356"/>
      <c r="BU668" s="346">
        <f>SUBTOTAL(103,A668)</f>
        <v>1</v>
      </c>
      <c r="BV668" s="310"/>
      <c r="BW668" s="310"/>
      <c r="BX668" s="291">
        <f t="shared" si="8"/>
        <v>0</v>
      </c>
      <c r="BY668" s="344"/>
      <c r="BZ668" s="347"/>
      <c r="CA668" s="347"/>
    </row>
    <row r="669" spans="1:79" ht="12.95" customHeight="1" x14ac:dyDescent="0.25">
      <c r="A669" s="369"/>
      <c r="B669" s="340"/>
      <c r="C669" s="354"/>
      <c r="D669" s="354"/>
      <c r="E669" s="354"/>
      <c r="F669" s="354"/>
      <c r="G669" s="354"/>
      <c r="H669" s="354"/>
      <c r="I669" s="354"/>
      <c r="J669" s="354"/>
      <c r="K669" s="354"/>
      <c r="L669" s="354"/>
      <c r="M669" s="354"/>
      <c r="N669" s="354"/>
      <c r="O669" s="354"/>
      <c r="P669" s="354"/>
      <c r="Q669" s="354"/>
      <c r="R669" s="354"/>
      <c r="S669" s="354"/>
      <c r="T669" s="354"/>
      <c r="U669" s="342"/>
      <c r="V669" s="342"/>
      <c r="W669" s="371"/>
      <c r="X669" s="371"/>
      <c r="Y669" s="371"/>
      <c r="Z669" s="371"/>
      <c r="AA669" s="371"/>
      <c r="AB669" s="371"/>
      <c r="AC669" s="351"/>
      <c r="AD669" s="371"/>
      <c r="AE669" s="371"/>
      <c r="AF669" s="371"/>
      <c r="AG669" s="371"/>
      <c r="AH669" s="371"/>
      <c r="AI669" s="371"/>
      <c r="AJ669" s="344"/>
      <c r="AK669" s="345"/>
      <c r="AL669" s="340"/>
      <c r="AM669" s="354"/>
      <c r="AN669" s="354"/>
      <c r="AO669" s="354"/>
      <c r="AP669" s="354"/>
      <c r="AQ669" s="354"/>
      <c r="AR669" s="354"/>
      <c r="AS669" s="354"/>
      <c r="AT669" s="354"/>
      <c r="AU669" s="354"/>
      <c r="AV669" s="354"/>
      <c r="AW669" s="354"/>
      <c r="AX669" s="354"/>
      <c r="AY669" s="354"/>
      <c r="AZ669" s="354"/>
      <c r="BA669" s="354"/>
      <c r="BB669" s="354"/>
      <c r="BC669" s="354"/>
      <c r="BD669" s="354"/>
      <c r="BE669" s="342"/>
      <c r="BF669" s="342"/>
      <c r="BG669" s="371"/>
      <c r="BH669" s="371"/>
      <c r="BI669" s="371"/>
      <c r="BJ669" s="371"/>
      <c r="BK669" s="371"/>
      <c r="BL669" s="371"/>
      <c r="BM669" s="351"/>
      <c r="BN669" s="371"/>
      <c r="BO669" s="371"/>
      <c r="BP669" s="371"/>
      <c r="BQ669" s="371"/>
      <c r="BR669" s="371"/>
      <c r="BS669" s="371"/>
      <c r="BT669" s="356"/>
      <c r="BU669" s="357"/>
      <c r="BV669" s="310"/>
      <c r="BW669" s="310"/>
      <c r="BX669" s="291">
        <f t="shared" si="8"/>
        <v>0</v>
      </c>
      <c r="BY669" s="344"/>
      <c r="BZ669" s="347"/>
      <c r="CA669" s="347"/>
    </row>
    <row r="670" spans="1:79" ht="15" hidden="1" customHeight="1" x14ac:dyDescent="0.25">
      <c r="A670" s="369"/>
      <c r="B670" s="340"/>
      <c r="C670" s="390" t="s">
        <v>901</v>
      </c>
      <c r="D670" s="354"/>
      <c r="E670" s="354"/>
      <c r="F670" s="354"/>
      <c r="G670" s="354"/>
      <c r="H670" s="354"/>
      <c r="I670" s="354"/>
      <c r="J670" s="354"/>
      <c r="K670" s="354"/>
      <c r="L670" s="354"/>
      <c r="M670" s="354"/>
      <c r="N670" s="354"/>
      <c r="O670" s="354"/>
      <c r="P670" s="354"/>
      <c r="Q670" s="354"/>
      <c r="R670" s="354"/>
      <c r="S670" s="354"/>
      <c r="T670" s="354"/>
      <c r="U670" s="342"/>
      <c r="V670" s="342"/>
      <c r="W670" s="371"/>
      <c r="X670" s="371"/>
      <c r="Y670" s="371"/>
      <c r="Z670" s="371"/>
      <c r="AA670" s="371"/>
      <c r="AB670" s="371"/>
      <c r="AC670" s="351"/>
      <c r="AD670" s="371"/>
      <c r="AE670" s="371"/>
      <c r="AF670" s="371"/>
      <c r="AG670" s="371"/>
      <c r="AH670" s="371"/>
      <c r="AI670" s="371"/>
      <c r="AJ670" s="344"/>
      <c r="AK670" s="345"/>
      <c r="AL670" s="340"/>
      <c r="AM670" s="390" t="s">
        <v>901</v>
      </c>
      <c r="AN670" s="354"/>
      <c r="AO670" s="354"/>
      <c r="AP670" s="354"/>
      <c r="AQ670" s="354"/>
      <c r="AR670" s="354"/>
      <c r="AS670" s="354"/>
      <c r="AT670" s="354"/>
      <c r="AU670" s="354"/>
      <c r="AV670" s="354"/>
      <c r="AW670" s="354"/>
      <c r="AX670" s="354"/>
      <c r="AY670" s="354"/>
      <c r="AZ670" s="354"/>
      <c r="BA670" s="354"/>
      <c r="BB670" s="354"/>
      <c r="BC670" s="354"/>
      <c r="BD670" s="354"/>
      <c r="BE670" s="342"/>
      <c r="BF670" s="342"/>
      <c r="BG670" s="371"/>
      <c r="BH670" s="371"/>
      <c r="BI670" s="371"/>
      <c r="BJ670" s="371"/>
      <c r="BK670" s="371"/>
      <c r="BL670" s="371"/>
      <c r="BM670" s="351"/>
      <c r="BN670" s="371"/>
      <c r="BO670" s="371"/>
      <c r="BP670" s="371"/>
      <c r="BQ670" s="371"/>
      <c r="BR670" s="371"/>
      <c r="BS670" s="371"/>
      <c r="BT670" s="344"/>
      <c r="BU670" s="357"/>
      <c r="BV670" s="310"/>
      <c r="BW670" s="310"/>
      <c r="BX670" s="291">
        <f t="shared" si="8"/>
        <v>0</v>
      </c>
      <c r="BY670" s="344"/>
      <c r="BZ670" s="347"/>
      <c r="CA670" s="347"/>
    </row>
    <row r="671" spans="1:79" ht="15" customHeight="1" x14ac:dyDescent="0.25">
      <c r="A671" s="369"/>
      <c r="B671" s="340"/>
      <c r="C671" s="354"/>
      <c r="D671" s="354"/>
      <c r="E671" s="354"/>
      <c r="F671" s="354"/>
      <c r="G671" s="354"/>
      <c r="H671" s="354"/>
      <c r="I671" s="354"/>
      <c r="J671" s="354"/>
      <c r="K671" s="354"/>
      <c r="L671" s="354"/>
      <c r="M671" s="1476" t="str">
        <f>Ky_Nay1_V</f>
        <v>31/12/2017</v>
      </c>
      <c r="N671" s="1476"/>
      <c r="O671" s="1476"/>
      <c r="P671" s="1476"/>
      <c r="Q671" s="1476"/>
      <c r="R671" s="1476"/>
      <c r="S671" s="1476"/>
      <c r="T671" s="1476"/>
      <c r="U671" s="1476"/>
      <c r="V671" s="1476"/>
      <c r="W671" s="1476"/>
      <c r="X671" s="370"/>
      <c r="Y671" s="1476" t="str">
        <f>Ky_Truoc1_V</f>
        <v>01/01/2017</v>
      </c>
      <c r="Z671" s="1476"/>
      <c r="AA671" s="1476"/>
      <c r="AB671" s="1476"/>
      <c r="AC671" s="1476"/>
      <c r="AD671" s="1476"/>
      <c r="AE671" s="1476"/>
      <c r="AF671" s="1476"/>
      <c r="AG671" s="1476"/>
      <c r="AH671" s="1476"/>
      <c r="AI671" s="1476"/>
      <c r="AJ671" s="344"/>
      <c r="AK671" s="345"/>
      <c r="AL671" s="340"/>
      <c r="AM671" s="354"/>
      <c r="AN671" s="354"/>
      <c r="AO671" s="354"/>
      <c r="AP671" s="354"/>
      <c r="AQ671" s="354"/>
      <c r="AR671" s="354"/>
      <c r="AS671" s="354"/>
      <c r="AT671" s="354"/>
      <c r="AU671" s="354"/>
      <c r="AV671" s="354"/>
      <c r="AW671" s="1476" t="str">
        <f>Ky_Nay1_E</f>
        <v>31/12/2017</v>
      </c>
      <c r="AX671" s="1476"/>
      <c r="AY671" s="1476"/>
      <c r="AZ671" s="1476"/>
      <c r="BA671" s="1476"/>
      <c r="BB671" s="1476"/>
      <c r="BC671" s="1476"/>
      <c r="BD671" s="1476"/>
      <c r="BE671" s="1476"/>
      <c r="BF671" s="1476"/>
      <c r="BG671" s="1476"/>
      <c r="BH671" s="370"/>
      <c r="BI671" s="1476" t="str">
        <f>Ky_Truoc1_E</f>
        <v>01/01/2017</v>
      </c>
      <c r="BJ671" s="1476"/>
      <c r="BK671" s="1476"/>
      <c r="BL671" s="1476"/>
      <c r="BM671" s="1476"/>
      <c r="BN671" s="1476"/>
      <c r="BO671" s="1476"/>
      <c r="BP671" s="1476"/>
      <c r="BQ671" s="1476"/>
      <c r="BR671" s="1476"/>
      <c r="BS671" s="1476"/>
      <c r="BT671" s="344"/>
      <c r="BU671" s="357"/>
      <c r="BV671" s="310"/>
      <c r="BW671" s="310"/>
      <c r="BX671" s="291">
        <f t="shared" si="8"/>
        <v>0</v>
      </c>
      <c r="BY671" s="344"/>
      <c r="BZ671" s="347"/>
      <c r="CA671" s="347"/>
    </row>
    <row r="672" spans="1:79" ht="27.95" customHeight="1" x14ac:dyDescent="0.25">
      <c r="A672" s="369"/>
      <c r="B672" s="340"/>
      <c r="C672" s="354"/>
      <c r="D672" s="354"/>
      <c r="E672" s="354"/>
      <c r="F672" s="354"/>
      <c r="G672" s="354"/>
      <c r="H672" s="354"/>
      <c r="I672" s="354"/>
      <c r="J672" s="354"/>
      <c r="K672" s="354"/>
      <c r="L672" s="354"/>
      <c r="M672" s="1327" t="s">
        <v>762</v>
      </c>
      <c r="N672" s="1327"/>
      <c r="O672" s="1327"/>
      <c r="P672" s="1327"/>
      <c r="Q672" s="1327"/>
      <c r="R672" s="371"/>
      <c r="S672" s="1482" t="s">
        <v>902</v>
      </c>
      <c r="T672" s="1327"/>
      <c r="U672" s="1327"/>
      <c r="V672" s="1327"/>
      <c r="W672" s="1327"/>
      <c r="X672" s="371"/>
      <c r="Y672" s="1327" t="s">
        <v>762</v>
      </c>
      <c r="Z672" s="1327"/>
      <c r="AA672" s="1327"/>
      <c r="AB672" s="1327"/>
      <c r="AC672" s="1327"/>
      <c r="AD672" s="372"/>
      <c r="AE672" s="1482" t="s">
        <v>902</v>
      </c>
      <c r="AF672" s="1327"/>
      <c r="AG672" s="1327"/>
      <c r="AH672" s="1327"/>
      <c r="AI672" s="1327"/>
      <c r="AJ672" s="344"/>
      <c r="AK672" s="345"/>
      <c r="AL672" s="340"/>
      <c r="AM672" s="354"/>
      <c r="AN672" s="354"/>
      <c r="AO672" s="354"/>
      <c r="AP672" s="354"/>
      <c r="AQ672" s="354"/>
      <c r="AR672" s="354"/>
      <c r="AS672" s="354"/>
      <c r="AT672" s="354"/>
      <c r="AU672" s="354"/>
      <c r="AV672" s="354"/>
      <c r="AW672" s="1327" t="s">
        <v>764</v>
      </c>
      <c r="AX672" s="1327"/>
      <c r="AY672" s="1327"/>
      <c r="AZ672" s="1327"/>
      <c r="BA672" s="1327"/>
      <c r="BB672" s="371"/>
      <c r="BC672" s="1482" t="s">
        <v>903</v>
      </c>
      <c r="BD672" s="1327"/>
      <c r="BE672" s="1327"/>
      <c r="BF672" s="1327"/>
      <c r="BG672" s="1327"/>
      <c r="BH672" s="371"/>
      <c r="BI672" s="1327" t="s">
        <v>764</v>
      </c>
      <c r="BJ672" s="1327"/>
      <c r="BK672" s="1327"/>
      <c r="BL672" s="1327"/>
      <c r="BM672" s="1327"/>
      <c r="BN672" s="372"/>
      <c r="BO672" s="1482" t="s">
        <v>903</v>
      </c>
      <c r="BP672" s="1327"/>
      <c r="BQ672" s="1327"/>
      <c r="BR672" s="1327"/>
      <c r="BS672" s="1327"/>
      <c r="BT672" s="344"/>
      <c r="BU672" s="357"/>
      <c r="BV672" s="310"/>
      <c r="BW672" s="310"/>
      <c r="BX672" s="291">
        <f t="shared" si="8"/>
        <v>0</v>
      </c>
      <c r="BY672" s="344"/>
      <c r="BZ672" s="347"/>
      <c r="CA672" s="347"/>
    </row>
    <row r="673" spans="1:84" ht="15" customHeight="1" x14ac:dyDescent="0.25">
      <c r="A673" s="369"/>
      <c r="B673" s="340"/>
      <c r="C673" s="354"/>
      <c r="D673" s="354"/>
      <c r="E673" s="354"/>
      <c r="F673" s="354"/>
      <c r="G673" s="354"/>
      <c r="H673" s="354"/>
      <c r="I673" s="354"/>
      <c r="J673" s="354"/>
      <c r="K673" s="354"/>
      <c r="L673" s="354"/>
      <c r="M673" s="1401" t="str">
        <f>Don_Vi_Tinh_V</f>
        <v>VND</v>
      </c>
      <c r="N673" s="1401"/>
      <c r="O673" s="1401"/>
      <c r="P673" s="1401"/>
      <c r="Q673" s="1401"/>
      <c r="R673" s="371"/>
      <c r="S673" s="1401" t="str">
        <f>Don_Vi_Tinh_V</f>
        <v>VND</v>
      </c>
      <c r="T673" s="1401"/>
      <c r="U673" s="1401"/>
      <c r="V673" s="1401"/>
      <c r="W673" s="1401"/>
      <c r="X673" s="371"/>
      <c r="Y673" s="1401" t="str">
        <f>Don_Vi_Tinh_V</f>
        <v>VND</v>
      </c>
      <c r="Z673" s="1401"/>
      <c r="AA673" s="1401"/>
      <c r="AB673" s="1401"/>
      <c r="AC673" s="1401"/>
      <c r="AD673" s="372"/>
      <c r="AE673" s="1401" t="str">
        <f>Don_Vi_Tinh_V</f>
        <v>VND</v>
      </c>
      <c r="AF673" s="1401"/>
      <c r="AG673" s="1401"/>
      <c r="AH673" s="1401"/>
      <c r="AI673" s="1401"/>
      <c r="AJ673" s="344"/>
      <c r="AK673" s="345"/>
      <c r="AL673" s="340"/>
      <c r="AM673" s="354"/>
      <c r="AN673" s="354"/>
      <c r="AO673" s="354"/>
      <c r="AP673" s="354"/>
      <c r="AQ673" s="354"/>
      <c r="AR673" s="354"/>
      <c r="AS673" s="354"/>
      <c r="AT673" s="354"/>
      <c r="AU673" s="354"/>
      <c r="AV673" s="354"/>
      <c r="AW673" s="1401" t="str">
        <f>Don_Vi_Tinh_E</f>
        <v>VND</v>
      </c>
      <c r="AX673" s="1401"/>
      <c r="AY673" s="1401"/>
      <c r="AZ673" s="1401"/>
      <c r="BA673" s="1401"/>
      <c r="BB673" s="371"/>
      <c r="BC673" s="1401" t="str">
        <f>Don_Vi_Tinh_E</f>
        <v>VND</v>
      </c>
      <c r="BD673" s="1401"/>
      <c r="BE673" s="1401"/>
      <c r="BF673" s="1401"/>
      <c r="BG673" s="1401"/>
      <c r="BH673" s="371"/>
      <c r="BI673" s="1401" t="str">
        <f>Don_Vi_Tinh_E</f>
        <v>VND</v>
      </c>
      <c r="BJ673" s="1401"/>
      <c r="BK673" s="1401"/>
      <c r="BL673" s="1401"/>
      <c r="BM673" s="1401"/>
      <c r="BN673" s="372"/>
      <c r="BO673" s="1401" t="str">
        <f>Don_Vi_Tinh_E</f>
        <v>VND</v>
      </c>
      <c r="BP673" s="1401"/>
      <c r="BQ673" s="1401"/>
      <c r="BR673" s="1401"/>
      <c r="BS673" s="1401"/>
      <c r="BT673" s="344"/>
      <c r="BU673" s="357"/>
      <c r="BV673" s="310"/>
      <c r="BW673" s="310"/>
      <c r="BX673" s="291">
        <f t="shared" si="8"/>
        <v>0</v>
      </c>
      <c r="BY673" s="344"/>
      <c r="BZ673" s="347"/>
      <c r="CA673" s="347"/>
    </row>
    <row r="674" spans="1:84" ht="12.95" customHeight="1" x14ac:dyDescent="0.25">
      <c r="A674" s="369"/>
      <c r="B674" s="340"/>
      <c r="C674" s="354"/>
      <c r="D674" s="354"/>
      <c r="E674" s="354"/>
      <c r="F674" s="354"/>
      <c r="G674" s="354"/>
      <c r="H674" s="354"/>
      <c r="I674" s="354"/>
      <c r="J674" s="354"/>
      <c r="K674" s="354"/>
      <c r="L674" s="354"/>
      <c r="M674" s="354"/>
      <c r="N674" s="354"/>
      <c r="O674" s="354"/>
      <c r="P674" s="354"/>
      <c r="Q674" s="354"/>
      <c r="R674" s="354"/>
      <c r="S674" s="354"/>
      <c r="T674" s="354"/>
      <c r="U674" s="342"/>
      <c r="V674" s="342"/>
      <c r="W674" s="355"/>
      <c r="X674" s="355"/>
      <c r="Y674" s="355"/>
      <c r="Z674" s="355"/>
      <c r="AA674" s="355"/>
      <c r="AB674" s="355"/>
      <c r="AC674" s="355"/>
      <c r="AD674" s="355"/>
      <c r="AE674" s="355"/>
      <c r="AF674" s="355"/>
      <c r="AG674" s="355"/>
      <c r="AH674" s="355"/>
      <c r="AI674" s="355"/>
      <c r="AJ674" s="344"/>
      <c r="AK674" s="345"/>
      <c r="AL674" s="340"/>
      <c r="AM674" s="354"/>
      <c r="AN674" s="354"/>
      <c r="AO674" s="354"/>
      <c r="AP674" s="354"/>
      <c r="AQ674" s="354"/>
      <c r="AR674" s="354"/>
      <c r="AS674" s="354"/>
      <c r="AT674" s="354"/>
      <c r="AU674" s="354"/>
      <c r="AV674" s="354"/>
      <c r="AW674" s="354"/>
      <c r="AX674" s="354"/>
      <c r="AY674" s="354"/>
      <c r="AZ674" s="354"/>
      <c r="BA674" s="354"/>
      <c r="BB674" s="354"/>
      <c r="BC674" s="354"/>
      <c r="BD674" s="354"/>
      <c r="BE674" s="342"/>
      <c r="BF674" s="342"/>
      <c r="BG674" s="355"/>
      <c r="BH674" s="355"/>
      <c r="BI674" s="355"/>
      <c r="BJ674" s="355"/>
      <c r="BK674" s="355"/>
      <c r="BL674" s="355"/>
      <c r="BM674" s="355"/>
      <c r="BN674" s="355"/>
      <c r="BO674" s="355"/>
      <c r="BP674" s="355"/>
      <c r="BQ674" s="355"/>
      <c r="BR674" s="355"/>
      <c r="BS674" s="355"/>
      <c r="BT674" s="344"/>
      <c r="BU674" s="357"/>
      <c r="BV674" s="310"/>
      <c r="BW674" s="310"/>
      <c r="BX674" s="291">
        <f t="shared" si="8"/>
        <v>0</v>
      </c>
      <c r="BY674" s="344"/>
      <c r="BZ674" s="347"/>
      <c r="CA674" s="347"/>
    </row>
    <row r="675" spans="1:84" s="451" customFormat="1" ht="15" customHeight="1" x14ac:dyDescent="0.25">
      <c r="A675" s="313"/>
      <c r="B675" s="340"/>
      <c r="C675" s="1306" t="s">
        <v>904</v>
      </c>
      <c r="D675" s="1572"/>
      <c r="E675" s="1572"/>
      <c r="F675" s="1572"/>
      <c r="G675" s="1572"/>
      <c r="H675" s="1572"/>
      <c r="I675" s="1572"/>
      <c r="J675" s="1572"/>
      <c r="K675" s="1572"/>
      <c r="L675" s="340"/>
      <c r="M675" s="1573">
        <f>SUBTOTAL(109,M676:Q678)</f>
        <v>2255540563</v>
      </c>
      <c r="N675" s="1573"/>
      <c r="O675" s="1573"/>
      <c r="P675" s="1573"/>
      <c r="Q675" s="1573"/>
      <c r="R675" s="447"/>
      <c r="S675" s="1573">
        <f>SUBTOTAL(109,S676:W678)</f>
        <v>92704563</v>
      </c>
      <c r="T675" s="1573"/>
      <c r="U675" s="1573"/>
      <c r="V675" s="1573"/>
      <c r="W675" s="1573"/>
      <c r="X675" s="447"/>
      <c r="Y675" s="1573">
        <f>SUBTOTAL(109,Y676:AC678)</f>
        <v>3020621269</v>
      </c>
      <c r="Z675" s="1573"/>
      <c r="AA675" s="1573"/>
      <c r="AB675" s="1573"/>
      <c r="AC675" s="1573"/>
      <c r="AD675" s="448"/>
      <c r="AE675" s="1573">
        <f>SUBTOTAL(109,AE676:AI678)</f>
        <v>643146986</v>
      </c>
      <c r="AF675" s="1573"/>
      <c r="AG675" s="1573"/>
      <c r="AH675" s="1573"/>
      <c r="AI675" s="1573"/>
      <c r="AJ675" s="341"/>
      <c r="AK675" s="345"/>
      <c r="AL675" s="340"/>
      <c r="AM675" s="1306" t="s">
        <v>905</v>
      </c>
      <c r="AN675" s="1572"/>
      <c r="AO675" s="1572"/>
      <c r="AP675" s="1572"/>
      <c r="AQ675" s="1572"/>
      <c r="AR675" s="1572"/>
      <c r="AS675" s="1572"/>
      <c r="AT675" s="1572"/>
      <c r="AU675" s="1572"/>
      <c r="AV675" s="340"/>
      <c r="AW675" s="1573">
        <f>SUBTOTAL(109,AW676:BA687)</f>
        <v>0</v>
      </c>
      <c r="AX675" s="1573"/>
      <c r="AY675" s="1573"/>
      <c r="AZ675" s="1573"/>
      <c r="BA675" s="1573"/>
      <c r="BB675" s="447"/>
      <c r="BC675" s="1573">
        <f>SUBTOTAL(109,BC676:BG687)</f>
        <v>0</v>
      </c>
      <c r="BD675" s="1573"/>
      <c r="BE675" s="1573"/>
      <c r="BF675" s="1573"/>
      <c r="BG675" s="1573"/>
      <c r="BH675" s="447"/>
      <c r="BI675" s="1573">
        <f>SUBTOTAL(109,BI676:BM687)</f>
        <v>0</v>
      </c>
      <c r="BJ675" s="1573"/>
      <c r="BK675" s="1573"/>
      <c r="BL675" s="1573"/>
      <c r="BM675" s="1573"/>
      <c r="BN675" s="448"/>
      <c r="BO675" s="1573">
        <f>SUBTOTAL(109,BO676:BS687)</f>
        <v>0</v>
      </c>
      <c r="BP675" s="1573"/>
      <c r="BQ675" s="1573"/>
      <c r="BR675" s="1573"/>
      <c r="BS675" s="1573"/>
      <c r="BT675" s="341"/>
      <c r="BU675" s="362"/>
      <c r="BV675" s="425">
        <f>M675-SUBTOTAL(109,M676:Q679)</f>
        <v>0</v>
      </c>
      <c r="BW675" s="425">
        <f>Y675-SUBTOTAL(109,Y676:AC679)</f>
        <v>0</v>
      </c>
      <c r="BX675" s="449">
        <f t="shared" si="8"/>
        <v>6012013381</v>
      </c>
      <c r="BY675" s="341"/>
      <c r="BZ675" s="431">
        <f>M675-S675</f>
        <v>2162836000</v>
      </c>
      <c r="CA675" s="431" t="s">
        <v>906</v>
      </c>
      <c r="CB675" s="450" t="s">
        <v>907</v>
      </c>
      <c r="CC675" s="450"/>
      <c r="CD675" s="450"/>
      <c r="CE675" s="450"/>
      <c r="CF675" s="450"/>
    </row>
    <row r="676" spans="1:84" s="423" customFormat="1" ht="42.95" customHeight="1" x14ac:dyDescent="0.25">
      <c r="A676" s="369"/>
      <c r="B676" s="340"/>
      <c r="C676" s="1570" t="s">
        <v>908</v>
      </c>
      <c r="D676" s="1570"/>
      <c r="E676" s="1570"/>
      <c r="F676" s="1570"/>
      <c r="G676" s="1570"/>
      <c r="H676" s="1570"/>
      <c r="I676" s="1570"/>
      <c r="J676" s="1570"/>
      <c r="K676" s="1570"/>
      <c r="L676" s="354"/>
      <c r="M676" s="1569">
        <f>Y676</f>
        <v>352476654</v>
      </c>
      <c r="N676" s="1569"/>
      <c r="O676" s="1569"/>
      <c r="P676" s="1569"/>
      <c r="Q676" s="1569"/>
      <c r="R676" s="452"/>
      <c r="S676" s="1569">
        <v>0</v>
      </c>
      <c r="T676" s="1569"/>
      <c r="U676" s="1569"/>
      <c r="V676" s="1569"/>
      <c r="W676" s="1569"/>
      <c r="X676" s="452"/>
      <c r="Y676" s="1569">
        <v>352476654</v>
      </c>
      <c r="Z676" s="1569"/>
      <c r="AA676" s="1569"/>
      <c r="AB676" s="1569"/>
      <c r="AC676" s="1569"/>
      <c r="AD676" s="453"/>
      <c r="AE676" s="1569">
        <v>0</v>
      </c>
      <c r="AF676" s="1569"/>
      <c r="AG676" s="1569"/>
      <c r="AH676" s="1569"/>
      <c r="AI676" s="1569"/>
      <c r="AJ676" s="342"/>
      <c r="AK676" s="345"/>
      <c r="AL676" s="340"/>
      <c r="AM676" s="1570" t="s">
        <v>909</v>
      </c>
      <c r="AN676" s="1337"/>
      <c r="AO676" s="1337"/>
      <c r="AP676" s="1337"/>
      <c r="AQ676" s="1337"/>
      <c r="AR676" s="1337"/>
      <c r="AS676" s="1337"/>
      <c r="AT676" s="1337"/>
      <c r="AU676" s="1337"/>
      <c r="AV676" s="354"/>
      <c r="AW676" s="1569"/>
      <c r="AX676" s="1569"/>
      <c r="AY676" s="1569"/>
      <c r="AZ676" s="1569"/>
      <c r="BA676" s="1569"/>
      <c r="BB676" s="452"/>
      <c r="BC676" s="1569"/>
      <c r="BD676" s="1569"/>
      <c r="BE676" s="1569"/>
      <c r="BF676" s="1569"/>
      <c r="BG676" s="1569"/>
      <c r="BH676" s="452"/>
      <c r="BI676" s="1569"/>
      <c r="BJ676" s="1569"/>
      <c r="BK676" s="1569"/>
      <c r="BL676" s="1569"/>
      <c r="BM676" s="1569"/>
      <c r="BN676" s="453"/>
      <c r="BO676" s="1569"/>
      <c r="BP676" s="1569"/>
      <c r="BQ676" s="1569"/>
      <c r="BR676" s="1569"/>
      <c r="BS676" s="1569"/>
      <c r="BT676" s="342"/>
      <c r="BU676" s="357"/>
      <c r="BV676" s="310"/>
      <c r="BW676" s="310"/>
      <c r="BX676" s="300">
        <f t="shared" si="8"/>
        <v>704953308</v>
      </c>
      <c r="BY676" s="342"/>
      <c r="BZ676" s="438"/>
      <c r="CA676" s="438"/>
      <c r="CB676" s="439"/>
      <c r="CC676" s="439"/>
      <c r="CD676" s="439"/>
      <c r="CE676" s="439"/>
      <c r="CF676" s="439"/>
    </row>
    <row r="677" spans="1:84" s="423" customFormat="1" ht="45" customHeight="1" x14ac:dyDescent="0.25">
      <c r="A677" s="369"/>
      <c r="B677" s="340"/>
      <c r="C677" s="1570" t="s">
        <v>910</v>
      </c>
      <c r="D677" s="1570"/>
      <c r="E677" s="1570"/>
      <c r="F677" s="1570"/>
      <c r="G677" s="1570"/>
      <c r="H677" s="1570"/>
      <c r="I677" s="1570"/>
      <c r="J677" s="1570"/>
      <c r="K677" s="1570"/>
      <c r="L677" s="354"/>
      <c r="M677" s="1569">
        <f>Y677</f>
        <v>249783470</v>
      </c>
      <c r="N677" s="1569"/>
      <c r="O677" s="1569"/>
      <c r="P677" s="1569"/>
      <c r="Q677" s="1569"/>
      <c r="R677" s="452"/>
      <c r="S677" s="1569">
        <v>0</v>
      </c>
      <c r="T677" s="1569"/>
      <c r="U677" s="1569"/>
      <c r="V677" s="1569"/>
      <c r="W677" s="1569"/>
      <c r="X677" s="452"/>
      <c r="Y677" s="1569">
        <v>249783470</v>
      </c>
      <c r="Z677" s="1569"/>
      <c r="AA677" s="1569"/>
      <c r="AB677" s="1569"/>
      <c r="AC677" s="1569"/>
      <c r="AD677" s="453"/>
      <c r="AE677" s="1569">
        <v>0</v>
      </c>
      <c r="AF677" s="1569"/>
      <c r="AG677" s="1569"/>
      <c r="AH677" s="1569"/>
      <c r="AI677" s="1569"/>
      <c r="AJ677" s="342"/>
      <c r="AK677" s="345"/>
      <c r="AL677" s="340"/>
      <c r="AM677" s="1570" t="s">
        <v>909</v>
      </c>
      <c r="AN677" s="1337"/>
      <c r="AO677" s="1337"/>
      <c r="AP677" s="1337"/>
      <c r="AQ677" s="1337"/>
      <c r="AR677" s="1337"/>
      <c r="AS677" s="1337"/>
      <c r="AT677" s="1337"/>
      <c r="AU677" s="1337"/>
      <c r="AV677" s="354"/>
      <c r="AW677" s="1569"/>
      <c r="AX677" s="1569"/>
      <c r="AY677" s="1569"/>
      <c r="AZ677" s="1569"/>
      <c r="BA677" s="1569"/>
      <c r="BB677" s="452"/>
      <c r="BC677" s="1569"/>
      <c r="BD677" s="1569"/>
      <c r="BE677" s="1569"/>
      <c r="BF677" s="1569"/>
      <c r="BG677" s="1569"/>
      <c r="BH677" s="452"/>
      <c r="BI677" s="1569"/>
      <c r="BJ677" s="1569"/>
      <c r="BK677" s="1569"/>
      <c r="BL677" s="1569"/>
      <c r="BM677" s="1569"/>
      <c r="BN677" s="453"/>
      <c r="BO677" s="1569"/>
      <c r="BP677" s="1569"/>
      <c r="BQ677" s="1569"/>
      <c r="BR677" s="1569"/>
      <c r="BS677" s="1569"/>
      <c r="BT677" s="342"/>
      <c r="BU677" s="357"/>
      <c r="BV677" s="310"/>
      <c r="BW677" s="310"/>
      <c r="BX677" s="300">
        <f t="shared" si="8"/>
        <v>499566940</v>
      </c>
      <c r="BY677" s="342"/>
      <c r="BZ677" s="438"/>
      <c r="CA677" s="438"/>
      <c r="CB677" s="439"/>
      <c r="CC677" s="439"/>
      <c r="CD677" s="439"/>
      <c r="CE677" s="439"/>
      <c r="CF677" s="439"/>
    </row>
    <row r="678" spans="1:84" s="423" customFormat="1" ht="29.1" customHeight="1" x14ac:dyDescent="0.25">
      <c r="A678" s="369"/>
      <c r="B678" s="340"/>
      <c r="C678" s="1570" t="s">
        <v>911</v>
      </c>
      <c r="D678" s="1570"/>
      <c r="E678" s="1570"/>
      <c r="F678" s="1570"/>
      <c r="G678" s="1570"/>
      <c r="H678" s="1570"/>
      <c r="I678" s="1570"/>
      <c r="J678" s="1570"/>
      <c r="K678" s="1570"/>
      <c r="L678" s="354"/>
      <c r="M678" s="1569">
        <f>2255540563-M676-M677</f>
        <v>1653280439</v>
      </c>
      <c r="N678" s="1569"/>
      <c r="O678" s="1569"/>
      <c r="P678" s="1569"/>
      <c r="Q678" s="1569"/>
      <c r="R678" s="452"/>
      <c r="S678" s="1569">
        <f>BZ678</f>
        <v>92704563</v>
      </c>
      <c r="T678" s="1569"/>
      <c r="U678" s="1569"/>
      <c r="V678" s="1569"/>
      <c r="W678" s="1569"/>
      <c r="X678" s="452"/>
      <c r="Y678" s="1569">
        <v>2418361145</v>
      </c>
      <c r="Z678" s="1569"/>
      <c r="AA678" s="1569"/>
      <c r="AB678" s="1569"/>
      <c r="AC678" s="1569"/>
      <c r="AD678" s="453"/>
      <c r="AE678" s="1569">
        <v>643146986</v>
      </c>
      <c r="AF678" s="1569"/>
      <c r="AG678" s="1569"/>
      <c r="AH678" s="1569"/>
      <c r="AI678" s="1569"/>
      <c r="AJ678" s="342"/>
      <c r="AK678" s="345"/>
      <c r="AL678" s="340"/>
      <c r="AM678" s="1570" t="s">
        <v>909</v>
      </c>
      <c r="AN678" s="1337"/>
      <c r="AO678" s="1337"/>
      <c r="AP678" s="1337"/>
      <c r="AQ678" s="1337"/>
      <c r="AR678" s="1337"/>
      <c r="AS678" s="1337"/>
      <c r="AT678" s="1337"/>
      <c r="AU678" s="1337"/>
      <c r="AV678" s="354"/>
      <c r="AW678" s="1569"/>
      <c r="AX678" s="1569"/>
      <c r="AY678" s="1569"/>
      <c r="AZ678" s="1569"/>
      <c r="BA678" s="1569"/>
      <c r="BB678" s="452"/>
      <c r="BC678" s="1569"/>
      <c r="BD678" s="1569"/>
      <c r="BE678" s="1569"/>
      <c r="BF678" s="1569"/>
      <c r="BG678" s="1569"/>
      <c r="BH678" s="452"/>
      <c r="BI678" s="1569"/>
      <c r="BJ678" s="1569"/>
      <c r="BK678" s="1569"/>
      <c r="BL678" s="1569"/>
      <c r="BM678" s="1569"/>
      <c r="BN678" s="453"/>
      <c r="BO678" s="1569"/>
      <c r="BP678" s="1569"/>
      <c r="BQ678" s="1569"/>
      <c r="BR678" s="1569"/>
      <c r="BS678" s="1569"/>
      <c r="BT678" s="342"/>
      <c r="BU678" s="357"/>
      <c r="BV678" s="310"/>
      <c r="BW678" s="310"/>
      <c r="BX678" s="300">
        <f t="shared" si="8"/>
        <v>4807493133</v>
      </c>
      <c r="BY678" s="342"/>
      <c r="BZ678" s="438">
        <f>CA678-CB678</f>
        <v>92704563</v>
      </c>
      <c r="CA678" s="438">
        <v>2255540563</v>
      </c>
      <c r="CB678" s="439">
        <v>2162836000</v>
      </c>
      <c r="CC678" s="439"/>
      <c r="CD678" s="439"/>
      <c r="CE678" s="439"/>
      <c r="CF678" s="439"/>
    </row>
    <row r="679" spans="1:84" s="423" customFormat="1" ht="12.95" customHeight="1" x14ac:dyDescent="0.25">
      <c r="A679" s="369"/>
      <c r="B679" s="340"/>
      <c r="C679" s="1570"/>
      <c r="D679" s="1337"/>
      <c r="E679" s="1337"/>
      <c r="F679" s="1337"/>
      <c r="G679" s="1337"/>
      <c r="H679" s="1337"/>
      <c r="I679" s="1337"/>
      <c r="J679" s="1337"/>
      <c r="K679" s="1337"/>
      <c r="L679" s="354"/>
      <c r="M679" s="1569"/>
      <c r="N679" s="1569"/>
      <c r="O679" s="1569"/>
      <c r="P679" s="1569"/>
      <c r="Q679" s="1569"/>
      <c r="R679" s="452"/>
      <c r="S679" s="1569"/>
      <c r="T679" s="1569"/>
      <c r="U679" s="1569"/>
      <c r="V679" s="1569"/>
      <c r="W679" s="1569"/>
      <c r="X679" s="452"/>
      <c r="Y679" s="1569"/>
      <c r="Z679" s="1569"/>
      <c r="AA679" s="1569"/>
      <c r="AB679" s="1569"/>
      <c r="AC679" s="1569"/>
      <c r="AD679" s="453"/>
      <c r="AE679" s="1569"/>
      <c r="AF679" s="1569"/>
      <c r="AG679" s="1569"/>
      <c r="AH679" s="1569"/>
      <c r="AI679" s="1569"/>
      <c r="AJ679" s="342"/>
      <c r="AK679" s="345"/>
      <c r="AL679" s="340"/>
      <c r="AM679" s="1570"/>
      <c r="AN679" s="1337"/>
      <c r="AO679" s="1337"/>
      <c r="AP679" s="1337"/>
      <c r="AQ679" s="1337"/>
      <c r="AR679" s="1337"/>
      <c r="AS679" s="1337"/>
      <c r="AT679" s="1337"/>
      <c r="AU679" s="1337"/>
      <c r="AV679" s="354"/>
      <c r="AW679" s="1569"/>
      <c r="AX679" s="1569"/>
      <c r="AY679" s="1569"/>
      <c r="AZ679" s="1569"/>
      <c r="BA679" s="1569"/>
      <c r="BB679" s="452"/>
      <c r="BC679" s="1569"/>
      <c r="BD679" s="1569"/>
      <c r="BE679" s="1569"/>
      <c r="BF679" s="1569"/>
      <c r="BG679" s="1569"/>
      <c r="BH679" s="452"/>
      <c r="BI679" s="1569"/>
      <c r="BJ679" s="1569"/>
      <c r="BK679" s="1569"/>
      <c r="BL679" s="1569"/>
      <c r="BM679" s="1569"/>
      <c r="BN679" s="453"/>
      <c r="BO679" s="1569"/>
      <c r="BP679" s="1569"/>
      <c r="BQ679" s="1569"/>
      <c r="BR679" s="1569"/>
      <c r="BS679" s="1569"/>
      <c r="BT679" s="342"/>
      <c r="BU679" s="357"/>
      <c r="BV679" s="310"/>
      <c r="BW679" s="310"/>
      <c r="BX679" s="300"/>
      <c r="BY679" s="342"/>
      <c r="BZ679" s="438"/>
      <c r="CA679" s="438"/>
      <c r="CB679" s="439"/>
      <c r="CC679" s="439"/>
      <c r="CD679" s="439"/>
      <c r="CE679" s="439"/>
      <c r="CF679" s="439"/>
    </row>
    <row r="680" spans="1:84" s="451" customFormat="1" ht="15" customHeight="1" x14ac:dyDescent="0.25">
      <c r="A680" s="313"/>
      <c r="B680" s="340"/>
      <c r="C680" s="1571" t="s">
        <v>912</v>
      </c>
      <c r="D680" s="1572"/>
      <c r="E680" s="1572"/>
      <c r="F680" s="1572"/>
      <c r="G680" s="1572"/>
      <c r="H680" s="1572"/>
      <c r="I680" s="1572"/>
      <c r="J680" s="1572"/>
      <c r="K680" s="1572"/>
      <c r="L680" s="340"/>
      <c r="M680" s="1573">
        <f>SUBTOTAL(109,M681:Q683)</f>
        <v>111700000</v>
      </c>
      <c r="N680" s="1573"/>
      <c r="O680" s="1573"/>
      <c r="P680" s="1573"/>
      <c r="Q680" s="1573"/>
      <c r="R680" s="447"/>
      <c r="S680" s="1573">
        <f>SUBTOTAL(109,S681:W683)</f>
        <v>15000000</v>
      </c>
      <c r="T680" s="1573"/>
      <c r="U680" s="1573"/>
      <c r="V680" s="1573"/>
      <c r="W680" s="1573"/>
      <c r="X680" s="447"/>
      <c r="Y680" s="1573">
        <f>SUBTOTAL(109,Y681:AC683)</f>
        <v>231800000</v>
      </c>
      <c r="Z680" s="1573"/>
      <c r="AA680" s="1573"/>
      <c r="AB680" s="1573"/>
      <c r="AC680" s="1573"/>
      <c r="AD680" s="448"/>
      <c r="AE680" s="1573">
        <f>SUBTOTAL(109,AE681:AI683)</f>
        <v>38500000</v>
      </c>
      <c r="AF680" s="1573"/>
      <c r="AG680" s="1573"/>
      <c r="AH680" s="1573"/>
      <c r="AI680" s="1573"/>
      <c r="AJ680" s="341"/>
      <c r="AK680" s="345"/>
      <c r="AL680" s="340"/>
      <c r="AM680" s="1571" t="s">
        <v>909</v>
      </c>
      <c r="AN680" s="1572"/>
      <c r="AO680" s="1572"/>
      <c r="AP680" s="1572"/>
      <c r="AQ680" s="1572"/>
      <c r="AR680" s="1572"/>
      <c r="AS680" s="1572"/>
      <c r="AT680" s="1572"/>
      <c r="AU680" s="1572"/>
      <c r="AV680" s="340"/>
      <c r="AW680" s="1573"/>
      <c r="AX680" s="1573"/>
      <c r="AY680" s="1573"/>
      <c r="AZ680" s="1573"/>
      <c r="BA680" s="1573"/>
      <c r="BB680" s="447"/>
      <c r="BC680" s="1573"/>
      <c r="BD680" s="1573"/>
      <c r="BE680" s="1573"/>
      <c r="BF680" s="1573"/>
      <c r="BG680" s="1573"/>
      <c r="BH680" s="447"/>
      <c r="BI680" s="1573"/>
      <c r="BJ680" s="1573"/>
      <c r="BK680" s="1573"/>
      <c r="BL680" s="1573"/>
      <c r="BM680" s="1573"/>
      <c r="BN680" s="448"/>
      <c r="BO680" s="1573"/>
      <c r="BP680" s="1573"/>
      <c r="BQ680" s="1573"/>
      <c r="BR680" s="1573"/>
      <c r="BS680" s="1573"/>
      <c r="BT680" s="341"/>
      <c r="BU680" s="362"/>
      <c r="BV680" s="425"/>
      <c r="BW680" s="425"/>
      <c r="BX680" s="449">
        <f t="shared" si="8"/>
        <v>397000000</v>
      </c>
      <c r="BY680" s="341"/>
      <c r="BZ680" s="431">
        <f>M680-S680</f>
        <v>96700000</v>
      </c>
      <c r="CA680" s="431" t="s">
        <v>913</v>
      </c>
      <c r="CB680" s="450"/>
      <c r="CC680" s="450"/>
      <c r="CD680" s="450"/>
      <c r="CE680" s="450"/>
      <c r="CF680" s="450"/>
    </row>
    <row r="681" spans="1:84" s="423" customFormat="1" ht="15" customHeight="1" x14ac:dyDescent="0.25">
      <c r="A681" s="369"/>
      <c r="B681" s="340"/>
      <c r="C681" s="1570" t="s">
        <v>914</v>
      </c>
      <c r="D681" s="1337"/>
      <c r="E681" s="1337"/>
      <c r="F681" s="1337"/>
      <c r="G681" s="1337"/>
      <c r="H681" s="1337"/>
      <c r="I681" s="1337"/>
      <c r="J681" s="1337"/>
      <c r="K681" s="1337"/>
      <c r="L681" s="354"/>
      <c r="M681" s="1569">
        <v>111700000</v>
      </c>
      <c r="N681" s="1569"/>
      <c r="O681" s="1569"/>
      <c r="P681" s="1569"/>
      <c r="Q681" s="1569"/>
      <c r="R681" s="452"/>
      <c r="S681" s="1569">
        <f>M681-96700000</f>
        <v>15000000</v>
      </c>
      <c r="T681" s="1569"/>
      <c r="U681" s="1569"/>
      <c r="V681" s="1569"/>
      <c r="W681" s="1569"/>
      <c r="X681" s="452"/>
      <c r="Y681" s="1569">
        <v>231800000</v>
      </c>
      <c r="Z681" s="1569"/>
      <c r="AA681" s="1569"/>
      <c r="AB681" s="1569"/>
      <c r="AC681" s="1569"/>
      <c r="AD681" s="453"/>
      <c r="AE681" s="1569">
        <v>38500000</v>
      </c>
      <c r="AF681" s="1569"/>
      <c r="AG681" s="1569"/>
      <c r="AH681" s="1569"/>
      <c r="AI681" s="1569"/>
      <c r="AJ681" s="342"/>
      <c r="AK681" s="345"/>
      <c r="AL681" s="340"/>
      <c r="AM681" s="1570" t="s">
        <v>909</v>
      </c>
      <c r="AN681" s="1337"/>
      <c r="AO681" s="1337"/>
      <c r="AP681" s="1337"/>
      <c r="AQ681" s="1337"/>
      <c r="AR681" s="1337"/>
      <c r="AS681" s="1337"/>
      <c r="AT681" s="1337"/>
      <c r="AU681" s="1337"/>
      <c r="AV681" s="354"/>
      <c r="AW681" s="1569"/>
      <c r="AX681" s="1569"/>
      <c r="AY681" s="1569"/>
      <c r="AZ681" s="1569"/>
      <c r="BA681" s="1569"/>
      <c r="BB681" s="452"/>
      <c r="BC681" s="1569"/>
      <c r="BD681" s="1569"/>
      <c r="BE681" s="1569"/>
      <c r="BF681" s="1569"/>
      <c r="BG681" s="1569"/>
      <c r="BH681" s="452"/>
      <c r="BI681" s="1569"/>
      <c r="BJ681" s="1569"/>
      <c r="BK681" s="1569"/>
      <c r="BL681" s="1569"/>
      <c r="BM681" s="1569"/>
      <c r="BN681" s="453"/>
      <c r="BO681" s="1569"/>
      <c r="BP681" s="1569"/>
      <c r="BQ681" s="1569"/>
      <c r="BR681" s="1569"/>
      <c r="BS681" s="1569"/>
      <c r="BT681" s="342"/>
      <c r="BU681" s="357"/>
      <c r="BV681" s="310"/>
      <c r="BW681" s="310"/>
      <c r="BX681" s="300">
        <f t="shared" si="8"/>
        <v>397000000</v>
      </c>
      <c r="BY681" s="342"/>
      <c r="BZ681" s="438">
        <f>[1]CDKT!V29+[1]CDKT!V52</f>
        <v>961700000</v>
      </c>
      <c r="CA681" s="438">
        <f>BZ681-700000000-150000000</f>
        <v>111700000</v>
      </c>
      <c r="CB681" s="439"/>
      <c r="CC681" s="439"/>
      <c r="CD681" s="439"/>
      <c r="CE681" s="439"/>
      <c r="CF681" s="439"/>
    </row>
    <row r="682" spans="1:84" s="423" customFormat="1" ht="15" hidden="1" customHeight="1" x14ac:dyDescent="0.25">
      <c r="A682" s="369"/>
      <c r="B682" s="340"/>
      <c r="C682" s="1570" t="s">
        <v>909</v>
      </c>
      <c r="D682" s="1337"/>
      <c r="E682" s="1337"/>
      <c r="F682" s="1337"/>
      <c r="G682" s="1337"/>
      <c r="H682" s="1337"/>
      <c r="I682" s="1337"/>
      <c r="J682" s="1337"/>
      <c r="K682" s="1337"/>
      <c r="L682" s="354"/>
      <c r="M682" s="1569"/>
      <c r="N682" s="1569"/>
      <c r="O682" s="1569"/>
      <c r="P682" s="1569"/>
      <c r="Q682" s="1569"/>
      <c r="R682" s="452"/>
      <c r="S682" s="1569"/>
      <c r="T682" s="1569"/>
      <c r="U682" s="1569"/>
      <c r="V682" s="1569"/>
      <c r="W682" s="1569"/>
      <c r="X682" s="452"/>
      <c r="Y682" s="1569"/>
      <c r="Z682" s="1569"/>
      <c r="AA682" s="1569"/>
      <c r="AB682" s="1569"/>
      <c r="AC682" s="1569"/>
      <c r="AD682" s="453"/>
      <c r="AE682" s="1569"/>
      <c r="AF682" s="1569"/>
      <c r="AG682" s="1569"/>
      <c r="AH682" s="1569"/>
      <c r="AI682" s="1569"/>
      <c r="AJ682" s="342"/>
      <c r="AK682" s="345"/>
      <c r="AL682" s="340"/>
      <c r="AM682" s="1570" t="s">
        <v>909</v>
      </c>
      <c r="AN682" s="1337"/>
      <c r="AO682" s="1337"/>
      <c r="AP682" s="1337"/>
      <c r="AQ682" s="1337"/>
      <c r="AR682" s="1337"/>
      <c r="AS682" s="1337"/>
      <c r="AT682" s="1337"/>
      <c r="AU682" s="1337"/>
      <c r="AV682" s="354"/>
      <c r="AW682" s="1569"/>
      <c r="AX682" s="1569"/>
      <c r="AY682" s="1569"/>
      <c r="AZ682" s="1569"/>
      <c r="BA682" s="1569"/>
      <c r="BB682" s="452"/>
      <c r="BC682" s="1569"/>
      <c r="BD682" s="1569"/>
      <c r="BE682" s="1569"/>
      <c r="BF682" s="1569"/>
      <c r="BG682" s="1569"/>
      <c r="BH682" s="452"/>
      <c r="BI682" s="1569"/>
      <c r="BJ682" s="1569"/>
      <c r="BK682" s="1569"/>
      <c r="BL682" s="1569"/>
      <c r="BM682" s="1569"/>
      <c r="BN682" s="453"/>
      <c r="BO682" s="1569"/>
      <c r="BP682" s="1569"/>
      <c r="BQ682" s="1569"/>
      <c r="BR682" s="1569"/>
      <c r="BS682" s="1569"/>
      <c r="BT682" s="342"/>
      <c r="BU682" s="357"/>
      <c r="BV682" s="310"/>
      <c r="BW682" s="310"/>
      <c r="BX682" s="300">
        <f t="shared" si="8"/>
        <v>0</v>
      </c>
      <c r="BY682" s="342"/>
      <c r="BZ682" s="438"/>
      <c r="CA682" s="438"/>
      <c r="CB682" s="439"/>
      <c r="CC682" s="439"/>
      <c r="CD682" s="439"/>
      <c r="CE682" s="439"/>
      <c r="CF682" s="439"/>
    </row>
    <row r="683" spans="1:84" s="423" customFormat="1" ht="15" hidden="1" customHeight="1" x14ac:dyDescent="0.25">
      <c r="A683" s="369"/>
      <c r="B683" s="340"/>
      <c r="C683" s="1570" t="s">
        <v>909</v>
      </c>
      <c r="D683" s="1337"/>
      <c r="E683" s="1337"/>
      <c r="F683" s="1337"/>
      <c r="G683" s="1337"/>
      <c r="H683" s="1337"/>
      <c r="I683" s="1337"/>
      <c r="J683" s="1337"/>
      <c r="K683" s="1337"/>
      <c r="L683" s="354"/>
      <c r="M683" s="1569"/>
      <c r="N683" s="1569"/>
      <c r="O683" s="1569"/>
      <c r="P683" s="1569"/>
      <c r="Q683" s="1569"/>
      <c r="R683" s="452"/>
      <c r="S683" s="1569"/>
      <c r="T683" s="1569"/>
      <c r="U683" s="1569"/>
      <c r="V683" s="1569"/>
      <c r="W683" s="1569"/>
      <c r="X683" s="452"/>
      <c r="Y683" s="1569"/>
      <c r="Z683" s="1569"/>
      <c r="AA683" s="1569"/>
      <c r="AB683" s="1569"/>
      <c r="AC683" s="1569"/>
      <c r="AD683" s="453"/>
      <c r="AE683" s="1569"/>
      <c r="AF683" s="1569"/>
      <c r="AG683" s="1569"/>
      <c r="AH683" s="1569"/>
      <c r="AI683" s="1569"/>
      <c r="AJ683" s="342"/>
      <c r="AK683" s="345"/>
      <c r="AL683" s="340"/>
      <c r="AM683" s="1570" t="s">
        <v>909</v>
      </c>
      <c r="AN683" s="1337"/>
      <c r="AO683" s="1337"/>
      <c r="AP683" s="1337"/>
      <c r="AQ683" s="1337"/>
      <c r="AR683" s="1337"/>
      <c r="AS683" s="1337"/>
      <c r="AT683" s="1337"/>
      <c r="AU683" s="1337"/>
      <c r="AV683" s="354"/>
      <c r="AW683" s="1569"/>
      <c r="AX683" s="1569"/>
      <c r="AY683" s="1569"/>
      <c r="AZ683" s="1569"/>
      <c r="BA683" s="1569"/>
      <c r="BB683" s="452"/>
      <c r="BC683" s="1569"/>
      <c r="BD683" s="1569"/>
      <c r="BE683" s="1569"/>
      <c r="BF683" s="1569"/>
      <c r="BG683" s="1569"/>
      <c r="BH683" s="452"/>
      <c r="BI683" s="1569"/>
      <c r="BJ683" s="1569"/>
      <c r="BK683" s="1569"/>
      <c r="BL683" s="1569"/>
      <c r="BM683" s="1569"/>
      <c r="BN683" s="453"/>
      <c r="BO683" s="1569"/>
      <c r="BP683" s="1569"/>
      <c r="BQ683" s="1569"/>
      <c r="BR683" s="1569"/>
      <c r="BS683" s="1569"/>
      <c r="BT683" s="342"/>
      <c r="BU683" s="357"/>
      <c r="BV683" s="310"/>
      <c r="BW683" s="310"/>
      <c r="BX683" s="300">
        <f t="shared" si="8"/>
        <v>0</v>
      </c>
      <c r="BY683" s="342"/>
      <c r="BZ683" s="438"/>
      <c r="CA683" s="438"/>
      <c r="CB683" s="439"/>
      <c r="CC683" s="439"/>
      <c r="CD683" s="439"/>
      <c r="CE683" s="439"/>
      <c r="CF683" s="439"/>
    </row>
    <row r="684" spans="1:84" s="423" customFormat="1" ht="12.95" customHeight="1" x14ac:dyDescent="0.25">
      <c r="A684" s="369"/>
      <c r="B684" s="340"/>
      <c r="C684" s="1570"/>
      <c r="D684" s="1337"/>
      <c r="E684" s="1337"/>
      <c r="F684" s="1337"/>
      <c r="G684" s="1337"/>
      <c r="H684" s="1337"/>
      <c r="I684" s="1337"/>
      <c r="J684" s="1337"/>
      <c r="K684" s="1337"/>
      <c r="L684" s="354"/>
      <c r="M684" s="1569"/>
      <c r="N684" s="1569"/>
      <c r="O684" s="1569"/>
      <c r="P684" s="1569"/>
      <c r="Q684" s="1569"/>
      <c r="R684" s="452"/>
      <c r="S684" s="1569"/>
      <c r="T684" s="1569"/>
      <c r="U684" s="1569"/>
      <c r="V684" s="1569"/>
      <c r="W684" s="1569"/>
      <c r="X684" s="452"/>
      <c r="Y684" s="1569"/>
      <c r="Z684" s="1569"/>
      <c r="AA684" s="1569"/>
      <c r="AB684" s="1569"/>
      <c r="AC684" s="1569"/>
      <c r="AD684" s="453"/>
      <c r="AE684" s="1569"/>
      <c r="AF684" s="1569"/>
      <c r="AG684" s="1569"/>
      <c r="AH684" s="1569"/>
      <c r="AI684" s="1569"/>
      <c r="AJ684" s="342"/>
      <c r="AK684" s="345"/>
      <c r="AL684" s="340"/>
      <c r="AM684" s="1570"/>
      <c r="AN684" s="1337"/>
      <c r="AO684" s="1337"/>
      <c r="AP684" s="1337"/>
      <c r="AQ684" s="1337"/>
      <c r="AR684" s="1337"/>
      <c r="AS684" s="1337"/>
      <c r="AT684" s="1337"/>
      <c r="AU684" s="1337"/>
      <c r="AV684" s="354"/>
      <c r="AW684" s="1569"/>
      <c r="AX684" s="1569"/>
      <c r="AY684" s="1569"/>
      <c r="AZ684" s="1569"/>
      <c r="BA684" s="1569"/>
      <c r="BB684" s="452"/>
      <c r="BC684" s="1569"/>
      <c r="BD684" s="1569"/>
      <c r="BE684" s="1569"/>
      <c r="BF684" s="1569"/>
      <c r="BG684" s="1569"/>
      <c r="BH684" s="452"/>
      <c r="BI684" s="1569"/>
      <c r="BJ684" s="1569"/>
      <c r="BK684" s="1569"/>
      <c r="BL684" s="1569"/>
      <c r="BM684" s="1569"/>
      <c r="BN684" s="453"/>
      <c r="BO684" s="1569"/>
      <c r="BP684" s="1569"/>
      <c r="BQ684" s="1569"/>
      <c r="BR684" s="1569"/>
      <c r="BS684" s="1569"/>
      <c r="BT684" s="342"/>
      <c r="BU684" s="357"/>
      <c r="BV684" s="310"/>
      <c r="BW684" s="310"/>
      <c r="BX684" s="300"/>
      <c r="BY684" s="342"/>
      <c r="BZ684" s="438"/>
      <c r="CA684" s="438"/>
      <c r="CB684" s="439"/>
      <c r="CC684" s="439"/>
      <c r="CD684" s="439"/>
      <c r="CE684" s="439"/>
      <c r="CF684" s="439"/>
    </row>
    <row r="685" spans="1:84" s="423" customFormat="1" ht="15" customHeight="1" x14ac:dyDescent="0.25">
      <c r="A685" s="369"/>
      <c r="B685" s="340"/>
      <c r="C685" s="1571" t="s">
        <v>915</v>
      </c>
      <c r="D685" s="1572"/>
      <c r="E685" s="1572"/>
      <c r="F685" s="1572"/>
      <c r="G685" s="1572"/>
      <c r="H685" s="1572"/>
      <c r="I685" s="1572"/>
      <c r="J685" s="1572"/>
      <c r="K685" s="1572"/>
      <c r="L685" s="354"/>
      <c r="M685" s="1573">
        <f>SUBTOTAL(109,M686:Q688)</f>
        <v>59222650</v>
      </c>
      <c r="N685" s="1573"/>
      <c r="O685" s="1573"/>
      <c r="P685" s="1573"/>
      <c r="Q685" s="1573"/>
      <c r="R685" s="452"/>
      <c r="S685" s="1573">
        <f>SUBTOTAL(109,S686:W688)</f>
        <v>4524200</v>
      </c>
      <c r="T685" s="1573"/>
      <c r="U685" s="1573"/>
      <c r="V685" s="1573"/>
      <c r="W685" s="1573"/>
      <c r="X685" s="452"/>
      <c r="Y685" s="1573">
        <f>SUBTOTAL(109,Y686:AC688)</f>
        <v>1076637050</v>
      </c>
      <c r="Z685" s="1573"/>
      <c r="AA685" s="1573"/>
      <c r="AB685" s="1573"/>
      <c r="AC685" s="1573"/>
      <c r="AD685" s="453"/>
      <c r="AE685" s="1573">
        <f>SUBTOTAL(109,AE686:AI688)</f>
        <v>85482725</v>
      </c>
      <c r="AF685" s="1573"/>
      <c r="AG685" s="1573"/>
      <c r="AH685" s="1573"/>
      <c r="AI685" s="1573"/>
      <c r="AJ685" s="342"/>
      <c r="AK685" s="345"/>
      <c r="AL685" s="340"/>
      <c r="AM685" s="1570" t="s">
        <v>909</v>
      </c>
      <c r="AN685" s="1337"/>
      <c r="AO685" s="1337"/>
      <c r="AP685" s="1337"/>
      <c r="AQ685" s="1337"/>
      <c r="AR685" s="1337"/>
      <c r="AS685" s="1337"/>
      <c r="AT685" s="1337"/>
      <c r="AU685" s="1337"/>
      <c r="AV685" s="354"/>
      <c r="AW685" s="1569"/>
      <c r="AX685" s="1569"/>
      <c r="AY685" s="1569"/>
      <c r="AZ685" s="1569"/>
      <c r="BA685" s="1569"/>
      <c r="BB685" s="452"/>
      <c r="BC685" s="1569"/>
      <c r="BD685" s="1569"/>
      <c r="BE685" s="1569"/>
      <c r="BF685" s="1569"/>
      <c r="BG685" s="1569"/>
      <c r="BH685" s="452"/>
      <c r="BI685" s="1569"/>
      <c r="BJ685" s="1569"/>
      <c r="BK685" s="1569"/>
      <c r="BL685" s="1569"/>
      <c r="BM685" s="1569"/>
      <c r="BN685" s="453"/>
      <c r="BO685" s="1569"/>
      <c r="BP685" s="1569"/>
      <c r="BQ685" s="1569"/>
      <c r="BR685" s="1569"/>
      <c r="BS685" s="1569"/>
      <c r="BT685" s="342"/>
      <c r="BU685" s="357"/>
      <c r="BV685" s="310"/>
      <c r="BW685" s="310"/>
      <c r="BX685" s="300">
        <f t="shared" si="8"/>
        <v>1225866625</v>
      </c>
      <c r="BY685" s="342"/>
      <c r="BZ685" s="431">
        <f>M685-S685</f>
        <v>54698450</v>
      </c>
      <c r="CA685" s="431" t="s">
        <v>916</v>
      </c>
      <c r="CB685" s="439"/>
      <c r="CC685" s="439"/>
      <c r="CD685" s="439"/>
      <c r="CE685" s="439"/>
      <c r="CF685" s="439"/>
    </row>
    <row r="686" spans="1:84" s="423" customFormat="1" ht="15" customHeight="1" x14ac:dyDescent="0.25">
      <c r="A686" s="369"/>
      <c r="B686" s="340"/>
      <c r="C686" s="1570" t="s">
        <v>917</v>
      </c>
      <c r="D686" s="1337"/>
      <c r="E686" s="1337"/>
      <c r="F686" s="1337"/>
      <c r="G686" s="1337"/>
      <c r="H686" s="1337"/>
      <c r="I686" s="1337"/>
      <c r="J686" s="1337"/>
      <c r="K686" s="1337"/>
      <c r="L686" s="354"/>
      <c r="M686" s="1569">
        <f>29396800-3786400+33612250</f>
        <v>59222650</v>
      </c>
      <c r="N686" s="1569"/>
      <c r="O686" s="1569"/>
      <c r="P686" s="1569"/>
      <c r="Q686" s="1569"/>
      <c r="R686" s="452"/>
      <c r="S686" s="1569">
        <f>7302280-[1]Dieu_chinh!$N$27</f>
        <v>4524200</v>
      </c>
      <c r="T686" s="1569"/>
      <c r="U686" s="1569"/>
      <c r="V686" s="1569"/>
      <c r="W686" s="1569"/>
      <c r="X686" s="452"/>
      <c r="Y686" s="1569">
        <v>1076637050</v>
      </c>
      <c r="Z686" s="1569"/>
      <c r="AA686" s="1569"/>
      <c r="AB686" s="1569"/>
      <c r="AC686" s="1569"/>
      <c r="AD686" s="453"/>
      <c r="AE686" s="1569">
        <v>85482725</v>
      </c>
      <c r="AF686" s="1569"/>
      <c r="AG686" s="1569"/>
      <c r="AH686" s="1569"/>
      <c r="AI686" s="1569"/>
      <c r="AJ686" s="342"/>
      <c r="AK686" s="345"/>
      <c r="AL686" s="340"/>
      <c r="AM686" s="1570" t="s">
        <v>918</v>
      </c>
      <c r="AN686" s="1337"/>
      <c r="AO686" s="1337"/>
      <c r="AP686" s="1337"/>
      <c r="AQ686" s="1337"/>
      <c r="AR686" s="1337"/>
      <c r="AS686" s="1337"/>
      <c r="AT686" s="1337"/>
      <c r="AU686" s="1337"/>
      <c r="AV686" s="354"/>
      <c r="AW686" s="1569"/>
      <c r="AX686" s="1569"/>
      <c r="AY686" s="1569"/>
      <c r="AZ686" s="1569"/>
      <c r="BA686" s="1569"/>
      <c r="BB686" s="452"/>
      <c r="BC686" s="1569"/>
      <c r="BD686" s="1569"/>
      <c r="BE686" s="1569"/>
      <c r="BF686" s="1569"/>
      <c r="BG686" s="1569"/>
      <c r="BH686" s="452"/>
      <c r="BI686" s="1569"/>
      <c r="BJ686" s="1569"/>
      <c r="BK686" s="1569"/>
      <c r="BL686" s="1569"/>
      <c r="BM686" s="1569"/>
      <c r="BN686" s="453"/>
      <c r="BO686" s="1569"/>
      <c r="BP686" s="1569"/>
      <c r="BQ686" s="1569"/>
      <c r="BR686" s="1569"/>
      <c r="BS686" s="1569"/>
      <c r="BT686" s="342"/>
      <c r="BU686" s="357"/>
      <c r="BV686" s="310"/>
      <c r="BW686" s="310"/>
      <c r="BX686" s="300">
        <f t="shared" si="8"/>
        <v>1225866625</v>
      </c>
      <c r="BY686" s="342"/>
      <c r="BZ686" s="438"/>
      <c r="CA686" s="438"/>
      <c r="CB686" s="439"/>
      <c r="CC686" s="439"/>
      <c r="CD686" s="439"/>
      <c r="CE686" s="439"/>
      <c r="CF686" s="439"/>
    </row>
    <row r="687" spans="1:84" s="423" customFormat="1" ht="15" hidden="1" customHeight="1" x14ac:dyDescent="0.25">
      <c r="A687" s="369"/>
      <c r="B687" s="340"/>
      <c r="C687" s="1570" t="s">
        <v>919</v>
      </c>
      <c r="D687" s="1337"/>
      <c r="E687" s="1337"/>
      <c r="F687" s="1337"/>
      <c r="G687" s="1337"/>
      <c r="H687" s="1337"/>
      <c r="I687" s="1337"/>
      <c r="J687" s="1337"/>
      <c r="K687" s="1337"/>
      <c r="L687" s="354"/>
      <c r="M687" s="1569"/>
      <c r="N687" s="1569"/>
      <c r="O687" s="1569"/>
      <c r="P687" s="1569"/>
      <c r="Q687" s="1569"/>
      <c r="R687" s="452"/>
      <c r="S687" s="1569"/>
      <c r="T687" s="1569"/>
      <c r="U687" s="1569"/>
      <c r="V687" s="1569"/>
      <c r="W687" s="1569"/>
      <c r="X687" s="452"/>
      <c r="Y687" s="1569"/>
      <c r="Z687" s="1569"/>
      <c r="AA687" s="1569"/>
      <c r="AB687" s="1569"/>
      <c r="AC687" s="1569"/>
      <c r="AD687" s="453"/>
      <c r="AE687" s="1569"/>
      <c r="AF687" s="1569"/>
      <c r="AG687" s="1569"/>
      <c r="AH687" s="1569"/>
      <c r="AI687" s="1569"/>
      <c r="AJ687" s="342"/>
      <c r="AK687" s="345"/>
      <c r="AL687" s="340"/>
      <c r="AM687" s="1570" t="s">
        <v>919</v>
      </c>
      <c r="AN687" s="1337"/>
      <c r="AO687" s="1337"/>
      <c r="AP687" s="1337"/>
      <c r="AQ687" s="1337"/>
      <c r="AR687" s="1337"/>
      <c r="AS687" s="1337"/>
      <c r="AT687" s="1337"/>
      <c r="AU687" s="1337"/>
      <c r="AV687" s="354"/>
      <c r="AW687" s="1569"/>
      <c r="AX687" s="1569"/>
      <c r="AY687" s="1569"/>
      <c r="AZ687" s="1569"/>
      <c r="BA687" s="1569"/>
      <c r="BB687" s="452"/>
      <c r="BC687" s="1569"/>
      <c r="BD687" s="1569"/>
      <c r="BE687" s="1569"/>
      <c r="BF687" s="1569"/>
      <c r="BG687" s="1569"/>
      <c r="BH687" s="452"/>
      <c r="BI687" s="1569"/>
      <c r="BJ687" s="1569"/>
      <c r="BK687" s="1569"/>
      <c r="BL687" s="1569"/>
      <c r="BM687" s="1569"/>
      <c r="BN687" s="453"/>
      <c r="BO687" s="1569"/>
      <c r="BP687" s="1569"/>
      <c r="BQ687" s="1569"/>
      <c r="BR687" s="1569"/>
      <c r="BS687" s="1569"/>
      <c r="BT687" s="342"/>
      <c r="BU687" s="357"/>
      <c r="BV687" s="310"/>
      <c r="BW687" s="310"/>
      <c r="BX687" s="300">
        <f t="shared" si="8"/>
        <v>0</v>
      </c>
      <c r="BY687" s="342"/>
      <c r="BZ687" s="438"/>
      <c r="CA687" s="438"/>
      <c r="CB687" s="439"/>
      <c r="CC687" s="439"/>
      <c r="CD687" s="439"/>
      <c r="CE687" s="439"/>
      <c r="CF687" s="439"/>
    </row>
    <row r="688" spans="1:84" ht="69.95" hidden="1" customHeight="1" x14ac:dyDescent="0.25">
      <c r="A688" s="369"/>
      <c r="B688" s="340"/>
      <c r="C688" s="1337"/>
      <c r="D688" s="1337"/>
      <c r="E688" s="1337"/>
      <c r="F688" s="1337"/>
      <c r="G688" s="1337"/>
      <c r="H688" s="1337"/>
      <c r="I688" s="1337"/>
      <c r="J688" s="1337"/>
      <c r="K688" s="1337"/>
      <c r="L688" s="354"/>
      <c r="M688" s="1569"/>
      <c r="N688" s="1569"/>
      <c r="O688" s="1569"/>
      <c r="P688" s="1569"/>
      <c r="Q688" s="1569"/>
      <c r="R688" s="452"/>
      <c r="S688" s="1569"/>
      <c r="T688" s="1569"/>
      <c r="U688" s="1569"/>
      <c r="V688" s="1569"/>
      <c r="W688" s="1569"/>
      <c r="X688" s="452"/>
      <c r="Y688" s="1569"/>
      <c r="Z688" s="1569"/>
      <c r="AA688" s="1569"/>
      <c r="AB688" s="1569"/>
      <c r="AC688" s="1569"/>
      <c r="AD688" s="453"/>
      <c r="AE688" s="1569"/>
      <c r="AF688" s="1569"/>
      <c r="AG688" s="1569"/>
      <c r="AH688" s="1569"/>
      <c r="AI688" s="1569"/>
      <c r="AJ688" s="344"/>
      <c r="AK688" s="345"/>
      <c r="AL688" s="340"/>
      <c r="AM688" s="1337"/>
      <c r="AN688" s="1337"/>
      <c r="AO688" s="1337"/>
      <c r="AP688" s="1337"/>
      <c r="AQ688" s="1337"/>
      <c r="AR688" s="1337"/>
      <c r="AS688" s="1337"/>
      <c r="AT688" s="1337"/>
      <c r="AU688" s="1337"/>
      <c r="AV688" s="354"/>
      <c r="AW688" s="1569"/>
      <c r="AX688" s="1569"/>
      <c r="AY688" s="1569"/>
      <c r="AZ688" s="1569"/>
      <c r="BA688" s="1569"/>
      <c r="BB688" s="452"/>
      <c r="BC688" s="1569"/>
      <c r="BD688" s="1569"/>
      <c r="BE688" s="1569"/>
      <c r="BF688" s="1569"/>
      <c r="BG688" s="1569"/>
      <c r="BH688" s="452"/>
      <c r="BI688" s="1569"/>
      <c r="BJ688" s="1569"/>
      <c r="BK688" s="1569"/>
      <c r="BL688" s="1569"/>
      <c r="BM688" s="1569"/>
      <c r="BN688" s="453"/>
      <c r="BO688" s="1569"/>
      <c r="BP688" s="1569"/>
      <c r="BQ688" s="1569"/>
      <c r="BR688" s="1569"/>
      <c r="BS688" s="1569"/>
      <c r="BT688" s="344"/>
      <c r="BU688" s="357"/>
      <c r="BV688" s="310"/>
      <c r="BW688" s="310"/>
      <c r="BX688" s="291"/>
      <c r="BY688" s="344"/>
      <c r="BZ688" s="347"/>
      <c r="CA688" s="347"/>
    </row>
    <row r="689" spans="1:84" ht="12.95" customHeight="1" x14ac:dyDescent="0.25">
      <c r="A689" s="369"/>
      <c r="B689" s="340"/>
      <c r="C689" s="354"/>
      <c r="D689" s="354"/>
      <c r="E689" s="354"/>
      <c r="F689" s="354"/>
      <c r="G689" s="354"/>
      <c r="H689" s="354"/>
      <c r="I689" s="354"/>
      <c r="J689" s="354"/>
      <c r="K689" s="354"/>
      <c r="L689" s="354"/>
      <c r="M689" s="354"/>
      <c r="N689" s="354"/>
      <c r="O689" s="354"/>
      <c r="P689" s="354"/>
      <c r="Q689" s="354"/>
      <c r="R689" s="354"/>
      <c r="S689" s="354"/>
      <c r="T689" s="354"/>
      <c r="U689" s="342"/>
      <c r="V689" s="342"/>
      <c r="W689" s="355"/>
      <c r="X689" s="355"/>
      <c r="Y689" s="355"/>
      <c r="Z689" s="355"/>
      <c r="AA689" s="355"/>
      <c r="AB689" s="355"/>
      <c r="AC689" s="355"/>
      <c r="AD689" s="355"/>
      <c r="AE689" s="355"/>
      <c r="AF689" s="355"/>
      <c r="AG689" s="355"/>
      <c r="AH689" s="355"/>
      <c r="AI689" s="355"/>
      <c r="AJ689" s="344"/>
      <c r="AK689" s="345"/>
      <c r="AL689" s="340"/>
      <c r="AM689" s="354"/>
      <c r="AN689" s="354"/>
      <c r="AO689" s="354"/>
      <c r="AP689" s="354"/>
      <c r="AQ689" s="354"/>
      <c r="AR689" s="354"/>
      <c r="AS689" s="354"/>
      <c r="AT689" s="354"/>
      <c r="AU689" s="354"/>
      <c r="AV689" s="354"/>
      <c r="AW689" s="354"/>
      <c r="AX689" s="354"/>
      <c r="AY689" s="354"/>
      <c r="AZ689" s="354"/>
      <c r="BA689" s="354"/>
      <c r="BB689" s="354"/>
      <c r="BC689" s="354"/>
      <c r="BD689" s="354"/>
      <c r="BE689" s="342"/>
      <c r="BF689" s="342"/>
      <c r="BG689" s="355"/>
      <c r="BH689" s="355"/>
      <c r="BI689" s="355"/>
      <c r="BJ689" s="355"/>
      <c r="BK689" s="355"/>
      <c r="BL689" s="355"/>
      <c r="BM689" s="355"/>
      <c r="BN689" s="355"/>
      <c r="BO689" s="355"/>
      <c r="BP689" s="355"/>
      <c r="BQ689" s="355"/>
      <c r="BR689" s="355"/>
      <c r="BS689" s="355"/>
      <c r="BT689" s="344"/>
      <c r="BU689" s="357"/>
      <c r="BV689" s="310"/>
      <c r="BW689" s="310"/>
      <c r="BX689" s="291">
        <f t="shared" si="8"/>
        <v>0</v>
      </c>
      <c r="BY689" s="344"/>
      <c r="BZ689" s="347"/>
      <c r="CA689" s="347"/>
    </row>
    <row r="690" spans="1:84" s="451" customFormat="1" ht="15" customHeight="1" thickBot="1" x14ac:dyDescent="0.3">
      <c r="A690" s="313"/>
      <c r="B690" s="340"/>
      <c r="C690" s="360" t="s">
        <v>752</v>
      </c>
      <c r="D690" s="340"/>
      <c r="E690" s="340"/>
      <c r="F690" s="340"/>
      <c r="G690" s="340"/>
      <c r="H690" s="340"/>
      <c r="I690" s="340"/>
      <c r="J690" s="340"/>
      <c r="K690" s="340"/>
      <c r="L690" s="340"/>
      <c r="M690" s="1568">
        <f>SUBTOTAL(109,M675:Q688)</f>
        <v>2426463213</v>
      </c>
      <c r="N690" s="1568"/>
      <c r="O690" s="1568"/>
      <c r="P690" s="1568"/>
      <c r="Q690" s="1568"/>
      <c r="R690" s="447"/>
      <c r="S690" s="1568">
        <f>SUBTOTAL(109,S675:W688)</f>
        <v>112228763</v>
      </c>
      <c r="T690" s="1568"/>
      <c r="U690" s="1568"/>
      <c r="V690" s="1568"/>
      <c r="W690" s="1568"/>
      <c r="X690" s="447"/>
      <c r="Y690" s="1568">
        <f>SUBTOTAL(109,Y675:AC688)</f>
        <v>4329058319</v>
      </c>
      <c r="Z690" s="1568"/>
      <c r="AA690" s="1568"/>
      <c r="AB690" s="1568"/>
      <c r="AC690" s="1568"/>
      <c r="AD690" s="448"/>
      <c r="AE690" s="1568">
        <f>SUBTOTAL(109,AE675:AI688)</f>
        <v>767129711</v>
      </c>
      <c r="AF690" s="1568"/>
      <c r="AG690" s="1568"/>
      <c r="AH690" s="1568"/>
      <c r="AI690" s="1568"/>
      <c r="AJ690" s="341"/>
      <c r="AK690" s="345"/>
      <c r="AL690" s="340"/>
      <c r="AM690" s="360" t="s">
        <v>752</v>
      </c>
      <c r="AN690" s="340"/>
      <c r="AO690" s="340"/>
      <c r="AP690" s="340"/>
      <c r="AQ690" s="340"/>
      <c r="AR690" s="340"/>
      <c r="AS690" s="340"/>
      <c r="AT690" s="340"/>
      <c r="AU690" s="340"/>
      <c r="AV690" s="340"/>
      <c r="AW690" s="1568">
        <f>SUBTOTAL(109,AW675:BA688)</f>
        <v>0</v>
      </c>
      <c r="AX690" s="1568"/>
      <c r="AY690" s="1568"/>
      <c r="AZ690" s="1568"/>
      <c r="BA690" s="1568"/>
      <c r="BB690" s="447"/>
      <c r="BC690" s="1568">
        <f>SUBTOTAL(109,BC675:BG688)</f>
        <v>0</v>
      </c>
      <c r="BD690" s="1568"/>
      <c r="BE690" s="1568"/>
      <c r="BF690" s="1568"/>
      <c r="BG690" s="1568"/>
      <c r="BH690" s="447"/>
      <c r="BI690" s="1568">
        <f>SUBTOTAL(109,BI675:BM688)</f>
        <v>0</v>
      </c>
      <c r="BJ690" s="1568"/>
      <c r="BK690" s="1568"/>
      <c r="BL690" s="1568"/>
      <c r="BM690" s="1568"/>
      <c r="BN690" s="448"/>
      <c r="BO690" s="1568">
        <f>SUBTOTAL(109,BO675:BS688)</f>
        <v>0</v>
      </c>
      <c r="BP690" s="1568"/>
      <c r="BQ690" s="1568"/>
      <c r="BR690" s="1568"/>
      <c r="BS690" s="1568"/>
      <c r="BT690" s="341"/>
      <c r="BU690" s="362"/>
      <c r="BV690" s="425">
        <f>M690-S690+KN_CT137+KN_CT219</f>
        <v>0</v>
      </c>
      <c r="BW690" s="425">
        <f>Y690-AE690+KT_CT137+KT_CT219</f>
        <v>0</v>
      </c>
      <c r="BX690" s="449">
        <f t="shared" ref="BX690:BX758" si="17">IF(ISNONTEXT($C690),0,SUM(D690:AI690)-SUM(AN690:BS690))</f>
        <v>7634880006</v>
      </c>
      <c r="BY690" s="341"/>
      <c r="BZ690" s="431"/>
      <c r="CA690" s="431"/>
      <c r="CB690" s="450"/>
      <c r="CC690" s="450"/>
      <c r="CD690" s="450"/>
      <c r="CE690" s="450"/>
      <c r="CF690" s="450"/>
    </row>
    <row r="691" spans="1:84" ht="14.1" hidden="1" customHeight="1" thickTop="1" x14ac:dyDescent="0.25">
      <c r="A691" s="369"/>
      <c r="B691" s="454"/>
      <c r="C691" s="342"/>
      <c r="D691" s="342"/>
      <c r="E691" s="342"/>
      <c r="F691" s="342"/>
      <c r="G691" s="342"/>
      <c r="H691" s="342"/>
      <c r="I691" s="342"/>
      <c r="J691" s="342"/>
      <c r="K691" s="342"/>
      <c r="L691" s="342"/>
      <c r="M691" s="342"/>
      <c r="N691" s="342"/>
      <c r="O691" s="342"/>
      <c r="P691" s="342"/>
      <c r="Q691" s="342"/>
      <c r="R691" s="342"/>
      <c r="S691" s="342"/>
      <c r="T691" s="342"/>
      <c r="U691" s="342"/>
      <c r="V691" s="342"/>
      <c r="W691" s="1383"/>
      <c r="X691" s="1383"/>
      <c r="Y691" s="1383"/>
      <c r="Z691" s="1383"/>
      <c r="AA691" s="1383"/>
      <c r="AB691" s="1383"/>
      <c r="AC691" s="343"/>
      <c r="AD691" s="1383"/>
      <c r="AE691" s="1383"/>
      <c r="AF691" s="1383"/>
      <c r="AG691" s="1383"/>
      <c r="AH691" s="1383"/>
      <c r="AI691" s="1383"/>
      <c r="AJ691" s="344"/>
      <c r="AK691" s="345"/>
      <c r="AL691" s="340"/>
      <c r="AM691" s="342"/>
      <c r="AN691" s="342"/>
      <c r="AO691" s="342"/>
      <c r="AP691" s="342"/>
      <c r="AQ691" s="342"/>
      <c r="AR691" s="342"/>
      <c r="AS691" s="342"/>
      <c r="AT691" s="342"/>
      <c r="AU691" s="342"/>
      <c r="AV691" s="342"/>
      <c r="AW691" s="342"/>
      <c r="AX691" s="342"/>
      <c r="AY691" s="342"/>
      <c r="AZ691" s="342"/>
      <c r="BA691" s="342"/>
      <c r="BB691" s="342"/>
      <c r="BC691" s="342"/>
      <c r="BD691" s="342"/>
      <c r="BE691" s="342"/>
      <c r="BF691" s="342"/>
      <c r="BG691" s="1383"/>
      <c r="BH691" s="1383"/>
      <c r="BI691" s="1383"/>
      <c r="BJ691" s="1383"/>
      <c r="BK691" s="1383"/>
      <c r="BL691" s="1383"/>
      <c r="BM691" s="343"/>
      <c r="BN691" s="1383"/>
      <c r="BO691" s="1383"/>
      <c r="BP691" s="1383"/>
      <c r="BQ691" s="1383"/>
      <c r="BR691" s="1383"/>
      <c r="BS691" s="1383"/>
      <c r="BT691" s="344"/>
      <c r="BU691" s="346"/>
      <c r="BV691" s="310"/>
      <c r="BW691" s="310"/>
      <c r="BX691" s="291">
        <f t="shared" si="17"/>
        <v>0</v>
      </c>
      <c r="BY691" s="344"/>
      <c r="BZ691" s="347"/>
      <c r="CA691" s="347"/>
    </row>
    <row r="692" spans="1:84" ht="14.1" hidden="1" customHeight="1" x14ac:dyDescent="0.25">
      <c r="A692" s="369"/>
      <c r="B692" s="454"/>
      <c r="C692" s="342" t="s">
        <v>920</v>
      </c>
      <c r="D692" s="342"/>
      <c r="E692" s="342"/>
      <c r="F692" s="342"/>
      <c r="G692" s="342"/>
      <c r="H692" s="342"/>
      <c r="I692" s="342"/>
      <c r="J692" s="342"/>
      <c r="K692" s="342"/>
      <c r="L692" s="342"/>
      <c r="M692" s="342"/>
      <c r="N692" s="342"/>
      <c r="O692" s="342"/>
      <c r="P692" s="342"/>
      <c r="Q692" s="342"/>
      <c r="R692" s="342"/>
      <c r="S692" s="342"/>
      <c r="T692" s="342"/>
      <c r="U692" s="342"/>
      <c r="V692" s="342"/>
      <c r="W692" s="1383"/>
      <c r="X692" s="1383"/>
      <c r="Y692" s="1383"/>
      <c r="Z692" s="1383"/>
      <c r="AA692" s="1383"/>
      <c r="AB692" s="1383"/>
      <c r="AC692" s="343"/>
      <c r="AD692" s="1383"/>
      <c r="AE692" s="1383"/>
      <c r="AF692" s="1383"/>
      <c r="AG692" s="1383"/>
      <c r="AH692" s="1383"/>
      <c r="AI692" s="1383"/>
      <c r="AJ692" s="344"/>
      <c r="AK692" s="345"/>
      <c r="AL692" s="340"/>
      <c r="AM692" s="342" t="s">
        <v>921</v>
      </c>
      <c r="AN692" s="342"/>
      <c r="AO692" s="342"/>
      <c r="AP692" s="342"/>
      <c r="AQ692" s="342"/>
      <c r="AR692" s="342"/>
      <c r="AS692" s="342"/>
      <c r="AT692" s="342"/>
      <c r="AU692" s="342"/>
      <c r="AV692" s="342"/>
      <c r="AW692" s="342"/>
      <c r="AX692" s="342"/>
      <c r="AY692" s="342"/>
      <c r="AZ692" s="342"/>
      <c r="BA692" s="342"/>
      <c r="BB692" s="342"/>
      <c r="BC692" s="342"/>
      <c r="BD692" s="342"/>
      <c r="BE692" s="342"/>
      <c r="BF692" s="342"/>
      <c r="BG692" s="1383"/>
      <c r="BH692" s="1383"/>
      <c r="BI692" s="1383"/>
      <c r="BJ692" s="1383"/>
      <c r="BK692" s="1383"/>
      <c r="BL692" s="1383"/>
      <c r="BM692" s="343"/>
      <c r="BN692" s="1383"/>
      <c r="BO692" s="1383"/>
      <c r="BP692" s="1383"/>
      <c r="BQ692" s="1383"/>
      <c r="BR692" s="1383"/>
      <c r="BS692" s="1383"/>
      <c r="BT692" s="344"/>
      <c r="BU692" s="346"/>
      <c r="BV692" s="310"/>
      <c r="BW692" s="310"/>
      <c r="BX692" s="291">
        <f>IF(ISNONTEXT($C692),0,SUM(D692:AI692)-SUM(AN692:BS692))</f>
        <v>0</v>
      </c>
      <c r="BY692" s="344"/>
      <c r="BZ692" s="347"/>
      <c r="CA692" s="347"/>
    </row>
    <row r="693" spans="1:84" ht="12.95" hidden="1" customHeight="1" x14ac:dyDescent="0.25">
      <c r="A693" s="369"/>
      <c r="B693" s="454"/>
      <c r="C693" s="342"/>
      <c r="D693" s="342"/>
      <c r="E693" s="342"/>
      <c r="F693" s="342"/>
      <c r="G693" s="342"/>
      <c r="H693" s="342"/>
      <c r="I693" s="342"/>
      <c r="J693" s="342"/>
      <c r="K693" s="342"/>
      <c r="L693" s="342"/>
      <c r="M693" s="342"/>
      <c r="N693" s="342"/>
      <c r="O693" s="342"/>
      <c r="P693" s="342"/>
      <c r="Q693" s="342"/>
      <c r="R693" s="342"/>
      <c r="S693" s="342"/>
      <c r="T693" s="342"/>
      <c r="U693" s="342"/>
      <c r="V693" s="342"/>
      <c r="W693" s="1383"/>
      <c r="X693" s="1383"/>
      <c r="Y693" s="1383"/>
      <c r="Z693" s="1383"/>
      <c r="AA693" s="1383"/>
      <c r="AB693" s="1383"/>
      <c r="AC693" s="343"/>
      <c r="AD693" s="1383"/>
      <c r="AE693" s="1383"/>
      <c r="AF693" s="1383"/>
      <c r="AG693" s="1383"/>
      <c r="AH693" s="1383"/>
      <c r="AI693" s="1383"/>
      <c r="AJ693" s="344"/>
      <c r="AK693" s="345"/>
      <c r="AL693" s="340"/>
      <c r="AM693" s="342"/>
      <c r="AN693" s="342"/>
      <c r="AO693" s="342"/>
      <c r="AP693" s="342"/>
      <c r="AQ693" s="342"/>
      <c r="AR693" s="342"/>
      <c r="AS693" s="342"/>
      <c r="AT693" s="342"/>
      <c r="AU693" s="342"/>
      <c r="AV693" s="342"/>
      <c r="AW693" s="342"/>
      <c r="AX693" s="342"/>
      <c r="AY693" s="342"/>
      <c r="AZ693" s="342"/>
      <c r="BA693" s="342"/>
      <c r="BB693" s="342"/>
      <c r="BC693" s="342"/>
      <c r="BD693" s="342"/>
      <c r="BE693" s="342"/>
      <c r="BF693" s="342"/>
      <c r="BG693" s="1383"/>
      <c r="BH693" s="1383"/>
      <c r="BI693" s="1383"/>
      <c r="BJ693" s="1383"/>
      <c r="BK693" s="1383"/>
      <c r="BL693" s="1383"/>
      <c r="BM693" s="343"/>
      <c r="BN693" s="1383"/>
      <c r="BO693" s="1383"/>
      <c r="BP693" s="1383"/>
      <c r="BQ693" s="1383"/>
      <c r="BR693" s="1383"/>
      <c r="BS693" s="1383"/>
      <c r="BT693" s="344"/>
      <c r="BU693" s="346"/>
      <c r="BV693" s="310"/>
      <c r="BW693" s="310"/>
      <c r="BX693" s="291">
        <f>IF(ISNONTEXT($C693),0,SUM(D693:AI693)-SUM(AN693:BS693))</f>
        <v>0</v>
      </c>
      <c r="BY693" s="344"/>
      <c r="BZ693" s="347"/>
      <c r="CA693" s="347"/>
    </row>
    <row r="694" spans="1:84" ht="69.95" hidden="1" customHeight="1" x14ac:dyDescent="0.25">
      <c r="A694" s="369"/>
      <c r="B694" s="454"/>
      <c r="C694" s="1358" t="s">
        <v>922</v>
      </c>
      <c r="D694" s="1342"/>
      <c r="E694" s="1342"/>
      <c r="F694" s="1342"/>
      <c r="G694" s="1342"/>
      <c r="H694" s="1342"/>
      <c r="I694" s="1342"/>
      <c r="J694" s="1342"/>
      <c r="K694" s="1342"/>
      <c r="L694" s="1342"/>
      <c r="M694" s="1342"/>
      <c r="N694" s="1342"/>
      <c r="O694" s="1342"/>
      <c r="P694" s="1342"/>
      <c r="Q694" s="1342"/>
      <c r="R694" s="1342"/>
      <c r="S694" s="1342"/>
      <c r="T694" s="1342"/>
      <c r="U694" s="1342"/>
      <c r="V694" s="1342"/>
      <c r="W694" s="1342"/>
      <c r="X694" s="1342"/>
      <c r="Y694" s="1342"/>
      <c r="Z694" s="1342"/>
      <c r="AA694" s="1342"/>
      <c r="AB694" s="1342"/>
      <c r="AC694" s="1342"/>
      <c r="AD694" s="1342"/>
      <c r="AE694" s="1342"/>
      <c r="AF694" s="1342"/>
      <c r="AG694" s="1342"/>
      <c r="AH694" s="1342"/>
      <c r="AI694" s="1342"/>
      <c r="AJ694" s="1342"/>
      <c r="AK694" s="345"/>
      <c r="AL694" s="340"/>
      <c r="AM694" s="1358" t="s">
        <v>923</v>
      </c>
      <c r="AN694" s="1342"/>
      <c r="AO694" s="1342"/>
      <c r="AP694" s="1342"/>
      <c r="AQ694" s="1342"/>
      <c r="AR694" s="1342"/>
      <c r="AS694" s="1342"/>
      <c r="AT694" s="1342"/>
      <c r="AU694" s="1342"/>
      <c r="AV694" s="1342"/>
      <c r="AW694" s="1342"/>
      <c r="AX694" s="1342"/>
      <c r="AY694" s="1342"/>
      <c r="AZ694" s="1342"/>
      <c r="BA694" s="1342"/>
      <c r="BB694" s="1342"/>
      <c r="BC694" s="1342"/>
      <c r="BD694" s="1342"/>
      <c r="BE694" s="1342"/>
      <c r="BF694" s="1342"/>
      <c r="BG694" s="1342"/>
      <c r="BH694" s="1342"/>
      <c r="BI694" s="1342"/>
      <c r="BJ694" s="1342"/>
      <c r="BK694" s="1342"/>
      <c r="BL694" s="1342"/>
      <c r="BM694" s="1342"/>
      <c r="BN694" s="1342"/>
      <c r="BO694" s="1342"/>
      <c r="BP694" s="1342"/>
      <c r="BQ694" s="1342"/>
      <c r="BR694" s="1342"/>
      <c r="BS694" s="1342"/>
      <c r="BT694" s="1342"/>
      <c r="BU694" s="346"/>
      <c r="BV694" s="310"/>
      <c r="BW694" s="310"/>
      <c r="BX694" s="291">
        <f t="shared" si="17"/>
        <v>0</v>
      </c>
      <c r="BY694" s="344"/>
      <c r="BZ694" s="347"/>
      <c r="CA694" s="347"/>
    </row>
    <row r="695" spans="1:84" ht="2.1" hidden="1" customHeight="1" x14ac:dyDescent="0.25">
      <c r="A695" s="369"/>
      <c r="B695" s="454"/>
      <c r="C695" s="342"/>
      <c r="D695" s="342"/>
      <c r="E695" s="342"/>
      <c r="F695" s="342"/>
      <c r="G695" s="342"/>
      <c r="H695" s="342"/>
      <c r="I695" s="342"/>
      <c r="J695" s="342"/>
      <c r="K695" s="342"/>
      <c r="L695" s="342"/>
      <c r="M695" s="342"/>
      <c r="N695" s="342"/>
      <c r="O695" s="342"/>
      <c r="P695" s="342"/>
      <c r="Q695" s="342"/>
      <c r="R695" s="342"/>
      <c r="S695" s="342"/>
      <c r="T695" s="342"/>
      <c r="U695" s="342"/>
      <c r="V695" s="342"/>
      <c r="W695" s="1383"/>
      <c r="X695" s="1383"/>
      <c r="Y695" s="1383"/>
      <c r="Z695" s="1383"/>
      <c r="AA695" s="1383"/>
      <c r="AB695" s="1383"/>
      <c r="AC695" s="343"/>
      <c r="AD695" s="1383"/>
      <c r="AE695" s="1383"/>
      <c r="AF695" s="1383"/>
      <c r="AG695" s="1383"/>
      <c r="AH695" s="1383"/>
      <c r="AI695" s="1383"/>
      <c r="AJ695" s="344"/>
      <c r="AK695" s="345"/>
      <c r="AL695" s="340"/>
      <c r="AM695" s="342"/>
      <c r="AN695" s="342"/>
      <c r="AO695" s="342"/>
      <c r="AP695" s="342"/>
      <c r="AQ695" s="342"/>
      <c r="AR695" s="342"/>
      <c r="AS695" s="342"/>
      <c r="AT695" s="342"/>
      <c r="AU695" s="342"/>
      <c r="AV695" s="342"/>
      <c r="AW695" s="342"/>
      <c r="AX695" s="342"/>
      <c r="AY695" s="342"/>
      <c r="AZ695" s="342"/>
      <c r="BA695" s="342"/>
      <c r="BB695" s="342"/>
      <c r="BC695" s="342"/>
      <c r="BD695" s="342"/>
      <c r="BE695" s="342"/>
      <c r="BF695" s="342"/>
      <c r="BG695" s="342"/>
      <c r="BH695" s="342"/>
      <c r="BI695" s="342"/>
      <c r="BJ695" s="342"/>
      <c r="BK695" s="342"/>
      <c r="BL695" s="342"/>
      <c r="BM695" s="342"/>
      <c r="BN695" s="342"/>
      <c r="BO695" s="342"/>
      <c r="BP695" s="342"/>
      <c r="BQ695" s="342"/>
      <c r="BR695" s="342"/>
      <c r="BS695" s="342"/>
      <c r="BT695" s="342"/>
      <c r="BU695" s="346"/>
      <c r="BV695" s="310"/>
      <c r="BW695" s="310"/>
      <c r="BX695" s="291">
        <f t="shared" si="17"/>
        <v>0</v>
      </c>
      <c r="BY695" s="344"/>
      <c r="BZ695" s="347"/>
      <c r="CA695" s="347"/>
    </row>
    <row r="696" spans="1:84" ht="12.95" customHeight="1" thickTop="1" x14ac:dyDescent="0.25">
      <c r="A696" s="369"/>
      <c r="B696" s="340"/>
      <c r="C696" s="427"/>
      <c r="D696" s="342"/>
      <c r="E696" s="342"/>
      <c r="F696" s="342"/>
      <c r="G696" s="342"/>
      <c r="H696" s="342"/>
      <c r="I696" s="342"/>
      <c r="J696" s="342"/>
      <c r="K696" s="342"/>
      <c r="L696" s="342"/>
      <c r="M696" s="342"/>
      <c r="N696" s="342"/>
      <c r="O696" s="342"/>
      <c r="P696" s="342"/>
      <c r="Q696" s="342"/>
      <c r="R696" s="342"/>
      <c r="S696" s="342"/>
      <c r="T696" s="342"/>
      <c r="U696" s="342"/>
      <c r="V696" s="342"/>
      <c r="W696" s="343"/>
      <c r="X696" s="343"/>
      <c r="Y696" s="343"/>
      <c r="Z696" s="343"/>
      <c r="AA696" s="343"/>
      <c r="AB696" s="343"/>
      <c r="AC696" s="343"/>
      <c r="AD696" s="343"/>
      <c r="AE696" s="343"/>
      <c r="AF696" s="343"/>
      <c r="AG696" s="343"/>
      <c r="AH696" s="343"/>
      <c r="AI696" s="343"/>
      <c r="AJ696" s="344"/>
      <c r="AK696" s="345"/>
      <c r="AL696" s="340"/>
      <c r="AM696" s="342"/>
      <c r="AN696" s="342"/>
      <c r="AO696" s="342"/>
      <c r="AP696" s="342"/>
      <c r="AQ696" s="342"/>
      <c r="AR696" s="342"/>
      <c r="AS696" s="342"/>
      <c r="AT696" s="342"/>
      <c r="AU696" s="342"/>
      <c r="AV696" s="342"/>
      <c r="AW696" s="342"/>
      <c r="AX696" s="342"/>
      <c r="AY696" s="342"/>
      <c r="AZ696" s="342"/>
      <c r="BA696" s="342"/>
      <c r="BB696" s="342"/>
      <c r="BC696" s="342"/>
      <c r="BD696" s="342"/>
      <c r="BE696" s="342"/>
      <c r="BF696" s="342"/>
      <c r="BG696" s="342"/>
      <c r="BH696" s="342"/>
      <c r="BI696" s="342"/>
      <c r="BJ696" s="342"/>
      <c r="BK696" s="342"/>
      <c r="BL696" s="342"/>
      <c r="BM696" s="342"/>
      <c r="BN696" s="342"/>
      <c r="BO696" s="342"/>
      <c r="BP696" s="342"/>
      <c r="BQ696" s="342"/>
      <c r="BR696" s="342"/>
      <c r="BS696" s="342"/>
      <c r="BT696" s="342"/>
      <c r="BU696" s="346"/>
      <c r="BV696" s="310"/>
      <c r="BW696" s="310"/>
      <c r="BX696" s="291">
        <f t="shared" si="17"/>
        <v>0</v>
      </c>
      <c r="BY696" s="344"/>
      <c r="BZ696" s="347"/>
      <c r="CA696" s="347"/>
    </row>
    <row r="697" spans="1:84" ht="15" customHeight="1" x14ac:dyDescent="0.25">
      <c r="A697" s="313">
        <v>10</v>
      </c>
      <c r="B697" s="340" t="s">
        <v>345</v>
      </c>
      <c r="C697" s="341" t="s">
        <v>924</v>
      </c>
      <c r="D697" s="341"/>
      <c r="E697" s="341"/>
      <c r="F697" s="341"/>
      <c r="G697" s="341"/>
      <c r="H697" s="341"/>
      <c r="I697" s="341"/>
      <c r="J697" s="341"/>
      <c r="K697" s="341"/>
      <c r="L697" s="341"/>
      <c r="M697" s="341"/>
      <c r="N697" s="341"/>
      <c r="O697" s="341"/>
      <c r="P697" s="341"/>
      <c r="Q697" s="341"/>
      <c r="R697" s="341"/>
      <c r="S697" s="341"/>
      <c r="T697" s="341"/>
      <c r="U697" s="342"/>
      <c r="V697" s="342"/>
      <c r="W697" s="343"/>
      <c r="X697" s="343"/>
      <c r="Y697" s="343"/>
      <c r="Z697" s="343"/>
      <c r="AA697" s="343"/>
      <c r="AB697" s="343"/>
      <c r="AC697" s="343"/>
      <c r="AD697" s="343"/>
      <c r="AE697" s="343"/>
      <c r="AF697" s="343"/>
      <c r="AG697" s="343"/>
      <c r="AH697" s="343"/>
      <c r="AI697" s="343"/>
      <c r="AJ697" s="344"/>
      <c r="AK697" s="345">
        <f>A697</f>
        <v>10</v>
      </c>
      <c r="AL697" s="340" t="s">
        <v>345</v>
      </c>
      <c r="AM697" s="341" t="s">
        <v>925</v>
      </c>
      <c r="AN697" s="341"/>
      <c r="AO697" s="341"/>
      <c r="AP697" s="341"/>
      <c r="AQ697" s="341"/>
      <c r="AR697" s="341"/>
      <c r="AS697" s="341"/>
      <c r="AT697" s="341"/>
      <c r="AU697" s="341"/>
      <c r="AV697" s="341"/>
      <c r="AW697" s="341"/>
      <c r="AX697" s="341"/>
      <c r="AY697" s="341"/>
      <c r="AZ697" s="341"/>
      <c r="BA697" s="341"/>
      <c r="BB697" s="341"/>
      <c r="BC697" s="341"/>
      <c r="BD697" s="341"/>
      <c r="BE697" s="342"/>
      <c r="BF697" s="342"/>
      <c r="BG697" s="342"/>
      <c r="BH697" s="342"/>
      <c r="BI697" s="342"/>
      <c r="BJ697" s="342"/>
      <c r="BK697" s="342"/>
      <c r="BL697" s="342"/>
      <c r="BM697" s="342"/>
      <c r="BN697" s="342"/>
      <c r="BO697" s="342"/>
      <c r="BP697" s="342"/>
      <c r="BQ697" s="342"/>
      <c r="BR697" s="342"/>
      <c r="BS697" s="342"/>
      <c r="BT697" s="342"/>
      <c r="BU697" s="346">
        <f>SUBTOTAL(103,A697)</f>
        <v>1</v>
      </c>
      <c r="BV697" s="310"/>
      <c r="BW697" s="310"/>
      <c r="BX697" s="291">
        <f t="shared" si="17"/>
        <v>0</v>
      </c>
      <c r="BY697" s="344"/>
      <c r="BZ697" s="347"/>
      <c r="CA697" s="347"/>
    </row>
    <row r="698" spans="1:84" ht="15" customHeight="1" x14ac:dyDescent="0.25">
      <c r="A698" s="313"/>
      <c r="B698" s="340"/>
      <c r="C698" s="350"/>
      <c r="D698" s="350"/>
      <c r="E698" s="350"/>
      <c r="F698" s="350"/>
      <c r="G698" s="350"/>
      <c r="H698" s="350"/>
      <c r="I698" s="350"/>
      <c r="J698" s="350"/>
      <c r="K698" s="1476" t="str">
        <f>Ky_Nay1_V</f>
        <v>31/12/2017</v>
      </c>
      <c r="L698" s="1476"/>
      <c r="M698" s="1476"/>
      <c r="N698" s="1476"/>
      <c r="O698" s="1476"/>
      <c r="P698" s="1476"/>
      <c r="Q698" s="1476"/>
      <c r="R698" s="1476"/>
      <c r="S698" s="1476"/>
      <c r="T698" s="1476"/>
      <c r="U698" s="1476"/>
      <c r="V698" s="1476"/>
      <c r="W698" s="372"/>
      <c r="X698" s="1476" t="str">
        <f>Ky_Truoc1_V</f>
        <v>01/01/2017</v>
      </c>
      <c r="Y698" s="1476"/>
      <c r="Z698" s="1476"/>
      <c r="AA698" s="1476"/>
      <c r="AB698" s="1476"/>
      <c r="AC698" s="1476"/>
      <c r="AD698" s="1476"/>
      <c r="AE698" s="1476"/>
      <c r="AF698" s="1476"/>
      <c r="AG698" s="1476"/>
      <c r="AH698" s="1476"/>
      <c r="AI698" s="1476"/>
      <c r="AJ698" s="344"/>
      <c r="AK698" s="345"/>
      <c r="AL698" s="340"/>
      <c r="AM698" s="350"/>
      <c r="AN698" s="350"/>
      <c r="AO698" s="350"/>
      <c r="AP698" s="350"/>
      <c r="AQ698" s="350"/>
      <c r="AR698" s="350"/>
      <c r="AS698" s="350"/>
      <c r="AT698" s="350"/>
      <c r="AU698" s="1476" t="str">
        <f>Ky_Nay1_E</f>
        <v>31/12/2017</v>
      </c>
      <c r="AV698" s="1476"/>
      <c r="AW698" s="1476"/>
      <c r="AX698" s="1476"/>
      <c r="AY698" s="1476"/>
      <c r="AZ698" s="1476"/>
      <c r="BA698" s="1476"/>
      <c r="BB698" s="1476"/>
      <c r="BC698" s="1476"/>
      <c r="BD698" s="1476"/>
      <c r="BE698" s="1476"/>
      <c r="BF698" s="1476"/>
      <c r="BG698" s="372"/>
      <c r="BH698" s="1476" t="str">
        <f>Ky_Truoc1_E</f>
        <v>01/01/2017</v>
      </c>
      <c r="BI698" s="1476"/>
      <c r="BJ698" s="1476"/>
      <c r="BK698" s="1476"/>
      <c r="BL698" s="1476"/>
      <c r="BM698" s="1476"/>
      <c r="BN698" s="1476"/>
      <c r="BO698" s="1476"/>
      <c r="BP698" s="1476"/>
      <c r="BQ698" s="1476"/>
      <c r="BR698" s="1476"/>
      <c r="BS698" s="1476"/>
      <c r="BT698" s="352"/>
      <c r="BU698" s="353"/>
      <c r="BV698" s="310"/>
      <c r="BW698" s="310"/>
      <c r="BX698" s="291">
        <f t="shared" si="17"/>
        <v>0</v>
      </c>
      <c r="BY698" s="344"/>
      <c r="BZ698" s="347"/>
      <c r="CA698" s="347"/>
    </row>
    <row r="699" spans="1:84" ht="15" customHeight="1" x14ac:dyDescent="0.25">
      <c r="A699" s="313"/>
      <c r="B699" s="340"/>
      <c r="C699" s="350"/>
      <c r="D699" s="350"/>
      <c r="E699" s="350"/>
      <c r="F699" s="350"/>
      <c r="G699" s="350"/>
      <c r="H699" s="350"/>
      <c r="I699" s="350"/>
      <c r="J699" s="350"/>
      <c r="K699" s="1483" t="s">
        <v>840</v>
      </c>
      <c r="L699" s="1483"/>
      <c r="M699" s="1483"/>
      <c r="N699" s="1483"/>
      <c r="O699" s="1483"/>
      <c r="P699" s="1483"/>
      <c r="Q699" s="372"/>
      <c r="R699" s="1483" t="s">
        <v>782</v>
      </c>
      <c r="S699" s="1483"/>
      <c r="T699" s="1483"/>
      <c r="U699" s="1483"/>
      <c r="V699" s="1483"/>
      <c r="W699" s="371"/>
      <c r="X699" s="1483" t="s">
        <v>840</v>
      </c>
      <c r="Y699" s="1483"/>
      <c r="Z699" s="1483"/>
      <c r="AA699" s="1483"/>
      <c r="AB699" s="1483"/>
      <c r="AC699" s="1483"/>
      <c r="AD699" s="372"/>
      <c r="AE699" s="1483" t="s">
        <v>782</v>
      </c>
      <c r="AF699" s="1483"/>
      <c r="AG699" s="1483"/>
      <c r="AH699" s="1483"/>
      <c r="AI699" s="1483"/>
      <c r="AJ699" s="344"/>
      <c r="AK699" s="345"/>
      <c r="AL699" s="340"/>
      <c r="AM699" s="350"/>
      <c r="AN699" s="350"/>
      <c r="AO699" s="350"/>
      <c r="AP699" s="350"/>
      <c r="AQ699" s="350"/>
      <c r="AR699" s="350"/>
      <c r="AS699" s="350"/>
      <c r="AT699" s="350"/>
      <c r="AU699" s="1483" t="s">
        <v>764</v>
      </c>
      <c r="AV699" s="1483"/>
      <c r="AW699" s="1483"/>
      <c r="AX699" s="1483"/>
      <c r="AY699" s="1483"/>
      <c r="AZ699" s="1483"/>
      <c r="BA699" s="372"/>
      <c r="BB699" s="1483" t="s">
        <v>842</v>
      </c>
      <c r="BC699" s="1483"/>
      <c r="BD699" s="1483"/>
      <c r="BE699" s="1483"/>
      <c r="BF699" s="1483"/>
      <c r="BG699" s="371"/>
      <c r="BH699" s="1483" t="s">
        <v>764</v>
      </c>
      <c r="BI699" s="1483"/>
      <c r="BJ699" s="1483"/>
      <c r="BK699" s="1483"/>
      <c r="BL699" s="1483"/>
      <c r="BM699" s="1483"/>
      <c r="BN699" s="372"/>
      <c r="BO699" s="1483" t="s">
        <v>842</v>
      </c>
      <c r="BP699" s="1483"/>
      <c r="BQ699" s="1483"/>
      <c r="BR699" s="1483"/>
      <c r="BS699" s="1483"/>
      <c r="BT699" s="352"/>
      <c r="BU699" s="353"/>
      <c r="BV699" s="310"/>
      <c r="BW699" s="310"/>
      <c r="BX699" s="291">
        <f t="shared" si="17"/>
        <v>0</v>
      </c>
      <c r="BY699" s="344"/>
      <c r="BZ699" s="347"/>
      <c r="CA699" s="347"/>
    </row>
    <row r="700" spans="1:84" ht="15" customHeight="1" x14ac:dyDescent="0.25">
      <c r="A700" s="313"/>
      <c r="B700" s="340"/>
      <c r="C700" s="354"/>
      <c r="D700" s="340"/>
      <c r="E700" s="340"/>
      <c r="F700" s="340"/>
      <c r="G700" s="340"/>
      <c r="H700" s="340"/>
      <c r="I700" s="340"/>
      <c r="J700" s="340"/>
      <c r="K700" s="1327" t="str">
        <f>Don_Vi_Tinh_V</f>
        <v>VND</v>
      </c>
      <c r="L700" s="1327"/>
      <c r="M700" s="1327"/>
      <c r="N700" s="1327"/>
      <c r="O700" s="1327"/>
      <c r="P700" s="1327"/>
      <c r="Q700" s="372"/>
      <c r="R700" s="1327" t="str">
        <f>Don_Vi_Tinh_V</f>
        <v>VND</v>
      </c>
      <c r="S700" s="1327"/>
      <c r="T700" s="1327"/>
      <c r="U700" s="1327"/>
      <c r="V700" s="1327"/>
      <c r="W700" s="371"/>
      <c r="X700" s="1327" t="str">
        <f>Don_Vi_Tinh_V</f>
        <v>VND</v>
      </c>
      <c r="Y700" s="1327"/>
      <c r="Z700" s="1327"/>
      <c r="AA700" s="1327"/>
      <c r="AB700" s="1327"/>
      <c r="AC700" s="1327"/>
      <c r="AD700" s="372"/>
      <c r="AE700" s="1327" t="str">
        <f>Don_Vi_Tinh_V</f>
        <v>VND</v>
      </c>
      <c r="AF700" s="1327"/>
      <c r="AG700" s="1327"/>
      <c r="AH700" s="1327"/>
      <c r="AI700" s="1327"/>
      <c r="AJ700" s="344"/>
      <c r="AK700" s="345"/>
      <c r="AL700" s="340"/>
      <c r="AM700" s="354"/>
      <c r="AN700" s="340"/>
      <c r="AO700" s="340"/>
      <c r="AP700" s="340"/>
      <c r="AQ700" s="340"/>
      <c r="AR700" s="340"/>
      <c r="AS700" s="340"/>
      <c r="AT700" s="340"/>
      <c r="AU700" s="1327" t="str">
        <f>Don_Vi_Tinh_E</f>
        <v>VND</v>
      </c>
      <c r="AV700" s="1327"/>
      <c r="AW700" s="1327"/>
      <c r="AX700" s="1327"/>
      <c r="AY700" s="1327"/>
      <c r="AZ700" s="1327"/>
      <c r="BA700" s="372"/>
      <c r="BB700" s="1327" t="str">
        <f>Don_Vi_Tinh_E</f>
        <v>VND</v>
      </c>
      <c r="BC700" s="1327"/>
      <c r="BD700" s="1327"/>
      <c r="BE700" s="1327"/>
      <c r="BF700" s="1327"/>
      <c r="BG700" s="371"/>
      <c r="BH700" s="1327" t="str">
        <f>Don_Vi_Tinh_E</f>
        <v>VND</v>
      </c>
      <c r="BI700" s="1327"/>
      <c r="BJ700" s="1327"/>
      <c r="BK700" s="1327"/>
      <c r="BL700" s="1327"/>
      <c r="BM700" s="1327"/>
      <c r="BN700" s="372"/>
      <c r="BO700" s="1327" t="str">
        <f>Don_Vi_Tinh_E</f>
        <v>VND</v>
      </c>
      <c r="BP700" s="1327"/>
      <c r="BQ700" s="1327"/>
      <c r="BR700" s="1327"/>
      <c r="BS700" s="1327"/>
      <c r="BT700" s="356"/>
      <c r="BU700" s="357"/>
      <c r="BV700" s="310"/>
      <c r="BW700" s="310"/>
      <c r="BX700" s="291">
        <f t="shared" si="17"/>
        <v>0</v>
      </c>
      <c r="BY700" s="344"/>
      <c r="BZ700" s="347"/>
      <c r="CA700" s="347"/>
    </row>
    <row r="701" spans="1:84" ht="12.95" customHeight="1" x14ac:dyDescent="0.25">
      <c r="A701" s="313"/>
      <c r="B701" s="340"/>
      <c r="C701" s="354"/>
      <c r="D701" s="340"/>
      <c r="E701" s="340"/>
      <c r="F701" s="340"/>
      <c r="G701" s="340"/>
      <c r="H701" s="340"/>
      <c r="I701" s="340"/>
      <c r="J701" s="340"/>
      <c r="K701" s="1318"/>
      <c r="L701" s="1318"/>
      <c r="M701" s="1318"/>
      <c r="N701" s="1318"/>
      <c r="O701" s="1318"/>
      <c r="P701" s="1318"/>
      <c r="Q701" s="355"/>
      <c r="R701" s="1318"/>
      <c r="S701" s="1318"/>
      <c r="T701" s="1318"/>
      <c r="U701" s="1318"/>
      <c r="V701" s="1318"/>
      <c r="W701" s="355"/>
      <c r="X701" s="1318"/>
      <c r="Y701" s="1318"/>
      <c r="Z701" s="1318"/>
      <c r="AA701" s="1318"/>
      <c r="AB701" s="1318"/>
      <c r="AC701" s="1318"/>
      <c r="AD701" s="355"/>
      <c r="AE701" s="1318"/>
      <c r="AF701" s="1318"/>
      <c r="AG701" s="1318"/>
      <c r="AH701" s="1318"/>
      <c r="AI701" s="1318"/>
      <c r="AJ701" s="344"/>
      <c r="AK701" s="345"/>
      <c r="AL701" s="340"/>
      <c r="AM701" s="354"/>
      <c r="AN701" s="340"/>
      <c r="AO701" s="340"/>
      <c r="AP701" s="340"/>
      <c r="AQ701" s="340"/>
      <c r="AR701" s="340"/>
      <c r="AS701" s="340"/>
      <c r="AT701" s="340"/>
      <c r="AU701" s="1318"/>
      <c r="AV701" s="1318"/>
      <c r="AW701" s="1318"/>
      <c r="AX701" s="1318"/>
      <c r="AY701" s="1318"/>
      <c r="AZ701" s="1318"/>
      <c r="BA701" s="355"/>
      <c r="BB701" s="1318"/>
      <c r="BC701" s="1318"/>
      <c r="BD701" s="1318"/>
      <c r="BE701" s="1318"/>
      <c r="BF701" s="1318"/>
      <c r="BG701" s="355"/>
      <c r="BH701" s="1318"/>
      <c r="BI701" s="1318"/>
      <c r="BJ701" s="1318"/>
      <c r="BK701" s="1318"/>
      <c r="BL701" s="1318"/>
      <c r="BM701" s="1318"/>
      <c r="BN701" s="355"/>
      <c r="BO701" s="1318"/>
      <c r="BP701" s="1318"/>
      <c r="BQ701" s="1318"/>
      <c r="BR701" s="1318"/>
      <c r="BS701" s="1318"/>
      <c r="BT701" s="356"/>
      <c r="BU701" s="357"/>
      <c r="BV701" s="310"/>
      <c r="BW701" s="310"/>
      <c r="BX701" s="291">
        <f t="shared" si="17"/>
        <v>0</v>
      </c>
      <c r="BY701" s="344"/>
      <c r="BZ701" s="347"/>
      <c r="CA701" s="347"/>
    </row>
    <row r="702" spans="1:84" s="423" customFormat="1" ht="15" hidden="1" customHeight="1" x14ac:dyDescent="0.25">
      <c r="A702" s="313"/>
      <c r="B702" s="340"/>
      <c r="C702" s="354" t="s">
        <v>926</v>
      </c>
      <c r="D702" s="340"/>
      <c r="E702" s="340"/>
      <c r="F702" s="340"/>
      <c r="G702" s="340"/>
      <c r="H702" s="340"/>
      <c r="I702" s="340"/>
      <c r="J702" s="340"/>
      <c r="K702" s="1566">
        <f>KN_151</f>
        <v>0</v>
      </c>
      <c r="L702" s="1566"/>
      <c r="M702" s="1566"/>
      <c r="N702" s="1566"/>
      <c r="O702" s="1566"/>
      <c r="P702" s="1566"/>
      <c r="Q702" s="379"/>
      <c r="R702" s="1566">
        <v>0</v>
      </c>
      <c r="S702" s="1566"/>
      <c r="T702" s="1566"/>
      <c r="U702" s="1566"/>
      <c r="V702" s="1566"/>
      <c r="W702" s="379"/>
      <c r="X702" s="1566">
        <f>KT_151</f>
        <v>0</v>
      </c>
      <c r="Y702" s="1566"/>
      <c r="Z702" s="1566"/>
      <c r="AA702" s="1566"/>
      <c r="AB702" s="1566"/>
      <c r="AC702" s="1566"/>
      <c r="AD702" s="380"/>
      <c r="AE702" s="1566">
        <v>0</v>
      </c>
      <c r="AF702" s="1566"/>
      <c r="AG702" s="1566"/>
      <c r="AH702" s="1566"/>
      <c r="AI702" s="1566"/>
      <c r="AJ702" s="342"/>
      <c r="AK702" s="345"/>
      <c r="AL702" s="340"/>
      <c r="AM702" s="354" t="s">
        <v>927</v>
      </c>
      <c r="AN702" s="340"/>
      <c r="AO702" s="340"/>
      <c r="AP702" s="340"/>
      <c r="AQ702" s="340"/>
      <c r="AR702" s="340"/>
      <c r="AS702" s="340"/>
      <c r="AT702" s="340"/>
      <c r="AU702" s="1566">
        <f t="shared" ref="AU702:AU709" si="18">K702</f>
        <v>0</v>
      </c>
      <c r="AV702" s="1566"/>
      <c r="AW702" s="1566"/>
      <c r="AX702" s="1566"/>
      <c r="AY702" s="1566"/>
      <c r="AZ702" s="1566"/>
      <c r="BA702" s="379"/>
      <c r="BB702" s="1566">
        <f t="shared" ref="BB702:BB709" si="19">R702</f>
        <v>0</v>
      </c>
      <c r="BC702" s="1566"/>
      <c r="BD702" s="1566"/>
      <c r="BE702" s="1566"/>
      <c r="BF702" s="1566"/>
      <c r="BG702" s="379"/>
      <c r="BH702" s="1566">
        <f>X702</f>
        <v>0</v>
      </c>
      <c r="BI702" s="1566"/>
      <c r="BJ702" s="1566"/>
      <c r="BK702" s="1566"/>
      <c r="BL702" s="1566"/>
      <c r="BM702" s="1566"/>
      <c r="BN702" s="380"/>
      <c r="BO702" s="1566">
        <f t="shared" ref="BO702:BO709" si="20">AE702</f>
        <v>0</v>
      </c>
      <c r="BP702" s="1566"/>
      <c r="BQ702" s="1566"/>
      <c r="BR702" s="1566"/>
      <c r="BS702" s="1566"/>
      <c r="BT702" s="359"/>
      <c r="BU702" s="346"/>
      <c r="BV702" s="310"/>
      <c r="BW702" s="310"/>
      <c r="BX702" s="300">
        <f t="shared" si="17"/>
        <v>0</v>
      </c>
      <c r="BY702" s="342"/>
      <c r="BZ702" s="438"/>
      <c r="CA702" s="438"/>
      <c r="CB702" s="439"/>
      <c r="CC702" s="439"/>
      <c r="CD702" s="439"/>
      <c r="CE702" s="439"/>
      <c r="CF702" s="439"/>
    </row>
    <row r="703" spans="1:84" s="423" customFormat="1" ht="15" customHeight="1" x14ac:dyDescent="0.25">
      <c r="A703" s="313"/>
      <c r="B703" s="340"/>
      <c r="C703" s="354" t="s">
        <v>928</v>
      </c>
      <c r="D703" s="340"/>
      <c r="E703" s="340"/>
      <c r="F703" s="340"/>
      <c r="G703" s="340"/>
      <c r="H703" s="340"/>
      <c r="I703" s="340"/>
      <c r="J703" s="340"/>
      <c r="K703" s="1567">
        <f>KN_152</f>
        <v>3796531331</v>
      </c>
      <c r="L703" s="1567"/>
      <c r="M703" s="1567"/>
      <c r="N703" s="1567"/>
      <c r="O703" s="1567"/>
      <c r="P703" s="1567"/>
      <c r="Q703" s="432"/>
      <c r="R703" s="1567">
        <v>0</v>
      </c>
      <c r="S703" s="1567"/>
      <c r="T703" s="1567"/>
      <c r="U703" s="1567"/>
      <c r="V703" s="1567"/>
      <c r="W703" s="432"/>
      <c r="X703" s="1567">
        <f>KT_152</f>
        <v>4786586444</v>
      </c>
      <c r="Y703" s="1567"/>
      <c r="Z703" s="1567"/>
      <c r="AA703" s="1567"/>
      <c r="AB703" s="1567"/>
      <c r="AC703" s="1567"/>
      <c r="AD703" s="433"/>
      <c r="AE703" s="1567">
        <v>0</v>
      </c>
      <c r="AF703" s="1567"/>
      <c r="AG703" s="1567"/>
      <c r="AH703" s="1567"/>
      <c r="AI703" s="1567"/>
      <c r="AJ703" s="342"/>
      <c r="AK703" s="345"/>
      <c r="AL703" s="340"/>
      <c r="AM703" s="354" t="s">
        <v>929</v>
      </c>
      <c r="AN703" s="340"/>
      <c r="AO703" s="340"/>
      <c r="AP703" s="340"/>
      <c r="AQ703" s="340"/>
      <c r="AR703" s="340"/>
      <c r="AS703" s="340"/>
      <c r="AT703" s="340"/>
      <c r="AU703" s="1566">
        <f t="shared" si="18"/>
        <v>3796531331</v>
      </c>
      <c r="AV703" s="1566"/>
      <c r="AW703" s="1566"/>
      <c r="AX703" s="1566"/>
      <c r="AY703" s="1566"/>
      <c r="AZ703" s="1566"/>
      <c r="BA703" s="432"/>
      <c r="BB703" s="1566">
        <f t="shared" si="19"/>
        <v>0</v>
      </c>
      <c r="BC703" s="1566"/>
      <c r="BD703" s="1566"/>
      <c r="BE703" s="1566"/>
      <c r="BF703" s="1566"/>
      <c r="BG703" s="432"/>
      <c r="BH703" s="1566">
        <f t="shared" ref="BH703:BH709" si="21">X703</f>
        <v>4786586444</v>
      </c>
      <c r="BI703" s="1566"/>
      <c r="BJ703" s="1566"/>
      <c r="BK703" s="1566"/>
      <c r="BL703" s="1566"/>
      <c r="BM703" s="1566"/>
      <c r="BN703" s="433"/>
      <c r="BO703" s="1566">
        <f t="shared" si="20"/>
        <v>0</v>
      </c>
      <c r="BP703" s="1566"/>
      <c r="BQ703" s="1566"/>
      <c r="BR703" s="1566"/>
      <c r="BS703" s="1566"/>
      <c r="BT703" s="359"/>
      <c r="BU703" s="346"/>
      <c r="BV703" s="310"/>
      <c r="BW703" s="310"/>
      <c r="BX703" s="300">
        <f t="shared" si="17"/>
        <v>0</v>
      </c>
      <c r="BY703" s="342"/>
      <c r="BZ703" s="438"/>
      <c r="CA703" s="438"/>
      <c r="CB703" s="439"/>
      <c r="CC703" s="439"/>
      <c r="CD703" s="439"/>
      <c r="CE703" s="439"/>
      <c r="CF703" s="439"/>
    </row>
    <row r="704" spans="1:84" s="423" customFormat="1" ht="15" customHeight="1" x14ac:dyDescent="0.25">
      <c r="A704" s="313"/>
      <c r="B704" s="340"/>
      <c r="C704" s="354" t="s">
        <v>930</v>
      </c>
      <c r="D704" s="340"/>
      <c r="E704" s="340"/>
      <c r="F704" s="340"/>
      <c r="G704" s="340"/>
      <c r="H704" s="340"/>
      <c r="I704" s="340"/>
      <c r="J704" s="340"/>
      <c r="K704" s="1567">
        <f>KN_1531+KN_1532+KN_1533+KN_1534n</f>
        <v>886927100</v>
      </c>
      <c r="L704" s="1567"/>
      <c r="M704" s="1567"/>
      <c r="N704" s="1567"/>
      <c r="O704" s="1567"/>
      <c r="P704" s="1567"/>
      <c r="Q704" s="432"/>
      <c r="R704" s="1567">
        <v>0</v>
      </c>
      <c r="S704" s="1567"/>
      <c r="T704" s="1567"/>
      <c r="U704" s="1567"/>
      <c r="V704" s="1567"/>
      <c r="W704" s="432"/>
      <c r="X704" s="1567">
        <f>KT_1531+KT_1532+KT_1533+KT_1534n</f>
        <v>955637711</v>
      </c>
      <c r="Y704" s="1567"/>
      <c r="Z704" s="1567"/>
      <c r="AA704" s="1567"/>
      <c r="AB704" s="1567"/>
      <c r="AC704" s="1567"/>
      <c r="AD704" s="433"/>
      <c r="AE704" s="1567">
        <v>0</v>
      </c>
      <c r="AF704" s="1567"/>
      <c r="AG704" s="1567"/>
      <c r="AH704" s="1567"/>
      <c r="AI704" s="1567"/>
      <c r="AJ704" s="342"/>
      <c r="AK704" s="345"/>
      <c r="AL704" s="340"/>
      <c r="AM704" s="354" t="s">
        <v>931</v>
      </c>
      <c r="AN704" s="340"/>
      <c r="AO704" s="340"/>
      <c r="AP704" s="340"/>
      <c r="AQ704" s="340"/>
      <c r="AR704" s="340"/>
      <c r="AS704" s="340"/>
      <c r="AT704" s="340"/>
      <c r="AU704" s="1566">
        <f t="shared" si="18"/>
        <v>886927100</v>
      </c>
      <c r="AV704" s="1566"/>
      <c r="AW704" s="1566"/>
      <c r="AX704" s="1566"/>
      <c r="AY704" s="1566"/>
      <c r="AZ704" s="1566"/>
      <c r="BA704" s="432"/>
      <c r="BB704" s="1566">
        <f t="shared" si="19"/>
        <v>0</v>
      </c>
      <c r="BC704" s="1566"/>
      <c r="BD704" s="1566"/>
      <c r="BE704" s="1566"/>
      <c r="BF704" s="1566"/>
      <c r="BG704" s="432"/>
      <c r="BH704" s="1566">
        <f t="shared" si="21"/>
        <v>955637711</v>
      </c>
      <c r="BI704" s="1566"/>
      <c r="BJ704" s="1566"/>
      <c r="BK704" s="1566"/>
      <c r="BL704" s="1566"/>
      <c r="BM704" s="1566"/>
      <c r="BN704" s="433"/>
      <c r="BO704" s="1566">
        <f t="shared" si="20"/>
        <v>0</v>
      </c>
      <c r="BP704" s="1566"/>
      <c r="BQ704" s="1566"/>
      <c r="BR704" s="1566"/>
      <c r="BS704" s="1566"/>
      <c r="BT704" s="359"/>
      <c r="BU704" s="346"/>
      <c r="BV704" s="310"/>
      <c r="BW704" s="310"/>
      <c r="BX704" s="300">
        <f t="shared" si="17"/>
        <v>0</v>
      </c>
      <c r="BY704" s="342"/>
      <c r="BZ704" s="438"/>
      <c r="CA704" s="438"/>
      <c r="CB704" s="439"/>
      <c r="CC704" s="439"/>
      <c r="CD704" s="439"/>
      <c r="CE704" s="439"/>
      <c r="CF704" s="439"/>
    </row>
    <row r="705" spans="1:84" s="423" customFormat="1" ht="27.95" customHeight="1" x14ac:dyDescent="0.25">
      <c r="A705" s="313"/>
      <c r="B705" s="340"/>
      <c r="C705" s="1348" t="s">
        <v>932</v>
      </c>
      <c r="D705" s="1348"/>
      <c r="E705" s="1348"/>
      <c r="F705" s="1348"/>
      <c r="G705" s="1348"/>
      <c r="H705" s="1348"/>
      <c r="I705" s="1348"/>
      <c r="J705" s="342"/>
      <c r="K705" s="1567">
        <f>KN_154n</f>
        <v>457803143.07000005</v>
      </c>
      <c r="L705" s="1567"/>
      <c r="M705" s="1567"/>
      <c r="N705" s="1567"/>
      <c r="O705" s="1567"/>
      <c r="P705" s="1567"/>
      <c r="Q705" s="432"/>
      <c r="R705" s="1567">
        <v>0</v>
      </c>
      <c r="S705" s="1567"/>
      <c r="T705" s="1567"/>
      <c r="U705" s="1567"/>
      <c r="V705" s="1567"/>
      <c r="W705" s="432"/>
      <c r="X705" s="1567">
        <f>KT_154n</f>
        <v>676436086.04999995</v>
      </c>
      <c r="Y705" s="1567"/>
      <c r="Z705" s="1567"/>
      <c r="AA705" s="1567"/>
      <c r="AB705" s="1567"/>
      <c r="AC705" s="1567"/>
      <c r="AD705" s="433"/>
      <c r="AE705" s="1567">
        <v>0</v>
      </c>
      <c r="AF705" s="1567"/>
      <c r="AG705" s="1567"/>
      <c r="AH705" s="1567"/>
      <c r="AI705" s="1567"/>
      <c r="AJ705" s="342"/>
      <c r="AK705" s="345"/>
      <c r="AL705" s="340"/>
      <c r="AM705" s="342" t="s">
        <v>933</v>
      </c>
      <c r="AN705" s="342"/>
      <c r="AO705" s="342"/>
      <c r="AP705" s="342"/>
      <c r="AQ705" s="342"/>
      <c r="AR705" s="342"/>
      <c r="AS705" s="342"/>
      <c r="AT705" s="342"/>
      <c r="AU705" s="1566">
        <f t="shared" si="18"/>
        <v>457803143.07000005</v>
      </c>
      <c r="AV705" s="1566"/>
      <c r="AW705" s="1566"/>
      <c r="AX705" s="1566"/>
      <c r="AY705" s="1566"/>
      <c r="AZ705" s="1566"/>
      <c r="BA705" s="432"/>
      <c r="BB705" s="1566">
        <f t="shared" si="19"/>
        <v>0</v>
      </c>
      <c r="BC705" s="1566"/>
      <c r="BD705" s="1566"/>
      <c r="BE705" s="1566"/>
      <c r="BF705" s="1566"/>
      <c r="BG705" s="432"/>
      <c r="BH705" s="1566">
        <f t="shared" si="21"/>
        <v>676436086.04999995</v>
      </c>
      <c r="BI705" s="1566"/>
      <c r="BJ705" s="1566"/>
      <c r="BK705" s="1566"/>
      <c r="BL705" s="1566"/>
      <c r="BM705" s="1566"/>
      <c r="BN705" s="433"/>
      <c r="BO705" s="1566">
        <f t="shared" si="20"/>
        <v>0</v>
      </c>
      <c r="BP705" s="1566"/>
      <c r="BQ705" s="1566"/>
      <c r="BR705" s="1566"/>
      <c r="BS705" s="1566"/>
      <c r="BT705" s="359"/>
      <c r="BU705" s="346"/>
      <c r="BV705" s="310"/>
      <c r="BW705" s="310"/>
      <c r="BX705" s="300">
        <f t="shared" si="17"/>
        <v>0</v>
      </c>
      <c r="BY705" s="342"/>
      <c r="BZ705" s="438"/>
      <c r="CA705" s="438"/>
      <c r="CB705" s="439"/>
      <c r="CC705" s="439"/>
      <c r="CD705" s="439"/>
      <c r="CE705" s="439"/>
      <c r="CF705" s="439"/>
    </row>
    <row r="706" spans="1:84" s="423" customFormat="1" ht="15" customHeight="1" x14ac:dyDescent="0.25">
      <c r="A706" s="313"/>
      <c r="B706" s="340"/>
      <c r="C706" s="342" t="s">
        <v>934</v>
      </c>
      <c r="D706" s="342"/>
      <c r="E706" s="342"/>
      <c r="F706" s="342"/>
      <c r="G706" s="342"/>
      <c r="H706" s="342"/>
      <c r="I706" s="342"/>
      <c r="J706" s="342"/>
      <c r="K706" s="1567">
        <f>KN_1551+KN_1557</f>
        <v>11000503453.93</v>
      </c>
      <c r="L706" s="1567"/>
      <c r="M706" s="1567"/>
      <c r="N706" s="1567"/>
      <c r="O706" s="1567"/>
      <c r="P706" s="1567"/>
      <c r="Q706" s="432"/>
      <c r="R706" s="1567">
        <f>[1]CDKT!V36</f>
        <v>-4742052370</v>
      </c>
      <c r="S706" s="1567"/>
      <c r="T706" s="1567"/>
      <c r="U706" s="1567"/>
      <c r="V706" s="1567"/>
      <c r="W706" s="432"/>
      <c r="X706" s="1567">
        <f>KT_1551+KT_1557</f>
        <v>6456342800.9500008</v>
      </c>
      <c r="Y706" s="1567"/>
      <c r="Z706" s="1567"/>
      <c r="AA706" s="1567"/>
      <c r="AB706" s="1567"/>
      <c r="AC706" s="1567"/>
      <c r="AD706" s="433"/>
      <c r="AE706" s="1567">
        <f>[1]CDKT!AD36</f>
        <v>-2019041069</v>
      </c>
      <c r="AF706" s="1567"/>
      <c r="AG706" s="1567"/>
      <c r="AH706" s="1567"/>
      <c r="AI706" s="1567"/>
      <c r="AJ706" s="342"/>
      <c r="AK706" s="345"/>
      <c r="AL706" s="340"/>
      <c r="AM706" s="342" t="s">
        <v>935</v>
      </c>
      <c r="AN706" s="342"/>
      <c r="AO706" s="342"/>
      <c r="AP706" s="342"/>
      <c r="AQ706" s="342"/>
      <c r="AR706" s="342"/>
      <c r="AS706" s="342"/>
      <c r="AT706" s="342"/>
      <c r="AU706" s="1566">
        <f t="shared" si="18"/>
        <v>11000503453.93</v>
      </c>
      <c r="AV706" s="1566"/>
      <c r="AW706" s="1566"/>
      <c r="AX706" s="1566"/>
      <c r="AY706" s="1566"/>
      <c r="AZ706" s="1566"/>
      <c r="BA706" s="432"/>
      <c r="BB706" s="1566">
        <f t="shared" si="19"/>
        <v>-4742052370</v>
      </c>
      <c r="BC706" s="1566"/>
      <c r="BD706" s="1566"/>
      <c r="BE706" s="1566"/>
      <c r="BF706" s="1566"/>
      <c r="BG706" s="432"/>
      <c r="BH706" s="1566">
        <f t="shared" si="21"/>
        <v>6456342800.9500008</v>
      </c>
      <c r="BI706" s="1566"/>
      <c r="BJ706" s="1566"/>
      <c r="BK706" s="1566"/>
      <c r="BL706" s="1566"/>
      <c r="BM706" s="1566"/>
      <c r="BN706" s="433"/>
      <c r="BO706" s="1566">
        <f t="shared" si="20"/>
        <v>-2019041069</v>
      </c>
      <c r="BP706" s="1566"/>
      <c r="BQ706" s="1566"/>
      <c r="BR706" s="1566"/>
      <c r="BS706" s="1566"/>
      <c r="BT706" s="359"/>
      <c r="BU706" s="346"/>
      <c r="BV706" s="310"/>
      <c r="BW706" s="310"/>
      <c r="BX706" s="300">
        <f t="shared" si="17"/>
        <v>0</v>
      </c>
      <c r="BY706" s="342"/>
      <c r="BZ706" s="438"/>
      <c r="CA706" s="438"/>
      <c r="CB706" s="439"/>
      <c r="CC706" s="439"/>
      <c r="CD706" s="439"/>
      <c r="CE706" s="439"/>
      <c r="CF706" s="439"/>
    </row>
    <row r="707" spans="1:84" s="423" customFormat="1" ht="15" hidden="1" customHeight="1" x14ac:dyDescent="0.25">
      <c r="A707" s="313"/>
      <c r="B707" s="340"/>
      <c r="C707" s="342" t="s">
        <v>936</v>
      </c>
      <c r="D707" s="342"/>
      <c r="E707" s="342"/>
      <c r="F707" s="342"/>
      <c r="G707" s="342"/>
      <c r="H707" s="342"/>
      <c r="I707" s="342"/>
      <c r="J707" s="342"/>
      <c r="K707" s="1567">
        <f>KN_1561+KN_1562+KN_1567</f>
        <v>0</v>
      </c>
      <c r="L707" s="1567"/>
      <c r="M707" s="1567"/>
      <c r="N707" s="1567"/>
      <c r="O707" s="1567"/>
      <c r="P707" s="1567"/>
      <c r="Q707" s="432"/>
      <c r="R707" s="1567">
        <v>0</v>
      </c>
      <c r="S707" s="1567"/>
      <c r="T707" s="1567"/>
      <c r="U707" s="1567"/>
      <c r="V707" s="1567"/>
      <c r="W707" s="432"/>
      <c r="X707" s="1567">
        <f>KT_1561+KT_1562+KT_1567</f>
        <v>0</v>
      </c>
      <c r="Y707" s="1567"/>
      <c r="Z707" s="1567"/>
      <c r="AA707" s="1567"/>
      <c r="AB707" s="1567"/>
      <c r="AC707" s="1567"/>
      <c r="AD707" s="433"/>
      <c r="AE707" s="1567">
        <v>0</v>
      </c>
      <c r="AF707" s="1567"/>
      <c r="AG707" s="1567"/>
      <c r="AH707" s="1567"/>
      <c r="AI707" s="1567"/>
      <c r="AJ707" s="342"/>
      <c r="AK707" s="345"/>
      <c r="AL707" s="340"/>
      <c r="AM707" s="342" t="s">
        <v>937</v>
      </c>
      <c r="AN707" s="342"/>
      <c r="AO707" s="342"/>
      <c r="AP707" s="342"/>
      <c r="AQ707" s="342"/>
      <c r="AR707" s="342"/>
      <c r="AS707" s="342"/>
      <c r="AT707" s="342"/>
      <c r="AU707" s="1566">
        <f t="shared" si="18"/>
        <v>0</v>
      </c>
      <c r="AV707" s="1566"/>
      <c r="AW707" s="1566"/>
      <c r="AX707" s="1566"/>
      <c r="AY707" s="1566"/>
      <c r="AZ707" s="1566"/>
      <c r="BA707" s="432"/>
      <c r="BB707" s="1566">
        <f t="shared" si="19"/>
        <v>0</v>
      </c>
      <c r="BC707" s="1566"/>
      <c r="BD707" s="1566"/>
      <c r="BE707" s="1566"/>
      <c r="BF707" s="1566"/>
      <c r="BG707" s="432"/>
      <c r="BH707" s="1566">
        <f t="shared" si="21"/>
        <v>0</v>
      </c>
      <c r="BI707" s="1566"/>
      <c r="BJ707" s="1566"/>
      <c r="BK707" s="1566"/>
      <c r="BL707" s="1566"/>
      <c r="BM707" s="1566"/>
      <c r="BN707" s="433"/>
      <c r="BO707" s="1566">
        <f t="shared" si="20"/>
        <v>0</v>
      </c>
      <c r="BP707" s="1566"/>
      <c r="BQ707" s="1566"/>
      <c r="BR707" s="1566"/>
      <c r="BS707" s="1566"/>
      <c r="BT707" s="356"/>
      <c r="BU707" s="357"/>
      <c r="BV707" s="310"/>
      <c r="BW707" s="310"/>
      <c r="BX707" s="300">
        <f t="shared" si="17"/>
        <v>0</v>
      </c>
      <c r="BY707" s="342"/>
      <c r="BZ707" s="438"/>
      <c r="CA707" s="438"/>
      <c r="CB707" s="439"/>
      <c r="CC707" s="439"/>
      <c r="CD707" s="439"/>
      <c r="CE707" s="439"/>
      <c r="CF707" s="439"/>
    </row>
    <row r="708" spans="1:84" s="423" customFormat="1" ht="15" hidden="1" customHeight="1" x14ac:dyDescent="0.25">
      <c r="A708" s="313"/>
      <c r="B708" s="340"/>
      <c r="C708" s="342" t="s">
        <v>938</v>
      </c>
      <c r="D708" s="342"/>
      <c r="E708" s="342"/>
      <c r="F708" s="342"/>
      <c r="G708" s="342"/>
      <c r="H708" s="342"/>
      <c r="I708" s="342"/>
      <c r="J708" s="342"/>
      <c r="K708" s="1567">
        <f>KN_157</f>
        <v>0</v>
      </c>
      <c r="L708" s="1567"/>
      <c r="M708" s="1567"/>
      <c r="N708" s="1567"/>
      <c r="O708" s="1567"/>
      <c r="P708" s="1567"/>
      <c r="Q708" s="432"/>
      <c r="R708" s="1567">
        <v>0</v>
      </c>
      <c r="S708" s="1567"/>
      <c r="T708" s="1567"/>
      <c r="U708" s="1567"/>
      <c r="V708" s="1567"/>
      <c r="W708" s="432"/>
      <c r="X708" s="1567">
        <f>KT_157</f>
        <v>0</v>
      </c>
      <c r="Y708" s="1567"/>
      <c r="Z708" s="1567"/>
      <c r="AA708" s="1567"/>
      <c r="AB708" s="1567"/>
      <c r="AC708" s="1567"/>
      <c r="AD708" s="433"/>
      <c r="AE708" s="1567">
        <v>0</v>
      </c>
      <c r="AF708" s="1567"/>
      <c r="AG708" s="1567"/>
      <c r="AH708" s="1567"/>
      <c r="AI708" s="1567"/>
      <c r="AJ708" s="342"/>
      <c r="AK708" s="345"/>
      <c r="AL708" s="340"/>
      <c r="AM708" s="342" t="s">
        <v>939</v>
      </c>
      <c r="AN708" s="342"/>
      <c r="AO708" s="342"/>
      <c r="AP708" s="342"/>
      <c r="AQ708" s="342"/>
      <c r="AR708" s="342"/>
      <c r="AS708" s="342"/>
      <c r="AT708" s="342"/>
      <c r="AU708" s="1566">
        <f t="shared" si="18"/>
        <v>0</v>
      </c>
      <c r="AV708" s="1566"/>
      <c r="AW708" s="1566"/>
      <c r="AX708" s="1566"/>
      <c r="AY708" s="1566"/>
      <c r="AZ708" s="1566"/>
      <c r="BA708" s="432"/>
      <c r="BB708" s="1566">
        <f t="shared" si="19"/>
        <v>0</v>
      </c>
      <c r="BC708" s="1566"/>
      <c r="BD708" s="1566"/>
      <c r="BE708" s="1566"/>
      <c r="BF708" s="1566"/>
      <c r="BG708" s="432"/>
      <c r="BH708" s="1566">
        <f t="shared" si="21"/>
        <v>0</v>
      </c>
      <c r="BI708" s="1566"/>
      <c r="BJ708" s="1566"/>
      <c r="BK708" s="1566"/>
      <c r="BL708" s="1566"/>
      <c r="BM708" s="1566"/>
      <c r="BN708" s="433"/>
      <c r="BO708" s="1566">
        <f t="shared" si="20"/>
        <v>0</v>
      </c>
      <c r="BP708" s="1566"/>
      <c r="BQ708" s="1566"/>
      <c r="BR708" s="1566"/>
      <c r="BS708" s="1566"/>
      <c r="BT708" s="356"/>
      <c r="BU708" s="357"/>
      <c r="BV708" s="310"/>
      <c r="BW708" s="310"/>
      <c r="BX708" s="300">
        <f t="shared" si="17"/>
        <v>0</v>
      </c>
      <c r="BY708" s="342"/>
      <c r="BZ708" s="438"/>
      <c r="CA708" s="438"/>
      <c r="CB708" s="439"/>
      <c r="CC708" s="439"/>
      <c r="CD708" s="439"/>
      <c r="CE708" s="439"/>
      <c r="CF708" s="439"/>
    </row>
    <row r="709" spans="1:84" s="423" customFormat="1" ht="15" hidden="1" customHeight="1" x14ac:dyDescent="0.25">
      <c r="A709" s="313"/>
      <c r="B709" s="340"/>
      <c r="C709" s="342" t="s">
        <v>940</v>
      </c>
      <c r="D709" s="342"/>
      <c r="E709" s="342"/>
      <c r="F709" s="342"/>
      <c r="G709" s="342"/>
      <c r="H709" s="342"/>
      <c r="I709" s="342"/>
      <c r="J709" s="342"/>
      <c r="K709" s="1567">
        <f>KN_158</f>
        <v>0</v>
      </c>
      <c r="L709" s="1567"/>
      <c r="M709" s="1567"/>
      <c r="N709" s="1567"/>
      <c r="O709" s="1567"/>
      <c r="P709" s="1567"/>
      <c r="Q709" s="432"/>
      <c r="R709" s="1567">
        <v>0</v>
      </c>
      <c r="S709" s="1567"/>
      <c r="T709" s="1567"/>
      <c r="U709" s="1567"/>
      <c r="V709" s="1567"/>
      <c r="W709" s="432"/>
      <c r="X709" s="1567">
        <f>KT_158</f>
        <v>0</v>
      </c>
      <c r="Y709" s="1567"/>
      <c r="Z709" s="1567"/>
      <c r="AA709" s="1567"/>
      <c r="AB709" s="1567"/>
      <c r="AC709" s="1567"/>
      <c r="AD709" s="433"/>
      <c r="AE709" s="1567">
        <v>0</v>
      </c>
      <c r="AF709" s="1567"/>
      <c r="AG709" s="1567"/>
      <c r="AH709" s="1567"/>
      <c r="AI709" s="1567"/>
      <c r="AJ709" s="342"/>
      <c r="AK709" s="345"/>
      <c r="AL709" s="340"/>
      <c r="AM709" s="342" t="s">
        <v>941</v>
      </c>
      <c r="AN709" s="342"/>
      <c r="AO709" s="342"/>
      <c r="AP709" s="342"/>
      <c r="AQ709" s="342"/>
      <c r="AR709" s="342"/>
      <c r="AS709" s="342"/>
      <c r="AT709" s="342"/>
      <c r="AU709" s="1566">
        <f t="shared" si="18"/>
        <v>0</v>
      </c>
      <c r="AV709" s="1566"/>
      <c r="AW709" s="1566"/>
      <c r="AX709" s="1566"/>
      <c r="AY709" s="1566"/>
      <c r="AZ709" s="1566"/>
      <c r="BA709" s="432"/>
      <c r="BB709" s="1566">
        <f t="shared" si="19"/>
        <v>0</v>
      </c>
      <c r="BC709" s="1566"/>
      <c r="BD709" s="1566"/>
      <c r="BE709" s="1566"/>
      <c r="BF709" s="1566"/>
      <c r="BG709" s="432"/>
      <c r="BH709" s="1566">
        <f t="shared" si="21"/>
        <v>0</v>
      </c>
      <c r="BI709" s="1566"/>
      <c r="BJ709" s="1566"/>
      <c r="BK709" s="1566"/>
      <c r="BL709" s="1566"/>
      <c r="BM709" s="1566"/>
      <c r="BN709" s="433"/>
      <c r="BO709" s="1566">
        <f t="shared" si="20"/>
        <v>0</v>
      </c>
      <c r="BP709" s="1566"/>
      <c r="BQ709" s="1566"/>
      <c r="BR709" s="1566"/>
      <c r="BS709" s="1566"/>
      <c r="BT709" s="356"/>
      <c r="BU709" s="357"/>
      <c r="BV709" s="310"/>
      <c r="BW709" s="310"/>
      <c r="BX709" s="300">
        <f t="shared" si="17"/>
        <v>0</v>
      </c>
      <c r="BY709" s="342"/>
      <c r="BZ709" s="438"/>
      <c r="CA709" s="438"/>
      <c r="CB709" s="439"/>
      <c r="CC709" s="439"/>
      <c r="CD709" s="439"/>
      <c r="CE709" s="439"/>
      <c r="CF709" s="439"/>
    </row>
    <row r="710" spans="1:84" ht="12.95" customHeight="1" x14ac:dyDescent="0.25">
      <c r="A710" s="369"/>
      <c r="B710" s="340"/>
      <c r="C710" s="342"/>
      <c r="D710" s="342"/>
      <c r="E710" s="342"/>
      <c r="F710" s="342"/>
      <c r="G710" s="342"/>
      <c r="H710" s="342"/>
      <c r="I710" s="342"/>
      <c r="J710" s="342"/>
      <c r="K710" s="342"/>
      <c r="L710" s="381"/>
      <c r="M710" s="455"/>
      <c r="N710" s="455"/>
      <c r="O710" s="455"/>
      <c r="P710" s="455"/>
      <c r="Q710" s="376"/>
      <c r="R710" s="381"/>
      <c r="S710" s="455"/>
      <c r="T710" s="455"/>
      <c r="U710" s="455"/>
      <c r="V710" s="455"/>
      <c r="W710" s="376"/>
      <c r="X710" s="381"/>
      <c r="Y710" s="455"/>
      <c r="Z710" s="455"/>
      <c r="AA710" s="455"/>
      <c r="AB710" s="455"/>
      <c r="AC710" s="455"/>
      <c r="AD710" s="355"/>
      <c r="AE710" s="455"/>
      <c r="AF710" s="455"/>
      <c r="AG710" s="455"/>
      <c r="AH710" s="455"/>
      <c r="AI710" s="455"/>
      <c r="AJ710" s="344"/>
      <c r="AK710" s="345"/>
      <c r="AL710" s="340"/>
      <c r="AM710" s="342"/>
      <c r="AN710" s="342"/>
      <c r="AO710" s="342"/>
      <c r="AP710" s="342"/>
      <c r="AQ710" s="342"/>
      <c r="AR710" s="342"/>
      <c r="AS710" s="342"/>
      <c r="AT710" s="342"/>
      <c r="AU710" s="342"/>
      <c r="AV710" s="381"/>
      <c r="AW710" s="455"/>
      <c r="AX710" s="455"/>
      <c r="AY710" s="455"/>
      <c r="AZ710" s="455"/>
      <c r="BA710" s="376"/>
      <c r="BB710" s="381"/>
      <c r="BC710" s="455"/>
      <c r="BD710" s="455"/>
      <c r="BE710" s="455"/>
      <c r="BF710" s="455"/>
      <c r="BG710" s="376"/>
      <c r="BH710" s="381"/>
      <c r="BI710" s="455"/>
      <c r="BJ710" s="455"/>
      <c r="BK710" s="455"/>
      <c r="BL710" s="455"/>
      <c r="BM710" s="455"/>
      <c r="BN710" s="355"/>
      <c r="BO710" s="455"/>
      <c r="BP710" s="455"/>
      <c r="BQ710" s="455"/>
      <c r="BR710" s="455"/>
      <c r="BS710" s="455"/>
      <c r="BT710" s="356"/>
      <c r="BU710" s="357"/>
      <c r="BV710" s="310"/>
      <c r="BW710" s="310"/>
      <c r="BX710" s="291">
        <f t="shared" si="17"/>
        <v>0</v>
      </c>
      <c r="BY710" s="344"/>
      <c r="BZ710" s="347"/>
      <c r="CA710" s="347"/>
    </row>
    <row r="711" spans="1:84" ht="15" customHeight="1" thickBot="1" x14ac:dyDescent="0.3">
      <c r="A711" s="369"/>
      <c r="B711" s="340"/>
      <c r="C711" s="360" t="s">
        <v>752</v>
      </c>
      <c r="D711" s="354"/>
      <c r="E711" s="354"/>
      <c r="F711" s="354"/>
      <c r="G711" s="354"/>
      <c r="H711" s="354"/>
      <c r="I711" s="354"/>
      <c r="J711" s="354"/>
      <c r="K711" s="1565">
        <f>SUBTOTAL(109,K702:P709)</f>
        <v>16141765028</v>
      </c>
      <c r="L711" s="1565"/>
      <c r="M711" s="1565"/>
      <c r="N711" s="1565"/>
      <c r="O711" s="1565"/>
      <c r="P711" s="1565"/>
      <c r="Q711" s="435"/>
      <c r="R711" s="1565">
        <f>SUBTOTAL(109,R702:V709)</f>
        <v>-4742052370</v>
      </c>
      <c r="S711" s="1565"/>
      <c r="T711" s="1565"/>
      <c r="U711" s="1565"/>
      <c r="V711" s="1565"/>
      <c r="W711" s="435"/>
      <c r="X711" s="1565">
        <f>SUBTOTAL(109,X702:AC709)</f>
        <v>12875003042</v>
      </c>
      <c r="Y711" s="1565"/>
      <c r="Z711" s="1565"/>
      <c r="AA711" s="1565"/>
      <c r="AB711" s="1565"/>
      <c r="AC711" s="1565"/>
      <c r="AD711" s="363"/>
      <c r="AE711" s="1565">
        <f>SUBTOTAL(109,AE702:AI709)</f>
        <v>-2019041069</v>
      </c>
      <c r="AF711" s="1565"/>
      <c r="AG711" s="1565"/>
      <c r="AH711" s="1565"/>
      <c r="AI711" s="1565"/>
      <c r="AJ711" s="344"/>
      <c r="AK711" s="345"/>
      <c r="AL711" s="340"/>
      <c r="AM711" s="360" t="s">
        <v>752</v>
      </c>
      <c r="AN711" s="354"/>
      <c r="AO711" s="354"/>
      <c r="AP711" s="354"/>
      <c r="AQ711" s="354"/>
      <c r="AR711" s="354"/>
      <c r="AS711" s="354"/>
      <c r="AT711" s="354"/>
      <c r="AU711" s="1565">
        <f>SUBTOTAL(109,AU702:AZ709)</f>
        <v>16141765028</v>
      </c>
      <c r="AV711" s="1565"/>
      <c r="AW711" s="1565"/>
      <c r="AX711" s="1565"/>
      <c r="AY711" s="1565"/>
      <c r="AZ711" s="1565"/>
      <c r="BA711" s="435"/>
      <c r="BB711" s="1565">
        <f>SUBTOTAL(109,BB702:BF709)</f>
        <v>-4742052370</v>
      </c>
      <c r="BC711" s="1565"/>
      <c r="BD711" s="1565"/>
      <c r="BE711" s="1565"/>
      <c r="BF711" s="1565"/>
      <c r="BG711" s="435"/>
      <c r="BH711" s="1565">
        <f>SUBTOTAL(109,BH702:BM709)</f>
        <v>12875003042</v>
      </c>
      <c r="BI711" s="1565"/>
      <c r="BJ711" s="1565"/>
      <c r="BK711" s="1565"/>
      <c r="BL711" s="1565"/>
      <c r="BM711" s="1565"/>
      <c r="BN711" s="363"/>
      <c r="BO711" s="1565">
        <f>SUBTOTAL(109,BO702:BS709)</f>
        <v>-2019041069</v>
      </c>
      <c r="BP711" s="1565"/>
      <c r="BQ711" s="1565"/>
      <c r="BR711" s="1565"/>
      <c r="BS711" s="1565"/>
      <c r="BT711" s="356"/>
      <c r="BU711" s="357"/>
      <c r="BV711" s="310">
        <f>K711+R711-KN_CT140</f>
        <v>0</v>
      </c>
      <c r="BW711" s="310">
        <f>X711+AE711-KT_CT140</f>
        <v>0</v>
      </c>
      <c r="BX711" s="291">
        <f t="shared" si="17"/>
        <v>0</v>
      </c>
      <c r="BY711" s="344"/>
      <c r="BZ711" s="347"/>
      <c r="CA711" s="347"/>
    </row>
    <row r="712" spans="1:84" ht="12.95" hidden="1" customHeight="1" thickTop="1" x14ac:dyDescent="0.25">
      <c r="A712" s="369"/>
      <c r="B712" s="340"/>
      <c r="C712" s="388"/>
      <c r="D712" s="386"/>
      <c r="E712" s="386"/>
      <c r="F712" s="386"/>
      <c r="G712" s="386"/>
      <c r="H712" s="386"/>
      <c r="I712" s="386"/>
      <c r="J712" s="386"/>
      <c r="K712" s="386"/>
      <c r="L712" s="386"/>
      <c r="M712" s="386"/>
      <c r="N712" s="386"/>
      <c r="O712" s="386"/>
      <c r="P712" s="386"/>
      <c r="Q712" s="386"/>
      <c r="R712" s="386"/>
      <c r="S712" s="386"/>
      <c r="T712" s="386"/>
      <c r="U712" s="389"/>
      <c r="V712" s="389"/>
      <c r="W712" s="363"/>
      <c r="X712" s="363"/>
      <c r="Y712" s="363"/>
      <c r="Z712" s="363"/>
      <c r="AA712" s="363"/>
      <c r="AB712" s="363"/>
      <c r="AC712" s="355"/>
      <c r="AD712" s="363"/>
      <c r="AE712" s="363"/>
      <c r="AF712" s="363"/>
      <c r="AG712" s="363"/>
      <c r="AH712" s="363"/>
      <c r="AI712" s="363"/>
      <c r="AJ712" s="344"/>
      <c r="AK712" s="345"/>
      <c r="AL712" s="340"/>
      <c r="AM712" s="388"/>
      <c r="AN712" s="386"/>
      <c r="AO712" s="386"/>
      <c r="AP712" s="386"/>
      <c r="AQ712" s="386"/>
      <c r="AR712" s="386"/>
      <c r="AS712" s="386"/>
      <c r="AT712" s="386"/>
      <c r="AU712" s="386"/>
      <c r="AV712" s="386"/>
      <c r="AW712" s="386"/>
      <c r="AX712" s="386"/>
      <c r="AY712" s="386"/>
      <c r="AZ712" s="386"/>
      <c r="BA712" s="386"/>
      <c r="BB712" s="386"/>
      <c r="BC712" s="386"/>
      <c r="BD712" s="386"/>
      <c r="BE712" s="389"/>
      <c r="BF712" s="389"/>
      <c r="BG712" s="363"/>
      <c r="BH712" s="363"/>
      <c r="BI712" s="363"/>
      <c r="BJ712" s="363"/>
      <c r="BK712" s="363"/>
      <c r="BL712" s="363"/>
      <c r="BM712" s="355"/>
      <c r="BN712" s="363"/>
      <c r="BO712" s="363"/>
      <c r="BP712" s="363"/>
      <c r="BQ712" s="363"/>
      <c r="BR712" s="363"/>
      <c r="BS712" s="363"/>
      <c r="BT712" s="356"/>
      <c r="BU712" s="357"/>
      <c r="BV712" s="310"/>
      <c r="BW712" s="310"/>
      <c r="BX712" s="291">
        <f t="shared" si="17"/>
        <v>0</v>
      </c>
      <c r="BY712" s="344"/>
      <c r="BZ712" s="347"/>
      <c r="CA712" s="347"/>
    </row>
    <row r="713" spans="1:84" s="423" customFormat="1" ht="15" hidden="1" customHeight="1" x14ac:dyDescent="0.25">
      <c r="A713" s="313"/>
      <c r="B713" s="340"/>
      <c r="C713" s="456" t="s">
        <v>355</v>
      </c>
      <c r="D713" s="1511" t="s">
        <v>942</v>
      </c>
      <c r="E713" s="1511"/>
      <c r="F713" s="1511"/>
      <c r="G713" s="1511"/>
      <c r="H713" s="1511"/>
      <c r="I713" s="1511"/>
      <c r="J713" s="1511"/>
      <c r="K713" s="1511"/>
      <c r="L713" s="1511"/>
      <c r="M713" s="1511"/>
      <c r="N713" s="1511"/>
      <c r="O713" s="1511"/>
      <c r="P713" s="1511"/>
      <c r="Q713" s="1511"/>
      <c r="R713" s="1511"/>
      <c r="S713" s="1511"/>
      <c r="T713" s="1511"/>
      <c r="U713" s="1511"/>
      <c r="V713" s="1511"/>
      <c r="W713" s="1511"/>
      <c r="X713" s="1511"/>
      <c r="Y713" s="1511"/>
      <c r="Z713" s="1511"/>
      <c r="AA713" s="1511"/>
      <c r="AB713" s="1511"/>
      <c r="AC713" s="1511"/>
      <c r="AD713" s="1511"/>
      <c r="AE713" s="1511"/>
      <c r="AF713" s="1511"/>
      <c r="AG713" s="1511"/>
      <c r="AH713" s="1511"/>
      <c r="AI713" s="1511"/>
      <c r="AJ713" s="342"/>
      <c r="AK713" s="345"/>
      <c r="AL713" s="340"/>
      <c r="AM713" s="456" t="s">
        <v>355</v>
      </c>
      <c r="AN713" s="1511" t="s">
        <v>943</v>
      </c>
      <c r="AO713" s="1511"/>
      <c r="AP713" s="1511"/>
      <c r="AQ713" s="1511"/>
      <c r="AR713" s="1511"/>
      <c r="AS713" s="1511"/>
      <c r="AT713" s="1511"/>
      <c r="AU713" s="1511"/>
      <c r="AV713" s="1511"/>
      <c r="AW713" s="1511"/>
      <c r="AX713" s="1511"/>
      <c r="AY713" s="1511"/>
      <c r="AZ713" s="1511"/>
      <c r="BA713" s="1511"/>
      <c r="BB713" s="1511"/>
      <c r="BC713" s="1511"/>
      <c r="BD713" s="1511"/>
      <c r="BE713" s="1511"/>
      <c r="BF713" s="1511"/>
      <c r="BG713" s="1511"/>
      <c r="BH713" s="1511"/>
      <c r="BI713" s="1511"/>
      <c r="BJ713" s="1511"/>
      <c r="BK713" s="1511"/>
      <c r="BL713" s="1511"/>
      <c r="BM713" s="1511"/>
      <c r="BN713" s="1511"/>
      <c r="BO713" s="1511"/>
      <c r="BP713" s="1511"/>
      <c r="BQ713" s="1511"/>
      <c r="BR713" s="1511"/>
      <c r="BS713" s="1511"/>
      <c r="BT713" s="342"/>
      <c r="BU713" s="346"/>
      <c r="BV713" s="310"/>
      <c r="BW713" s="310"/>
      <c r="BX713" s="300">
        <f t="shared" si="17"/>
        <v>0</v>
      </c>
      <c r="BY713" s="342"/>
      <c r="BZ713" s="438"/>
      <c r="CA713" s="438"/>
      <c r="CB713" s="439"/>
      <c r="CC713" s="439"/>
      <c r="CD713" s="439"/>
      <c r="CE713" s="439"/>
      <c r="CF713" s="439"/>
    </row>
    <row r="714" spans="1:84" s="423" customFormat="1" ht="15" hidden="1" customHeight="1" x14ac:dyDescent="0.25">
      <c r="A714" s="313"/>
      <c r="B714" s="340"/>
      <c r="C714" s="457"/>
      <c r="D714" s="1498" t="s">
        <v>944</v>
      </c>
      <c r="E714" s="1498"/>
      <c r="F714" s="1498"/>
      <c r="G714" s="1498"/>
      <c r="H714" s="1498"/>
      <c r="I714" s="1498"/>
      <c r="J714" s="1498"/>
      <c r="K714" s="1498"/>
      <c r="L714" s="1498"/>
      <c r="M714" s="1498"/>
      <c r="N714" s="1498"/>
      <c r="O714" s="1498"/>
      <c r="P714" s="1498"/>
      <c r="Q714" s="1498"/>
      <c r="R714" s="1498"/>
      <c r="S714" s="1498"/>
      <c r="T714" s="1498"/>
      <c r="U714" s="1498"/>
      <c r="V714" s="1498"/>
      <c r="W714" s="1498"/>
      <c r="X714" s="1498"/>
      <c r="Y714" s="1498"/>
      <c r="Z714" s="1498"/>
      <c r="AA714" s="1498"/>
      <c r="AB714" s="1498"/>
      <c r="AC714" s="1498"/>
      <c r="AD714" s="1498"/>
      <c r="AE714" s="1498"/>
      <c r="AF714" s="1498"/>
      <c r="AG714" s="1498"/>
      <c r="AH714" s="1498"/>
      <c r="AI714" s="1498"/>
      <c r="AJ714" s="342"/>
      <c r="AK714" s="345"/>
      <c r="AL714" s="340"/>
      <c r="AM714" s="457"/>
      <c r="AN714" s="1498" t="s">
        <v>945</v>
      </c>
      <c r="AO714" s="1498"/>
      <c r="AP714" s="1498"/>
      <c r="AQ714" s="1498"/>
      <c r="AR714" s="1498"/>
      <c r="AS714" s="1498"/>
      <c r="AT714" s="1498"/>
      <c r="AU714" s="1498"/>
      <c r="AV714" s="1498"/>
      <c r="AW714" s="1498"/>
      <c r="AX714" s="1498"/>
      <c r="AY714" s="1498"/>
      <c r="AZ714" s="1498"/>
      <c r="BA714" s="1498"/>
      <c r="BB714" s="1498"/>
      <c r="BC714" s="1498"/>
      <c r="BD714" s="1498"/>
      <c r="BE714" s="1498"/>
      <c r="BF714" s="1498"/>
      <c r="BG714" s="1498"/>
      <c r="BH714" s="1498"/>
      <c r="BI714" s="1498"/>
      <c r="BJ714" s="1498"/>
      <c r="BK714" s="1498"/>
      <c r="BL714" s="1498"/>
      <c r="BM714" s="1498"/>
      <c r="BN714" s="1498"/>
      <c r="BO714" s="1498"/>
      <c r="BP714" s="1498"/>
      <c r="BQ714" s="1498"/>
      <c r="BR714" s="1498"/>
      <c r="BS714" s="1498"/>
      <c r="BT714" s="356"/>
      <c r="BU714" s="357"/>
      <c r="BV714" s="310"/>
      <c r="BW714" s="310"/>
      <c r="BX714" s="300">
        <f t="shared" si="17"/>
        <v>0</v>
      </c>
      <c r="BY714" s="342"/>
      <c r="BZ714" s="438"/>
      <c r="CA714" s="438"/>
      <c r="CB714" s="439"/>
      <c r="CC714" s="439"/>
      <c r="CD714" s="439"/>
      <c r="CE714" s="439"/>
      <c r="CF714" s="439"/>
    </row>
    <row r="715" spans="1:84" s="423" customFormat="1" ht="15" hidden="1" customHeight="1" x14ac:dyDescent="0.25">
      <c r="A715" s="313"/>
      <c r="B715" s="340"/>
      <c r="C715" s="458" t="s">
        <v>355</v>
      </c>
      <c r="D715" s="1468" t="s">
        <v>946</v>
      </c>
      <c r="E715" s="1468"/>
      <c r="F715" s="1468"/>
      <c r="G715" s="1468"/>
      <c r="H715" s="1468"/>
      <c r="I715" s="1468"/>
      <c r="J715" s="1468"/>
      <c r="K715" s="1468"/>
      <c r="L715" s="1468"/>
      <c r="M715" s="1468"/>
      <c r="N715" s="1468"/>
      <c r="O715" s="1468"/>
      <c r="P715" s="1468"/>
      <c r="Q715" s="1468"/>
      <c r="R715" s="1468"/>
      <c r="S715" s="1468"/>
      <c r="T715" s="1468"/>
      <c r="U715" s="1468"/>
      <c r="V715" s="1468"/>
      <c r="W715" s="1468"/>
      <c r="X715" s="1468"/>
      <c r="Y715" s="1468"/>
      <c r="Z715" s="1468"/>
      <c r="AA715" s="1468"/>
      <c r="AB715" s="1468"/>
      <c r="AC715" s="1468"/>
      <c r="AD715" s="1468"/>
      <c r="AE715" s="1468"/>
      <c r="AF715" s="1468"/>
      <c r="AG715" s="1468"/>
      <c r="AH715" s="1468"/>
      <c r="AI715" s="1468"/>
      <c r="AJ715" s="342"/>
      <c r="AK715" s="345"/>
      <c r="AL715" s="340"/>
      <c r="AM715" s="458" t="s">
        <v>355</v>
      </c>
      <c r="AN715" s="1468" t="s">
        <v>947</v>
      </c>
      <c r="AO715" s="1468"/>
      <c r="AP715" s="1468"/>
      <c r="AQ715" s="1468"/>
      <c r="AR715" s="1468"/>
      <c r="AS715" s="1468"/>
      <c r="AT715" s="1468"/>
      <c r="AU715" s="1468"/>
      <c r="AV715" s="1468"/>
      <c r="AW715" s="1468"/>
      <c r="AX715" s="1468"/>
      <c r="AY715" s="1468"/>
      <c r="AZ715" s="1468"/>
      <c r="BA715" s="1468"/>
      <c r="BB715" s="1468"/>
      <c r="BC715" s="1468"/>
      <c r="BD715" s="1468"/>
      <c r="BE715" s="1468"/>
      <c r="BF715" s="1468"/>
      <c r="BG715" s="1468"/>
      <c r="BH715" s="1468"/>
      <c r="BI715" s="1468"/>
      <c r="BJ715" s="1468"/>
      <c r="BK715" s="1468"/>
      <c r="BL715" s="1468"/>
      <c r="BM715" s="1468"/>
      <c r="BN715" s="1468"/>
      <c r="BO715" s="1468"/>
      <c r="BP715" s="1468"/>
      <c r="BQ715" s="1468"/>
      <c r="BR715" s="1468"/>
      <c r="BS715" s="1468"/>
      <c r="BT715" s="356"/>
      <c r="BU715" s="357"/>
      <c r="BV715" s="310"/>
      <c r="BW715" s="310"/>
      <c r="BX715" s="300">
        <f t="shared" si="17"/>
        <v>0</v>
      </c>
      <c r="BY715" s="342"/>
      <c r="BZ715" s="438"/>
      <c r="CA715" s="438"/>
      <c r="CB715" s="439"/>
      <c r="CC715" s="439"/>
      <c r="CD715" s="439"/>
      <c r="CE715" s="439"/>
      <c r="CF715" s="439"/>
    </row>
    <row r="716" spans="1:84" s="423" customFormat="1" ht="15" hidden="1" customHeight="1" x14ac:dyDescent="0.25">
      <c r="A716" s="313"/>
      <c r="B716" s="340"/>
      <c r="C716" s="458" t="s">
        <v>355</v>
      </c>
      <c r="D716" s="1468" t="s">
        <v>948</v>
      </c>
      <c r="E716" s="1468"/>
      <c r="F716" s="1468"/>
      <c r="G716" s="1468"/>
      <c r="H716" s="1468"/>
      <c r="I716" s="1468"/>
      <c r="J716" s="1468"/>
      <c r="K716" s="1468"/>
      <c r="L716" s="1468"/>
      <c r="M716" s="1468"/>
      <c r="N716" s="1468"/>
      <c r="O716" s="1468"/>
      <c r="P716" s="1468"/>
      <c r="Q716" s="1468"/>
      <c r="R716" s="1468"/>
      <c r="S716" s="1468"/>
      <c r="T716" s="1468"/>
      <c r="U716" s="1468"/>
      <c r="V716" s="1468"/>
      <c r="W716" s="1468"/>
      <c r="X716" s="1468"/>
      <c r="Y716" s="1468"/>
      <c r="Z716" s="1468"/>
      <c r="AA716" s="1468"/>
      <c r="AB716" s="1468"/>
      <c r="AC716" s="1468"/>
      <c r="AD716" s="1468"/>
      <c r="AE716" s="1468"/>
      <c r="AF716" s="1468"/>
      <c r="AG716" s="1468"/>
      <c r="AH716" s="1468"/>
      <c r="AI716" s="1468"/>
      <c r="AJ716" s="342"/>
      <c r="AK716" s="345"/>
      <c r="AL716" s="340"/>
      <c r="AM716" s="458" t="s">
        <v>355</v>
      </c>
      <c r="AN716" s="1468" t="s">
        <v>949</v>
      </c>
      <c r="AO716" s="1468"/>
      <c r="AP716" s="1468"/>
      <c r="AQ716" s="1468"/>
      <c r="AR716" s="1468"/>
      <c r="AS716" s="1468"/>
      <c r="AT716" s="1468"/>
      <c r="AU716" s="1468"/>
      <c r="AV716" s="1468"/>
      <c r="AW716" s="1468"/>
      <c r="AX716" s="1468"/>
      <c r="AY716" s="1468"/>
      <c r="AZ716" s="1468"/>
      <c r="BA716" s="1468"/>
      <c r="BB716" s="1468"/>
      <c r="BC716" s="1468"/>
      <c r="BD716" s="1468"/>
      <c r="BE716" s="1468"/>
      <c r="BF716" s="1468"/>
      <c r="BG716" s="1468"/>
      <c r="BH716" s="1468"/>
      <c r="BI716" s="1468"/>
      <c r="BJ716" s="1468"/>
      <c r="BK716" s="1468"/>
      <c r="BL716" s="1468"/>
      <c r="BM716" s="1468"/>
      <c r="BN716" s="1468"/>
      <c r="BO716" s="1468"/>
      <c r="BP716" s="1468"/>
      <c r="BQ716" s="1468"/>
      <c r="BR716" s="1468"/>
      <c r="BS716" s="1468"/>
      <c r="BT716" s="356"/>
      <c r="BU716" s="357"/>
      <c r="BV716" s="310"/>
      <c r="BW716" s="310"/>
      <c r="BX716" s="300">
        <f t="shared" si="17"/>
        <v>0</v>
      </c>
      <c r="BY716" s="342"/>
      <c r="BZ716" s="438"/>
      <c r="CA716" s="438"/>
      <c r="CB716" s="439"/>
      <c r="CC716" s="439"/>
      <c r="CD716" s="439"/>
      <c r="CE716" s="439"/>
      <c r="CF716" s="439"/>
    </row>
    <row r="717" spans="1:84" ht="27.95" hidden="1" customHeight="1" x14ac:dyDescent="0.25">
      <c r="A717" s="313"/>
      <c r="B717" s="340"/>
      <c r="C717" s="1564" t="s">
        <v>950</v>
      </c>
      <c r="D717" s="1564"/>
      <c r="E717" s="1564"/>
      <c r="F717" s="1564"/>
      <c r="G717" s="1564"/>
      <c r="H717" s="1564"/>
      <c r="I717" s="1564"/>
      <c r="J717" s="1564"/>
      <c r="K717" s="1564"/>
      <c r="L717" s="1564"/>
      <c r="M717" s="1564"/>
      <c r="N717" s="1564"/>
      <c r="O717" s="1564"/>
      <c r="P717" s="1564"/>
      <c r="Q717" s="1564"/>
      <c r="R717" s="1564"/>
      <c r="S717" s="1564"/>
      <c r="T717" s="1564"/>
      <c r="U717" s="1564"/>
      <c r="V717" s="1564"/>
      <c r="W717" s="1564"/>
      <c r="X717" s="1564"/>
      <c r="Y717" s="1564"/>
      <c r="Z717" s="1564"/>
      <c r="AA717" s="1564"/>
      <c r="AB717" s="1564"/>
      <c r="AC717" s="1564"/>
      <c r="AD717" s="1564"/>
      <c r="AE717" s="1564"/>
      <c r="AF717" s="1564"/>
      <c r="AG717" s="1564"/>
      <c r="AH717" s="1564"/>
      <c r="AI717" s="1564"/>
      <c r="AJ717" s="344"/>
      <c r="AK717" s="345"/>
      <c r="AL717" s="340"/>
      <c r="AM717" s="1564" t="s">
        <v>950</v>
      </c>
      <c r="AN717" s="1564"/>
      <c r="AO717" s="1564"/>
      <c r="AP717" s="1564"/>
      <c r="AQ717" s="1564"/>
      <c r="AR717" s="1564"/>
      <c r="AS717" s="1564"/>
      <c r="AT717" s="1564"/>
      <c r="AU717" s="1564"/>
      <c r="AV717" s="1564"/>
      <c r="AW717" s="1564"/>
      <c r="AX717" s="1564"/>
      <c r="AY717" s="1564"/>
      <c r="AZ717" s="1564"/>
      <c r="BA717" s="1564"/>
      <c r="BB717" s="1564"/>
      <c r="BC717" s="1564"/>
      <c r="BD717" s="1564"/>
      <c r="BE717" s="1564"/>
      <c r="BF717" s="1564"/>
      <c r="BG717" s="1564"/>
      <c r="BH717" s="1564"/>
      <c r="BI717" s="1564"/>
      <c r="BJ717" s="1564"/>
      <c r="BK717" s="1564"/>
      <c r="BL717" s="1564"/>
      <c r="BM717" s="1564"/>
      <c r="BN717" s="1564"/>
      <c r="BO717" s="1564"/>
      <c r="BP717" s="1564"/>
      <c r="BQ717" s="1564"/>
      <c r="BR717" s="1564"/>
      <c r="BS717" s="1564"/>
      <c r="BT717" s="356"/>
      <c r="BU717" s="357"/>
      <c r="BV717" s="310"/>
      <c r="BW717" s="310"/>
      <c r="BX717" s="291">
        <f t="shared" si="17"/>
        <v>0</v>
      </c>
      <c r="BY717" s="344"/>
      <c r="BZ717" s="347"/>
      <c r="CA717" s="347"/>
    </row>
    <row r="718" spans="1:84" ht="2.1" hidden="1" customHeight="1" x14ac:dyDescent="0.25">
      <c r="A718" s="313"/>
      <c r="B718" s="340"/>
      <c r="C718" s="392"/>
      <c r="D718" s="392"/>
      <c r="E718" s="392"/>
      <c r="F718" s="392"/>
      <c r="G718" s="392"/>
      <c r="H718" s="392"/>
      <c r="I718" s="392"/>
      <c r="J718" s="392"/>
      <c r="K718" s="392"/>
      <c r="L718" s="392"/>
      <c r="M718" s="392"/>
      <c r="N718" s="392"/>
      <c r="O718" s="392"/>
      <c r="P718" s="392"/>
      <c r="Q718" s="392"/>
      <c r="R718" s="392"/>
      <c r="S718" s="392"/>
      <c r="T718" s="392"/>
      <c r="U718" s="392"/>
      <c r="V718" s="392"/>
      <c r="W718" s="393"/>
      <c r="X718" s="393"/>
      <c r="Y718" s="393"/>
      <c r="Z718" s="393"/>
      <c r="AA718" s="393"/>
      <c r="AB718" s="393"/>
      <c r="AC718" s="343"/>
      <c r="AD718" s="343"/>
      <c r="AE718" s="343"/>
      <c r="AF718" s="343"/>
      <c r="AG718" s="343"/>
      <c r="AH718" s="343"/>
      <c r="AI718" s="343"/>
      <c r="AJ718" s="344"/>
      <c r="AK718" s="345"/>
      <c r="AL718" s="340"/>
      <c r="AM718" s="392"/>
      <c r="AN718" s="392"/>
      <c r="AO718" s="392"/>
      <c r="AP718" s="392"/>
      <c r="AQ718" s="392"/>
      <c r="AR718" s="392"/>
      <c r="AS718" s="392"/>
      <c r="AT718" s="392"/>
      <c r="AU718" s="392"/>
      <c r="AV718" s="392"/>
      <c r="AW718" s="392"/>
      <c r="AX718" s="392"/>
      <c r="AY718" s="392"/>
      <c r="AZ718" s="392"/>
      <c r="BA718" s="392"/>
      <c r="BB718" s="392"/>
      <c r="BC718" s="392"/>
      <c r="BD718" s="392"/>
      <c r="BE718" s="392"/>
      <c r="BF718" s="392"/>
      <c r="BG718" s="392"/>
      <c r="BH718" s="392"/>
      <c r="BI718" s="392"/>
      <c r="BJ718" s="392"/>
      <c r="BK718" s="392"/>
      <c r="BL718" s="392"/>
      <c r="BM718" s="342"/>
      <c r="BN718" s="342"/>
      <c r="BO718" s="342"/>
      <c r="BP718" s="342"/>
      <c r="BQ718" s="342"/>
      <c r="BR718" s="342"/>
      <c r="BS718" s="342"/>
      <c r="BT718" s="342"/>
      <c r="BU718" s="346"/>
      <c r="BV718" s="310"/>
      <c r="BW718" s="310"/>
      <c r="BX718" s="291">
        <f t="shared" si="17"/>
        <v>0</v>
      </c>
      <c r="BY718" s="344"/>
      <c r="BZ718" s="347"/>
      <c r="CA718" s="347"/>
    </row>
    <row r="719" spans="1:84" ht="12.95" customHeight="1" thickTop="1" x14ac:dyDescent="0.25">
      <c r="A719" s="369"/>
      <c r="B719" s="354"/>
      <c r="C719" s="342"/>
      <c r="D719" s="342"/>
      <c r="E719" s="342"/>
      <c r="F719" s="342"/>
      <c r="G719" s="342"/>
      <c r="H719" s="342"/>
      <c r="I719" s="342"/>
      <c r="J719" s="342"/>
      <c r="K719" s="342"/>
      <c r="L719" s="342"/>
      <c r="M719" s="342"/>
      <c r="N719" s="342"/>
      <c r="O719" s="342"/>
      <c r="P719" s="342"/>
      <c r="Q719" s="342"/>
      <c r="R719" s="342"/>
      <c r="S719" s="342"/>
      <c r="T719" s="342"/>
      <c r="U719" s="342"/>
      <c r="V719" s="342"/>
      <c r="W719" s="1338"/>
      <c r="X719" s="1338"/>
      <c r="Y719" s="1338"/>
      <c r="Z719" s="1338"/>
      <c r="AA719" s="1338"/>
      <c r="AB719" s="1338"/>
      <c r="AC719" s="343"/>
      <c r="AD719" s="1338"/>
      <c r="AE719" s="1338"/>
      <c r="AF719" s="1338"/>
      <c r="AG719" s="1338"/>
      <c r="AH719" s="1338"/>
      <c r="AI719" s="1338"/>
      <c r="AJ719" s="344"/>
      <c r="AK719" s="419"/>
      <c r="AL719" s="354"/>
      <c r="AM719" s="342"/>
      <c r="AN719" s="342"/>
      <c r="AO719" s="342"/>
      <c r="AP719" s="342"/>
      <c r="AQ719" s="342"/>
      <c r="AR719" s="342"/>
      <c r="AS719" s="342"/>
      <c r="AT719" s="342"/>
      <c r="AU719" s="342"/>
      <c r="AV719" s="342"/>
      <c r="AW719" s="342"/>
      <c r="AX719" s="342"/>
      <c r="AY719" s="342"/>
      <c r="AZ719" s="342"/>
      <c r="BA719" s="342"/>
      <c r="BB719" s="342"/>
      <c r="BC719" s="342"/>
      <c r="BD719" s="342"/>
      <c r="BE719" s="342"/>
      <c r="BF719" s="342"/>
      <c r="BG719" s="342"/>
      <c r="BH719" s="342"/>
      <c r="BI719" s="342"/>
      <c r="BJ719" s="342"/>
      <c r="BK719" s="342"/>
      <c r="BL719" s="342"/>
      <c r="BM719" s="342"/>
      <c r="BN719" s="342"/>
      <c r="BO719" s="342"/>
      <c r="BP719" s="342"/>
      <c r="BQ719" s="342"/>
      <c r="BR719" s="342"/>
      <c r="BS719" s="342"/>
      <c r="BT719" s="342"/>
      <c r="BU719" s="346"/>
      <c r="BV719" s="310"/>
      <c r="BW719" s="310"/>
      <c r="BX719" s="291">
        <f t="shared" si="17"/>
        <v>0</v>
      </c>
      <c r="BY719" s="344"/>
      <c r="BZ719" s="347"/>
      <c r="CA719" s="347"/>
    </row>
    <row r="720" spans="1:84" ht="15" customHeight="1" x14ac:dyDescent="0.25">
      <c r="A720" s="313">
        <v>11</v>
      </c>
      <c r="B720" s="340" t="s">
        <v>345</v>
      </c>
      <c r="C720" s="341" t="s">
        <v>951</v>
      </c>
      <c r="D720" s="341"/>
      <c r="E720" s="341"/>
      <c r="F720" s="341"/>
      <c r="G720" s="341"/>
      <c r="H720" s="341"/>
      <c r="I720" s="341"/>
      <c r="J720" s="341"/>
      <c r="K720" s="341"/>
      <c r="L720" s="341"/>
      <c r="M720" s="341"/>
      <c r="N720" s="341"/>
      <c r="O720" s="341"/>
      <c r="P720" s="341"/>
      <c r="Q720" s="341"/>
      <c r="R720" s="341"/>
      <c r="S720" s="341"/>
      <c r="T720" s="341"/>
      <c r="U720" s="342"/>
      <c r="V720" s="342"/>
      <c r="W720" s="343"/>
      <c r="X720" s="343"/>
      <c r="Y720" s="343"/>
      <c r="Z720" s="343"/>
      <c r="AA720" s="343"/>
      <c r="AB720" s="343"/>
      <c r="AC720" s="343"/>
      <c r="AD720" s="343"/>
      <c r="AE720" s="343"/>
      <c r="AF720" s="343"/>
      <c r="AG720" s="343"/>
      <c r="AH720" s="343"/>
      <c r="AI720" s="343"/>
      <c r="AJ720" s="344"/>
      <c r="AK720" s="345">
        <f>A720</f>
        <v>11</v>
      </c>
      <c r="AL720" s="340" t="s">
        <v>345</v>
      </c>
      <c r="AM720" s="341" t="s">
        <v>952</v>
      </c>
      <c r="AN720" s="341"/>
      <c r="AO720" s="341"/>
      <c r="AP720" s="341"/>
      <c r="AQ720" s="341"/>
      <c r="AR720" s="341"/>
      <c r="AS720" s="341"/>
      <c r="AT720" s="341"/>
      <c r="AU720" s="341"/>
      <c r="AV720" s="341"/>
      <c r="AW720" s="341"/>
      <c r="AX720" s="341"/>
      <c r="AY720" s="341"/>
      <c r="AZ720" s="341"/>
      <c r="BA720" s="341"/>
      <c r="BB720" s="341"/>
      <c r="BC720" s="341"/>
      <c r="BD720" s="341"/>
      <c r="BE720" s="342"/>
      <c r="BF720" s="342"/>
      <c r="BG720" s="342"/>
      <c r="BH720" s="342"/>
      <c r="BI720" s="342"/>
      <c r="BJ720" s="342"/>
      <c r="BK720" s="342"/>
      <c r="BL720" s="342"/>
      <c r="BM720" s="342"/>
      <c r="BN720" s="342"/>
      <c r="BO720" s="342"/>
      <c r="BP720" s="342"/>
      <c r="BQ720" s="342"/>
      <c r="BR720" s="342"/>
      <c r="BS720" s="342"/>
      <c r="BT720" s="342"/>
      <c r="BU720" s="346">
        <f>SUBTOTAL(103,A720)</f>
        <v>1</v>
      </c>
      <c r="BV720" s="310"/>
      <c r="BW720" s="310"/>
      <c r="BX720" s="291">
        <f t="shared" si="17"/>
        <v>0</v>
      </c>
      <c r="BY720" s="344"/>
      <c r="BZ720" s="347"/>
      <c r="CA720" s="347"/>
    </row>
    <row r="721" spans="1:79" ht="14.1" hidden="1" customHeight="1" x14ac:dyDescent="0.25">
      <c r="A721" s="313"/>
      <c r="B721" s="340"/>
      <c r="C721" s="459"/>
      <c r="D721" s="341"/>
      <c r="E721" s="341"/>
      <c r="F721" s="341"/>
      <c r="G721" s="341"/>
      <c r="H721" s="341"/>
      <c r="I721" s="341"/>
      <c r="J721" s="341"/>
      <c r="K721" s="341"/>
      <c r="L721" s="341"/>
      <c r="M721" s="341"/>
      <c r="N721" s="341"/>
      <c r="O721" s="341"/>
      <c r="P721" s="341"/>
      <c r="Q721" s="341"/>
      <c r="R721" s="341"/>
      <c r="S721" s="341"/>
      <c r="T721" s="341"/>
      <c r="U721" s="342"/>
      <c r="V721" s="342"/>
      <c r="W721" s="343"/>
      <c r="X721" s="343"/>
      <c r="Y721" s="343"/>
      <c r="Z721" s="343"/>
      <c r="AA721" s="343"/>
      <c r="AB721" s="343"/>
      <c r="AC721" s="343"/>
      <c r="AD721" s="343"/>
      <c r="AE721" s="343"/>
      <c r="AF721" s="343"/>
      <c r="AG721" s="343"/>
      <c r="AH721" s="343"/>
      <c r="AI721" s="343"/>
      <c r="AJ721" s="344"/>
      <c r="AK721" s="345"/>
      <c r="AL721" s="340"/>
      <c r="AM721" s="341"/>
      <c r="AN721" s="341"/>
      <c r="AO721" s="341"/>
      <c r="AP721" s="341"/>
      <c r="AQ721" s="341"/>
      <c r="AR721" s="341"/>
      <c r="AS721" s="341"/>
      <c r="AT721" s="341"/>
      <c r="AU721" s="341"/>
      <c r="AV721" s="341"/>
      <c r="AW721" s="341"/>
      <c r="AX721" s="341"/>
      <c r="AY721" s="341"/>
      <c r="AZ721" s="341"/>
      <c r="BA721" s="341"/>
      <c r="BB721" s="341"/>
      <c r="BC721" s="341"/>
      <c r="BD721" s="341"/>
      <c r="BE721" s="342"/>
      <c r="BF721" s="342"/>
      <c r="BG721" s="342"/>
      <c r="BH721" s="342"/>
      <c r="BI721" s="342"/>
      <c r="BJ721" s="342"/>
      <c r="BK721" s="342"/>
      <c r="BL721" s="342"/>
      <c r="BM721" s="342"/>
      <c r="BN721" s="342"/>
      <c r="BO721" s="342"/>
      <c r="BP721" s="342"/>
      <c r="BQ721" s="342"/>
      <c r="BR721" s="342"/>
      <c r="BS721" s="342"/>
      <c r="BT721" s="342"/>
      <c r="BU721" s="346"/>
      <c r="BV721" s="310"/>
      <c r="BW721" s="310"/>
      <c r="BX721" s="291">
        <f t="shared" si="17"/>
        <v>0</v>
      </c>
      <c r="BY721" s="344"/>
      <c r="BZ721" s="347"/>
      <c r="CA721" s="347"/>
    </row>
    <row r="722" spans="1:79" ht="15" hidden="1" customHeight="1" x14ac:dyDescent="0.25">
      <c r="A722" s="313"/>
      <c r="B722" s="340"/>
      <c r="C722" s="341" t="s">
        <v>953</v>
      </c>
      <c r="D722" s="341"/>
      <c r="E722" s="341"/>
      <c r="F722" s="341"/>
      <c r="G722" s="341"/>
      <c r="H722" s="341"/>
      <c r="I722" s="341"/>
      <c r="J722" s="341"/>
      <c r="K722" s="341"/>
      <c r="L722" s="341"/>
      <c r="M722" s="341"/>
      <c r="N722" s="341"/>
      <c r="O722" s="341"/>
      <c r="P722" s="341"/>
      <c r="Q722" s="341"/>
      <c r="R722" s="341"/>
      <c r="S722" s="341"/>
      <c r="T722" s="341"/>
      <c r="U722" s="342"/>
      <c r="V722" s="342"/>
      <c r="W722" s="343"/>
      <c r="X722" s="343"/>
      <c r="Y722" s="343"/>
      <c r="Z722" s="343"/>
      <c r="AA722" s="343"/>
      <c r="AB722" s="343"/>
      <c r="AC722" s="343"/>
      <c r="AD722" s="343"/>
      <c r="AE722" s="343"/>
      <c r="AF722" s="343"/>
      <c r="AG722" s="343"/>
      <c r="AH722" s="343"/>
      <c r="AI722" s="343"/>
      <c r="AJ722" s="344"/>
      <c r="AK722" s="345"/>
      <c r="AL722" s="340"/>
      <c r="AM722" s="341" t="s">
        <v>954</v>
      </c>
      <c r="AN722" s="341"/>
      <c r="AO722" s="341"/>
      <c r="AP722" s="341"/>
      <c r="AQ722" s="341"/>
      <c r="AR722" s="341"/>
      <c r="AS722" s="341"/>
      <c r="AT722" s="341"/>
      <c r="AU722" s="341"/>
      <c r="AV722" s="341"/>
      <c r="AW722" s="341"/>
      <c r="AX722" s="341"/>
      <c r="AY722" s="341"/>
      <c r="AZ722" s="341"/>
      <c r="BA722" s="341"/>
      <c r="BB722" s="341"/>
      <c r="BC722" s="341"/>
      <c r="BD722" s="341"/>
      <c r="BE722" s="342"/>
      <c r="BF722" s="342"/>
      <c r="BG722" s="343"/>
      <c r="BH722" s="343"/>
      <c r="BI722" s="343"/>
      <c r="BJ722" s="343"/>
      <c r="BK722" s="343"/>
      <c r="BL722" s="343"/>
      <c r="BM722" s="343"/>
      <c r="BN722" s="343"/>
      <c r="BO722" s="343"/>
      <c r="BP722" s="343"/>
      <c r="BQ722" s="343"/>
      <c r="BR722" s="343"/>
      <c r="BS722" s="343"/>
      <c r="BT722" s="342"/>
      <c r="BU722" s="346"/>
      <c r="BV722" s="310"/>
      <c r="BW722" s="310"/>
      <c r="BX722" s="291">
        <f t="shared" si="17"/>
        <v>0</v>
      </c>
      <c r="BY722" s="344"/>
      <c r="BZ722" s="347"/>
      <c r="CA722" s="347"/>
    </row>
    <row r="723" spans="1:79" ht="15" hidden="1" customHeight="1" x14ac:dyDescent="0.25">
      <c r="A723" s="313"/>
      <c r="B723" s="340"/>
      <c r="C723" s="350"/>
      <c r="D723" s="350"/>
      <c r="E723" s="350"/>
      <c r="F723" s="350"/>
      <c r="G723" s="350"/>
      <c r="H723" s="350"/>
      <c r="I723" s="350"/>
      <c r="J723" s="350"/>
      <c r="K723" s="1476" t="str">
        <f>Ky_Nay1_V</f>
        <v>31/12/2017</v>
      </c>
      <c r="L723" s="1476"/>
      <c r="M723" s="1476"/>
      <c r="N723" s="1476"/>
      <c r="O723" s="1476"/>
      <c r="P723" s="1476"/>
      <c r="Q723" s="1476"/>
      <c r="R723" s="1476"/>
      <c r="S723" s="1476"/>
      <c r="T723" s="1476"/>
      <c r="U723" s="1476"/>
      <c r="V723" s="1476"/>
      <c r="W723" s="371"/>
      <c r="X723" s="1476" t="str">
        <f>Ky_Truoc1_V</f>
        <v>01/01/2017</v>
      </c>
      <c r="Y723" s="1476"/>
      <c r="Z723" s="1476"/>
      <c r="AA723" s="1476"/>
      <c r="AB723" s="1476"/>
      <c r="AC723" s="1476"/>
      <c r="AD723" s="1476"/>
      <c r="AE723" s="1476"/>
      <c r="AF723" s="1476"/>
      <c r="AG723" s="1476"/>
      <c r="AH723" s="1476"/>
      <c r="AI723" s="1476"/>
      <c r="AJ723" s="344"/>
      <c r="AK723" s="345"/>
      <c r="AL723" s="340"/>
      <c r="AM723" s="350"/>
      <c r="AN723" s="350"/>
      <c r="AO723" s="350"/>
      <c r="AP723" s="350"/>
      <c r="AQ723" s="350"/>
      <c r="AR723" s="350"/>
      <c r="AS723" s="350"/>
      <c r="AT723" s="350"/>
      <c r="AU723" s="1476" t="str">
        <f>Ky_Nay1_E</f>
        <v>31/12/2017</v>
      </c>
      <c r="AV723" s="1476"/>
      <c r="AW723" s="1476"/>
      <c r="AX723" s="1476"/>
      <c r="AY723" s="1476"/>
      <c r="AZ723" s="1476"/>
      <c r="BA723" s="1476"/>
      <c r="BB723" s="1476"/>
      <c r="BC723" s="1476"/>
      <c r="BD723" s="1476"/>
      <c r="BE723" s="1476"/>
      <c r="BF723" s="1476"/>
      <c r="BG723" s="371"/>
      <c r="BH723" s="1476" t="str">
        <f>Ky_Truoc1_E</f>
        <v>01/01/2017</v>
      </c>
      <c r="BI723" s="1476"/>
      <c r="BJ723" s="1476"/>
      <c r="BK723" s="1476"/>
      <c r="BL723" s="1476"/>
      <c r="BM723" s="1476"/>
      <c r="BN723" s="1476"/>
      <c r="BO723" s="1476"/>
      <c r="BP723" s="1476"/>
      <c r="BQ723" s="1476"/>
      <c r="BR723" s="1476"/>
      <c r="BS723" s="1476"/>
      <c r="BT723" s="352"/>
      <c r="BU723" s="353"/>
      <c r="BV723" s="310"/>
      <c r="BW723" s="310"/>
      <c r="BX723" s="291">
        <f t="shared" si="17"/>
        <v>0</v>
      </c>
      <c r="BY723" s="344"/>
      <c r="BZ723" s="347"/>
      <c r="CA723" s="347"/>
    </row>
    <row r="724" spans="1:79" ht="27.95" hidden="1" customHeight="1" x14ac:dyDescent="0.25">
      <c r="A724" s="313"/>
      <c r="B724" s="340"/>
      <c r="C724" s="350"/>
      <c r="D724" s="350"/>
      <c r="E724" s="350"/>
      <c r="F724" s="350"/>
      <c r="G724" s="350"/>
      <c r="H724" s="350"/>
      <c r="I724" s="350"/>
      <c r="J724" s="350"/>
      <c r="K724" s="1483" t="s">
        <v>762</v>
      </c>
      <c r="L724" s="1483"/>
      <c r="M724" s="1483"/>
      <c r="N724" s="1483"/>
      <c r="O724" s="1483"/>
      <c r="P724" s="1483"/>
      <c r="Q724" s="460"/>
      <c r="R724" s="1477" t="s">
        <v>955</v>
      </c>
      <c r="S724" s="1477"/>
      <c r="T724" s="1477"/>
      <c r="U724" s="1477"/>
      <c r="V724" s="1477"/>
      <c r="W724" s="461"/>
      <c r="X724" s="1483" t="s">
        <v>762</v>
      </c>
      <c r="Y724" s="1483"/>
      <c r="Z724" s="1483"/>
      <c r="AA724" s="1483"/>
      <c r="AB724" s="1483"/>
      <c r="AC724" s="1483"/>
      <c r="AD724" s="460"/>
      <c r="AE724" s="1477" t="s">
        <v>955</v>
      </c>
      <c r="AF724" s="1477"/>
      <c r="AG724" s="1477"/>
      <c r="AH724" s="1477"/>
      <c r="AI724" s="1477"/>
      <c r="AJ724" s="344"/>
      <c r="AK724" s="345"/>
      <c r="AL724" s="340"/>
      <c r="AM724" s="350"/>
      <c r="AN724" s="350"/>
      <c r="AO724" s="350"/>
      <c r="AP724" s="350"/>
      <c r="AQ724" s="350"/>
      <c r="AR724" s="350"/>
      <c r="AS724" s="350"/>
      <c r="AT724" s="350"/>
      <c r="AU724" s="1483" t="s">
        <v>764</v>
      </c>
      <c r="AV724" s="1483"/>
      <c r="AW724" s="1483"/>
      <c r="AX724" s="1483"/>
      <c r="AY724" s="1483"/>
      <c r="AZ724" s="1483"/>
      <c r="BA724" s="460"/>
      <c r="BB724" s="1477" t="s">
        <v>903</v>
      </c>
      <c r="BC724" s="1477"/>
      <c r="BD724" s="1477"/>
      <c r="BE724" s="1477"/>
      <c r="BF724" s="1477"/>
      <c r="BG724" s="461"/>
      <c r="BH724" s="1483" t="s">
        <v>764</v>
      </c>
      <c r="BI724" s="1483"/>
      <c r="BJ724" s="1483"/>
      <c r="BK724" s="1483"/>
      <c r="BL724" s="1483"/>
      <c r="BM724" s="1483"/>
      <c r="BN724" s="460"/>
      <c r="BO724" s="1477" t="s">
        <v>903</v>
      </c>
      <c r="BP724" s="1477"/>
      <c r="BQ724" s="1477"/>
      <c r="BR724" s="1477"/>
      <c r="BS724" s="1477"/>
      <c r="BT724" s="352"/>
      <c r="BU724" s="353"/>
      <c r="BV724" s="310"/>
      <c r="BW724" s="310"/>
      <c r="BX724" s="291">
        <f t="shared" si="17"/>
        <v>0</v>
      </c>
      <c r="BY724" s="344"/>
      <c r="BZ724" s="347"/>
      <c r="CA724" s="347"/>
    </row>
    <row r="725" spans="1:79" ht="15" hidden="1" customHeight="1" x14ac:dyDescent="0.25">
      <c r="A725" s="313"/>
      <c r="B725" s="340"/>
      <c r="C725" s="354"/>
      <c r="D725" s="340"/>
      <c r="E725" s="340"/>
      <c r="F725" s="340"/>
      <c r="G725" s="340"/>
      <c r="H725" s="340"/>
      <c r="I725" s="340"/>
      <c r="J725" s="340"/>
      <c r="K725" s="1401" t="str">
        <f>Don_Vi_Tinh_V</f>
        <v>VND</v>
      </c>
      <c r="L725" s="1401"/>
      <c r="M725" s="1401"/>
      <c r="N725" s="1401"/>
      <c r="O725" s="1401"/>
      <c r="P725" s="1401"/>
      <c r="Q725" s="371"/>
      <c r="R725" s="1401" t="str">
        <f>Don_Vi_Tinh_V</f>
        <v>VND</v>
      </c>
      <c r="S725" s="1401"/>
      <c r="T725" s="1401"/>
      <c r="U725" s="1401"/>
      <c r="V725" s="1401"/>
      <c r="W725" s="371"/>
      <c r="X725" s="1401" t="str">
        <f>Don_Vi_Tinh_V</f>
        <v>VND</v>
      </c>
      <c r="Y725" s="1401"/>
      <c r="Z725" s="1401"/>
      <c r="AA725" s="1401"/>
      <c r="AB725" s="1401"/>
      <c r="AC725" s="1401"/>
      <c r="AD725" s="372"/>
      <c r="AE725" s="1401" t="str">
        <f>Don_Vi_Tinh_V</f>
        <v>VND</v>
      </c>
      <c r="AF725" s="1401"/>
      <c r="AG725" s="1401"/>
      <c r="AH725" s="1401"/>
      <c r="AI725" s="1401"/>
      <c r="AJ725" s="344"/>
      <c r="AK725" s="345"/>
      <c r="AL725" s="340"/>
      <c r="AM725" s="354"/>
      <c r="AN725" s="340"/>
      <c r="AO725" s="340"/>
      <c r="AP725" s="340"/>
      <c r="AQ725" s="340"/>
      <c r="AR725" s="340"/>
      <c r="AS725" s="340"/>
      <c r="AT725" s="340"/>
      <c r="AU725" s="1401" t="str">
        <f>Don_Vi_Tinh_E</f>
        <v>VND</v>
      </c>
      <c r="AV725" s="1401"/>
      <c r="AW725" s="1401"/>
      <c r="AX725" s="1401"/>
      <c r="AY725" s="1401"/>
      <c r="AZ725" s="1401"/>
      <c r="BA725" s="371"/>
      <c r="BB725" s="1401" t="str">
        <f>Don_Vi_Tinh_E</f>
        <v>VND</v>
      </c>
      <c r="BC725" s="1401"/>
      <c r="BD725" s="1401"/>
      <c r="BE725" s="1401"/>
      <c r="BF725" s="1401"/>
      <c r="BG725" s="371"/>
      <c r="BH725" s="1401" t="str">
        <f>Don_Vi_Tinh_E</f>
        <v>VND</v>
      </c>
      <c r="BI725" s="1401"/>
      <c r="BJ725" s="1401"/>
      <c r="BK725" s="1401"/>
      <c r="BL725" s="1401"/>
      <c r="BM725" s="1401"/>
      <c r="BN725" s="372"/>
      <c r="BO725" s="1401" t="str">
        <f>Don_Vi_Tinh_E</f>
        <v>VND</v>
      </c>
      <c r="BP725" s="1401"/>
      <c r="BQ725" s="1401"/>
      <c r="BR725" s="1401"/>
      <c r="BS725" s="1401"/>
      <c r="BT725" s="352"/>
      <c r="BU725" s="353"/>
      <c r="BV725" s="310"/>
      <c r="BW725" s="310"/>
      <c r="BX725" s="291">
        <f t="shared" si="17"/>
        <v>0</v>
      </c>
      <c r="BY725" s="344"/>
      <c r="BZ725" s="347"/>
      <c r="CA725" s="347"/>
    </row>
    <row r="726" spans="1:79" ht="15" hidden="1" customHeight="1" x14ac:dyDescent="0.25">
      <c r="A726" s="313"/>
      <c r="B726" s="340"/>
      <c r="C726" s="462" t="s">
        <v>956</v>
      </c>
      <c r="D726" s="340"/>
      <c r="E726" s="340"/>
      <c r="F726" s="340"/>
      <c r="G726" s="340"/>
      <c r="H726" s="340"/>
      <c r="I726" s="340"/>
      <c r="J726" s="340"/>
      <c r="K726" s="355"/>
      <c r="L726" s="355"/>
      <c r="M726" s="355"/>
      <c r="N726" s="355"/>
      <c r="O726" s="355"/>
      <c r="P726" s="373"/>
      <c r="Q726" s="355"/>
      <c r="R726" s="355"/>
      <c r="S726" s="355"/>
      <c r="T726" s="355"/>
      <c r="U726" s="355"/>
      <c r="V726" s="355"/>
      <c r="W726" s="355"/>
      <c r="X726" s="355"/>
      <c r="Y726" s="355"/>
      <c r="Z726" s="355"/>
      <c r="AA726" s="355"/>
      <c r="AB726" s="355"/>
      <c r="AC726" s="355"/>
      <c r="AD726" s="355"/>
      <c r="AE726" s="355"/>
      <c r="AF726" s="355"/>
      <c r="AG726" s="355"/>
      <c r="AH726" s="355"/>
      <c r="AI726" s="355"/>
      <c r="AJ726" s="344"/>
      <c r="AK726" s="345"/>
      <c r="AL726" s="340"/>
      <c r="AM726" s="354"/>
      <c r="AN726" s="340"/>
      <c r="AO726" s="340"/>
      <c r="AP726" s="340"/>
      <c r="AQ726" s="340"/>
      <c r="AR726" s="340"/>
      <c r="AS726" s="340"/>
      <c r="AT726" s="340"/>
      <c r="AU726" s="355"/>
      <c r="AV726" s="355"/>
      <c r="AW726" s="355"/>
      <c r="AX726" s="355"/>
      <c r="AY726" s="355"/>
      <c r="AZ726" s="373"/>
      <c r="BA726" s="355"/>
      <c r="BB726" s="355"/>
      <c r="BC726" s="355"/>
      <c r="BD726" s="355"/>
      <c r="BE726" s="355"/>
      <c r="BF726" s="355"/>
      <c r="BG726" s="355"/>
      <c r="BH726" s="355"/>
      <c r="BI726" s="355"/>
      <c r="BJ726" s="355"/>
      <c r="BK726" s="355"/>
      <c r="BL726" s="355"/>
      <c r="BM726" s="355"/>
      <c r="BN726" s="355"/>
      <c r="BO726" s="355"/>
      <c r="BP726" s="355"/>
      <c r="BQ726" s="355"/>
      <c r="BR726" s="355"/>
      <c r="BS726" s="355"/>
      <c r="BT726" s="352"/>
      <c r="BU726" s="353"/>
      <c r="BV726" s="310"/>
      <c r="BW726" s="310"/>
      <c r="BX726" s="291">
        <f t="shared" si="17"/>
        <v>0</v>
      </c>
      <c r="BY726" s="344"/>
      <c r="BZ726" s="347"/>
      <c r="CA726" s="347"/>
    </row>
    <row r="727" spans="1:79" ht="15" hidden="1" customHeight="1" x14ac:dyDescent="0.25">
      <c r="A727" s="313"/>
      <c r="B727" s="340"/>
      <c r="C727" s="354" t="s">
        <v>957</v>
      </c>
      <c r="D727" s="340"/>
      <c r="E727" s="340"/>
      <c r="F727" s="340"/>
      <c r="G727" s="340"/>
      <c r="H727" s="340"/>
      <c r="I727" s="340"/>
      <c r="J727" s="340"/>
      <c r="K727" s="1474"/>
      <c r="L727" s="1474"/>
      <c r="M727" s="1474"/>
      <c r="N727" s="1474"/>
      <c r="O727" s="1474"/>
      <c r="P727" s="1474"/>
      <c r="Q727" s="433"/>
      <c r="R727" s="1474"/>
      <c r="S727" s="1474"/>
      <c r="T727" s="1474"/>
      <c r="U727" s="1474"/>
      <c r="V727" s="1474"/>
      <c r="W727" s="433"/>
      <c r="X727" s="1474"/>
      <c r="Y727" s="1474"/>
      <c r="Z727" s="1474"/>
      <c r="AA727" s="1474"/>
      <c r="AB727" s="1474"/>
      <c r="AC727" s="1474"/>
      <c r="AD727" s="355"/>
      <c r="AE727" s="1474"/>
      <c r="AF727" s="1474"/>
      <c r="AG727" s="1474"/>
      <c r="AH727" s="1474"/>
      <c r="AI727" s="1474"/>
      <c r="AJ727" s="344"/>
      <c r="AK727" s="345"/>
      <c r="AL727" s="340"/>
      <c r="AM727" s="354" t="s">
        <v>957</v>
      </c>
      <c r="AN727" s="340"/>
      <c r="AO727" s="340"/>
      <c r="AP727" s="340"/>
      <c r="AQ727" s="340"/>
      <c r="AR727" s="340"/>
      <c r="AS727" s="340"/>
      <c r="AT727" s="340"/>
      <c r="AU727" s="1474">
        <f>K727</f>
        <v>0</v>
      </c>
      <c r="AV727" s="1474"/>
      <c r="AW727" s="1474"/>
      <c r="AX727" s="1474"/>
      <c r="AY727" s="1474"/>
      <c r="AZ727" s="1474"/>
      <c r="BA727" s="433"/>
      <c r="BB727" s="1474">
        <f>R727</f>
        <v>0</v>
      </c>
      <c r="BC727" s="1474"/>
      <c r="BD727" s="1474"/>
      <c r="BE727" s="1474"/>
      <c r="BF727" s="1474"/>
      <c r="BG727" s="433"/>
      <c r="BH727" s="1474">
        <f>X727</f>
        <v>0</v>
      </c>
      <c r="BI727" s="1474"/>
      <c r="BJ727" s="1474"/>
      <c r="BK727" s="1474"/>
      <c r="BL727" s="1474"/>
      <c r="BM727" s="1474"/>
      <c r="BN727" s="355"/>
      <c r="BO727" s="1474">
        <f>AE727</f>
        <v>0</v>
      </c>
      <c r="BP727" s="1474"/>
      <c r="BQ727" s="1474"/>
      <c r="BR727" s="1474"/>
      <c r="BS727" s="1474"/>
      <c r="BT727" s="352"/>
      <c r="BU727" s="353"/>
      <c r="BV727" s="310"/>
      <c r="BW727" s="310"/>
      <c r="BX727" s="291">
        <f t="shared" si="17"/>
        <v>0</v>
      </c>
      <c r="BY727" s="344"/>
      <c r="BZ727" s="347"/>
      <c r="CA727" s="347"/>
    </row>
    <row r="728" spans="1:79" ht="15" hidden="1" customHeight="1" x14ac:dyDescent="0.25">
      <c r="A728" s="313"/>
      <c r="B728" s="340"/>
      <c r="C728" s="354" t="s">
        <v>958</v>
      </c>
      <c r="D728" s="342"/>
      <c r="E728" s="342"/>
      <c r="F728" s="342"/>
      <c r="G728" s="342"/>
      <c r="H728" s="342"/>
      <c r="I728" s="342"/>
      <c r="J728" s="342"/>
      <c r="K728" s="1474"/>
      <c r="L728" s="1474"/>
      <c r="M728" s="1474"/>
      <c r="N728" s="1474"/>
      <c r="O728" s="1474"/>
      <c r="P728" s="1474"/>
      <c r="Q728" s="433"/>
      <c r="R728" s="1474"/>
      <c r="S728" s="1474"/>
      <c r="T728" s="1474"/>
      <c r="U728" s="1474"/>
      <c r="V728" s="1474"/>
      <c r="W728" s="433"/>
      <c r="X728" s="1474"/>
      <c r="Y728" s="1474"/>
      <c r="Z728" s="1474"/>
      <c r="AA728" s="1474"/>
      <c r="AB728" s="1474"/>
      <c r="AC728" s="1474"/>
      <c r="AD728" s="355"/>
      <c r="AE728" s="1474"/>
      <c r="AF728" s="1474"/>
      <c r="AG728" s="1474"/>
      <c r="AH728" s="1474"/>
      <c r="AI728" s="1474"/>
      <c r="AJ728" s="344"/>
      <c r="AK728" s="345"/>
      <c r="AL728" s="340"/>
      <c r="AM728" s="354" t="s">
        <v>958</v>
      </c>
      <c r="AN728" s="342"/>
      <c r="AO728" s="342"/>
      <c r="AP728" s="342"/>
      <c r="AQ728" s="342"/>
      <c r="AR728" s="342"/>
      <c r="AS728" s="342"/>
      <c r="AT728" s="342"/>
      <c r="AU728" s="1474">
        <f>K728</f>
        <v>0</v>
      </c>
      <c r="AV728" s="1474"/>
      <c r="AW728" s="1474"/>
      <c r="AX728" s="1474"/>
      <c r="AY728" s="1474"/>
      <c r="AZ728" s="1474"/>
      <c r="BA728" s="433"/>
      <c r="BB728" s="1474">
        <f>R728</f>
        <v>0</v>
      </c>
      <c r="BC728" s="1474"/>
      <c r="BD728" s="1474"/>
      <c r="BE728" s="1474"/>
      <c r="BF728" s="1474"/>
      <c r="BG728" s="433"/>
      <c r="BH728" s="1474">
        <f>X728</f>
        <v>0</v>
      </c>
      <c r="BI728" s="1474"/>
      <c r="BJ728" s="1474"/>
      <c r="BK728" s="1474"/>
      <c r="BL728" s="1474"/>
      <c r="BM728" s="1474"/>
      <c r="BN728" s="355"/>
      <c r="BO728" s="1474">
        <f>AE728</f>
        <v>0</v>
      </c>
      <c r="BP728" s="1474"/>
      <c r="BQ728" s="1474"/>
      <c r="BR728" s="1474"/>
      <c r="BS728" s="1474"/>
      <c r="BT728" s="352"/>
      <c r="BU728" s="353"/>
      <c r="BV728" s="310"/>
      <c r="BW728" s="310"/>
      <c r="BX728" s="291">
        <f t="shared" si="17"/>
        <v>0</v>
      </c>
      <c r="BY728" s="344"/>
      <c r="BZ728" s="347"/>
      <c r="CA728" s="347"/>
    </row>
    <row r="729" spans="1:79" ht="15" hidden="1" customHeight="1" x14ac:dyDescent="0.25">
      <c r="A729" s="313"/>
      <c r="B729" s="340"/>
      <c r="C729" s="463"/>
      <c r="D729" s="342"/>
      <c r="E729" s="342"/>
      <c r="F729" s="342"/>
      <c r="G729" s="342"/>
      <c r="H729" s="342"/>
      <c r="I729" s="342"/>
      <c r="J729" s="342"/>
      <c r="K729" s="433"/>
      <c r="L729" s="433"/>
      <c r="M729" s="433"/>
      <c r="N729" s="433"/>
      <c r="O729" s="433"/>
      <c r="P729" s="464"/>
      <c r="Q729" s="433"/>
      <c r="R729" s="433"/>
      <c r="S729" s="433"/>
      <c r="T729" s="433"/>
      <c r="U729" s="433"/>
      <c r="V729" s="433"/>
      <c r="W729" s="433"/>
      <c r="X729" s="433"/>
      <c r="Y729" s="433"/>
      <c r="Z729" s="433"/>
      <c r="AA729" s="433"/>
      <c r="AB729" s="433"/>
      <c r="AC729" s="433"/>
      <c r="AD729" s="464"/>
      <c r="AE729" s="433"/>
      <c r="AF729" s="433"/>
      <c r="AG729" s="433"/>
      <c r="AH729" s="433"/>
      <c r="AI729" s="433"/>
      <c r="AJ729" s="344"/>
      <c r="AK729" s="345"/>
      <c r="AL729" s="340"/>
      <c r="AM729" s="463" t="s">
        <v>956</v>
      </c>
      <c r="AN729" s="342"/>
      <c r="AO729" s="342"/>
      <c r="AP729" s="342"/>
      <c r="AQ729" s="342"/>
      <c r="AR729" s="342"/>
      <c r="AS729" s="342"/>
      <c r="AT729" s="342"/>
      <c r="AU729" s="433"/>
      <c r="AV729" s="433"/>
      <c r="AW729" s="433"/>
      <c r="AX729" s="433"/>
      <c r="AY729" s="433"/>
      <c r="AZ729" s="464"/>
      <c r="BA729" s="433"/>
      <c r="BB729" s="433"/>
      <c r="BC729" s="433"/>
      <c r="BD729" s="433"/>
      <c r="BE729" s="433"/>
      <c r="BF729" s="433"/>
      <c r="BG729" s="433"/>
      <c r="BH729" s="433"/>
      <c r="BI729" s="433"/>
      <c r="BJ729" s="433"/>
      <c r="BK729" s="433"/>
      <c r="BL729" s="433"/>
      <c r="BM729" s="433"/>
      <c r="BN729" s="464"/>
      <c r="BO729" s="433"/>
      <c r="BP729" s="433"/>
      <c r="BQ729" s="433"/>
      <c r="BR729" s="433"/>
      <c r="BS729" s="433"/>
      <c r="BT729" s="352"/>
      <c r="BU729" s="353"/>
      <c r="BV729" s="310"/>
      <c r="BW729" s="310"/>
      <c r="BX729" s="291">
        <f t="shared" si="17"/>
        <v>0</v>
      </c>
      <c r="BY729" s="344"/>
      <c r="BZ729" s="347"/>
      <c r="CA729" s="347"/>
    </row>
    <row r="730" spans="1:79" ht="15" hidden="1" customHeight="1" thickBot="1" x14ac:dyDescent="0.3">
      <c r="A730" s="313"/>
      <c r="B730" s="340"/>
      <c r="C730" s="360" t="s">
        <v>752</v>
      </c>
      <c r="D730" s="340"/>
      <c r="E730" s="340"/>
      <c r="F730" s="340"/>
      <c r="G730" s="340"/>
      <c r="H730" s="340"/>
      <c r="I730" s="340"/>
      <c r="J730" s="340"/>
      <c r="K730" s="1359">
        <f>SUBTOTAL(109,K727:P728)</f>
        <v>0</v>
      </c>
      <c r="L730" s="1359"/>
      <c r="M730" s="1359"/>
      <c r="N730" s="1359"/>
      <c r="O730" s="1359"/>
      <c r="P730" s="1359"/>
      <c r="Q730" s="465"/>
      <c r="R730" s="1475">
        <f>SUBTOTAL(109,R727:V728)</f>
        <v>0</v>
      </c>
      <c r="S730" s="1475"/>
      <c r="T730" s="1475"/>
      <c r="U730" s="1475"/>
      <c r="V730" s="1475"/>
      <c r="W730" s="465"/>
      <c r="X730" s="1359">
        <f>SUBTOTAL(109,X727:AC728)</f>
        <v>0</v>
      </c>
      <c r="Y730" s="1359"/>
      <c r="Z730" s="1359"/>
      <c r="AA730" s="1359"/>
      <c r="AB730" s="1359"/>
      <c r="AC730" s="1359"/>
      <c r="AD730" s="355"/>
      <c r="AE730" s="1475">
        <f>SUBTOTAL(109,AE727:AI728)</f>
        <v>0</v>
      </c>
      <c r="AF730" s="1475"/>
      <c r="AG730" s="1475"/>
      <c r="AH730" s="1475"/>
      <c r="AI730" s="1475"/>
      <c r="AJ730" s="344"/>
      <c r="AK730" s="345"/>
      <c r="AL730" s="340"/>
      <c r="AM730" s="360" t="s">
        <v>752</v>
      </c>
      <c r="AN730" s="340"/>
      <c r="AO730" s="340"/>
      <c r="AP730" s="340"/>
      <c r="AQ730" s="340"/>
      <c r="AR730" s="340"/>
      <c r="AS730" s="340"/>
      <c r="AT730" s="340"/>
      <c r="AU730" s="1359">
        <f>SUBTOTAL(109,AU727:AY728)</f>
        <v>0</v>
      </c>
      <c r="AV730" s="1359"/>
      <c r="AW730" s="1359"/>
      <c r="AX730" s="1359"/>
      <c r="AY730" s="1359"/>
      <c r="AZ730" s="1359"/>
      <c r="BA730" s="465"/>
      <c r="BB730" s="1475">
        <f>SUBTOTAL(109,BB727:BF728)</f>
        <v>0</v>
      </c>
      <c r="BC730" s="1475"/>
      <c r="BD730" s="1475"/>
      <c r="BE730" s="1475"/>
      <c r="BF730" s="1475"/>
      <c r="BG730" s="465"/>
      <c r="BH730" s="1359">
        <f>SUBTOTAL(109,BH727:BL728)</f>
        <v>0</v>
      </c>
      <c r="BI730" s="1359"/>
      <c r="BJ730" s="1359"/>
      <c r="BK730" s="1359"/>
      <c r="BL730" s="1359"/>
      <c r="BM730" s="1359"/>
      <c r="BN730" s="355"/>
      <c r="BO730" s="1475">
        <f>SUBTOTAL(109,BO727:BS728)</f>
        <v>0</v>
      </c>
      <c r="BP730" s="1475"/>
      <c r="BQ730" s="1475"/>
      <c r="BR730" s="1475"/>
      <c r="BS730" s="1475"/>
      <c r="BT730" s="352"/>
      <c r="BU730" s="353"/>
      <c r="BV730" s="310">
        <f>K730+R730-KN_CT241-KN_154d</f>
        <v>0</v>
      </c>
      <c r="BW730" s="310">
        <f>X730+AE730-KT_CT241-KT_154d</f>
        <v>0</v>
      </c>
      <c r="BX730" s="291">
        <f t="shared" si="17"/>
        <v>0</v>
      </c>
      <c r="BY730" s="344"/>
      <c r="BZ730" s="347"/>
      <c r="CA730" s="347"/>
    </row>
    <row r="731" spans="1:79" ht="15" hidden="1" customHeight="1" thickTop="1" x14ac:dyDescent="0.25">
      <c r="A731" s="313"/>
      <c r="B731" s="340"/>
      <c r="C731" s="342"/>
      <c r="D731" s="340"/>
      <c r="E731" s="340"/>
      <c r="F731" s="340"/>
      <c r="G731" s="340"/>
      <c r="H731" s="340"/>
      <c r="I731" s="340"/>
      <c r="J731" s="340"/>
      <c r="K731" s="340"/>
      <c r="L731" s="466"/>
      <c r="M731" s="466"/>
      <c r="N731" s="466"/>
      <c r="O731" s="466"/>
      <c r="P731" s="466"/>
      <c r="Q731" s="342"/>
      <c r="R731" s="466"/>
      <c r="S731" s="466"/>
      <c r="T731" s="466"/>
      <c r="U731" s="466"/>
      <c r="V731" s="466"/>
      <c r="W731" s="355"/>
      <c r="X731" s="381"/>
      <c r="Y731" s="381"/>
      <c r="Z731" s="381"/>
      <c r="AA731" s="381"/>
      <c r="AB731" s="381"/>
      <c r="AC731" s="381"/>
      <c r="AD731" s="355"/>
      <c r="AE731" s="467"/>
      <c r="AF731" s="467"/>
      <c r="AG731" s="467"/>
      <c r="AH731" s="467"/>
      <c r="AI731" s="467"/>
      <c r="AJ731" s="344"/>
      <c r="AK731" s="345"/>
      <c r="AL731" s="340"/>
      <c r="AM731" s="342"/>
      <c r="AN731" s="340"/>
      <c r="AO731" s="340"/>
      <c r="AP731" s="340"/>
      <c r="AQ731" s="340"/>
      <c r="AR731" s="340"/>
      <c r="AS731" s="340"/>
      <c r="AT731" s="340"/>
      <c r="AU731" s="340"/>
      <c r="AV731" s="466"/>
      <c r="AW731" s="466"/>
      <c r="AX731" s="466"/>
      <c r="AY731" s="466"/>
      <c r="AZ731" s="466"/>
      <c r="BA731" s="342"/>
      <c r="BB731" s="466"/>
      <c r="BC731" s="466"/>
      <c r="BD731" s="466"/>
      <c r="BE731" s="466"/>
      <c r="BF731" s="466"/>
      <c r="BG731" s="355"/>
      <c r="BH731" s="381"/>
      <c r="BI731" s="381"/>
      <c r="BJ731" s="381"/>
      <c r="BK731" s="381"/>
      <c r="BL731" s="381"/>
      <c r="BM731" s="381"/>
      <c r="BN731" s="355"/>
      <c r="BO731" s="467"/>
      <c r="BP731" s="467"/>
      <c r="BQ731" s="467"/>
      <c r="BR731" s="467"/>
      <c r="BS731" s="467"/>
      <c r="BT731" s="352"/>
      <c r="BU731" s="353"/>
      <c r="BV731" s="310"/>
      <c r="BW731" s="310"/>
      <c r="BX731" s="291">
        <f t="shared" si="17"/>
        <v>0</v>
      </c>
      <c r="BY731" s="344"/>
      <c r="BZ731" s="347"/>
      <c r="CA731" s="347"/>
    </row>
    <row r="732" spans="1:79" ht="56.1" hidden="1" customHeight="1" x14ac:dyDescent="0.25">
      <c r="A732" s="313"/>
      <c r="B732" s="340"/>
      <c r="C732" s="1342" t="s">
        <v>959</v>
      </c>
      <c r="D732" s="1342"/>
      <c r="E732" s="1342"/>
      <c r="F732" s="1342"/>
      <c r="G732" s="1342"/>
      <c r="H732" s="1342"/>
      <c r="I732" s="1342"/>
      <c r="J732" s="1342"/>
      <c r="K732" s="1342"/>
      <c r="L732" s="1342"/>
      <c r="M732" s="1342"/>
      <c r="N732" s="1342"/>
      <c r="O732" s="1342"/>
      <c r="P732" s="1342"/>
      <c r="Q732" s="1342"/>
      <c r="R732" s="1342"/>
      <c r="S732" s="1342"/>
      <c r="T732" s="1342"/>
      <c r="U732" s="1342"/>
      <c r="V732" s="1342"/>
      <c r="W732" s="1342"/>
      <c r="X732" s="1342"/>
      <c r="Y732" s="1342"/>
      <c r="Z732" s="1342"/>
      <c r="AA732" s="1342"/>
      <c r="AB732" s="1342"/>
      <c r="AC732" s="1342"/>
      <c r="AD732" s="1342"/>
      <c r="AE732" s="1342"/>
      <c r="AF732" s="1342"/>
      <c r="AG732" s="1342"/>
      <c r="AH732" s="1342"/>
      <c r="AI732" s="1342"/>
      <c r="AJ732" s="344"/>
      <c r="AK732" s="345"/>
      <c r="AL732" s="340"/>
      <c r="AM732" s="1342" t="s">
        <v>960</v>
      </c>
      <c r="AN732" s="1342"/>
      <c r="AO732" s="1342"/>
      <c r="AP732" s="1342"/>
      <c r="AQ732" s="1342"/>
      <c r="AR732" s="1342"/>
      <c r="AS732" s="1342"/>
      <c r="AT732" s="1342"/>
      <c r="AU732" s="1342"/>
      <c r="AV732" s="1342"/>
      <c r="AW732" s="1342"/>
      <c r="AX732" s="1342"/>
      <c r="AY732" s="1342"/>
      <c r="AZ732" s="1342"/>
      <c r="BA732" s="1342"/>
      <c r="BB732" s="1342"/>
      <c r="BC732" s="1342"/>
      <c r="BD732" s="1342"/>
      <c r="BE732" s="1342"/>
      <c r="BF732" s="1342"/>
      <c r="BG732" s="1342"/>
      <c r="BH732" s="1342"/>
      <c r="BI732" s="1342"/>
      <c r="BJ732" s="1342"/>
      <c r="BK732" s="1342"/>
      <c r="BL732" s="1342"/>
      <c r="BM732" s="1342"/>
      <c r="BN732" s="1342"/>
      <c r="BO732" s="1342"/>
      <c r="BP732" s="1342"/>
      <c r="BQ732" s="1342"/>
      <c r="BR732" s="1342"/>
      <c r="BS732" s="1342"/>
      <c r="BT732" s="352"/>
      <c r="BU732" s="353"/>
      <c r="BV732" s="310"/>
      <c r="BW732" s="310"/>
      <c r="BX732" s="291">
        <f t="shared" si="17"/>
        <v>0</v>
      </c>
      <c r="BY732" s="344"/>
      <c r="BZ732" s="347"/>
      <c r="CA732" s="347"/>
    </row>
    <row r="733" spans="1:79" ht="2.1" hidden="1" customHeight="1" x14ac:dyDescent="0.25">
      <c r="A733" s="313"/>
      <c r="B733" s="340"/>
      <c r="C733" s="342"/>
      <c r="D733" s="340"/>
      <c r="E733" s="340"/>
      <c r="F733" s="340"/>
      <c r="G733" s="340"/>
      <c r="H733" s="340"/>
      <c r="I733" s="340"/>
      <c r="J733" s="340"/>
      <c r="K733" s="340"/>
      <c r="L733" s="466"/>
      <c r="M733" s="466"/>
      <c r="N733" s="466"/>
      <c r="O733" s="466"/>
      <c r="P733" s="466"/>
      <c r="Q733" s="342"/>
      <c r="R733" s="466"/>
      <c r="S733" s="466"/>
      <c r="T733" s="466"/>
      <c r="U733" s="466"/>
      <c r="V733" s="466"/>
      <c r="W733" s="355"/>
      <c r="X733" s="381"/>
      <c r="Y733" s="381"/>
      <c r="Z733" s="381"/>
      <c r="AA733" s="381"/>
      <c r="AB733" s="381"/>
      <c r="AC733" s="381"/>
      <c r="AD733" s="355"/>
      <c r="AE733" s="467"/>
      <c r="AF733" s="467"/>
      <c r="AG733" s="467"/>
      <c r="AH733" s="467"/>
      <c r="AI733" s="467"/>
      <c r="AJ733" s="344"/>
      <c r="AK733" s="345"/>
      <c r="AL733" s="340"/>
      <c r="AM733" s="342"/>
      <c r="AN733" s="340"/>
      <c r="AO733" s="340"/>
      <c r="AP733" s="340"/>
      <c r="AQ733" s="340"/>
      <c r="AR733" s="340"/>
      <c r="AS733" s="340"/>
      <c r="AT733" s="340"/>
      <c r="AU733" s="340"/>
      <c r="AV733" s="466"/>
      <c r="AW733" s="466"/>
      <c r="AX733" s="466"/>
      <c r="AY733" s="466"/>
      <c r="AZ733" s="466"/>
      <c r="BA733" s="342"/>
      <c r="BB733" s="466"/>
      <c r="BC733" s="466"/>
      <c r="BD733" s="466"/>
      <c r="BE733" s="466"/>
      <c r="BF733" s="466"/>
      <c r="BG733" s="355"/>
      <c r="BH733" s="381"/>
      <c r="BI733" s="381"/>
      <c r="BJ733" s="381"/>
      <c r="BK733" s="381"/>
      <c r="BL733" s="381"/>
      <c r="BM733" s="381"/>
      <c r="BN733" s="355"/>
      <c r="BO733" s="467"/>
      <c r="BP733" s="467"/>
      <c r="BQ733" s="467"/>
      <c r="BR733" s="467"/>
      <c r="BS733" s="467"/>
      <c r="BT733" s="352"/>
      <c r="BU733" s="353"/>
      <c r="BV733" s="310"/>
      <c r="BW733" s="310"/>
      <c r="BX733" s="291">
        <f t="shared" si="17"/>
        <v>0</v>
      </c>
      <c r="BY733" s="344"/>
      <c r="BZ733" s="347"/>
      <c r="CA733" s="347"/>
    </row>
    <row r="734" spans="1:79" ht="12.95" customHeight="1" x14ac:dyDescent="0.25">
      <c r="A734" s="313"/>
      <c r="B734" s="340"/>
      <c r="C734" s="342"/>
      <c r="D734" s="340"/>
      <c r="E734" s="340"/>
      <c r="F734" s="340"/>
      <c r="G734" s="340"/>
      <c r="H734" s="340"/>
      <c r="I734" s="340"/>
      <c r="J734" s="340"/>
      <c r="K734" s="340"/>
      <c r="L734" s="466"/>
      <c r="M734" s="466"/>
      <c r="N734" s="466"/>
      <c r="O734" s="466"/>
      <c r="P734" s="466"/>
      <c r="Q734" s="342"/>
      <c r="R734" s="466"/>
      <c r="S734" s="466"/>
      <c r="T734" s="466"/>
      <c r="U734" s="466"/>
      <c r="V734" s="466"/>
      <c r="W734" s="355"/>
      <c r="X734" s="381"/>
      <c r="Y734" s="381"/>
      <c r="Z734" s="381"/>
      <c r="AA734" s="381"/>
      <c r="AB734" s="381"/>
      <c r="AC734" s="381"/>
      <c r="AD734" s="355"/>
      <c r="AE734" s="467"/>
      <c r="AF734" s="467"/>
      <c r="AG734" s="467"/>
      <c r="AH734" s="467"/>
      <c r="AI734" s="467"/>
      <c r="AJ734" s="344"/>
      <c r="AK734" s="345"/>
      <c r="AL734" s="340"/>
      <c r="AM734" s="342"/>
      <c r="AN734" s="340"/>
      <c r="AO734" s="340"/>
      <c r="AP734" s="340"/>
      <c r="AQ734" s="340"/>
      <c r="AR734" s="340"/>
      <c r="AS734" s="340"/>
      <c r="AT734" s="340"/>
      <c r="AU734" s="340"/>
      <c r="AV734" s="466"/>
      <c r="AW734" s="466"/>
      <c r="AX734" s="466"/>
      <c r="AY734" s="466"/>
      <c r="AZ734" s="466"/>
      <c r="BA734" s="342"/>
      <c r="BB734" s="466"/>
      <c r="BC734" s="466"/>
      <c r="BD734" s="466"/>
      <c r="BE734" s="466"/>
      <c r="BF734" s="466"/>
      <c r="BG734" s="355"/>
      <c r="BH734" s="381"/>
      <c r="BI734" s="381"/>
      <c r="BJ734" s="381"/>
      <c r="BK734" s="381"/>
      <c r="BL734" s="381"/>
      <c r="BM734" s="381"/>
      <c r="BN734" s="355"/>
      <c r="BO734" s="467"/>
      <c r="BP734" s="467"/>
      <c r="BQ734" s="467"/>
      <c r="BR734" s="467"/>
      <c r="BS734" s="467"/>
      <c r="BT734" s="352"/>
      <c r="BU734" s="353"/>
      <c r="BV734" s="310"/>
      <c r="BW734" s="310"/>
      <c r="BX734" s="291">
        <f t="shared" si="17"/>
        <v>0</v>
      </c>
      <c r="BY734" s="344"/>
      <c r="BZ734" s="347"/>
      <c r="CA734" s="347"/>
    </row>
    <row r="735" spans="1:79" ht="15" customHeight="1" x14ac:dyDescent="0.25">
      <c r="A735" s="313"/>
      <c r="B735" s="340"/>
      <c r="C735" s="341" t="s">
        <v>961</v>
      </c>
      <c r="D735" s="389"/>
      <c r="E735" s="389"/>
      <c r="F735" s="389"/>
      <c r="G735" s="389"/>
      <c r="H735" s="389"/>
      <c r="I735" s="389"/>
      <c r="J735" s="389"/>
      <c r="K735" s="389"/>
      <c r="L735" s="381"/>
      <c r="M735" s="381"/>
      <c r="N735" s="381"/>
      <c r="O735" s="381"/>
      <c r="P735" s="381"/>
      <c r="Q735" s="389"/>
      <c r="R735" s="381"/>
      <c r="S735" s="381"/>
      <c r="T735" s="381"/>
      <c r="U735" s="381"/>
      <c r="V735" s="381"/>
      <c r="W735" s="371"/>
      <c r="X735" s="371"/>
      <c r="Y735" s="371"/>
      <c r="Z735" s="371"/>
      <c r="AA735" s="371"/>
      <c r="AB735" s="371"/>
      <c r="AC735" s="351"/>
      <c r="AD735" s="371"/>
      <c r="AE735" s="371"/>
      <c r="AF735" s="371"/>
      <c r="AG735" s="371"/>
      <c r="AH735" s="371"/>
      <c r="AI735" s="371"/>
      <c r="AJ735" s="344"/>
      <c r="AK735" s="345"/>
      <c r="AL735" s="340"/>
      <c r="AM735" s="341" t="s">
        <v>962</v>
      </c>
      <c r="AN735" s="389"/>
      <c r="AO735" s="389"/>
      <c r="AP735" s="389"/>
      <c r="AQ735" s="389"/>
      <c r="AR735" s="389"/>
      <c r="AS735" s="389"/>
      <c r="AT735" s="389"/>
      <c r="AU735" s="389"/>
      <c r="AV735" s="381"/>
      <c r="AW735" s="381"/>
      <c r="AX735" s="381"/>
      <c r="AY735" s="381"/>
      <c r="AZ735" s="381"/>
      <c r="BA735" s="389"/>
      <c r="BB735" s="381"/>
      <c r="BC735" s="381"/>
      <c r="BD735" s="381"/>
      <c r="BE735" s="381"/>
      <c r="BF735" s="381"/>
      <c r="BG735" s="371"/>
      <c r="BH735" s="371"/>
      <c r="BI735" s="371"/>
      <c r="BJ735" s="371"/>
      <c r="BK735" s="371"/>
      <c r="BL735" s="371"/>
      <c r="BM735" s="351"/>
      <c r="BN735" s="371"/>
      <c r="BO735" s="371"/>
      <c r="BP735" s="371"/>
      <c r="BQ735" s="371"/>
      <c r="BR735" s="371"/>
      <c r="BS735" s="371"/>
      <c r="BT735" s="352"/>
      <c r="BU735" s="353"/>
      <c r="BV735" s="310"/>
      <c r="BW735" s="310"/>
      <c r="BX735" s="291">
        <f t="shared" si="17"/>
        <v>0</v>
      </c>
      <c r="BY735" s="344"/>
      <c r="BZ735" s="347"/>
      <c r="CA735" s="347"/>
    </row>
    <row r="736" spans="1:79" ht="15" customHeight="1" x14ac:dyDescent="0.25">
      <c r="A736" s="313"/>
      <c r="B736" s="340"/>
      <c r="C736" s="349"/>
      <c r="D736" s="342"/>
      <c r="E736" s="342"/>
      <c r="F736" s="342"/>
      <c r="G736" s="342"/>
      <c r="H736" s="342"/>
      <c r="I736" s="342"/>
      <c r="J736" s="342"/>
      <c r="K736" s="342"/>
      <c r="L736" s="466"/>
      <c r="M736" s="466"/>
      <c r="N736" s="466"/>
      <c r="O736" s="466"/>
      <c r="P736" s="466"/>
      <c r="Q736" s="342"/>
      <c r="R736" s="466"/>
      <c r="S736" s="466"/>
      <c r="T736" s="466"/>
      <c r="U736" s="466"/>
      <c r="V736" s="466"/>
      <c r="W736" s="1325" t="str">
        <f>Ky_Nay1_V</f>
        <v>31/12/2017</v>
      </c>
      <c r="X736" s="1325"/>
      <c r="Y736" s="1325"/>
      <c r="Z736" s="1325"/>
      <c r="AA736" s="1325"/>
      <c r="AB736" s="1325"/>
      <c r="AC736" s="351"/>
      <c r="AD736" s="1325" t="str">
        <f>Ky_Truoc1_V</f>
        <v>01/01/2017</v>
      </c>
      <c r="AE736" s="1325"/>
      <c r="AF736" s="1325"/>
      <c r="AG736" s="1325"/>
      <c r="AH736" s="1325"/>
      <c r="AI736" s="1325"/>
      <c r="AJ736" s="344"/>
      <c r="AK736" s="345"/>
      <c r="AL736" s="340"/>
      <c r="AM736" s="349"/>
      <c r="AN736" s="342"/>
      <c r="AO736" s="342"/>
      <c r="AP736" s="342"/>
      <c r="AQ736" s="342"/>
      <c r="AR736" s="342"/>
      <c r="AS736" s="342"/>
      <c r="AT736" s="342"/>
      <c r="AU736" s="342"/>
      <c r="AV736" s="466"/>
      <c r="AW736" s="466"/>
      <c r="AX736" s="466"/>
      <c r="AY736" s="466"/>
      <c r="AZ736" s="466"/>
      <c r="BA736" s="342"/>
      <c r="BB736" s="466"/>
      <c r="BC736" s="466"/>
      <c r="BD736" s="466"/>
      <c r="BE736" s="466"/>
      <c r="BF736" s="466"/>
      <c r="BG736" s="1325" t="str">
        <f>Ky_Nay1_E</f>
        <v>31/12/2017</v>
      </c>
      <c r="BH736" s="1325"/>
      <c r="BI736" s="1325"/>
      <c r="BJ736" s="1325"/>
      <c r="BK736" s="1325"/>
      <c r="BL736" s="1325"/>
      <c r="BM736" s="351"/>
      <c r="BN736" s="1325" t="str">
        <f>Ky_Truoc1_E</f>
        <v>01/01/2017</v>
      </c>
      <c r="BO736" s="1325"/>
      <c r="BP736" s="1325"/>
      <c r="BQ736" s="1325"/>
      <c r="BR736" s="1325"/>
      <c r="BS736" s="1325"/>
      <c r="BT736" s="352"/>
      <c r="BU736" s="353"/>
      <c r="BV736" s="310"/>
      <c r="BW736" s="310"/>
      <c r="BX736" s="291">
        <f t="shared" si="17"/>
        <v>0</v>
      </c>
      <c r="BY736" s="344"/>
      <c r="BZ736" s="347"/>
      <c r="CA736" s="347"/>
    </row>
    <row r="737" spans="1:84" ht="15" customHeight="1" x14ac:dyDescent="0.25">
      <c r="A737" s="313"/>
      <c r="B737" s="340"/>
      <c r="C737" s="342"/>
      <c r="D737" s="342"/>
      <c r="E737" s="342"/>
      <c r="F737" s="342"/>
      <c r="G737" s="342"/>
      <c r="H737" s="342"/>
      <c r="I737" s="342"/>
      <c r="J737" s="342"/>
      <c r="K737" s="342"/>
      <c r="L737" s="342"/>
      <c r="M737" s="342"/>
      <c r="N737" s="342"/>
      <c r="O737" s="342"/>
      <c r="P737" s="342"/>
      <c r="Q737" s="342"/>
      <c r="R737" s="342"/>
      <c r="S737" s="342"/>
      <c r="T737" s="342"/>
      <c r="U737" s="342"/>
      <c r="V737" s="342"/>
      <c r="W737" s="1401" t="str">
        <f>Don_Vi_Tinh_V</f>
        <v>VND</v>
      </c>
      <c r="X737" s="1401"/>
      <c r="Y737" s="1401"/>
      <c r="Z737" s="1401"/>
      <c r="AA737" s="1401"/>
      <c r="AB737" s="1401"/>
      <c r="AC737" s="351"/>
      <c r="AD737" s="1401" t="str">
        <f>Don_Vi_Tinh_V</f>
        <v>VND</v>
      </c>
      <c r="AE737" s="1401"/>
      <c r="AF737" s="1401"/>
      <c r="AG737" s="1401"/>
      <c r="AH737" s="1401"/>
      <c r="AI737" s="1401"/>
      <c r="AJ737" s="344"/>
      <c r="AK737" s="345"/>
      <c r="AL737" s="340"/>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1401" t="str">
        <f>Don_Vi_Tinh_E</f>
        <v>VND</v>
      </c>
      <c r="BH737" s="1401"/>
      <c r="BI737" s="1401"/>
      <c r="BJ737" s="1401"/>
      <c r="BK737" s="1401"/>
      <c r="BL737" s="1401"/>
      <c r="BM737" s="351"/>
      <c r="BN737" s="1401" t="str">
        <f>Don_Vi_Tinh_E</f>
        <v>VND</v>
      </c>
      <c r="BO737" s="1401"/>
      <c r="BP737" s="1401"/>
      <c r="BQ737" s="1401"/>
      <c r="BR737" s="1401"/>
      <c r="BS737" s="1401"/>
      <c r="BT737" s="352"/>
      <c r="BU737" s="353"/>
      <c r="BV737" s="310"/>
      <c r="BW737" s="310"/>
      <c r="BX737" s="291">
        <f t="shared" si="17"/>
        <v>0</v>
      </c>
      <c r="BY737" s="344"/>
      <c r="BZ737" s="347"/>
      <c r="CA737" s="347"/>
    </row>
    <row r="738" spans="1:84" ht="12.95" customHeight="1" x14ac:dyDescent="0.25">
      <c r="A738" s="313"/>
      <c r="B738" s="340"/>
      <c r="C738" s="427"/>
      <c r="D738" s="342"/>
      <c r="E738" s="342"/>
      <c r="F738" s="342"/>
      <c r="G738" s="342"/>
      <c r="H738" s="342"/>
      <c r="I738" s="342"/>
      <c r="J738" s="342"/>
      <c r="K738" s="342"/>
      <c r="L738" s="342"/>
      <c r="M738" s="342"/>
      <c r="N738" s="342"/>
      <c r="O738" s="342"/>
      <c r="P738" s="342"/>
      <c r="Q738" s="342"/>
      <c r="R738" s="342"/>
      <c r="S738" s="342"/>
      <c r="T738" s="342"/>
      <c r="U738" s="342"/>
      <c r="V738" s="342"/>
      <c r="W738" s="1338"/>
      <c r="X738" s="1338"/>
      <c r="Y738" s="1338"/>
      <c r="Z738" s="1338"/>
      <c r="AA738" s="1338"/>
      <c r="AB738" s="1338"/>
      <c r="AC738" s="343"/>
      <c r="AD738" s="1338"/>
      <c r="AE738" s="1338"/>
      <c r="AF738" s="1338"/>
      <c r="AG738" s="1338"/>
      <c r="AH738" s="1338"/>
      <c r="AI738" s="1338"/>
      <c r="AJ738" s="344"/>
      <c r="AK738" s="345"/>
      <c r="AL738" s="340"/>
      <c r="AM738" s="427" t="s">
        <v>963</v>
      </c>
      <c r="AN738" s="342"/>
      <c r="AO738" s="342"/>
      <c r="AP738" s="342"/>
      <c r="AQ738" s="342"/>
      <c r="AR738" s="342"/>
      <c r="AS738" s="342"/>
      <c r="AT738" s="342"/>
      <c r="AU738" s="342"/>
      <c r="AV738" s="342"/>
      <c r="AW738" s="342"/>
      <c r="AX738" s="342"/>
      <c r="AY738" s="342"/>
      <c r="AZ738" s="342"/>
      <c r="BA738" s="342"/>
      <c r="BB738" s="342"/>
      <c r="BC738" s="342"/>
      <c r="BD738" s="342"/>
      <c r="BE738" s="342"/>
      <c r="BF738" s="342"/>
      <c r="BG738" s="1338"/>
      <c r="BH738" s="1338"/>
      <c r="BI738" s="1338"/>
      <c r="BJ738" s="1338"/>
      <c r="BK738" s="1338"/>
      <c r="BL738" s="1338"/>
      <c r="BM738" s="343"/>
      <c r="BN738" s="1338"/>
      <c r="BO738" s="1338"/>
      <c r="BP738" s="1338"/>
      <c r="BQ738" s="1338"/>
      <c r="BR738" s="1338"/>
      <c r="BS738" s="1338"/>
      <c r="BT738" s="352"/>
      <c r="BU738" s="353"/>
      <c r="BV738" s="310"/>
      <c r="BW738" s="310"/>
      <c r="BX738" s="291">
        <f t="shared" si="17"/>
        <v>0</v>
      </c>
      <c r="BY738" s="344"/>
      <c r="BZ738" s="347"/>
      <c r="CA738" s="347"/>
    </row>
    <row r="739" spans="1:84" s="451" customFormat="1" ht="15" customHeight="1" x14ac:dyDescent="0.25">
      <c r="A739" s="313"/>
      <c r="B739" s="340"/>
      <c r="C739" s="468" t="s">
        <v>964</v>
      </c>
      <c r="D739" s="341"/>
      <c r="E739" s="341"/>
      <c r="F739" s="341"/>
      <c r="G739" s="341"/>
      <c r="H739" s="341"/>
      <c r="I739" s="341"/>
      <c r="J739" s="341"/>
      <c r="K739" s="341"/>
      <c r="L739" s="341"/>
      <c r="M739" s="341"/>
      <c r="N739" s="341"/>
      <c r="O739" s="341"/>
      <c r="P739" s="341"/>
      <c r="Q739" s="341"/>
      <c r="R739" s="341"/>
      <c r="S739" s="341"/>
      <c r="T739" s="341"/>
      <c r="U739" s="341"/>
      <c r="V739" s="341"/>
      <c r="W739" s="1563">
        <f>SUBTOTAL(109,W740:AB741)</f>
        <v>1598224389</v>
      </c>
      <c r="X739" s="1563"/>
      <c r="Y739" s="1563"/>
      <c r="Z739" s="1563"/>
      <c r="AA739" s="1563"/>
      <c r="AB739" s="1563"/>
      <c r="AC739" s="363"/>
      <c r="AD739" s="1563">
        <f>SUBTOTAL(109,AD740:AI741)</f>
        <v>0</v>
      </c>
      <c r="AE739" s="1563"/>
      <c r="AF739" s="1563"/>
      <c r="AG739" s="1563"/>
      <c r="AH739" s="1563"/>
      <c r="AI739" s="1563"/>
      <c r="AJ739" s="341"/>
      <c r="AK739" s="345"/>
      <c r="AL739" s="340"/>
      <c r="AM739" s="468" t="s">
        <v>965</v>
      </c>
      <c r="AN739" s="341"/>
      <c r="AO739" s="341"/>
      <c r="AP739" s="341"/>
      <c r="AQ739" s="341"/>
      <c r="AR739" s="341"/>
      <c r="AS739" s="341"/>
      <c r="AT739" s="341"/>
      <c r="AU739" s="341"/>
      <c r="AV739" s="341"/>
      <c r="AW739" s="341"/>
      <c r="AX739" s="341"/>
      <c r="AY739" s="341"/>
      <c r="AZ739" s="341"/>
      <c r="BA739" s="341"/>
      <c r="BB739" s="341"/>
      <c r="BC739" s="341"/>
      <c r="BD739" s="341"/>
      <c r="BE739" s="341"/>
      <c r="BF739" s="341"/>
      <c r="BG739" s="1563">
        <f>SUBTOTAL(109,BG740:BL741)</f>
        <v>1598224389</v>
      </c>
      <c r="BH739" s="1563"/>
      <c r="BI739" s="1563"/>
      <c r="BJ739" s="1563"/>
      <c r="BK739" s="1563"/>
      <c r="BL739" s="1563"/>
      <c r="BM739" s="363"/>
      <c r="BN739" s="1563">
        <f>SUBTOTAL(109,BN740:BS741)</f>
        <v>0</v>
      </c>
      <c r="BO739" s="1563"/>
      <c r="BP739" s="1563"/>
      <c r="BQ739" s="1563"/>
      <c r="BR739" s="1563"/>
      <c r="BS739" s="1563"/>
      <c r="BT739" s="469"/>
      <c r="BU739" s="470"/>
      <c r="BV739" s="310">
        <f>W739-KN_2411</f>
        <v>0</v>
      </c>
      <c r="BW739" s="310">
        <f>AD739-KT_2411</f>
        <v>0</v>
      </c>
      <c r="BX739" s="300">
        <f t="shared" si="17"/>
        <v>0</v>
      </c>
      <c r="BY739" s="341"/>
      <c r="BZ739" s="431"/>
      <c r="CA739" s="431"/>
      <c r="CB739" s="450"/>
      <c r="CC739" s="450"/>
      <c r="CD739" s="450"/>
      <c r="CE739" s="450"/>
      <c r="CF739" s="450"/>
    </row>
    <row r="740" spans="1:84" s="423" customFormat="1" ht="15" customHeight="1" x14ac:dyDescent="0.25">
      <c r="A740" s="313"/>
      <c r="B740" s="340"/>
      <c r="C740" s="434" t="s">
        <v>966</v>
      </c>
      <c r="D740" s="342"/>
      <c r="E740" s="342"/>
      <c r="F740" s="342"/>
      <c r="G740" s="342"/>
      <c r="H740" s="342"/>
      <c r="I740" s="342"/>
      <c r="J740" s="342"/>
      <c r="K740" s="342"/>
      <c r="L740" s="342"/>
      <c r="M740" s="342"/>
      <c r="N740" s="342"/>
      <c r="O740" s="342"/>
      <c r="P740" s="342"/>
      <c r="Q740" s="342"/>
      <c r="R740" s="342"/>
      <c r="S740" s="342"/>
      <c r="T740" s="342"/>
      <c r="U740" s="342"/>
      <c r="V740" s="342"/>
      <c r="W740" s="1562">
        <v>1598224389</v>
      </c>
      <c r="X740" s="1562"/>
      <c r="Y740" s="1562"/>
      <c r="Z740" s="1562"/>
      <c r="AA740" s="1562"/>
      <c r="AB740" s="1562"/>
      <c r="AC740" s="355"/>
      <c r="AD740" s="1562">
        <v>0</v>
      </c>
      <c r="AE740" s="1562"/>
      <c r="AF740" s="1562"/>
      <c r="AG740" s="1562"/>
      <c r="AH740" s="1562"/>
      <c r="AI740" s="1562"/>
      <c r="AJ740" s="342"/>
      <c r="AK740" s="345"/>
      <c r="AL740" s="340"/>
      <c r="AM740" s="434" t="s">
        <v>967</v>
      </c>
      <c r="AN740" s="342"/>
      <c r="AO740" s="342"/>
      <c r="AP740" s="342"/>
      <c r="AQ740" s="342"/>
      <c r="AR740" s="342"/>
      <c r="AS740" s="342"/>
      <c r="AT740" s="342"/>
      <c r="AU740" s="342"/>
      <c r="AV740" s="342"/>
      <c r="AW740" s="342"/>
      <c r="AX740" s="342"/>
      <c r="AY740" s="342"/>
      <c r="AZ740" s="342"/>
      <c r="BA740" s="342"/>
      <c r="BB740" s="342"/>
      <c r="BC740" s="342"/>
      <c r="BD740" s="342"/>
      <c r="BE740" s="342"/>
      <c r="BF740" s="342"/>
      <c r="BG740" s="1562">
        <f>W740</f>
        <v>1598224389</v>
      </c>
      <c r="BH740" s="1562"/>
      <c r="BI740" s="1562"/>
      <c r="BJ740" s="1562"/>
      <c r="BK740" s="1562"/>
      <c r="BL740" s="1562"/>
      <c r="BM740" s="355"/>
      <c r="BN740" s="1562">
        <f>AD740</f>
        <v>0</v>
      </c>
      <c r="BO740" s="1562"/>
      <c r="BP740" s="1562"/>
      <c r="BQ740" s="1562"/>
      <c r="BR740" s="1562"/>
      <c r="BS740" s="1562"/>
      <c r="BT740" s="352"/>
      <c r="BU740" s="353"/>
      <c r="BV740" s="310"/>
      <c r="BW740" s="310"/>
      <c r="BX740" s="300">
        <f t="shared" si="17"/>
        <v>0</v>
      </c>
      <c r="BY740" s="342"/>
      <c r="BZ740" s="438"/>
      <c r="CA740" s="438"/>
      <c r="CB740" s="439"/>
      <c r="CC740" s="439"/>
      <c r="CD740" s="439"/>
      <c r="CE740" s="439"/>
      <c r="CF740" s="439"/>
    </row>
    <row r="741" spans="1:84" s="423" customFormat="1" ht="15" hidden="1" customHeight="1" x14ac:dyDescent="0.25">
      <c r="A741" s="313"/>
      <c r="B741" s="340"/>
      <c r="C741" s="434" t="s">
        <v>968</v>
      </c>
      <c r="D741" s="342"/>
      <c r="E741" s="342"/>
      <c r="F741" s="342"/>
      <c r="G741" s="342"/>
      <c r="H741" s="342"/>
      <c r="I741" s="342"/>
      <c r="J741" s="342"/>
      <c r="K741" s="342"/>
      <c r="L741" s="342"/>
      <c r="M741" s="342"/>
      <c r="N741" s="342"/>
      <c r="O741" s="342"/>
      <c r="P741" s="342"/>
      <c r="Q741" s="342"/>
      <c r="R741" s="342"/>
      <c r="S741" s="342"/>
      <c r="T741" s="342"/>
      <c r="U741" s="342"/>
      <c r="V741" s="342"/>
      <c r="W741" s="1562"/>
      <c r="X741" s="1562"/>
      <c r="Y741" s="1562"/>
      <c r="Z741" s="1562"/>
      <c r="AA741" s="1562"/>
      <c r="AB741" s="1562"/>
      <c r="AC741" s="355"/>
      <c r="AD741" s="1562"/>
      <c r="AE741" s="1562"/>
      <c r="AF741" s="1562"/>
      <c r="AG741" s="1562"/>
      <c r="AH741" s="1562"/>
      <c r="AI741" s="1562"/>
      <c r="AJ741" s="342"/>
      <c r="AK741" s="345"/>
      <c r="AL741" s="340"/>
      <c r="AM741" s="434" t="s">
        <v>968</v>
      </c>
      <c r="AN741" s="342"/>
      <c r="AO741" s="342"/>
      <c r="AP741" s="342"/>
      <c r="AQ741" s="342"/>
      <c r="AR741" s="342"/>
      <c r="AS741" s="342"/>
      <c r="AT741" s="342"/>
      <c r="AU741" s="342"/>
      <c r="AV741" s="342"/>
      <c r="AW741" s="342"/>
      <c r="AX741" s="342"/>
      <c r="AY741" s="342"/>
      <c r="AZ741" s="342"/>
      <c r="BA741" s="342"/>
      <c r="BB741" s="342"/>
      <c r="BC741" s="342"/>
      <c r="BD741" s="342"/>
      <c r="BE741" s="342"/>
      <c r="BF741" s="342"/>
      <c r="BG741" s="1562">
        <f>W741</f>
        <v>0</v>
      </c>
      <c r="BH741" s="1562"/>
      <c r="BI741" s="1562"/>
      <c r="BJ741" s="1562"/>
      <c r="BK741" s="1562"/>
      <c r="BL741" s="1562"/>
      <c r="BM741" s="355"/>
      <c r="BN741" s="1562">
        <f>AD741</f>
        <v>0</v>
      </c>
      <c r="BO741" s="1562"/>
      <c r="BP741" s="1562"/>
      <c r="BQ741" s="1562"/>
      <c r="BR741" s="1562"/>
      <c r="BS741" s="1562"/>
      <c r="BT741" s="352"/>
      <c r="BU741" s="353"/>
      <c r="BV741" s="310"/>
      <c r="BW741" s="310"/>
      <c r="BX741" s="300">
        <f t="shared" si="17"/>
        <v>0</v>
      </c>
      <c r="BY741" s="342"/>
      <c r="BZ741" s="438"/>
      <c r="CA741" s="438"/>
      <c r="CB741" s="439"/>
      <c r="CC741" s="439"/>
      <c r="CD741" s="439"/>
      <c r="CE741" s="439"/>
      <c r="CF741" s="439"/>
    </row>
    <row r="742" spans="1:84" s="423" customFormat="1" ht="15" hidden="1" customHeight="1" x14ac:dyDescent="0.25">
      <c r="A742" s="313"/>
      <c r="B742" s="340"/>
      <c r="C742" s="434"/>
      <c r="D742" s="342"/>
      <c r="E742" s="342"/>
      <c r="F742" s="342"/>
      <c r="G742" s="342"/>
      <c r="H742" s="342"/>
      <c r="I742" s="342"/>
      <c r="J742" s="342"/>
      <c r="K742" s="342"/>
      <c r="L742" s="342"/>
      <c r="M742" s="342"/>
      <c r="N742" s="342"/>
      <c r="O742" s="342"/>
      <c r="P742" s="342"/>
      <c r="Q742" s="342"/>
      <c r="R742" s="342"/>
      <c r="S742" s="342"/>
      <c r="T742" s="342"/>
      <c r="U742" s="342"/>
      <c r="V742" s="342"/>
      <c r="W742" s="1562"/>
      <c r="X742" s="1562"/>
      <c r="Y742" s="1562"/>
      <c r="Z742" s="1562"/>
      <c r="AA742" s="1562"/>
      <c r="AB742" s="1562"/>
      <c r="AC742" s="355"/>
      <c r="AD742" s="1562"/>
      <c r="AE742" s="1562"/>
      <c r="AF742" s="1562"/>
      <c r="AG742" s="1562"/>
      <c r="AH742" s="1562"/>
      <c r="AI742" s="1562"/>
      <c r="AJ742" s="342"/>
      <c r="AK742" s="345"/>
      <c r="AL742" s="340"/>
      <c r="AM742" s="434"/>
      <c r="AN742" s="342"/>
      <c r="AO742" s="342"/>
      <c r="AP742" s="342"/>
      <c r="AQ742" s="342"/>
      <c r="AR742" s="342"/>
      <c r="AS742" s="342"/>
      <c r="AT742" s="342"/>
      <c r="AU742" s="342"/>
      <c r="AV742" s="342"/>
      <c r="AW742" s="342"/>
      <c r="AX742" s="342"/>
      <c r="AY742" s="342"/>
      <c r="AZ742" s="342"/>
      <c r="BA742" s="342"/>
      <c r="BB742" s="342"/>
      <c r="BC742" s="342"/>
      <c r="BD742" s="342"/>
      <c r="BE742" s="342"/>
      <c r="BF742" s="342"/>
      <c r="BG742" s="1562"/>
      <c r="BH742" s="1562"/>
      <c r="BI742" s="1562"/>
      <c r="BJ742" s="1562"/>
      <c r="BK742" s="1562"/>
      <c r="BL742" s="1562"/>
      <c r="BM742" s="355"/>
      <c r="BN742" s="1562"/>
      <c r="BO742" s="1562"/>
      <c r="BP742" s="1562"/>
      <c r="BQ742" s="1562"/>
      <c r="BR742" s="1562"/>
      <c r="BS742" s="1562"/>
      <c r="BT742" s="352"/>
      <c r="BU742" s="353"/>
      <c r="BV742" s="310"/>
      <c r="BW742" s="310"/>
      <c r="BX742" s="300">
        <f>IF(ISNONTEXT($C742),0,SUM(D742:AI742)-SUM(AN742:BS742))</f>
        <v>0</v>
      </c>
      <c r="BY742" s="342"/>
      <c r="BZ742" s="438"/>
      <c r="CA742" s="438"/>
      <c r="CB742" s="439"/>
      <c r="CC742" s="439"/>
      <c r="CD742" s="439"/>
      <c r="CE742" s="439"/>
      <c r="CF742" s="439"/>
    </row>
    <row r="743" spans="1:84" s="451" customFormat="1" ht="15" hidden="1" customHeight="1" x14ac:dyDescent="0.25">
      <c r="A743" s="313"/>
      <c r="B743" s="340"/>
      <c r="C743" s="468" t="s">
        <v>969</v>
      </c>
      <c r="D743" s="341"/>
      <c r="E743" s="341"/>
      <c r="F743" s="341"/>
      <c r="G743" s="341"/>
      <c r="H743" s="341"/>
      <c r="I743" s="341"/>
      <c r="J743" s="341"/>
      <c r="K743" s="341"/>
      <c r="L743" s="341"/>
      <c r="M743" s="341"/>
      <c r="N743" s="341"/>
      <c r="O743" s="341"/>
      <c r="P743" s="341"/>
      <c r="Q743" s="341"/>
      <c r="R743" s="341"/>
      <c r="S743" s="341"/>
      <c r="T743" s="341"/>
      <c r="U743" s="341"/>
      <c r="V743" s="341"/>
      <c r="W743" s="1563">
        <f>SUBTOTAL(109,W744:AB745)</f>
        <v>0</v>
      </c>
      <c r="X743" s="1563"/>
      <c r="Y743" s="1563"/>
      <c r="Z743" s="1563"/>
      <c r="AA743" s="1563"/>
      <c r="AB743" s="1563"/>
      <c r="AC743" s="363"/>
      <c r="AD743" s="1563">
        <f>SUBTOTAL(109,AD744:AI745)</f>
        <v>0</v>
      </c>
      <c r="AE743" s="1563"/>
      <c r="AF743" s="1563"/>
      <c r="AG743" s="1563"/>
      <c r="AH743" s="1563"/>
      <c r="AI743" s="1563"/>
      <c r="AJ743" s="341"/>
      <c r="AK743" s="345"/>
      <c r="AL743" s="340"/>
      <c r="AM743" s="468" t="s">
        <v>970</v>
      </c>
      <c r="AN743" s="341"/>
      <c r="AO743" s="341"/>
      <c r="AP743" s="341"/>
      <c r="AQ743" s="341"/>
      <c r="AR743" s="341"/>
      <c r="AS743" s="341"/>
      <c r="AT743" s="341"/>
      <c r="AU743" s="341"/>
      <c r="AV743" s="341"/>
      <c r="AW743" s="341"/>
      <c r="AX743" s="341"/>
      <c r="AY743" s="341"/>
      <c r="AZ743" s="341"/>
      <c r="BA743" s="341"/>
      <c r="BB743" s="341"/>
      <c r="BC743" s="341"/>
      <c r="BD743" s="341"/>
      <c r="BE743" s="341"/>
      <c r="BF743" s="341"/>
      <c r="BG743" s="1563">
        <f>SUBTOTAL(109,BG744:BL745)</f>
        <v>0</v>
      </c>
      <c r="BH743" s="1563"/>
      <c r="BI743" s="1563"/>
      <c r="BJ743" s="1563"/>
      <c r="BK743" s="1563"/>
      <c r="BL743" s="1563"/>
      <c r="BM743" s="363"/>
      <c r="BN743" s="1563">
        <f>SUBTOTAL(109,BN744:BS745)</f>
        <v>0</v>
      </c>
      <c r="BO743" s="1563"/>
      <c r="BP743" s="1563"/>
      <c r="BQ743" s="1563"/>
      <c r="BR743" s="1563"/>
      <c r="BS743" s="1563"/>
      <c r="BT743" s="469"/>
      <c r="BU743" s="470"/>
      <c r="BV743" s="310">
        <f>W743-KN_2412</f>
        <v>0</v>
      </c>
      <c r="BW743" s="310">
        <f>AD743-KT_2412</f>
        <v>0</v>
      </c>
      <c r="BX743" s="300">
        <f t="shared" si="17"/>
        <v>0</v>
      </c>
      <c r="BY743" s="341"/>
      <c r="BZ743" s="431"/>
      <c r="CA743" s="431"/>
      <c r="CB743" s="450"/>
      <c r="CC743" s="450"/>
      <c r="CD743" s="450"/>
      <c r="CE743" s="450"/>
      <c r="CF743" s="450"/>
    </row>
    <row r="744" spans="1:84" s="423" customFormat="1" ht="15" hidden="1" customHeight="1" x14ac:dyDescent="0.25">
      <c r="A744" s="313"/>
      <c r="B744" s="340"/>
      <c r="C744" s="434" t="s">
        <v>971</v>
      </c>
      <c r="D744" s="342"/>
      <c r="E744" s="342"/>
      <c r="F744" s="342"/>
      <c r="G744" s="342"/>
      <c r="H744" s="342"/>
      <c r="I744" s="342"/>
      <c r="J744" s="342"/>
      <c r="K744" s="342"/>
      <c r="L744" s="342"/>
      <c r="M744" s="342"/>
      <c r="N744" s="342"/>
      <c r="O744" s="342"/>
      <c r="P744" s="342"/>
      <c r="Q744" s="342"/>
      <c r="R744" s="342"/>
      <c r="S744" s="342"/>
      <c r="T744" s="342"/>
      <c r="U744" s="342"/>
      <c r="V744" s="342"/>
      <c r="W744" s="1562"/>
      <c r="X744" s="1562"/>
      <c r="Y744" s="1562"/>
      <c r="Z744" s="1562"/>
      <c r="AA744" s="1562"/>
      <c r="AB744" s="1562"/>
      <c r="AC744" s="355"/>
      <c r="AD744" s="1562"/>
      <c r="AE744" s="1562"/>
      <c r="AF744" s="1562"/>
      <c r="AG744" s="1562"/>
      <c r="AH744" s="1562"/>
      <c r="AI744" s="1562"/>
      <c r="AJ744" s="342"/>
      <c r="AK744" s="345"/>
      <c r="AL744" s="340"/>
      <c r="AM744" s="434" t="s">
        <v>971</v>
      </c>
      <c r="AN744" s="342"/>
      <c r="AO744" s="342"/>
      <c r="AP744" s="342"/>
      <c r="AQ744" s="342"/>
      <c r="AR744" s="342"/>
      <c r="AS744" s="342"/>
      <c r="AT744" s="342"/>
      <c r="AU744" s="342"/>
      <c r="AV744" s="342"/>
      <c r="AW744" s="342"/>
      <c r="AX744" s="342"/>
      <c r="AY744" s="342"/>
      <c r="AZ744" s="342"/>
      <c r="BA744" s="342"/>
      <c r="BB744" s="342"/>
      <c r="BC744" s="342"/>
      <c r="BD744" s="342"/>
      <c r="BE744" s="342"/>
      <c r="BF744" s="342"/>
      <c r="BG744" s="1562">
        <f>W744</f>
        <v>0</v>
      </c>
      <c r="BH744" s="1562"/>
      <c r="BI744" s="1562"/>
      <c r="BJ744" s="1562"/>
      <c r="BK744" s="1562"/>
      <c r="BL744" s="1562"/>
      <c r="BM744" s="355"/>
      <c r="BN744" s="1562">
        <f>AD744</f>
        <v>0</v>
      </c>
      <c r="BO744" s="1562"/>
      <c r="BP744" s="1562"/>
      <c r="BQ744" s="1562"/>
      <c r="BR744" s="1562"/>
      <c r="BS744" s="1562"/>
      <c r="BT744" s="352"/>
      <c r="BU744" s="353"/>
      <c r="BV744" s="310"/>
      <c r="BW744" s="310"/>
      <c r="BX744" s="300">
        <f t="shared" si="17"/>
        <v>0</v>
      </c>
      <c r="BY744" s="342"/>
      <c r="BZ744" s="438"/>
      <c r="CA744" s="438"/>
      <c r="CB744" s="439"/>
      <c r="CC744" s="439"/>
      <c r="CD744" s="439"/>
      <c r="CE744" s="439"/>
      <c r="CF744" s="439"/>
    </row>
    <row r="745" spans="1:84" s="423" customFormat="1" ht="15" hidden="1" customHeight="1" x14ac:dyDescent="0.25">
      <c r="A745" s="313"/>
      <c r="B745" s="340"/>
      <c r="C745" s="434" t="s">
        <v>972</v>
      </c>
      <c r="D745" s="342"/>
      <c r="E745" s="342"/>
      <c r="F745" s="342"/>
      <c r="G745" s="342"/>
      <c r="H745" s="342"/>
      <c r="I745" s="342"/>
      <c r="J745" s="342"/>
      <c r="K745" s="342"/>
      <c r="L745" s="342"/>
      <c r="M745" s="342"/>
      <c r="N745" s="342"/>
      <c r="O745" s="342"/>
      <c r="P745" s="342"/>
      <c r="Q745" s="342"/>
      <c r="R745" s="342"/>
      <c r="S745" s="342"/>
      <c r="T745" s="342"/>
      <c r="U745" s="342"/>
      <c r="V745" s="342"/>
      <c r="W745" s="1562"/>
      <c r="X745" s="1562"/>
      <c r="Y745" s="1562"/>
      <c r="Z745" s="1562"/>
      <c r="AA745" s="1562"/>
      <c r="AB745" s="1562"/>
      <c r="AC745" s="355"/>
      <c r="AD745" s="1562"/>
      <c r="AE745" s="1562"/>
      <c r="AF745" s="1562"/>
      <c r="AG745" s="1562"/>
      <c r="AH745" s="1562"/>
      <c r="AI745" s="1562"/>
      <c r="AJ745" s="342"/>
      <c r="AK745" s="345"/>
      <c r="AL745" s="340"/>
      <c r="AM745" s="434" t="s">
        <v>972</v>
      </c>
      <c r="AN745" s="342"/>
      <c r="AO745" s="342"/>
      <c r="AP745" s="342"/>
      <c r="AQ745" s="342"/>
      <c r="AR745" s="342"/>
      <c r="AS745" s="342"/>
      <c r="AT745" s="342"/>
      <c r="AU745" s="342"/>
      <c r="AV745" s="342"/>
      <c r="AW745" s="342"/>
      <c r="AX745" s="342"/>
      <c r="AY745" s="342"/>
      <c r="AZ745" s="342"/>
      <c r="BA745" s="342"/>
      <c r="BB745" s="342"/>
      <c r="BC745" s="342"/>
      <c r="BD745" s="342"/>
      <c r="BE745" s="342"/>
      <c r="BF745" s="342"/>
      <c r="BG745" s="1562">
        <f>W745</f>
        <v>0</v>
      </c>
      <c r="BH745" s="1562"/>
      <c r="BI745" s="1562"/>
      <c r="BJ745" s="1562"/>
      <c r="BK745" s="1562"/>
      <c r="BL745" s="1562"/>
      <c r="BM745" s="355"/>
      <c r="BN745" s="1562">
        <f>AD745</f>
        <v>0</v>
      </c>
      <c r="BO745" s="1562"/>
      <c r="BP745" s="1562"/>
      <c r="BQ745" s="1562"/>
      <c r="BR745" s="1562"/>
      <c r="BS745" s="1562"/>
      <c r="BT745" s="352"/>
      <c r="BU745" s="353"/>
      <c r="BV745" s="310"/>
      <c r="BW745" s="310"/>
      <c r="BX745" s="300">
        <f t="shared" si="17"/>
        <v>0</v>
      </c>
      <c r="BY745" s="342"/>
      <c r="BZ745" s="438"/>
      <c r="CA745" s="438"/>
      <c r="CB745" s="439"/>
      <c r="CC745" s="439"/>
      <c r="CD745" s="439"/>
      <c r="CE745" s="439"/>
      <c r="CF745" s="439"/>
    </row>
    <row r="746" spans="1:84" s="423" customFormat="1" ht="15" hidden="1" customHeight="1" x14ac:dyDescent="0.25">
      <c r="A746" s="313"/>
      <c r="B746" s="340"/>
      <c r="C746" s="434"/>
      <c r="D746" s="342"/>
      <c r="E746" s="342"/>
      <c r="F746" s="342"/>
      <c r="G746" s="342"/>
      <c r="H746" s="342"/>
      <c r="I746" s="342"/>
      <c r="J746" s="342"/>
      <c r="K746" s="342"/>
      <c r="L746" s="342"/>
      <c r="M746" s="342"/>
      <c r="N746" s="342"/>
      <c r="O746" s="342"/>
      <c r="P746" s="342"/>
      <c r="Q746" s="342"/>
      <c r="R746" s="342"/>
      <c r="S746" s="342"/>
      <c r="T746" s="342"/>
      <c r="U746" s="342"/>
      <c r="V746" s="342"/>
      <c r="W746" s="1562"/>
      <c r="X746" s="1562"/>
      <c r="Y746" s="1562"/>
      <c r="Z746" s="1562"/>
      <c r="AA746" s="1562"/>
      <c r="AB746" s="1562"/>
      <c r="AC746" s="355"/>
      <c r="AD746" s="1562"/>
      <c r="AE746" s="1562"/>
      <c r="AF746" s="1562"/>
      <c r="AG746" s="1562"/>
      <c r="AH746" s="1562"/>
      <c r="AI746" s="1562"/>
      <c r="AJ746" s="342"/>
      <c r="AK746" s="345"/>
      <c r="AL746" s="340"/>
      <c r="AM746" s="434"/>
      <c r="AN746" s="342"/>
      <c r="AO746" s="342"/>
      <c r="AP746" s="342"/>
      <c r="AQ746" s="342"/>
      <c r="AR746" s="342"/>
      <c r="AS746" s="342"/>
      <c r="AT746" s="342"/>
      <c r="AU746" s="342"/>
      <c r="AV746" s="342"/>
      <c r="AW746" s="342"/>
      <c r="AX746" s="342"/>
      <c r="AY746" s="342"/>
      <c r="AZ746" s="342"/>
      <c r="BA746" s="342"/>
      <c r="BB746" s="342"/>
      <c r="BC746" s="342"/>
      <c r="BD746" s="342"/>
      <c r="BE746" s="342"/>
      <c r="BF746" s="342"/>
      <c r="BG746" s="1562"/>
      <c r="BH746" s="1562"/>
      <c r="BI746" s="1562"/>
      <c r="BJ746" s="1562"/>
      <c r="BK746" s="1562"/>
      <c r="BL746" s="1562"/>
      <c r="BM746" s="355"/>
      <c r="BN746" s="1562"/>
      <c r="BO746" s="1562"/>
      <c r="BP746" s="1562"/>
      <c r="BQ746" s="1562"/>
      <c r="BR746" s="1562"/>
      <c r="BS746" s="1562"/>
      <c r="BT746" s="352"/>
      <c r="BU746" s="353"/>
      <c r="BV746" s="310"/>
      <c r="BW746" s="310"/>
      <c r="BX746" s="300">
        <f>IF(ISNONTEXT($C746),0,SUM(D746:AI746)-SUM(AN746:BS746))</f>
        <v>0</v>
      </c>
      <c r="BY746" s="342"/>
      <c r="BZ746" s="438"/>
      <c r="CA746" s="438"/>
      <c r="CB746" s="439"/>
      <c r="CC746" s="439"/>
      <c r="CD746" s="439"/>
      <c r="CE746" s="439"/>
      <c r="CF746" s="439"/>
    </row>
    <row r="747" spans="1:84" s="451" customFormat="1" ht="15" hidden="1" customHeight="1" x14ac:dyDescent="0.25">
      <c r="A747" s="313"/>
      <c r="B747" s="340"/>
      <c r="C747" s="468" t="s">
        <v>973</v>
      </c>
      <c r="D747" s="341"/>
      <c r="E747" s="341"/>
      <c r="F747" s="341"/>
      <c r="G747" s="341"/>
      <c r="H747" s="341"/>
      <c r="I747" s="341"/>
      <c r="J747" s="341"/>
      <c r="K747" s="341"/>
      <c r="L747" s="341"/>
      <c r="M747" s="341"/>
      <c r="N747" s="341"/>
      <c r="O747" s="341"/>
      <c r="P747" s="341"/>
      <c r="Q747" s="341"/>
      <c r="R747" s="341"/>
      <c r="S747" s="341"/>
      <c r="T747" s="341"/>
      <c r="U747" s="341"/>
      <c r="V747" s="341"/>
      <c r="W747" s="1563">
        <f>SUBTOTAL(109,W748:AB749)</f>
        <v>0</v>
      </c>
      <c r="X747" s="1563"/>
      <c r="Y747" s="1563"/>
      <c r="Z747" s="1563"/>
      <c r="AA747" s="1563"/>
      <c r="AB747" s="1563"/>
      <c r="AC747" s="363"/>
      <c r="AD747" s="1563">
        <f>SUBTOTAL(109,AD748:AI749)</f>
        <v>0</v>
      </c>
      <c r="AE747" s="1563"/>
      <c r="AF747" s="1563"/>
      <c r="AG747" s="1563"/>
      <c r="AH747" s="1563"/>
      <c r="AI747" s="1563"/>
      <c r="AJ747" s="341"/>
      <c r="AK747" s="345"/>
      <c r="AL747" s="340"/>
      <c r="AM747" s="468" t="s">
        <v>974</v>
      </c>
      <c r="AN747" s="341"/>
      <c r="AO747" s="341"/>
      <c r="AP747" s="341"/>
      <c r="AQ747" s="341"/>
      <c r="AR747" s="341"/>
      <c r="AS747" s="341"/>
      <c r="AT747" s="341"/>
      <c r="AU747" s="341"/>
      <c r="AV747" s="341"/>
      <c r="AW747" s="341"/>
      <c r="AX747" s="341"/>
      <c r="AY747" s="341"/>
      <c r="AZ747" s="341"/>
      <c r="BA747" s="341"/>
      <c r="BB747" s="341"/>
      <c r="BC747" s="341"/>
      <c r="BD747" s="341"/>
      <c r="BE747" s="341"/>
      <c r="BF747" s="341"/>
      <c r="BG747" s="1563">
        <f>SUBTOTAL(109,BG748:BL749)</f>
        <v>0</v>
      </c>
      <c r="BH747" s="1563"/>
      <c r="BI747" s="1563"/>
      <c r="BJ747" s="1563"/>
      <c r="BK747" s="1563"/>
      <c r="BL747" s="1563"/>
      <c r="BM747" s="363"/>
      <c r="BN747" s="1563">
        <f>SUBTOTAL(109,BN748:BS749)</f>
        <v>0</v>
      </c>
      <c r="BO747" s="1563"/>
      <c r="BP747" s="1563"/>
      <c r="BQ747" s="1563"/>
      <c r="BR747" s="1563"/>
      <c r="BS747" s="1563"/>
      <c r="BT747" s="361"/>
      <c r="BU747" s="362"/>
      <c r="BV747" s="310">
        <f>W747-KN_2413</f>
        <v>0</v>
      </c>
      <c r="BW747" s="310">
        <f>AD747-KT_2413</f>
        <v>0</v>
      </c>
      <c r="BX747" s="300">
        <f t="shared" si="17"/>
        <v>0</v>
      </c>
      <c r="BY747" s="341"/>
      <c r="BZ747" s="431"/>
      <c r="CA747" s="431"/>
      <c r="CB747" s="450"/>
      <c r="CC747" s="450"/>
      <c r="CD747" s="450"/>
      <c r="CE747" s="450"/>
      <c r="CF747" s="450"/>
    </row>
    <row r="748" spans="1:84" s="423" customFormat="1" ht="15" hidden="1" customHeight="1" x14ac:dyDescent="0.25">
      <c r="A748" s="313"/>
      <c r="B748" s="340"/>
      <c r="C748" s="434" t="s">
        <v>967</v>
      </c>
      <c r="D748" s="342"/>
      <c r="E748" s="342"/>
      <c r="F748" s="342"/>
      <c r="G748" s="342"/>
      <c r="H748" s="342"/>
      <c r="I748" s="342"/>
      <c r="J748" s="342"/>
      <c r="K748" s="342"/>
      <c r="L748" s="342"/>
      <c r="M748" s="342"/>
      <c r="N748" s="342"/>
      <c r="O748" s="342"/>
      <c r="P748" s="342"/>
      <c r="Q748" s="342"/>
      <c r="R748" s="342"/>
      <c r="S748" s="342"/>
      <c r="T748" s="342"/>
      <c r="U748" s="342"/>
      <c r="V748" s="342"/>
      <c r="W748" s="1562"/>
      <c r="X748" s="1562"/>
      <c r="Y748" s="1562"/>
      <c r="Z748" s="1562"/>
      <c r="AA748" s="1562"/>
      <c r="AB748" s="1562"/>
      <c r="AC748" s="355"/>
      <c r="AD748" s="1562"/>
      <c r="AE748" s="1562"/>
      <c r="AF748" s="1562"/>
      <c r="AG748" s="1562"/>
      <c r="AH748" s="1562"/>
      <c r="AI748" s="1562"/>
      <c r="AJ748" s="342"/>
      <c r="AK748" s="345"/>
      <c r="AL748" s="340"/>
      <c r="AM748" s="434" t="s">
        <v>967</v>
      </c>
      <c r="AN748" s="342"/>
      <c r="AO748" s="342"/>
      <c r="AP748" s="342"/>
      <c r="AQ748" s="342"/>
      <c r="AR748" s="342"/>
      <c r="AS748" s="342"/>
      <c r="AT748" s="342"/>
      <c r="AU748" s="342"/>
      <c r="AV748" s="342"/>
      <c r="AW748" s="342"/>
      <c r="AX748" s="342"/>
      <c r="AY748" s="342"/>
      <c r="AZ748" s="342"/>
      <c r="BA748" s="342"/>
      <c r="BB748" s="342"/>
      <c r="BC748" s="342"/>
      <c r="BD748" s="342"/>
      <c r="BE748" s="342"/>
      <c r="BF748" s="342"/>
      <c r="BG748" s="1562">
        <f>W748</f>
        <v>0</v>
      </c>
      <c r="BH748" s="1562"/>
      <c r="BI748" s="1562"/>
      <c r="BJ748" s="1562"/>
      <c r="BK748" s="1562"/>
      <c r="BL748" s="1562"/>
      <c r="BM748" s="355"/>
      <c r="BN748" s="1562">
        <f>AD748</f>
        <v>0</v>
      </c>
      <c r="BO748" s="1562"/>
      <c r="BP748" s="1562"/>
      <c r="BQ748" s="1562"/>
      <c r="BR748" s="1562"/>
      <c r="BS748" s="1562"/>
      <c r="BT748" s="356"/>
      <c r="BU748" s="357"/>
      <c r="BV748" s="310"/>
      <c r="BW748" s="310"/>
      <c r="BX748" s="300">
        <f t="shared" si="17"/>
        <v>0</v>
      </c>
      <c r="BY748" s="342"/>
      <c r="BZ748" s="438"/>
      <c r="CA748" s="438"/>
      <c r="CB748" s="439"/>
      <c r="CC748" s="439"/>
      <c r="CD748" s="439"/>
      <c r="CE748" s="439"/>
      <c r="CF748" s="439"/>
    </row>
    <row r="749" spans="1:84" s="423" customFormat="1" ht="15" hidden="1" customHeight="1" x14ac:dyDescent="0.25">
      <c r="A749" s="313"/>
      <c r="B749" s="340"/>
      <c r="C749" s="434" t="s">
        <v>968</v>
      </c>
      <c r="D749" s="342"/>
      <c r="E749" s="342"/>
      <c r="F749" s="342"/>
      <c r="G749" s="342"/>
      <c r="H749" s="342"/>
      <c r="I749" s="342"/>
      <c r="J749" s="342"/>
      <c r="K749" s="342"/>
      <c r="L749" s="342"/>
      <c r="M749" s="342"/>
      <c r="N749" s="342"/>
      <c r="O749" s="342"/>
      <c r="P749" s="342"/>
      <c r="Q749" s="342"/>
      <c r="R749" s="342"/>
      <c r="S749" s="342"/>
      <c r="T749" s="342"/>
      <c r="U749" s="342"/>
      <c r="V749" s="342"/>
      <c r="W749" s="1562"/>
      <c r="X749" s="1562"/>
      <c r="Y749" s="1562"/>
      <c r="Z749" s="1562"/>
      <c r="AA749" s="1562"/>
      <c r="AB749" s="1562"/>
      <c r="AC749" s="355"/>
      <c r="AD749" s="1562"/>
      <c r="AE749" s="1562"/>
      <c r="AF749" s="1562"/>
      <c r="AG749" s="1562"/>
      <c r="AH749" s="1562"/>
      <c r="AI749" s="1562"/>
      <c r="AJ749" s="342"/>
      <c r="AK749" s="345"/>
      <c r="AL749" s="340"/>
      <c r="AM749" s="434" t="s">
        <v>968</v>
      </c>
      <c r="AN749" s="342"/>
      <c r="AO749" s="342"/>
      <c r="AP749" s="342"/>
      <c r="AQ749" s="342"/>
      <c r="AR749" s="342"/>
      <c r="AS749" s="342"/>
      <c r="AT749" s="342"/>
      <c r="AU749" s="342"/>
      <c r="AV749" s="342"/>
      <c r="AW749" s="342"/>
      <c r="AX749" s="342"/>
      <c r="AY749" s="342"/>
      <c r="AZ749" s="342"/>
      <c r="BA749" s="342"/>
      <c r="BB749" s="342"/>
      <c r="BC749" s="342"/>
      <c r="BD749" s="342"/>
      <c r="BE749" s="342"/>
      <c r="BF749" s="342"/>
      <c r="BG749" s="1562">
        <f>W749</f>
        <v>0</v>
      </c>
      <c r="BH749" s="1562"/>
      <c r="BI749" s="1562"/>
      <c r="BJ749" s="1562"/>
      <c r="BK749" s="1562"/>
      <c r="BL749" s="1562"/>
      <c r="BM749" s="355"/>
      <c r="BN749" s="1562">
        <f>AD749</f>
        <v>0</v>
      </c>
      <c r="BO749" s="1562"/>
      <c r="BP749" s="1562"/>
      <c r="BQ749" s="1562"/>
      <c r="BR749" s="1562"/>
      <c r="BS749" s="1562"/>
      <c r="BT749" s="356"/>
      <c r="BU749" s="357"/>
      <c r="BV749" s="310"/>
      <c r="BW749" s="310"/>
      <c r="BX749" s="300">
        <f t="shared" si="17"/>
        <v>0</v>
      </c>
      <c r="BY749" s="342"/>
      <c r="BZ749" s="438"/>
      <c r="CA749" s="438"/>
      <c r="CB749" s="439"/>
      <c r="CC749" s="439"/>
      <c r="CD749" s="439"/>
      <c r="CE749" s="439"/>
      <c r="CF749" s="439"/>
    </row>
    <row r="750" spans="1:84" s="423" customFormat="1" ht="15" customHeight="1" x14ac:dyDescent="0.25">
      <c r="A750" s="313"/>
      <c r="B750" s="340"/>
      <c r="C750" s="342"/>
      <c r="D750" s="342"/>
      <c r="E750" s="342"/>
      <c r="F750" s="342"/>
      <c r="G750" s="342"/>
      <c r="H750" s="342"/>
      <c r="I750" s="342"/>
      <c r="J750" s="342"/>
      <c r="K750" s="342"/>
      <c r="L750" s="342"/>
      <c r="M750" s="342"/>
      <c r="N750" s="342"/>
      <c r="O750" s="342"/>
      <c r="P750" s="342"/>
      <c r="Q750" s="342"/>
      <c r="R750" s="342"/>
      <c r="S750" s="342"/>
      <c r="T750" s="342"/>
      <c r="U750" s="342"/>
      <c r="V750" s="342"/>
      <c r="W750" s="1562"/>
      <c r="X750" s="1562"/>
      <c r="Y750" s="1562"/>
      <c r="Z750" s="1562"/>
      <c r="AA750" s="1562"/>
      <c r="AB750" s="1562"/>
      <c r="AC750" s="355"/>
      <c r="AD750" s="1562"/>
      <c r="AE750" s="1562"/>
      <c r="AF750" s="1562"/>
      <c r="AG750" s="1562"/>
      <c r="AH750" s="1562"/>
      <c r="AI750" s="1562"/>
      <c r="AJ750" s="342"/>
      <c r="AK750" s="345"/>
      <c r="AL750" s="340"/>
      <c r="AM750" s="342"/>
      <c r="AN750" s="342"/>
      <c r="AO750" s="342"/>
      <c r="AP750" s="342"/>
      <c r="AQ750" s="342"/>
      <c r="AR750" s="342"/>
      <c r="AS750" s="342"/>
      <c r="AT750" s="342"/>
      <c r="AU750" s="342"/>
      <c r="AV750" s="342"/>
      <c r="AW750" s="342"/>
      <c r="AX750" s="342"/>
      <c r="AY750" s="342"/>
      <c r="AZ750" s="342"/>
      <c r="BA750" s="342"/>
      <c r="BB750" s="342"/>
      <c r="BC750" s="342"/>
      <c r="BD750" s="342"/>
      <c r="BE750" s="342"/>
      <c r="BF750" s="342"/>
      <c r="BG750" s="1562"/>
      <c r="BH750" s="1562"/>
      <c r="BI750" s="1562"/>
      <c r="BJ750" s="1562"/>
      <c r="BK750" s="1562"/>
      <c r="BL750" s="1562"/>
      <c r="BM750" s="355"/>
      <c r="BN750" s="1562"/>
      <c r="BO750" s="1562"/>
      <c r="BP750" s="1562"/>
      <c r="BQ750" s="1562"/>
      <c r="BR750" s="1562"/>
      <c r="BS750" s="1562"/>
      <c r="BT750" s="356"/>
      <c r="BU750" s="357"/>
      <c r="BV750" s="310"/>
      <c r="BW750" s="310"/>
      <c r="BX750" s="300">
        <f t="shared" si="17"/>
        <v>0</v>
      </c>
      <c r="BY750" s="342"/>
      <c r="BZ750" s="438"/>
      <c r="CA750" s="438"/>
      <c r="CB750" s="439"/>
      <c r="CC750" s="439"/>
      <c r="CD750" s="439"/>
      <c r="CE750" s="439"/>
      <c r="CF750" s="439"/>
    </row>
    <row r="751" spans="1:84" s="423" customFormat="1" ht="15" customHeight="1" thickBot="1" x14ac:dyDescent="0.3">
      <c r="A751" s="313"/>
      <c r="B751" s="340"/>
      <c r="C751" s="360" t="s">
        <v>752</v>
      </c>
      <c r="D751" s="341"/>
      <c r="E751" s="341"/>
      <c r="F751" s="341"/>
      <c r="G751" s="341"/>
      <c r="H751" s="341"/>
      <c r="I751" s="341"/>
      <c r="J751" s="341"/>
      <c r="K751" s="341"/>
      <c r="L751" s="341"/>
      <c r="M751" s="341"/>
      <c r="N751" s="341"/>
      <c r="O751" s="341"/>
      <c r="P751" s="341"/>
      <c r="Q751" s="341"/>
      <c r="R751" s="341"/>
      <c r="S751" s="341"/>
      <c r="T751" s="341"/>
      <c r="U751" s="341"/>
      <c r="V751" s="341"/>
      <c r="W751" s="1349">
        <f>SUBTOTAL(109,W739:AB749)</f>
        <v>1598224389</v>
      </c>
      <c r="X751" s="1349"/>
      <c r="Y751" s="1349"/>
      <c r="Z751" s="1349"/>
      <c r="AA751" s="1349"/>
      <c r="AB751" s="1349"/>
      <c r="AC751" s="363"/>
      <c r="AD751" s="1349">
        <f>SUBTOTAL(109,AD739:AI749)</f>
        <v>0</v>
      </c>
      <c r="AE751" s="1349"/>
      <c r="AF751" s="1349"/>
      <c r="AG751" s="1349"/>
      <c r="AH751" s="1349"/>
      <c r="AI751" s="1349"/>
      <c r="AJ751" s="342"/>
      <c r="AK751" s="345"/>
      <c r="AL751" s="340"/>
      <c r="AM751" s="360" t="s">
        <v>752</v>
      </c>
      <c r="AN751" s="341"/>
      <c r="AO751" s="341"/>
      <c r="AP751" s="341"/>
      <c r="AQ751" s="341"/>
      <c r="AR751" s="341"/>
      <c r="AS751" s="341"/>
      <c r="AT751" s="341"/>
      <c r="AU751" s="341"/>
      <c r="AV751" s="341"/>
      <c r="AW751" s="341"/>
      <c r="AX751" s="341"/>
      <c r="AY751" s="341"/>
      <c r="AZ751" s="341"/>
      <c r="BA751" s="341"/>
      <c r="BB751" s="341"/>
      <c r="BC751" s="341"/>
      <c r="BD751" s="341"/>
      <c r="BE751" s="341"/>
      <c r="BF751" s="341"/>
      <c r="BG751" s="1349">
        <f>SUBTOTAL(109,BG739:BL749)</f>
        <v>1598224389</v>
      </c>
      <c r="BH751" s="1349"/>
      <c r="BI751" s="1349"/>
      <c r="BJ751" s="1349"/>
      <c r="BK751" s="1349"/>
      <c r="BL751" s="1349"/>
      <c r="BM751" s="363"/>
      <c r="BN751" s="1349">
        <f>SUBTOTAL(109,BN739:BS749)</f>
        <v>0</v>
      </c>
      <c r="BO751" s="1349"/>
      <c r="BP751" s="1349"/>
      <c r="BQ751" s="1349"/>
      <c r="BR751" s="1349"/>
      <c r="BS751" s="1349"/>
      <c r="BT751" s="359"/>
      <c r="BU751" s="346"/>
      <c r="BV751" s="310">
        <f>W751-KN_CT242</f>
        <v>0</v>
      </c>
      <c r="BW751" s="310">
        <f>AD751-KT_CT242</f>
        <v>0</v>
      </c>
      <c r="BX751" s="300">
        <f t="shared" si="17"/>
        <v>0</v>
      </c>
      <c r="BY751" s="342"/>
      <c r="BZ751" s="438"/>
      <c r="CA751" s="438"/>
      <c r="CB751" s="439"/>
      <c r="CC751" s="439"/>
      <c r="CD751" s="439"/>
      <c r="CE751" s="439"/>
      <c r="CF751" s="439"/>
    </row>
    <row r="752" spans="1:84" ht="14.1" customHeight="1" thickTop="1" x14ac:dyDescent="0.25">
      <c r="A752" s="313"/>
      <c r="B752" s="340"/>
      <c r="C752" s="340"/>
      <c r="D752" s="340"/>
      <c r="E752" s="340"/>
      <c r="F752" s="340"/>
      <c r="G752" s="340"/>
      <c r="H752" s="340"/>
      <c r="I752" s="340"/>
      <c r="J752" s="340"/>
      <c r="K752" s="340"/>
      <c r="L752" s="340"/>
      <c r="M752" s="340"/>
      <c r="N752" s="340"/>
      <c r="O752" s="340"/>
      <c r="P752" s="340"/>
      <c r="Q752" s="340"/>
      <c r="R752" s="340"/>
      <c r="S752" s="340"/>
      <c r="T752" s="340"/>
      <c r="U752" s="342"/>
      <c r="V752" s="342"/>
      <c r="W752" s="368"/>
      <c r="X752" s="368"/>
      <c r="Y752" s="368"/>
      <c r="Z752" s="368"/>
      <c r="AA752" s="368"/>
      <c r="AB752" s="368"/>
      <c r="AC752" s="343"/>
      <c r="AD752" s="368"/>
      <c r="AE752" s="368"/>
      <c r="AF752" s="368"/>
      <c r="AG752" s="368"/>
      <c r="AH752" s="368"/>
      <c r="AI752" s="368"/>
      <c r="AJ752" s="344"/>
      <c r="AK752" s="345"/>
      <c r="AL752" s="340"/>
      <c r="AM752" s="340"/>
      <c r="AN752" s="340"/>
      <c r="AO752" s="340"/>
      <c r="AP752" s="340"/>
      <c r="AQ752" s="340"/>
      <c r="AR752" s="340"/>
      <c r="AS752" s="340"/>
      <c r="AT752" s="340"/>
      <c r="AU752" s="340"/>
      <c r="AV752" s="340"/>
      <c r="AW752" s="340"/>
      <c r="AX752" s="340"/>
      <c r="AY752" s="340"/>
      <c r="AZ752" s="340"/>
      <c r="BA752" s="340"/>
      <c r="BB752" s="340"/>
      <c r="BC752" s="340"/>
      <c r="BD752" s="340"/>
      <c r="BE752" s="342"/>
      <c r="BF752" s="342"/>
      <c r="BG752" s="368"/>
      <c r="BH752" s="368"/>
      <c r="BI752" s="368"/>
      <c r="BJ752" s="368"/>
      <c r="BK752" s="368"/>
      <c r="BL752" s="368"/>
      <c r="BM752" s="343"/>
      <c r="BN752" s="368"/>
      <c r="BO752" s="368"/>
      <c r="BP752" s="368"/>
      <c r="BQ752" s="368"/>
      <c r="BR752" s="368"/>
      <c r="BS752" s="368"/>
      <c r="BT752" s="361"/>
      <c r="BU752" s="362"/>
      <c r="BV752" s="310"/>
      <c r="BW752" s="310"/>
      <c r="BX752" s="291">
        <f t="shared" si="17"/>
        <v>0</v>
      </c>
      <c r="BY752" s="344"/>
      <c r="BZ752" s="347"/>
      <c r="CA752" s="347"/>
    </row>
    <row r="753" spans="1:79" ht="42.95" customHeight="1" x14ac:dyDescent="0.25">
      <c r="A753" s="313"/>
      <c r="B753" s="340"/>
      <c r="C753" s="1560" t="s">
        <v>975</v>
      </c>
      <c r="D753" s="1561"/>
      <c r="E753" s="1561"/>
      <c r="F753" s="1561"/>
      <c r="G753" s="1561"/>
      <c r="H753" s="1561"/>
      <c r="I753" s="1561"/>
      <c r="J753" s="1561"/>
      <c r="K753" s="1561"/>
      <c r="L753" s="1561"/>
      <c r="M753" s="1561"/>
      <c r="N753" s="1561"/>
      <c r="O753" s="1561"/>
      <c r="P753" s="1561"/>
      <c r="Q753" s="1561"/>
      <c r="R753" s="1561"/>
      <c r="S753" s="1561"/>
      <c r="T753" s="1561"/>
      <c r="U753" s="1561"/>
      <c r="V753" s="1561"/>
      <c r="W753" s="1561"/>
      <c r="X753" s="1561"/>
      <c r="Y753" s="1561"/>
      <c r="Z753" s="1561"/>
      <c r="AA753" s="1561"/>
      <c r="AB753" s="1561"/>
      <c r="AC753" s="1561"/>
      <c r="AD753" s="1561"/>
      <c r="AE753" s="1561"/>
      <c r="AF753" s="1561"/>
      <c r="AG753" s="1561"/>
      <c r="AH753" s="1561"/>
      <c r="AI753" s="1561"/>
      <c r="AJ753" s="344"/>
      <c r="AK753" s="345"/>
      <c r="AL753" s="340"/>
      <c r="AM753" s="340"/>
      <c r="AN753" s="340"/>
      <c r="AO753" s="340"/>
      <c r="AP753" s="340"/>
      <c r="AQ753" s="340"/>
      <c r="AR753" s="340"/>
      <c r="AS753" s="340"/>
      <c r="AT753" s="340"/>
      <c r="AU753" s="340"/>
      <c r="AV753" s="340"/>
      <c r="AW753" s="340"/>
      <c r="AX753" s="340"/>
      <c r="AY753" s="340"/>
      <c r="AZ753" s="340"/>
      <c r="BA753" s="340"/>
      <c r="BB753" s="340"/>
      <c r="BC753" s="340"/>
      <c r="BD753" s="340"/>
      <c r="BE753" s="342"/>
      <c r="BF753" s="342"/>
      <c r="BG753" s="368"/>
      <c r="BH753" s="368"/>
      <c r="BI753" s="368"/>
      <c r="BJ753" s="368"/>
      <c r="BK753" s="368"/>
      <c r="BL753" s="368"/>
      <c r="BM753" s="343"/>
      <c r="BN753" s="368"/>
      <c r="BO753" s="368"/>
      <c r="BP753" s="368"/>
      <c r="BQ753" s="368"/>
      <c r="BR753" s="368"/>
      <c r="BS753" s="368"/>
      <c r="BT753" s="361"/>
      <c r="BU753" s="362"/>
      <c r="BV753" s="310"/>
      <c r="BW753" s="310"/>
      <c r="BX753" s="291"/>
      <c r="BY753" s="344"/>
      <c r="BZ753" s="347"/>
      <c r="CA753" s="347" t="s">
        <v>976</v>
      </c>
    </row>
    <row r="754" spans="1:79" ht="12.95" customHeight="1" x14ac:dyDescent="0.25">
      <c r="A754" s="313"/>
      <c r="B754" s="340"/>
      <c r="C754" s="392"/>
      <c r="D754" s="392"/>
      <c r="E754" s="392"/>
      <c r="F754" s="392"/>
      <c r="G754" s="392"/>
      <c r="H754" s="392"/>
      <c r="I754" s="392"/>
      <c r="J754" s="392"/>
      <c r="K754" s="392"/>
      <c r="L754" s="392"/>
      <c r="M754" s="392"/>
      <c r="N754" s="392"/>
      <c r="O754" s="392"/>
      <c r="P754" s="392"/>
      <c r="Q754" s="392"/>
      <c r="R754" s="392"/>
      <c r="S754" s="392"/>
      <c r="T754" s="392"/>
      <c r="U754" s="392"/>
      <c r="V754" s="392"/>
      <c r="W754" s="393"/>
      <c r="X754" s="393"/>
      <c r="Y754" s="393"/>
      <c r="Z754" s="393"/>
      <c r="AA754" s="393"/>
      <c r="AB754" s="393"/>
      <c r="AC754" s="343"/>
      <c r="AD754" s="343"/>
      <c r="AE754" s="343"/>
      <c r="AF754" s="343"/>
      <c r="AG754" s="343"/>
      <c r="AH754" s="343"/>
      <c r="AI754" s="343"/>
      <c r="AJ754" s="344"/>
      <c r="AK754" s="345"/>
      <c r="AL754" s="340"/>
      <c r="AM754" s="392"/>
      <c r="AN754" s="392"/>
      <c r="AO754" s="392"/>
      <c r="AP754" s="392"/>
      <c r="AQ754" s="392"/>
      <c r="AR754" s="392"/>
      <c r="AS754" s="392"/>
      <c r="AT754" s="392"/>
      <c r="AU754" s="392"/>
      <c r="AV754" s="392"/>
      <c r="AW754" s="392"/>
      <c r="AX754" s="392"/>
      <c r="AY754" s="392"/>
      <c r="AZ754" s="392"/>
      <c r="BA754" s="392"/>
      <c r="BB754" s="392"/>
      <c r="BC754" s="392"/>
      <c r="BD754" s="392"/>
      <c r="BE754" s="392"/>
      <c r="BF754" s="392"/>
      <c r="BG754" s="392"/>
      <c r="BH754" s="392"/>
      <c r="BI754" s="392"/>
      <c r="BJ754" s="392"/>
      <c r="BK754" s="392"/>
      <c r="BL754" s="392"/>
      <c r="BM754" s="342"/>
      <c r="BN754" s="342"/>
      <c r="BO754" s="342"/>
      <c r="BP754" s="342"/>
      <c r="BQ754" s="342"/>
      <c r="BR754" s="342"/>
      <c r="BS754" s="342"/>
      <c r="BT754" s="342"/>
      <c r="BU754" s="346"/>
      <c r="BV754" s="310"/>
      <c r="BW754" s="310"/>
      <c r="BX754" s="291">
        <f t="shared" si="17"/>
        <v>0</v>
      </c>
      <c r="BY754" s="344"/>
      <c r="BZ754" s="347"/>
      <c r="CA754" s="347"/>
    </row>
    <row r="755" spans="1:79" ht="15" customHeight="1" x14ac:dyDescent="0.25">
      <c r="A755" s="313">
        <f>STT</f>
        <v>12</v>
      </c>
      <c r="B755" s="340" t="s">
        <v>345</v>
      </c>
      <c r="C755" s="471" t="s">
        <v>977</v>
      </c>
      <c r="D755" s="392"/>
      <c r="E755" s="392"/>
      <c r="F755" s="392"/>
      <c r="G755" s="392"/>
      <c r="H755" s="392"/>
      <c r="I755" s="392"/>
      <c r="J755" s="392"/>
      <c r="K755" s="392"/>
      <c r="L755" s="392"/>
      <c r="M755" s="392"/>
      <c r="N755" s="392"/>
      <c r="O755" s="392"/>
      <c r="P755" s="392"/>
      <c r="Q755" s="392"/>
      <c r="R755" s="392"/>
      <c r="S755" s="392"/>
      <c r="T755" s="392"/>
      <c r="U755" s="392"/>
      <c r="V755" s="392"/>
      <c r="W755" s="393"/>
      <c r="X755" s="393"/>
      <c r="Y755" s="393"/>
      <c r="Z755" s="393"/>
      <c r="AA755" s="393"/>
      <c r="AB755" s="393"/>
      <c r="AC755" s="343"/>
      <c r="AD755" s="343"/>
      <c r="AE755" s="343"/>
      <c r="AF755" s="343"/>
      <c r="AG755" s="343"/>
      <c r="AH755" s="343"/>
      <c r="AI755" s="343"/>
      <c r="AJ755" s="344"/>
      <c r="AK755" s="345">
        <f>A755</f>
        <v>12</v>
      </c>
      <c r="AL755" s="340" t="s">
        <v>345</v>
      </c>
      <c r="AM755" s="471" t="s">
        <v>978</v>
      </c>
      <c r="AN755" s="392"/>
      <c r="AO755" s="392"/>
      <c r="AP755" s="392"/>
      <c r="AQ755" s="392"/>
      <c r="AR755" s="392"/>
      <c r="AS755" s="392"/>
      <c r="AT755" s="392"/>
      <c r="AU755" s="392"/>
      <c r="AV755" s="392"/>
      <c r="AW755" s="392"/>
      <c r="AX755" s="392"/>
      <c r="AY755" s="392"/>
      <c r="AZ755" s="392"/>
      <c r="BA755" s="392"/>
      <c r="BB755" s="392"/>
      <c r="BC755" s="392"/>
      <c r="BD755" s="392"/>
      <c r="BE755" s="392"/>
      <c r="BF755" s="392"/>
      <c r="BG755" s="392"/>
      <c r="BH755" s="392"/>
      <c r="BI755" s="392"/>
      <c r="BJ755" s="392"/>
      <c r="BK755" s="392"/>
      <c r="BL755" s="392"/>
      <c r="BM755" s="342"/>
      <c r="BN755" s="342"/>
      <c r="BO755" s="342"/>
      <c r="BP755" s="342"/>
      <c r="BQ755" s="342"/>
      <c r="BR755" s="342"/>
      <c r="BS755" s="342"/>
      <c r="BT755" s="342"/>
      <c r="BU755" s="346">
        <f>SUBTOTAL(103,A755)</f>
        <v>1</v>
      </c>
      <c r="BV755" s="310"/>
      <c r="BW755" s="310"/>
      <c r="BX755" s="291">
        <f t="shared" si="17"/>
        <v>0</v>
      </c>
      <c r="BY755" s="344"/>
      <c r="BZ755" s="347"/>
      <c r="CA755" s="347"/>
    </row>
    <row r="756" spans="1:79" ht="15" customHeight="1" x14ac:dyDescent="0.25">
      <c r="A756" s="313"/>
      <c r="B756" s="340"/>
      <c r="C756" s="471"/>
      <c r="D756" s="392"/>
      <c r="E756" s="392"/>
      <c r="F756" s="392"/>
      <c r="G756" s="392"/>
      <c r="H756" s="392"/>
      <c r="I756" s="392"/>
      <c r="J756" s="392"/>
      <c r="K756" s="392"/>
      <c r="L756" s="392"/>
      <c r="M756" s="392"/>
      <c r="N756" s="392"/>
      <c r="O756" s="392"/>
      <c r="P756" s="392"/>
      <c r="Q756" s="392"/>
      <c r="R756" s="392"/>
      <c r="S756" s="392"/>
      <c r="T756" s="392"/>
      <c r="U756" s="392"/>
      <c r="V756" s="392"/>
      <c r="W756" s="393"/>
      <c r="X756" s="393"/>
      <c r="Y756" s="393"/>
      <c r="Z756" s="393"/>
      <c r="AA756" s="393"/>
      <c r="AB756" s="393"/>
      <c r="AC756" s="343"/>
      <c r="AD756" s="343"/>
      <c r="AE756" s="343"/>
      <c r="AF756" s="343"/>
      <c r="AG756" s="343"/>
      <c r="AH756" s="343"/>
      <c r="AI756" s="343"/>
      <c r="AJ756" s="344"/>
      <c r="AK756" s="345"/>
      <c r="AL756" s="340"/>
      <c r="AM756" s="471"/>
      <c r="AN756" s="392"/>
      <c r="AO756" s="392"/>
      <c r="AP756" s="392"/>
      <c r="AQ756" s="392"/>
      <c r="AR756" s="392"/>
      <c r="AS756" s="392"/>
      <c r="AT756" s="392"/>
      <c r="AU756" s="392"/>
      <c r="AV756" s="392"/>
      <c r="AW756" s="392"/>
      <c r="AX756" s="392"/>
      <c r="AY756" s="392"/>
      <c r="AZ756" s="392"/>
      <c r="BA756" s="392"/>
      <c r="BB756" s="392"/>
      <c r="BC756" s="392"/>
      <c r="BD756" s="392"/>
      <c r="BE756" s="392"/>
      <c r="BF756" s="392"/>
      <c r="BG756" s="392"/>
      <c r="BH756" s="392"/>
      <c r="BI756" s="392"/>
      <c r="BJ756" s="392"/>
      <c r="BK756" s="392"/>
      <c r="BL756" s="392"/>
      <c r="BM756" s="342"/>
      <c r="BN756" s="342"/>
      <c r="BO756" s="342"/>
      <c r="BP756" s="342"/>
      <c r="BQ756" s="342"/>
      <c r="BR756" s="342"/>
      <c r="BS756" s="342"/>
      <c r="BT756" s="342"/>
      <c r="BU756" s="346"/>
      <c r="BV756" s="310"/>
      <c r="BW756" s="310"/>
      <c r="BX756" s="291">
        <f t="shared" si="17"/>
        <v>0</v>
      </c>
      <c r="BY756" s="344"/>
      <c r="BZ756" s="347"/>
      <c r="CA756" s="347"/>
    </row>
    <row r="757" spans="1:79" ht="15" customHeight="1" x14ac:dyDescent="0.25">
      <c r="A757" s="313"/>
      <c r="B757" s="340"/>
      <c r="C757" s="472" t="s">
        <v>979</v>
      </c>
      <c r="D757" s="472"/>
      <c r="E757" s="472"/>
      <c r="F757" s="472"/>
      <c r="G757" s="472"/>
      <c r="H757" s="472"/>
      <c r="I757" s="1528" t="s">
        <v>980</v>
      </c>
      <c r="J757" s="1528"/>
      <c r="K757" s="1528"/>
      <c r="L757" s="1528"/>
      <c r="M757" s="1528"/>
      <c r="N757" s="1528"/>
      <c r="O757" s="473"/>
      <c r="P757" s="1528" t="s">
        <v>981</v>
      </c>
      <c r="Q757" s="1528"/>
      <c r="R757" s="1528"/>
      <c r="S757" s="1528"/>
      <c r="T757" s="1528"/>
      <c r="U757" s="1528"/>
      <c r="V757" s="473"/>
      <c r="W757" s="1528" t="s">
        <v>982</v>
      </c>
      <c r="X757" s="1528"/>
      <c r="Y757" s="1528"/>
      <c r="Z757" s="1528"/>
      <c r="AA757" s="1528"/>
      <c r="AB757" s="1528"/>
      <c r="AC757" s="473"/>
      <c r="AD757" s="1529" t="s">
        <v>983</v>
      </c>
      <c r="AE757" s="1529"/>
      <c r="AF757" s="1529"/>
      <c r="AG757" s="1529"/>
      <c r="AH757" s="1529"/>
      <c r="AI757" s="1529"/>
      <c r="AJ757" s="474"/>
      <c r="AK757" s="475"/>
      <c r="AL757" s="476"/>
      <c r="AM757" s="472" t="s">
        <v>984</v>
      </c>
      <c r="AN757" s="472"/>
      <c r="AO757" s="472"/>
      <c r="AP757" s="472"/>
      <c r="AQ757" s="472"/>
      <c r="AR757" s="472"/>
      <c r="AS757" s="1528" t="str">
        <f>I757</f>
        <v>2111</v>
      </c>
      <c r="AT757" s="1528"/>
      <c r="AU757" s="1528"/>
      <c r="AV757" s="1528"/>
      <c r="AW757" s="1528"/>
      <c r="AX757" s="1528"/>
      <c r="AY757" s="477"/>
      <c r="AZ757" s="1528" t="str">
        <f>P757</f>
        <v>2112</v>
      </c>
      <c r="BA757" s="1528"/>
      <c r="BB757" s="1528"/>
      <c r="BC757" s="1528"/>
      <c r="BD757" s="1528"/>
      <c r="BE757" s="1528"/>
      <c r="BF757" s="477"/>
      <c r="BG757" s="1528" t="str">
        <f>W757</f>
        <v>2114</v>
      </c>
      <c r="BH757" s="1528"/>
      <c r="BI757" s="1528"/>
      <c r="BJ757" s="1528"/>
      <c r="BK757" s="1528"/>
      <c r="BL757" s="1528"/>
      <c r="BM757" s="477"/>
      <c r="BN757" s="1529" t="str">
        <f>AD757</f>
        <v>Cong</v>
      </c>
      <c r="BO757" s="1529"/>
      <c r="BP757" s="1529"/>
      <c r="BQ757" s="1529"/>
      <c r="BR757" s="1529"/>
      <c r="BS757" s="1529"/>
      <c r="BT757" s="478"/>
      <c r="BU757" s="479"/>
      <c r="BV757" s="310"/>
      <c r="BW757" s="310"/>
      <c r="BX757" s="291">
        <f t="shared" si="17"/>
        <v>0</v>
      </c>
      <c r="BY757" s="344"/>
      <c r="BZ757" s="347"/>
      <c r="CA757" s="347"/>
    </row>
    <row r="758" spans="1:79" ht="27.95" customHeight="1" x14ac:dyDescent="0.2">
      <c r="A758" s="313"/>
      <c r="B758" s="340"/>
      <c r="C758" s="480"/>
      <c r="D758" s="480"/>
      <c r="E758" s="480"/>
      <c r="F758" s="480"/>
      <c r="G758" s="480"/>
      <c r="H758" s="480"/>
      <c r="I758" s="1464" t="str">
        <f>HLOOKUP(I$757,TM_TSCDHH_V,ROW()-ROW($C$757)+1,0)</f>
        <v>Nhà cửa, 
vật kiến trúc</v>
      </c>
      <c r="J758" s="1464"/>
      <c r="K758" s="1464"/>
      <c r="L758" s="1464"/>
      <c r="M758" s="1464"/>
      <c r="N758" s="1464"/>
      <c r="O758" s="481"/>
      <c r="P758" s="1464" t="str">
        <f>HLOOKUP(P$757,TM_TSCDHH_V,ROW()-ROW($C$757)+1,0)</f>
        <v>Máy móc, thiết bị</v>
      </c>
      <c r="Q758" s="1464"/>
      <c r="R758" s="1464"/>
      <c r="S758" s="1464"/>
      <c r="T758" s="1464"/>
      <c r="U758" s="1464"/>
      <c r="V758" s="481"/>
      <c r="W758" s="1465" t="str">
        <f>HLOOKUP(W$757,TM_TSCDHH_V,ROW()-ROW($C$757)+1,0)</f>
        <v>Thiết bị, dụng cụ quản lý</v>
      </c>
      <c r="X758" s="1465"/>
      <c r="Y758" s="1465"/>
      <c r="Z758" s="1465"/>
      <c r="AA758" s="1465"/>
      <c r="AB758" s="1465"/>
      <c r="AC758" s="482"/>
      <c r="AD758" s="1530" t="str">
        <f>HLOOKUP(AD$757,TM_TSCDHH_V,ROW()-ROW($C$757)+1,0)</f>
        <v>Cộng</v>
      </c>
      <c r="AE758" s="1530"/>
      <c r="AF758" s="1530"/>
      <c r="AG758" s="1530"/>
      <c r="AH758" s="1530"/>
      <c r="AI758" s="1530"/>
      <c r="AJ758" s="344"/>
      <c r="AK758" s="345"/>
      <c r="AL758" s="340"/>
      <c r="AM758" s="480"/>
      <c r="AN758" s="480"/>
      <c r="AO758" s="480"/>
      <c r="AP758" s="480"/>
      <c r="AQ758" s="480"/>
      <c r="AR758" s="480"/>
      <c r="AS758" s="1464" t="str">
        <f>HLOOKUP(AS$757,TM_TSCDHH_E,ROW()-ROW($AM$757)+1,0)</f>
        <v>Buildings</v>
      </c>
      <c r="AT758" s="1464"/>
      <c r="AU758" s="1464"/>
      <c r="AV758" s="1464"/>
      <c r="AW758" s="1464"/>
      <c r="AX758" s="1464"/>
      <c r="AY758" s="481"/>
      <c r="AZ758" s="1464" t="str">
        <f>HLOOKUP(AZ$757,TM_TSCDHH_E,ROW()-ROW($AM$757)+1,0)</f>
        <v>Machine, equipment</v>
      </c>
      <c r="BA758" s="1464"/>
      <c r="BB758" s="1464"/>
      <c r="BC758" s="1464"/>
      <c r="BD758" s="1464"/>
      <c r="BE758" s="1464"/>
      <c r="BF758" s="481"/>
      <c r="BG758" s="1465" t="str">
        <f>HLOOKUP(BG$757,TM_TSCDHH_E,ROW()-ROW($AM$757)+1,0)</f>
        <v>Management equipment</v>
      </c>
      <c r="BH758" s="1465"/>
      <c r="BI758" s="1465"/>
      <c r="BJ758" s="1465"/>
      <c r="BK758" s="1465"/>
      <c r="BL758" s="1465"/>
      <c r="BM758" s="482"/>
      <c r="BN758" s="1530" t="str">
        <f>HLOOKUP(BN$757,TM_TSCDHH_E,ROW()-ROW($AM$757)+1,0)</f>
        <v>Total</v>
      </c>
      <c r="BO758" s="1530"/>
      <c r="BP758" s="1530"/>
      <c r="BQ758" s="1530"/>
      <c r="BR758" s="1530"/>
      <c r="BS758" s="1530"/>
      <c r="BT758" s="478"/>
      <c r="BU758" s="479"/>
      <c r="BV758" s="310"/>
      <c r="BW758" s="310"/>
      <c r="BX758" s="291">
        <f t="shared" si="17"/>
        <v>0</v>
      </c>
      <c r="BY758" s="344"/>
      <c r="BZ758" s="347"/>
      <c r="CA758" s="347"/>
    </row>
    <row r="759" spans="1:79" ht="15" hidden="1" customHeight="1" x14ac:dyDescent="0.2">
      <c r="A759" s="313"/>
      <c r="B759" s="340"/>
      <c r="C759" s="1547"/>
      <c r="D759" s="1547"/>
      <c r="E759" s="1547"/>
      <c r="F759" s="1547"/>
      <c r="G759" s="1547"/>
      <c r="H759" s="1547"/>
      <c r="I759" s="1453" t="str">
        <f>Don_Vi_Tinh_V</f>
        <v>VND</v>
      </c>
      <c r="J759" s="1453"/>
      <c r="K759" s="1453"/>
      <c r="L759" s="1453"/>
      <c r="M759" s="1453"/>
      <c r="N759" s="1453"/>
      <c r="O759" s="481"/>
      <c r="P759" s="1453" t="str">
        <f>Don_Vi_Tinh_V</f>
        <v>VND</v>
      </c>
      <c r="Q759" s="1453"/>
      <c r="R759" s="1453"/>
      <c r="S759" s="1453"/>
      <c r="T759" s="1453"/>
      <c r="U759" s="1453"/>
      <c r="V759" s="481"/>
      <c r="W759" s="1453" t="str">
        <f>Don_Vi_Tinh_V</f>
        <v>VND</v>
      </c>
      <c r="X759" s="1453"/>
      <c r="Y759" s="1453"/>
      <c r="Z759" s="1453"/>
      <c r="AA759" s="1453"/>
      <c r="AB759" s="1453"/>
      <c r="AC759" s="482"/>
      <c r="AD759" s="1559" t="str">
        <f>Don_Vi_Tinh_V</f>
        <v>VND</v>
      </c>
      <c r="AE759" s="1559"/>
      <c r="AF759" s="1559"/>
      <c r="AG759" s="1559"/>
      <c r="AH759" s="1559"/>
      <c r="AI759" s="1559"/>
      <c r="AJ759" s="344"/>
      <c r="AK759" s="345"/>
      <c r="AL759" s="340"/>
      <c r="AM759" s="483"/>
      <c r="AN759" s="483"/>
      <c r="AO759" s="483"/>
      <c r="AP759" s="483"/>
      <c r="AQ759" s="483"/>
      <c r="AR759" s="483"/>
      <c r="AS759" s="1559" t="str">
        <f>Don_Vi_Tinh_E</f>
        <v>VND</v>
      </c>
      <c r="AT759" s="1559"/>
      <c r="AU759" s="1559"/>
      <c r="AV759" s="1559"/>
      <c r="AW759" s="1559"/>
      <c r="AX759" s="1559"/>
      <c r="AY759" s="481"/>
      <c r="AZ759" s="1559" t="str">
        <f>Don_Vi_Tinh_E</f>
        <v>VND</v>
      </c>
      <c r="BA759" s="1559"/>
      <c r="BB759" s="1559"/>
      <c r="BC759" s="1559"/>
      <c r="BD759" s="1559"/>
      <c r="BE759" s="1559"/>
      <c r="BF759" s="481"/>
      <c r="BG759" s="1559" t="str">
        <f>Don_Vi_Tinh_E</f>
        <v>VND</v>
      </c>
      <c r="BH759" s="1559"/>
      <c r="BI759" s="1559"/>
      <c r="BJ759" s="1559"/>
      <c r="BK759" s="1559"/>
      <c r="BL759" s="1559"/>
      <c r="BM759" s="482"/>
      <c r="BN759" s="1559" t="str">
        <f>Don_Vi_Tinh_E</f>
        <v>VND</v>
      </c>
      <c r="BO759" s="1559"/>
      <c r="BP759" s="1559"/>
      <c r="BQ759" s="1559"/>
      <c r="BR759" s="1559"/>
      <c r="BS759" s="1559"/>
      <c r="BT759" s="478"/>
      <c r="BU759" s="479"/>
      <c r="BV759" s="310"/>
      <c r="BW759" s="310"/>
      <c r="BX759" s="291">
        <f t="shared" ref="BX759:BX822" si="22">IF(ISNONTEXT($C759),0,SUM(D759:AI759)-SUM(AN759:BS759))</f>
        <v>0</v>
      </c>
      <c r="BY759" s="344"/>
      <c r="BZ759" s="347"/>
      <c r="CA759" s="347"/>
    </row>
    <row r="760" spans="1:79" ht="15" hidden="1" customHeight="1" x14ac:dyDescent="0.25">
      <c r="A760" s="313"/>
      <c r="B760" s="340"/>
      <c r="C760" s="1548" t="s">
        <v>985</v>
      </c>
      <c r="D760" s="1548"/>
      <c r="E760" s="1548"/>
      <c r="F760" s="1548"/>
      <c r="G760" s="1548"/>
      <c r="H760" s="1548"/>
      <c r="I760" s="1421"/>
      <c r="J760" s="1421"/>
      <c r="K760" s="1421"/>
      <c r="L760" s="1421"/>
      <c r="M760" s="1421"/>
      <c r="N760" s="1421"/>
      <c r="O760" s="484"/>
      <c r="P760" s="1525"/>
      <c r="Q760" s="1525"/>
      <c r="R760" s="1525"/>
      <c r="S760" s="1525"/>
      <c r="T760" s="1525"/>
      <c r="U760" s="1525"/>
      <c r="V760" s="484"/>
      <c r="W760" s="1525"/>
      <c r="X760" s="1525"/>
      <c r="Y760" s="1525"/>
      <c r="Z760" s="1525"/>
      <c r="AA760" s="1525"/>
      <c r="AB760" s="1525"/>
      <c r="AC760" s="484"/>
      <c r="AD760" s="1525"/>
      <c r="AE760" s="1525"/>
      <c r="AF760" s="1525"/>
      <c r="AG760" s="1525"/>
      <c r="AH760" s="1525"/>
      <c r="AI760" s="1525"/>
      <c r="AJ760" s="344"/>
      <c r="AK760" s="345"/>
      <c r="AL760" s="340"/>
      <c r="AM760" s="1558" t="s">
        <v>986</v>
      </c>
      <c r="AN760" s="1558"/>
      <c r="AO760" s="1558"/>
      <c r="AP760" s="1558"/>
      <c r="AQ760" s="1558"/>
      <c r="AR760" s="1558"/>
      <c r="AS760" s="1421"/>
      <c r="AT760" s="1421"/>
      <c r="AU760" s="1421"/>
      <c r="AV760" s="1421"/>
      <c r="AW760" s="1421"/>
      <c r="AX760" s="1421"/>
      <c r="AY760" s="484"/>
      <c r="AZ760" s="1525"/>
      <c r="BA760" s="1525"/>
      <c r="BB760" s="1525"/>
      <c r="BC760" s="1525"/>
      <c r="BD760" s="1525"/>
      <c r="BE760" s="1525"/>
      <c r="BF760" s="484"/>
      <c r="BG760" s="1525"/>
      <c r="BH760" s="1525"/>
      <c r="BI760" s="1525"/>
      <c r="BJ760" s="1525"/>
      <c r="BK760" s="1525"/>
      <c r="BL760" s="1525"/>
      <c r="BM760" s="484"/>
      <c r="BN760" s="1525"/>
      <c r="BO760" s="1525"/>
      <c r="BP760" s="1525"/>
      <c r="BQ760" s="1525"/>
      <c r="BR760" s="1525"/>
      <c r="BS760" s="1525"/>
      <c r="BT760" s="485"/>
      <c r="BU760" s="486"/>
      <c r="BV760" s="310"/>
      <c r="BW760" s="310"/>
      <c r="BX760" s="291">
        <f t="shared" si="22"/>
        <v>0</v>
      </c>
      <c r="BY760" s="344"/>
      <c r="BZ760" s="347"/>
      <c r="CA760" s="347"/>
    </row>
    <row r="761" spans="1:79" ht="15" hidden="1" customHeight="1" x14ac:dyDescent="0.25">
      <c r="A761" s="313"/>
      <c r="B761" s="340"/>
      <c r="C761" s="1550" t="s">
        <v>987</v>
      </c>
      <c r="D761" s="1550"/>
      <c r="E761" s="1550"/>
      <c r="F761" s="1550"/>
      <c r="G761" s="1550"/>
      <c r="H761" s="1550"/>
      <c r="I761" s="1445">
        <f t="shared" ref="I761:I767" si="23">HLOOKUP(I$757,TM_TSCDHH_V,ROW()-ROW($C$757)+1,0)</f>
        <v>33204676403</v>
      </c>
      <c r="J761" s="1445"/>
      <c r="K761" s="1445"/>
      <c r="L761" s="1445"/>
      <c r="M761" s="1445"/>
      <c r="N761" s="1445"/>
      <c r="O761" s="487"/>
      <c r="P761" s="1445">
        <f t="shared" ref="P761:P767" si="24">HLOOKUP(P$757,TM_TSCDHH_V,ROW()-ROW($C$757)+1,0)</f>
        <v>39164821619</v>
      </c>
      <c r="Q761" s="1445"/>
      <c r="R761" s="1445"/>
      <c r="S761" s="1445"/>
      <c r="T761" s="1445"/>
      <c r="U761" s="1445"/>
      <c r="V761" s="487"/>
      <c r="W761" s="1445">
        <f t="shared" ref="W761:W767" si="25">HLOOKUP(W$757,TM_TSCDHH_V,ROW()-ROW($C$757)+1,0)</f>
        <v>92033636</v>
      </c>
      <c r="X761" s="1445"/>
      <c r="Y761" s="1445"/>
      <c r="Z761" s="1445"/>
      <c r="AA761" s="1445"/>
      <c r="AB761" s="1445"/>
      <c r="AC761" s="487"/>
      <c r="AD761" s="1330">
        <f t="shared" ref="AD761:AD767" si="26">SUM(I761:AB761)</f>
        <v>72461531658</v>
      </c>
      <c r="AE761" s="1330"/>
      <c r="AF761" s="1330"/>
      <c r="AG761" s="1330"/>
      <c r="AH761" s="1330"/>
      <c r="AI761" s="1330"/>
      <c r="AJ761" s="344"/>
      <c r="AK761" s="345"/>
      <c r="AL761" s="340"/>
      <c r="AM761" s="1551" t="s">
        <v>988</v>
      </c>
      <c r="AN761" s="1551"/>
      <c r="AO761" s="1551"/>
      <c r="AP761" s="1551"/>
      <c r="AQ761" s="1551"/>
      <c r="AR761" s="1551"/>
      <c r="AS761" s="1445">
        <f t="shared" ref="AS761:AS767" si="27">I761</f>
        <v>33204676403</v>
      </c>
      <c r="AT761" s="1445"/>
      <c r="AU761" s="1445"/>
      <c r="AV761" s="1445"/>
      <c r="AW761" s="1445"/>
      <c r="AX761" s="1445"/>
      <c r="AY761" s="487"/>
      <c r="AZ761" s="1445">
        <f t="shared" ref="AZ761:AZ767" si="28">P761</f>
        <v>39164821619</v>
      </c>
      <c r="BA761" s="1445"/>
      <c r="BB761" s="1445"/>
      <c r="BC761" s="1445"/>
      <c r="BD761" s="1445"/>
      <c r="BE761" s="1445"/>
      <c r="BF761" s="487"/>
      <c r="BG761" s="1445">
        <f t="shared" ref="BG761:BG767" si="29">W761</f>
        <v>92033636</v>
      </c>
      <c r="BH761" s="1445"/>
      <c r="BI761" s="1445"/>
      <c r="BJ761" s="1445"/>
      <c r="BK761" s="1445"/>
      <c r="BL761" s="1445"/>
      <c r="BM761" s="487"/>
      <c r="BN761" s="1330">
        <f t="shared" ref="BN761:BN767" si="30">SUM(AS761:BL761)</f>
        <v>72461531658</v>
      </c>
      <c r="BO761" s="1330"/>
      <c r="BP761" s="1330"/>
      <c r="BQ761" s="1330"/>
      <c r="BR761" s="1330"/>
      <c r="BS761" s="1330"/>
      <c r="BT761" s="488"/>
      <c r="BU761" s="489"/>
      <c r="BV761" s="310"/>
      <c r="BW761" s="310">
        <f>AD761-KT_CT222</f>
        <v>-2690519711</v>
      </c>
      <c r="BX761" s="291">
        <f t="shared" si="22"/>
        <v>0</v>
      </c>
      <c r="BY761" s="344"/>
      <c r="BZ761" s="347"/>
      <c r="CA761" s="347"/>
    </row>
    <row r="762" spans="1:79" ht="15" hidden="1" customHeight="1" x14ac:dyDescent="0.25">
      <c r="A762" s="313"/>
      <c r="B762" s="340"/>
      <c r="C762" s="1555" t="s">
        <v>989</v>
      </c>
      <c r="D762" s="1550"/>
      <c r="E762" s="1550"/>
      <c r="F762" s="1550"/>
      <c r="G762" s="1550"/>
      <c r="H762" s="1550"/>
      <c r="I762" s="1520">
        <f t="shared" si="23"/>
        <v>0</v>
      </c>
      <c r="J762" s="1520"/>
      <c r="K762" s="1520"/>
      <c r="L762" s="1520"/>
      <c r="M762" s="1520"/>
      <c r="N762" s="1520"/>
      <c r="O762" s="490"/>
      <c r="P762" s="1520">
        <f t="shared" si="24"/>
        <v>0</v>
      </c>
      <c r="Q762" s="1520"/>
      <c r="R762" s="1520"/>
      <c r="S762" s="1520"/>
      <c r="T762" s="1520"/>
      <c r="U762" s="1520"/>
      <c r="V762" s="490"/>
      <c r="W762" s="1520">
        <f t="shared" si="25"/>
        <v>0</v>
      </c>
      <c r="X762" s="1520"/>
      <c r="Y762" s="1520"/>
      <c r="Z762" s="1520"/>
      <c r="AA762" s="1520"/>
      <c r="AB762" s="1520"/>
      <c r="AC762" s="490"/>
      <c r="AD762" s="1318">
        <f t="shared" si="26"/>
        <v>0</v>
      </c>
      <c r="AE762" s="1318"/>
      <c r="AF762" s="1318"/>
      <c r="AG762" s="1318"/>
      <c r="AH762" s="1318"/>
      <c r="AI762" s="1318"/>
      <c r="AJ762" s="344"/>
      <c r="AK762" s="345"/>
      <c r="AL762" s="340"/>
      <c r="AM762" s="1556" t="s">
        <v>990</v>
      </c>
      <c r="AN762" s="1551"/>
      <c r="AO762" s="1551"/>
      <c r="AP762" s="1551"/>
      <c r="AQ762" s="1551"/>
      <c r="AR762" s="1551"/>
      <c r="AS762" s="1520">
        <f t="shared" si="27"/>
        <v>0</v>
      </c>
      <c r="AT762" s="1520"/>
      <c r="AU762" s="1520"/>
      <c r="AV762" s="1520"/>
      <c r="AW762" s="1520"/>
      <c r="AX762" s="1520"/>
      <c r="AY762" s="490"/>
      <c r="AZ762" s="1520">
        <f t="shared" si="28"/>
        <v>0</v>
      </c>
      <c r="BA762" s="1520"/>
      <c r="BB762" s="1520"/>
      <c r="BC762" s="1520"/>
      <c r="BD762" s="1520"/>
      <c r="BE762" s="1520"/>
      <c r="BF762" s="490"/>
      <c r="BG762" s="1520">
        <f t="shared" si="29"/>
        <v>0</v>
      </c>
      <c r="BH762" s="1520"/>
      <c r="BI762" s="1520"/>
      <c r="BJ762" s="1520"/>
      <c r="BK762" s="1520"/>
      <c r="BL762" s="1520"/>
      <c r="BM762" s="490"/>
      <c r="BN762" s="1318">
        <f t="shared" si="30"/>
        <v>0</v>
      </c>
      <c r="BO762" s="1318"/>
      <c r="BP762" s="1318"/>
      <c r="BQ762" s="1318"/>
      <c r="BR762" s="1318"/>
      <c r="BS762" s="1318"/>
      <c r="BT762" s="491"/>
      <c r="BU762" s="492"/>
      <c r="BV762" s="310"/>
      <c r="BW762" s="310"/>
      <c r="BX762" s="291">
        <f t="shared" si="22"/>
        <v>0</v>
      </c>
      <c r="BY762" s="344"/>
      <c r="BZ762" s="347"/>
      <c r="CA762" s="347"/>
    </row>
    <row r="763" spans="1:79" ht="27.95" hidden="1" customHeight="1" x14ac:dyDescent="0.25">
      <c r="A763" s="313"/>
      <c r="B763" s="340"/>
      <c r="C763" s="1555" t="s">
        <v>991</v>
      </c>
      <c r="D763" s="1550"/>
      <c r="E763" s="1550"/>
      <c r="F763" s="1550"/>
      <c r="G763" s="1550"/>
      <c r="H763" s="1550"/>
      <c r="I763" s="1520">
        <f t="shared" si="23"/>
        <v>-2847556400</v>
      </c>
      <c r="J763" s="1520"/>
      <c r="K763" s="1520"/>
      <c r="L763" s="1520"/>
      <c r="M763" s="1520"/>
      <c r="N763" s="1520"/>
      <c r="O763" s="490"/>
      <c r="P763" s="1520">
        <f t="shared" si="24"/>
        <v>-521627428</v>
      </c>
      <c r="Q763" s="1520"/>
      <c r="R763" s="1520"/>
      <c r="S763" s="1520"/>
      <c r="T763" s="1520"/>
      <c r="U763" s="1520"/>
      <c r="V763" s="490"/>
      <c r="W763" s="1520">
        <f t="shared" si="25"/>
        <v>0</v>
      </c>
      <c r="X763" s="1520"/>
      <c r="Y763" s="1520"/>
      <c r="Z763" s="1520"/>
      <c r="AA763" s="1520"/>
      <c r="AB763" s="1520"/>
      <c r="AC763" s="490"/>
      <c r="AD763" s="1318">
        <f t="shared" si="26"/>
        <v>-3369183828</v>
      </c>
      <c r="AE763" s="1318"/>
      <c r="AF763" s="1318"/>
      <c r="AG763" s="1318"/>
      <c r="AH763" s="1318"/>
      <c r="AI763" s="1318"/>
      <c r="AJ763" s="344"/>
      <c r="AK763" s="345"/>
      <c r="AL763" s="340"/>
      <c r="AM763" s="1556" t="s">
        <v>992</v>
      </c>
      <c r="AN763" s="1551"/>
      <c r="AO763" s="1551"/>
      <c r="AP763" s="1551"/>
      <c r="AQ763" s="1551"/>
      <c r="AR763" s="1551"/>
      <c r="AS763" s="1520">
        <f t="shared" si="27"/>
        <v>-2847556400</v>
      </c>
      <c r="AT763" s="1520"/>
      <c r="AU763" s="1520"/>
      <c r="AV763" s="1520"/>
      <c r="AW763" s="1520"/>
      <c r="AX763" s="1520"/>
      <c r="AY763" s="490"/>
      <c r="AZ763" s="1520">
        <f t="shared" si="28"/>
        <v>-521627428</v>
      </c>
      <c r="BA763" s="1520"/>
      <c r="BB763" s="1520"/>
      <c r="BC763" s="1520"/>
      <c r="BD763" s="1520"/>
      <c r="BE763" s="1520"/>
      <c r="BF763" s="490"/>
      <c r="BG763" s="1520">
        <f t="shared" si="29"/>
        <v>0</v>
      </c>
      <c r="BH763" s="1520"/>
      <c r="BI763" s="1520"/>
      <c r="BJ763" s="1520"/>
      <c r="BK763" s="1520"/>
      <c r="BL763" s="1520"/>
      <c r="BM763" s="490"/>
      <c r="BN763" s="1318">
        <f t="shared" si="30"/>
        <v>-3369183828</v>
      </c>
      <c r="BO763" s="1318"/>
      <c r="BP763" s="1318"/>
      <c r="BQ763" s="1318"/>
      <c r="BR763" s="1318"/>
      <c r="BS763" s="1318"/>
      <c r="BT763" s="491"/>
      <c r="BU763" s="492"/>
      <c r="BV763" s="310"/>
      <c r="BW763" s="310"/>
      <c r="BX763" s="291">
        <f t="shared" si="22"/>
        <v>0</v>
      </c>
      <c r="BY763" s="344"/>
      <c r="BZ763" s="347"/>
      <c r="CA763" s="347"/>
    </row>
    <row r="764" spans="1:79" ht="15" hidden="1" customHeight="1" x14ac:dyDescent="0.25">
      <c r="A764" s="313"/>
      <c r="B764" s="340"/>
      <c r="C764" s="1555" t="s">
        <v>993</v>
      </c>
      <c r="D764" s="1550"/>
      <c r="E764" s="1550"/>
      <c r="F764" s="1550"/>
      <c r="G764" s="1550"/>
      <c r="H764" s="1550"/>
      <c r="I764" s="1520">
        <f t="shared" si="23"/>
        <v>0</v>
      </c>
      <c r="J764" s="1520"/>
      <c r="K764" s="1520"/>
      <c r="L764" s="1520"/>
      <c r="M764" s="1520"/>
      <c r="N764" s="1520"/>
      <c r="O764" s="490"/>
      <c r="P764" s="1520">
        <f t="shared" si="24"/>
        <v>0</v>
      </c>
      <c r="Q764" s="1520"/>
      <c r="R764" s="1520"/>
      <c r="S764" s="1520"/>
      <c r="T764" s="1520"/>
      <c r="U764" s="1520"/>
      <c r="V764" s="490"/>
      <c r="W764" s="1520">
        <f t="shared" si="25"/>
        <v>0</v>
      </c>
      <c r="X764" s="1520"/>
      <c r="Y764" s="1520"/>
      <c r="Z764" s="1520"/>
      <c r="AA764" s="1520"/>
      <c r="AB764" s="1520"/>
      <c r="AC764" s="490"/>
      <c r="AD764" s="1318">
        <f t="shared" si="26"/>
        <v>0</v>
      </c>
      <c r="AE764" s="1318"/>
      <c r="AF764" s="1318"/>
      <c r="AG764" s="1318"/>
      <c r="AH764" s="1318"/>
      <c r="AI764" s="1318"/>
      <c r="AJ764" s="344"/>
      <c r="AK764" s="345"/>
      <c r="AL764" s="340"/>
      <c r="AM764" s="1556" t="s">
        <v>994</v>
      </c>
      <c r="AN764" s="1551"/>
      <c r="AO764" s="1551"/>
      <c r="AP764" s="1551"/>
      <c r="AQ764" s="1551"/>
      <c r="AR764" s="1551"/>
      <c r="AS764" s="1520">
        <f t="shared" si="27"/>
        <v>0</v>
      </c>
      <c r="AT764" s="1520"/>
      <c r="AU764" s="1520"/>
      <c r="AV764" s="1520"/>
      <c r="AW764" s="1520"/>
      <c r="AX764" s="1520"/>
      <c r="AY764" s="490"/>
      <c r="AZ764" s="1520">
        <f t="shared" si="28"/>
        <v>0</v>
      </c>
      <c r="BA764" s="1520"/>
      <c r="BB764" s="1520"/>
      <c r="BC764" s="1520"/>
      <c r="BD764" s="1520"/>
      <c r="BE764" s="1520"/>
      <c r="BF764" s="490"/>
      <c r="BG764" s="1520">
        <f t="shared" si="29"/>
        <v>0</v>
      </c>
      <c r="BH764" s="1520"/>
      <c r="BI764" s="1520"/>
      <c r="BJ764" s="1520"/>
      <c r="BK764" s="1520"/>
      <c r="BL764" s="1520"/>
      <c r="BM764" s="490"/>
      <c r="BN764" s="1318">
        <f t="shared" si="30"/>
        <v>0</v>
      </c>
      <c r="BO764" s="1318"/>
      <c r="BP764" s="1318"/>
      <c r="BQ764" s="1318"/>
      <c r="BR764" s="1318"/>
      <c r="BS764" s="1318"/>
      <c r="BT764" s="491"/>
      <c r="BU764" s="492"/>
      <c r="BV764" s="310"/>
      <c r="BW764" s="310"/>
      <c r="BX764" s="291">
        <f t="shared" si="22"/>
        <v>0</v>
      </c>
      <c r="BY764" s="344"/>
      <c r="BZ764" s="347"/>
      <c r="CA764" s="347"/>
    </row>
    <row r="765" spans="1:79" ht="27.95" hidden="1" customHeight="1" x14ac:dyDescent="0.25">
      <c r="A765" s="313"/>
      <c r="B765" s="340"/>
      <c r="C765" s="1555" t="s">
        <v>995</v>
      </c>
      <c r="D765" s="1550"/>
      <c r="E765" s="1550"/>
      <c r="F765" s="1550"/>
      <c r="G765" s="1550"/>
      <c r="H765" s="1550"/>
      <c r="I765" s="1520">
        <f t="shared" si="23"/>
        <v>0</v>
      </c>
      <c r="J765" s="1520"/>
      <c r="K765" s="1520"/>
      <c r="L765" s="1520"/>
      <c r="M765" s="1520"/>
      <c r="N765" s="1520"/>
      <c r="O765" s="490"/>
      <c r="P765" s="1520">
        <f t="shared" si="24"/>
        <v>0</v>
      </c>
      <c r="Q765" s="1520"/>
      <c r="R765" s="1520"/>
      <c r="S765" s="1520"/>
      <c r="T765" s="1520"/>
      <c r="U765" s="1520"/>
      <c r="V765" s="490"/>
      <c r="W765" s="1520">
        <f t="shared" si="25"/>
        <v>0</v>
      </c>
      <c r="X765" s="1520"/>
      <c r="Y765" s="1520"/>
      <c r="Z765" s="1520"/>
      <c r="AA765" s="1520"/>
      <c r="AB765" s="1520"/>
      <c r="AC765" s="490"/>
      <c r="AD765" s="1318">
        <f t="shared" si="26"/>
        <v>0</v>
      </c>
      <c r="AE765" s="1318"/>
      <c r="AF765" s="1318"/>
      <c r="AG765" s="1318"/>
      <c r="AH765" s="1318"/>
      <c r="AI765" s="1318"/>
      <c r="AJ765" s="344"/>
      <c r="AK765" s="345"/>
      <c r="AL765" s="340"/>
      <c r="AM765" s="1556" t="s">
        <v>996</v>
      </c>
      <c r="AN765" s="1551"/>
      <c r="AO765" s="1551"/>
      <c r="AP765" s="1551"/>
      <c r="AQ765" s="1551"/>
      <c r="AR765" s="1551"/>
      <c r="AS765" s="1520">
        <f t="shared" si="27"/>
        <v>0</v>
      </c>
      <c r="AT765" s="1520"/>
      <c r="AU765" s="1520"/>
      <c r="AV765" s="1520"/>
      <c r="AW765" s="1520"/>
      <c r="AX765" s="1520"/>
      <c r="AY765" s="490"/>
      <c r="AZ765" s="1520">
        <f t="shared" si="28"/>
        <v>0</v>
      </c>
      <c r="BA765" s="1520"/>
      <c r="BB765" s="1520"/>
      <c r="BC765" s="1520"/>
      <c r="BD765" s="1520"/>
      <c r="BE765" s="1520"/>
      <c r="BF765" s="490"/>
      <c r="BG765" s="1520">
        <f t="shared" si="29"/>
        <v>0</v>
      </c>
      <c r="BH765" s="1520"/>
      <c r="BI765" s="1520"/>
      <c r="BJ765" s="1520"/>
      <c r="BK765" s="1520"/>
      <c r="BL765" s="1520"/>
      <c r="BM765" s="490"/>
      <c r="BN765" s="1318">
        <f t="shared" si="30"/>
        <v>0</v>
      </c>
      <c r="BO765" s="1318"/>
      <c r="BP765" s="1318"/>
      <c r="BQ765" s="1318"/>
      <c r="BR765" s="1318"/>
      <c r="BS765" s="1318"/>
      <c r="BT765" s="491"/>
      <c r="BU765" s="492"/>
      <c r="BV765" s="310"/>
      <c r="BW765" s="310"/>
      <c r="BX765" s="291">
        <f t="shared" si="22"/>
        <v>0</v>
      </c>
      <c r="BY765" s="344"/>
      <c r="BZ765" s="347"/>
      <c r="CA765" s="347"/>
    </row>
    <row r="766" spans="1:79" ht="27.95" hidden="1" customHeight="1" x14ac:dyDescent="0.25">
      <c r="A766" s="313"/>
      <c r="B766" s="340"/>
      <c r="C766" s="1555" t="s">
        <v>997</v>
      </c>
      <c r="D766" s="1550"/>
      <c r="E766" s="1550"/>
      <c r="F766" s="1550"/>
      <c r="G766" s="1550"/>
      <c r="H766" s="1550"/>
      <c r="I766" s="1520">
        <f t="shared" si="23"/>
        <v>37085675</v>
      </c>
      <c r="J766" s="1520"/>
      <c r="K766" s="1520"/>
      <c r="L766" s="1520"/>
      <c r="M766" s="1520"/>
      <c r="N766" s="1520"/>
      <c r="O766" s="490"/>
      <c r="P766" s="1520">
        <f t="shared" si="24"/>
        <v>-37084472</v>
      </c>
      <c r="Q766" s="1520"/>
      <c r="R766" s="1520"/>
      <c r="S766" s="1520"/>
      <c r="T766" s="1520"/>
      <c r="U766" s="1520"/>
      <c r="V766" s="490"/>
      <c r="W766" s="1520">
        <f t="shared" si="25"/>
        <v>0</v>
      </c>
      <c r="X766" s="1520"/>
      <c r="Y766" s="1520"/>
      <c r="Z766" s="1520"/>
      <c r="AA766" s="1520"/>
      <c r="AB766" s="1520"/>
      <c r="AC766" s="493"/>
      <c r="AD766" s="1318">
        <f t="shared" si="26"/>
        <v>1203</v>
      </c>
      <c r="AE766" s="1318"/>
      <c r="AF766" s="1318"/>
      <c r="AG766" s="1318"/>
      <c r="AH766" s="1318"/>
      <c r="AI766" s="1318"/>
      <c r="AJ766" s="344"/>
      <c r="AK766" s="345"/>
      <c r="AL766" s="340"/>
      <c r="AM766" s="1556" t="s">
        <v>998</v>
      </c>
      <c r="AN766" s="1551"/>
      <c r="AO766" s="1551"/>
      <c r="AP766" s="1551"/>
      <c r="AQ766" s="1551"/>
      <c r="AR766" s="1551"/>
      <c r="AS766" s="1520">
        <f t="shared" si="27"/>
        <v>37085675</v>
      </c>
      <c r="AT766" s="1520"/>
      <c r="AU766" s="1520"/>
      <c r="AV766" s="1520"/>
      <c r="AW766" s="1520"/>
      <c r="AX766" s="1520"/>
      <c r="AY766" s="490"/>
      <c r="AZ766" s="1520">
        <f t="shared" si="28"/>
        <v>-37084472</v>
      </c>
      <c r="BA766" s="1520"/>
      <c r="BB766" s="1520"/>
      <c r="BC766" s="1520"/>
      <c r="BD766" s="1520"/>
      <c r="BE766" s="1520"/>
      <c r="BF766" s="490"/>
      <c r="BG766" s="1520">
        <f t="shared" si="29"/>
        <v>0</v>
      </c>
      <c r="BH766" s="1520"/>
      <c r="BI766" s="1520"/>
      <c r="BJ766" s="1520"/>
      <c r="BK766" s="1520"/>
      <c r="BL766" s="1520"/>
      <c r="BM766" s="490"/>
      <c r="BN766" s="1318">
        <f t="shared" si="30"/>
        <v>1203</v>
      </c>
      <c r="BO766" s="1318"/>
      <c r="BP766" s="1318"/>
      <c r="BQ766" s="1318"/>
      <c r="BR766" s="1318"/>
      <c r="BS766" s="1318"/>
      <c r="BT766" s="491"/>
      <c r="BU766" s="492"/>
      <c r="BV766" s="310"/>
      <c r="BW766" s="310"/>
      <c r="BX766" s="291">
        <f t="shared" si="22"/>
        <v>0</v>
      </c>
      <c r="BY766" s="344"/>
      <c r="BZ766" s="347"/>
      <c r="CA766" s="347"/>
    </row>
    <row r="767" spans="1:79" ht="15" hidden="1" customHeight="1" x14ac:dyDescent="0.25">
      <c r="A767" s="313"/>
      <c r="B767" s="340"/>
      <c r="C767" s="1555" t="s">
        <v>999</v>
      </c>
      <c r="D767" s="1550"/>
      <c r="E767" s="1550"/>
      <c r="F767" s="1550"/>
      <c r="G767" s="1550"/>
      <c r="H767" s="1550"/>
      <c r="I767" s="1444">
        <f t="shared" si="23"/>
        <v>0</v>
      </c>
      <c r="J767" s="1444"/>
      <c r="K767" s="1444"/>
      <c r="L767" s="1444"/>
      <c r="M767" s="1444"/>
      <c r="N767" s="1444"/>
      <c r="O767" s="493"/>
      <c r="P767" s="1442">
        <f t="shared" si="24"/>
        <v>0</v>
      </c>
      <c r="Q767" s="1442"/>
      <c r="R767" s="1442"/>
      <c r="S767" s="1442"/>
      <c r="T767" s="1442"/>
      <c r="U767" s="1442"/>
      <c r="V767" s="493"/>
      <c r="W767" s="1442">
        <f t="shared" si="25"/>
        <v>-37033636</v>
      </c>
      <c r="X767" s="1442"/>
      <c r="Y767" s="1442"/>
      <c r="Z767" s="1442"/>
      <c r="AA767" s="1442"/>
      <c r="AB767" s="1442"/>
      <c r="AC767" s="493"/>
      <c r="AD767" s="1318">
        <f t="shared" si="26"/>
        <v>-37033636</v>
      </c>
      <c r="AE767" s="1318"/>
      <c r="AF767" s="1318"/>
      <c r="AG767" s="1318"/>
      <c r="AH767" s="1318"/>
      <c r="AI767" s="1318"/>
      <c r="AJ767" s="344"/>
      <c r="AK767" s="345"/>
      <c r="AL767" s="340"/>
      <c r="AM767" s="1556" t="s">
        <v>1000</v>
      </c>
      <c r="AN767" s="1551"/>
      <c r="AO767" s="1551"/>
      <c r="AP767" s="1551"/>
      <c r="AQ767" s="1551"/>
      <c r="AR767" s="1551"/>
      <c r="AS767" s="1444">
        <f t="shared" si="27"/>
        <v>0</v>
      </c>
      <c r="AT767" s="1444"/>
      <c r="AU767" s="1444"/>
      <c r="AV767" s="1444"/>
      <c r="AW767" s="1444"/>
      <c r="AX767" s="1444"/>
      <c r="AY767" s="493"/>
      <c r="AZ767" s="1442">
        <f t="shared" si="28"/>
        <v>0</v>
      </c>
      <c r="BA767" s="1442"/>
      <c r="BB767" s="1442"/>
      <c r="BC767" s="1442"/>
      <c r="BD767" s="1442"/>
      <c r="BE767" s="1442"/>
      <c r="BF767" s="493"/>
      <c r="BG767" s="1442">
        <f t="shared" si="29"/>
        <v>-37033636</v>
      </c>
      <c r="BH767" s="1442"/>
      <c r="BI767" s="1442"/>
      <c r="BJ767" s="1442"/>
      <c r="BK767" s="1442"/>
      <c r="BL767" s="1442"/>
      <c r="BM767" s="493"/>
      <c r="BN767" s="1318">
        <f t="shared" si="30"/>
        <v>-37033636</v>
      </c>
      <c r="BO767" s="1318"/>
      <c r="BP767" s="1318"/>
      <c r="BQ767" s="1318"/>
      <c r="BR767" s="1318"/>
      <c r="BS767" s="1318"/>
      <c r="BT767" s="491"/>
      <c r="BU767" s="492"/>
      <c r="BV767" s="310"/>
      <c r="BW767" s="310"/>
      <c r="BX767" s="291">
        <f t="shared" si="22"/>
        <v>0</v>
      </c>
      <c r="BY767" s="344"/>
      <c r="BZ767" s="347"/>
      <c r="CA767" s="347"/>
    </row>
    <row r="768" spans="1:79" ht="15" hidden="1" customHeight="1" thickBot="1" x14ac:dyDescent="0.3">
      <c r="A768" s="313"/>
      <c r="B768" s="340"/>
      <c r="C768" s="1557" t="s">
        <v>1001</v>
      </c>
      <c r="D768" s="1557"/>
      <c r="E768" s="1557"/>
      <c r="F768" s="1557"/>
      <c r="G768" s="1557"/>
      <c r="H768" s="1557"/>
      <c r="I768" s="1439">
        <f>SUBTOTAL(109,I761:N767)</f>
        <v>0</v>
      </c>
      <c r="J768" s="1439"/>
      <c r="K768" s="1439"/>
      <c r="L768" s="1439"/>
      <c r="M768" s="1439"/>
      <c r="N768" s="1439"/>
      <c r="O768" s="487"/>
      <c r="P768" s="1439">
        <f>SUBTOTAL(109,P761:U767)</f>
        <v>0</v>
      </c>
      <c r="Q768" s="1439"/>
      <c r="R768" s="1439"/>
      <c r="S768" s="1439"/>
      <c r="T768" s="1439"/>
      <c r="U768" s="1439"/>
      <c r="V768" s="487"/>
      <c r="W768" s="1439">
        <f>SUBTOTAL(109,W761:AB767)</f>
        <v>0</v>
      </c>
      <c r="X768" s="1439"/>
      <c r="Y768" s="1439"/>
      <c r="Z768" s="1439"/>
      <c r="AA768" s="1439"/>
      <c r="AB768" s="1439"/>
      <c r="AC768" s="487"/>
      <c r="AD768" s="1439">
        <f>SUBTOTAL(109,AD761:AI767)</f>
        <v>0</v>
      </c>
      <c r="AE768" s="1439"/>
      <c r="AF768" s="1439"/>
      <c r="AG768" s="1439"/>
      <c r="AH768" s="1439"/>
      <c r="AI768" s="1439"/>
      <c r="AJ768" s="344"/>
      <c r="AK768" s="345"/>
      <c r="AL768" s="340"/>
      <c r="AM768" s="1554" t="s">
        <v>1002</v>
      </c>
      <c r="AN768" s="1554"/>
      <c r="AO768" s="1554"/>
      <c r="AP768" s="1554"/>
      <c r="AQ768" s="1554"/>
      <c r="AR768" s="1554"/>
      <c r="AS768" s="1439">
        <f>SUBTOTAL(109,AS761:AX767)</f>
        <v>0</v>
      </c>
      <c r="AT768" s="1439"/>
      <c r="AU768" s="1439"/>
      <c r="AV768" s="1439"/>
      <c r="AW768" s="1439"/>
      <c r="AX768" s="1439"/>
      <c r="AY768" s="487"/>
      <c r="AZ768" s="1439">
        <f>SUBTOTAL(109,AZ761:BE767)</f>
        <v>0</v>
      </c>
      <c r="BA768" s="1439"/>
      <c r="BB768" s="1439"/>
      <c r="BC768" s="1439"/>
      <c r="BD768" s="1439"/>
      <c r="BE768" s="1439"/>
      <c r="BF768" s="487"/>
      <c r="BG768" s="1439">
        <f>SUBTOTAL(109,BG761:BL767)</f>
        <v>0</v>
      </c>
      <c r="BH768" s="1439"/>
      <c r="BI768" s="1439"/>
      <c r="BJ768" s="1439"/>
      <c r="BK768" s="1439"/>
      <c r="BL768" s="1439"/>
      <c r="BM768" s="487"/>
      <c r="BN768" s="1439">
        <f>SUBTOTAL(109,BN761:BS767)</f>
        <v>0</v>
      </c>
      <c r="BO768" s="1439"/>
      <c r="BP768" s="1439"/>
      <c r="BQ768" s="1439"/>
      <c r="BR768" s="1439"/>
      <c r="BS768" s="1439"/>
      <c r="BT768" s="494"/>
      <c r="BU768" s="495"/>
      <c r="BV768" s="310">
        <f>AD768-KN_CT222</f>
        <v>-71815102087</v>
      </c>
      <c r="BW768" s="310"/>
      <c r="BX768" s="291">
        <f t="shared" si="22"/>
        <v>0</v>
      </c>
      <c r="BY768" s="344"/>
      <c r="BZ768" s="347"/>
      <c r="CA768" s="347"/>
    </row>
    <row r="769" spans="1:84" ht="27.95" hidden="1" customHeight="1" thickTop="1" x14ac:dyDescent="0.2">
      <c r="A769" s="313"/>
      <c r="B769" s="340"/>
      <c r="C769" s="1552" t="s">
        <v>1003</v>
      </c>
      <c r="D769" s="1552"/>
      <c r="E769" s="1552"/>
      <c r="F769" s="1552"/>
      <c r="G769" s="1552"/>
      <c r="H769" s="1552"/>
      <c r="I769" s="1421"/>
      <c r="J769" s="1421"/>
      <c r="K769" s="1421"/>
      <c r="L769" s="1421"/>
      <c r="M769" s="1421"/>
      <c r="N769" s="1421"/>
      <c r="O769" s="493"/>
      <c r="P769" s="1514"/>
      <c r="Q769" s="1514"/>
      <c r="R769" s="1514"/>
      <c r="S769" s="1514"/>
      <c r="T769" s="1514"/>
      <c r="U769" s="1514"/>
      <c r="V769" s="493"/>
      <c r="W769" s="1514"/>
      <c r="X769" s="1514"/>
      <c r="Y769" s="1514"/>
      <c r="Z769" s="1514"/>
      <c r="AA769" s="1514"/>
      <c r="AB769" s="1514"/>
      <c r="AC769" s="493"/>
      <c r="AD769" s="1514"/>
      <c r="AE769" s="1514"/>
      <c r="AF769" s="1514"/>
      <c r="AG769" s="1514"/>
      <c r="AH769" s="1514"/>
      <c r="AI769" s="1514"/>
      <c r="AJ769" s="344"/>
      <c r="AK769" s="345"/>
      <c r="AL769" s="340"/>
      <c r="AM769" s="1553" t="s">
        <v>1004</v>
      </c>
      <c r="AN769" s="1553"/>
      <c r="AO769" s="1553"/>
      <c r="AP769" s="1553"/>
      <c r="AQ769" s="1553"/>
      <c r="AR769" s="1553"/>
      <c r="AS769" s="1421"/>
      <c r="AT769" s="1421"/>
      <c r="AU769" s="1421"/>
      <c r="AV769" s="1421"/>
      <c r="AW769" s="1421"/>
      <c r="AX769" s="1421"/>
      <c r="AY769" s="493"/>
      <c r="AZ769" s="1514"/>
      <c r="BA769" s="1514"/>
      <c r="BB769" s="1514"/>
      <c r="BC769" s="1514"/>
      <c r="BD769" s="1514"/>
      <c r="BE769" s="1514"/>
      <c r="BF769" s="493"/>
      <c r="BG769" s="1514"/>
      <c r="BH769" s="1514"/>
      <c r="BI769" s="1514"/>
      <c r="BJ769" s="1514"/>
      <c r="BK769" s="1514"/>
      <c r="BL769" s="1514"/>
      <c r="BM769" s="493"/>
      <c r="BN769" s="1514"/>
      <c r="BO769" s="1514"/>
      <c r="BP769" s="1514"/>
      <c r="BQ769" s="1514"/>
      <c r="BR769" s="1514"/>
      <c r="BS769" s="1514"/>
      <c r="BT769" s="485"/>
      <c r="BU769" s="486"/>
      <c r="BV769" s="310"/>
      <c r="BW769" s="310"/>
      <c r="BX769" s="291">
        <f t="shared" si="22"/>
        <v>0</v>
      </c>
      <c r="BY769" s="344"/>
      <c r="BZ769" s="347"/>
      <c r="CA769" s="347"/>
    </row>
    <row r="770" spans="1:84" ht="15" hidden="1" customHeight="1" x14ac:dyDescent="0.25">
      <c r="A770" s="313"/>
      <c r="B770" s="340"/>
      <c r="C770" s="1535" t="s">
        <v>987</v>
      </c>
      <c r="D770" s="1535"/>
      <c r="E770" s="1535"/>
      <c r="F770" s="1535"/>
      <c r="G770" s="1535"/>
      <c r="H770" s="1535"/>
      <c r="I770" s="1540">
        <f t="shared" ref="I770:I775" si="31">HLOOKUP(I$757,TM_TSCDHH_V,ROW()-ROW($C$757)+1,0)</f>
        <v>23686107581</v>
      </c>
      <c r="J770" s="1540"/>
      <c r="K770" s="1540"/>
      <c r="L770" s="1540"/>
      <c r="M770" s="1540"/>
      <c r="N770" s="1540"/>
      <c r="O770" s="487"/>
      <c r="P770" s="1540">
        <f t="shared" ref="P770:P775" si="32">HLOOKUP(P$757,TM_TSCDHH_V,ROW()-ROW($C$757)+1,0)</f>
        <v>32519458908</v>
      </c>
      <c r="Q770" s="1540"/>
      <c r="R770" s="1540"/>
      <c r="S770" s="1540"/>
      <c r="T770" s="1540"/>
      <c r="U770" s="1540"/>
      <c r="V770" s="487"/>
      <c r="W770" s="1445">
        <f t="shared" ref="W770:W775" si="33">HLOOKUP(W$757,TM_TSCDHH_V,ROW()-ROW($C$757)+1,0)</f>
        <v>75517234</v>
      </c>
      <c r="X770" s="1445"/>
      <c r="Y770" s="1445"/>
      <c r="Z770" s="1445"/>
      <c r="AA770" s="1445"/>
      <c r="AB770" s="1445"/>
      <c r="AC770" s="487"/>
      <c r="AD770" s="1330">
        <f t="shared" ref="AD770:AD775" si="34">SUM(I770:AB770)</f>
        <v>56281083723</v>
      </c>
      <c r="AE770" s="1330"/>
      <c r="AF770" s="1330"/>
      <c r="AG770" s="1330"/>
      <c r="AH770" s="1330"/>
      <c r="AI770" s="1330"/>
      <c r="AJ770" s="344"/>
      <c r="AK770" s="345"/>
      <c r="AL770" s="340"/>
      <c r="AM770" s="1551" t="s">
        <v>988</v>
      </c>
      <c r="AN770" s="1551"/>
      <c r="AO770" s="1551"/>
      <c r="AP770" s="1551"/>
      <c r="AQ770" s="1551"/>
      <c r="AR770" s="1551"/>
      <c r="AS770" s="1540">
        <f t="shared" ref="AS770:AS775" si="35">I770</f>
        <v>23686107581</v>
      </c>
      <c r="AT770" s="1540"/>
      <c r="AU770" s="1540"/>
      <c r="AV770" s="1540"/>
      <c r="AW770" s="1540"/>
      <c r="AX770" s="1540"/>
      <c r="AY770" s="487"/>
      <c r="AZ770" s="1540">
        <f t="shared" ref="AZ770:AZ775" si="36">P770</f>
        <v>32519458908</v>
      </c>
      <c r="BA770" s="1540"/>
      <c r="BB770" s="1540"/>
      <c r="BC770" s="1540"/>
      <c r="BD770" s="1540"/>
      <c r="BE770" s="1540"/>
      <c r="BF770" s="487"/>
      <c r="BG770" s="1445">
        <f t="shared" ref="BG770:BG775" si="37">W770</f>
        <v>75517234</v>
      </c>
      <c r="BH770" s="1445"/>
      <c r="BI770" s="1445"/>
      <c r="BJ770" s="1445"/>
      <c r="BK770" s="1445"/>
      <c r="BL770" s="1445"/>
      <c r="BM770" s="487"/>
      <c r="BN770" s="1330">
        <f t="shared" ref="BN770:BN775" si="38">SUM(AS770:BL770)</f>
        <v>56281083723</v>
      </c>
      <c r="BO770" s="1330"/>
      <c r="BP770" s="1330"/>
      <c r="BQ770" s="1330"/>
      <c r="BR770" s="1330"/>
      <c r="BS770" s="1330"/>
      <c r="BT770" s="488"/>
      <c r="BU770" s="489"/>
      <c r="BV770" s="310"/>
      <c r="BW770" s="310">
        <f>AD770+KT_CT223</f>
        <v>-2120739438</v>
      </c>
      <c r="BX770" s="291">
        <f t="shared" si="22"/>
        <v>0</v>
      </c>
      <c r="BY770" s="344"/>
      <c r="BZ770" s="347"/>
      <c r="CA770" s="347"/>
    </row>
    <row r="771" spans="1:84" ht="15" hidden="1" customHeight="1" x14ac:dyDescent="0.25">
      <c r="A771" s="313"/>
      <c r="B771" s="340"/>
      <c r="C771" s="1555" t="s">
        <v>1005</v>
      </c>
      <c r="D771" s="1550"/>
      <c r="E771" s="1550"/>
      <c r="F771" s="1550"/>
      <c r="G771" s="1550"/>
      <c r="H771" s="1550"/>
      <c r="I771" s="1520">
        <f t="shared" si="31"/>
        <v>1306483386</v>
      </c>
      <c r="J771" s="1520"/>
      <c r="K771" s="1520"/>
      <c r="L771" s="1520"/>
      <c r="M771" s="1520"/>
      <c r="N771" s="1520"/>
      <c r="O771" s="493"/>
      <c r="P771" s="1520">
        <f t="shared" si="32"/>
        <v>1196638335</v>
      </c>
      <c r="Q771" s="1520"/>
      <c r="R771" s="1520"/>
      <c r="S771" s="1520"/>
      <c r="T771" s="1520"/>
      <c r="U771" s="1520"/>
      <c r="V771" s="493"/>
      <c r="W771" s="1444">
        <f t="shared" si="33"/>
        <v>5274924</v>
      </c>
      <c r="X771" s="1444"/>
      <c r="Y771" s="1444"/>
      <c r="Z771" s="1444"/>
      <c r="AA771" s="1444"/>
      <c r="AB771" s="1444"/>
      <c r="AC771" s="493"/>
      <c r="AD771" s="1318">
        <f t="shared" si="34"/>
        <v>2508396645</v>
      </c>
      <c r="AE771" s="1318"/>
      <c r="AF771" s="1318"/>
      <c r="AG771" s="1318"/>
      <c r="AH771" s="1318"/>
      <c r="AI771" s="1318"/>
      <c r="AJ771" s="344"/>
      <c r="AK771" s="345"/>
      <c r="AL771" s="340"/>
      <c r="AM771" s="1556" t="s">
        <v>1006</v>
      </c>
      <c r="AN771" s="1551"/>
      <c r="AO771" s="1551"/>
      <c r="AP771" s="1551"/>
      <c r="AQ771" s="1551"/>
      <c r="AR771" s="1551"/>
      <c r="AS771" s="1520">
        <f t="shared" si="35"/>
        <v>1306483386</v>
      </c>
      <c r="AT771" s="1520"/>
      <c r="AU771" s="1520"/>
      <c r="AV771" s="1520"/>
      <c r="AW771" s="1520"/>
      <c r="AX771" s="1520"/>
      <c r="AY771" s="493"/>
      <c r="AZ771" s="1520">
        <f t="shared" si="36"/>
        <v>1196638335</v>
      </c>
      <c r="BA771" s="1520"/>
      <c r="BB771" s="1520"/>
      <c r="BC771" s="1520"/>
      <c r="BD771" s="1520"/>
      <c r="BE771" s="1520"/>
      <c r="BF771" s="493"/>
      <c r="BG771" s="1444">
        <f t="shared" si="37"/>
        <v>5274924</v>
      </c>
      <c r="BH771" s="1444"/>
      <c r="BI771" s="1444"/>
      <c r="BJ771" s="1444"/>
      <c r="BK771" s="1444"/>
      <c r="BL771" s="1444"/>
      <c r="BM771" s="493"/>
      <c r="BN771" s="1318">
        <f t="shared" si="38"/>
        <v>2508396645</v>
      </c>
      <c r="BO771" s="1318"/>
      <c r="BP771" s="1318"/>
      <c r="BQ771" s="1318"/>
      <c r="BR771" s="1318"/>
      <c r="BS771" s="1318"/>
      <c r="BT771" s="488"/>
      <c r="BU771" s="489"/>
      <c r="BV771" s="310"/>
      <c r="BW771" s="310"/>
      <c r="BX771" s="291">
        <f t="shared" si="22"/>
        <v>0</v>
      </c>
      <c r="BY771" s="344"/>
      <c r="BZ771" s="347"/>
      <c r="CA771" s="347"/>
    </row>
    <row r="772" spans="1:84" ht="15" hidden="1" customHeight="1" x14ac:dyDescent="0.25">
      <c r="A772" s="313"/>
      <c r="B772" s="340"/>
      <c r="C772" s="1555" t="s">
        <v>993</v>
      </c>
      <c r="D772" s="1550"/>
      <c r="E772" s="1550"/>
      <c r="F772" s="1550"/>
      <c r="G772" s="1550"/>
      <c r="H772" s="1550"/>
      <c r="I772" s="1520">
        <f t="shared" si="31"/>
        <v>-1476299788</v>
      </c>
      <c r="J772" s="1520"/>
      <c r="K772" s="1520"/>
      <c r="L772" s="1520"/>
      <c r="M772" s="1520"/>
      <c r="N772" s="1520"/>
      <c r="O772" s="493"/>
      <c r="P772" s="1520">
        <f t="shared" si="32"/>
        <v>-521627428</v>
      </c>
      <c r="Q772" s="1520"/>
      <c r="R772" s="1520"/>
      <c r="S772" s="1520"/>
      <c r="T772" s="1520"/>
      <c r="U772" s="1520"/>
      <c r="V772" s="493"/>
      <c r="W772" s="1444">
        <f t="shared" si="33"/>
        <v>0</v>
      </c>
      <c r="X772" s="1444"/>
      <c r="Y772" s="1444"/>
      <c r="Z772" s="1444"/>
      <c r="AA772" s="1444"/>
      <c r="AB772" s="1444"/>
      <c r="AC772" s="493"/>
      <c r="AD772" s="1318">
        <f t="shared" si="34"/>
        <v>-1997927216</v>
      </c>
      <c r="AE772" s="1318"/>
      <c r="AF772" s="1318"/>
      <c r="AG772" s="1318"/>
      <c r="AH772" s="1318"/>
      <c r="AI772" s="1318"/>
      <c r="AJ772" s="344"/>
      <c r="AK772" s="345"/>
      <c r="AL772" s="340"/>
      <c r="AM772" s="1556" t="s">
        <v>994</v>
      </c>
      <c r="AN772" s="1551"/>
      <c r="AO772" s="1551"/>
      <c r="AP772" s="1551"/>
      <c r="AQ772" s="1551"/>
      <c r="AR772" s="1551"/>
      <c r="AS772" s="1520">
        <f t="shared" si="35"/>
        <v>-1476299788</v>
      </c>
      <c r="AT772" s="1520"/>
      <c r="AU772" s="1520"/>
      <c r="AV772" s="1520"/>
      <c r="AW772" s="1520"/>
      <c r="AX772" s="1520"/>
      <c r="AY772" s="493"/>
      <c r="AZ772" s="1520">
        <f t="shared" si="36"/>
        <v>-521627428</v>
      </c>
      <c r="BA772" s="1520"/>
      <c r="BB772" s="1520"/>
      <c r="BC772" s="1520"/>
      <c r="BD772" s="1520"/>
      <c r="BE772" s="1520"/>
      <c r="BF772" s="493"/>
      <c r="BG772" s="1444">
        <f t="shared" si="37"/>
        <v>0</v>
      </c>
      <c r="BH772" s="1444"/>
      <c r="BI772" s="1444"/>
      <c r="BJ772" s="1444"/>
      <c r="BK772" s="1444"/>
      <c r="BL772" s="1444"/>
      <c r="BM772" s="493"/>
      <c r="BN772" s="1318">
        <f t="shared" si="38"/>
        <v>-1997927216</v>
      </c>
      <c r="BO772" s="1318"/>
      <c r="BP772" s="1318"/>
      <c r="BQ772" s="1318"/>
      <c r="BR772" s="1318"/>
      <c r="BS772" s="1318"/>
      <c r="BT772" s="488"/>
      <c r="BU772" s="489"/>
      <c r="BV772" s="310"/>
      <c r="BW772" s="310"/>
      <c r="BX772" s="291">
        <f t="shared" si="22"/>
        <v>0</v>
      </c>
      <c r="BY772" s="344"/>
      <c r="BZ772" s="347"/>
      <c r="CA772" s="347"/>
    </row>
    <row r="773" spans="1:84" ht="27.95" hidden="1" customHeight="1" x14ac:dyDescent="0.25">
      <c r="A773" s="313"/>
      <c r="B773" s="340"/>
      <c r="C773" s="1555" t="s">
        <v>995</v>
      </c>
      <c r="D773" s="1550"/>
      <c r="E773" s="1550"/>
      <c r="F773" s="1550"/>
      <c r="G773" s="1550"/>
      <c r="H773" s="1550"/>
      <c r="I773" s="1520">
        <f t="shared" si="31"/>
        <v>0</v>
      </c>
      <c r="J773" s="1520"/>
      <c r="K773" s="1520"/>
      <c r="L773" s="1520"/>
      <c r="M773" s="1520"/>
      <c r="N773" s="1520"/>
      <c r="O773" s="493"/>
      <c r="P773" s="1520">
        <f t="shared" si="32"/>
        <v>0</v>
      </c>
      <c r="Q773" s="1520"/>
      <c r="R773" s="1520"/>
      <c r="S773" s="1520"/>
      <c r="T773" s="1520"/>
      <c r="U773" s="1520"/>
      <c r="V773" s="493"/>
      <c r="W773" s="1444">
        <f t="shared" si="33"/>
        <v>0</v>
      </c>
      <c r="X773" s="1444"/>
      <c r="Y773" s="1444"/>
      <c r="Z773" s="1444"/>
      <c r="AA773" s="1444"/>
      <c r="AB773" s="1444"/>
      <c r="AC773" s="493"/>
      <c r="AD773" s="1318">
        <f t="shared" si="34"/>
        <v>0</v>
      </c>
      <c r="AE773" s="1318"/>
      <c r="AF773" s="1318"/>
      <c r="AG773" s="1318"/>
      <c r="AH773" s="1318"/>
      <c r="AI773" s="1318"/>
      <c r="AJ773" s="344"/>
      <c r="AK773" s="345"/>
      <c r="AL773" s="340"/>
      <c r="AM773" s="1556" t="s">
        <v>996</v>
      </c>
      <c r="AN773" s="1551"/>
      <c r="AO773" s="1551"/>
      <c r="AP773" s="1551"/>
      <c r="AQ773" s="1551"/>
      <c r="AR773" s="1551"/>
      <c r="AS773" s="1520">
        <f t="shared" si="35"/>
        <v>0</v>
      </c>
      <c r="AT773" s="1520"/>
      <c r="AU773" s="1520"/>
      <c r="AV773" s="1520"/>
      <c r="AW773" s="1520"/>
      <c r="AX773" s="1520"/>
      <c r="AY773" s="493"/>
      <c r="AZ773" s="1520">
        <f t="shared" si="36"/>
        <v>0</v>
      </c>
      <c r="BA773" s="1520"/>
      <c r="BB773" s="1520"/>
      <c r="BC773" s="1520"/>
      <c r="BD773" s="1520"/>
      <c r="BE773" s="1520"/>
      <c r="BF773" s="493"/>
      <c r="BG773" s="1444">
        <f t="shared" si="37"/>
        <v>0</v>
      </c>
      <c r="BH773" s="1444"/>
      <c r="BI773" s="1444"/>
      <c r="BJ773" s="1444"/>
      <c r="BK773" s="1444"/>
      <c r="BL773" s="1444"/>
      <c r="BM773" s="493"/>
      <c r="BN773" s="1318">
        <f t="shared" si="38"/>
        <v>0</v>
      </c>
      <c r="BO773" s="1318"/>
      <c r="BP773" s="1318"/>
      <c r="BQ773" s="1318"/>
      <c r="BR773" s="1318"/>
      <c r="BS773" s="1318"/>
      <c r="BT773" s="488"/>
      <c r="BU773" s="489"/>
      <c r="BV773" s="310"/>
      <c r="BW773" s="310"/>
      <c r="BX773" s="291">
        <f t="shared" si="22"/>
        <v>0</v>
      </c>
      <c r="BY773" s="344"/>
      <c r="BZ773" s="347"/>
      <c r="CA773" s="347"/>
    </row>
    <row r="774" spans="1:84" ht="27.95" hidden="1" customHeight="1" x14ac:dyDescent="0.25">
      <c r="A774" s="313"/>
      <c r="B774" s="340"/>
      <c r="C774" s="1555" t="s">
        <v>997</v>
      </c>
      <c r="D774" s="1550"/>
      <c r="E774" s="1550"/>
      <c r="F774" s="1550"/>
      <c r="G774" s="1550"/>
      <c r="H774" s="1550"/>
      <c r="I774" s="1520">
        <f t="shared" si="31"/>
        <v>267720324</v>
      </c>
      <c r="J774" s="1520"/>
      <c r="K774" s="1520"/>
      <c r="L774" s="1520"/>
      <c r="M774" s="1520"/>
      <c r="N774" s="1520"/>
      <c r="O774" s="493"/>
      <c r="P774" s="1520">
        <f t="shared" si="32"/>
        <v>-297500375</v>
      </c>
      <c r="Q774" s="1520"/>
      <c r="R774" s="1520"/>
      <c r="S774" s="1520"/>
      <c r="T774" s="1520"/>
      <c r="U774" s="1520"/>
      <c r="V774" s="493"/>
      <c r="W774" s="1444">
        <f t="shared" si="33"/>
        <v>0</v>
      </c>
      <c r="X774" s="1444"/>
      <c r="Y774" s="1444"/>
      <c r="Z774" s="1444"/>
      <c r="AA774" s="1444"/>
      <c r="AB774" s="1444"/>
      <c r="AC774" s="493"/>
      <c r="AD774" s="1318">
        <f t="shared" si="34"/>
        <v>-29780051</v>
      </c>
      <c r="AE774" s="1318"/>
      <c r="AF774" s="1318"/>
      <c r="AG774" s="1318"/>
      <c r="AH774" s="1318"/>
      <c r="AI774" s="1318"/>
      <c r="AJ774" s="344"/>
      <c r="AK774" s="345"/>
      <c r="AL774" s="340"/>
      <c r="AM774" s="1556" t="s">
        <v>998</v>
      </c>
      <c r="AN774" s="1551"/>
      <c r="AO774" s="1551"/>
      <c r="AP774" s="1551"/>
      <c r="AQ774" s="1551"/>
      <c r="AR774" s="1551"/>
      <c r="AS774" s="1520">
        <f t="shared" si="35"/>
        <v>267720324</v>
      </c>
      <c r="AT774" s="1520"/>
      <c r="AU774" s="1520"/>
      <c r="AV774" s="1520"/>
      <c r="AW774" s="1520"/>
      <c r="AX774" s="1520"/>
      <c r="AY774" s="493"/>
      <c r="AZ774" s="1520">
        <f t="shared" si="36"/>
        <v>-297500375</v>
      </c>
      <c r="BA774" s="1520"/>
      <c r="BB774" s="1520"/>
      <c r="BC774" s="1520"/>
      <c r="BD774" s="1520"/>
      <c r="BE774" s="1520"/>
      <c r="BF774" s="493"/>
      <c r="BG774" s="1444">
        <f t="shared" si="37"/>
        <v>0</v>
      </c>
      <c r="BH774" s="1444"/>
      <c r="BI774" s="1444"/>
      <c r="BJ774" s="1444"/>
      <c r="BK774" s="1444"/>
      <c r="BL774" s="1444"/>
      <c r="BM774" s="493"/>
      <c r="BN774" s="1318">
        <f t="shared" si="38"/>
        <v>-29780051</v>
      </c>
      <c r="BO774" s="1318"/>
      <c r="BP774" s="1318"/>
      <c r="BQ774" s="1318"/>
      <c r="BR774" s="1318"/>
      <c r="BS774" s="1318"/>
      <c r="BT774" s="488"/>
      <c r="BU774" s="489"/>
      <c r="BV774" s="310"/>
      <c r="BW774" s="310"/>
      <c r="BX774" s="291">
        <f t="shared" si="22"/>
        <v>0</v>
      </c>
      <c r="BY774" s="344"/>
      <c r="BZ774" s="347"/>
      <c r="CA774" s="347"/>
    </row>
    <row r="775" spans="1:84" ht="15" hidden="1" customHeight="1" x14ac:dyDescent="0.25">
      <c r="A775" s="313"/>
      <c r="B775" s="340"/>
      <c r="C775" s="1555" t="s">
        <v>999</v>
      </c>
      <c r="D775" s="1550"/>
      <c r="E775" s="1550"/>
      <c r="F775" s="1550"/>
      <c r="G775" s="1550"/>
      <c r="H775" s="1550"/>
      <c r="I775" s="1444">
        <f t="shared" si="31"/>
        <v>0</v>
      </c>
      <c r="J775" s="1444"/>
      <c r="K775" s="1444"/>
      <c r="L775" s="1444"/>
      <c r="M775" s="1444"/>
      <c r="N775" s="1444"/>
      <c r="O775" s="493"/>
      <c r="P775" s="1442">
        <f t="shared" si="32"/>
        <v>0</v>
      </c>
      <c r="Q775" s="1442"/>
      <c r="R775" s="1442"/>
      <c r="S775" s="1442"/>
      <c r="T775" s="1442"/>
      <c r="U775" s="1442"/>
      <c r="V775" s="493"/>
      <c r="W775" s="1442">
        <f t="shared" si="33"/>
        <v>-28083830</v>
      </c>
      <c r="X775" s="1442"/>
      <c r="Y775" s="1442"/>
      <c r="Z775" s="1442"/>
      <c r="AA775" s="1442"/>
      <c r="AB775" s="1442"/>
      <c r="AC775" s="493"/>
      <c r="AD775" s="1318">
        <f t="shared" si="34"/>
        <v>-28083830</v>
      </c>
      <c r="AE775" s="1318"/>
      <c r="AF775" s="1318"/>
      <c r="AG775" s="1318"/>
      <c r="AH775" s="1318"/>
      <c r="AI775" s="1318"/>
      <c r="AJ775" s="344"/>
      <c r="AK775" s="345"/>
      <c r="AL775" s="340"/>
      <c r="AM775" s="1556" t="s">
        <v>1000</v>
      </c>
      <c r="AN775" s="1551"/>
      <c r="AO775" s="1551"/>
      <c r="AP775" s="1551"/>
      <c r="AQ775" s="1551"/>
      <c r="AR775" s="1551"/>
      <c r="AS775" s="1444">
        <f t="shared" si="35"/>
        <v>0</v>
      </c>
      <c r="AT775" s="1444"/>
      <c r="AU775" s="1444"/>
      <c r="AV775" s="1444"/>
      <c r="AW775" s="1444"/>
      <c r="AX775" s="1444"/>
      <c r="AY775" s="493"/>
      <c r="AZ775" s="1442">
        <f t="shared" si="36"/>
        <v>0</v>
      </c>
      <c r="BA775" s="1442"/>
      <c r="BB775" s="1442"/>
      <c r="BC775" s="1442"/>
      <c r="BD775" s="1442"/>
      <c r="BE775" s="1442"/>
      <c r="BF775" s="493"/>
      <c r="BG775" s="1442">
        <f t="shared" si="37"/>
        <v>-28083830</v>
      </c>
      <c r="BH775" s="1442"/>
      <c r="BI775" s="1442"/>
      <c r="BJ775" s="1442"/>
      <c r="BK775" s="1442"/>
      <c r="BL775" s="1442"/>
      <c r="BM775" s="493"/>
      <c r="BN775" s="1318">
        <f t="shared" si="38"/>
        <v>-28083830</v>
      </c>
      <c r="BO775" s="1318"/>
      <c r="BP775" s="1318"/>
      <c r="BQ775" s="1318"/>
      <c r="BR775" s="1318"/>
      <c r="BS775" s="1318"/>
      <c r="BT775" s="488"/>
      <c r="BU775" s="489"/>
      <c r="BV775" s="310"/>
      <c r="BW775" s="310"/>
      <c r="BX775" s="291">
        <f t="shared" si="22"/>
        <v>0</v>
      </c>
      <c r="BY775" s="344"/>
      <c r="BZ775" s="347"/>
      <c r="CA775" s="347"/>
    </row>
    <row r="776" spans="1:84" ht="15" hidden="1" customHeight="1" thickBot="1" x14ac:dyDescent="0.3">
      <c r="A776" s="313"/>
      <c r="B776" s="340"/>
      <c r="C776" s="1533" t="s">
        <v>1001</v>
      </c>
      <c r="D776" s="1533"/>
      <c r="E776" s="1533"/>
      <c r="F776" s="1533"/>
      <c r="G776" s="1533"/>
      <c r="H776" s="1533"/>
      <c r="I776" s="1439">
        <f>SUBTOTAL(109,I770:N775)</f>
        <v>0</v>
      </c>
      <c r="J776" s="1439"/>
      <c r="K776" s="1439"/>
      <c r="L776" s="1439"/>
      <c r="M776" s="1439"/>
      <c r="N776" s="1439"/>
      <c r="O776" s="487"/>
      <c r="P776" s="1439">
        <f>SUBTOTAL(109,P770:U775)</f>
        <v>0</v>
      </c>
      <c r="Q776" s="1439"/>
      <c r="R776" s="1439"/>
      <c r="S776" s="1439"/>
      <c r="T776" s="1439"/>
      <c r="U776" s="1439"/>
      <c r="V776" s="487"/>
      <c r="W776" s="1439">
        <f>SUBTOTAL(109,W770:AB775)</f>
        <v>0</v>
      </c>
      <c r="X776" s="1439"/>
      <c r="Y776" s="1439"/>
      <c r="Z776" s="1439"/>
      <c r="AA776" s="1439"/>
      <c r="AB776" s="1439"/>
      <c r="AC776" s="487"/>
      <c r="AD776" s="1439">
        <f>SUBTOTAL(109,AD770:AI775)</f>
        <v>0</v>
      </c>
      <c r="AE776" s="1439"/>
      <c r="AF776" s="1439"/>
      <c r="AG776" s="1439"/>
      <c r="AH776" s="1439"/>
      <c r="AI776" s="1439"/>
      <c r="AJ776" s="344"/>
      <c r="AK776" s="345"/>
      <c r="AL776" s="340"/>
      <c r="AM776" s="1554" t="s">
        <v>1007</v>
      </c>
      <c r="AN776" s="1554"/>
      <c r="AO776" s="1554"/>
      <c r="AP776" s="1554"/>
      <c r="AQ776" s="1554"/>
      <c r="AR776" s="1554"/>
      <c r="AS776" s="1439">
        <f>SUBTOTAL(109,AS770:AX775)</f>
        <v>0</v>
      </c>
      <c r="AT776" s="1439"/>
      <c r="AU776" s="1439"/>
      <c r="AV776" s="1439"/>
      <c r="AW776" s="1439"/>
      <c r="AX776" s="1439"/>
      <c r="AY776" s="487"/>
      <c r="AZ776" s="1439">
        <f>SUBTOTAL(109,AZ770:BE775)</f>
        <v>0</v>
      </c>
      <c r="BA776" s="1439"/>
      <c r="BB776" s="1439"/>
      <c r="BC776" s="1439"/>
      <c r="BD776" s="1439"/>
      <c r="BE776" s="1439"/>
      <c r="BF776" s="487"/>
      <c r="BG776" s="1439">
        <f>SUBTOTAL(109,BG770:BL775)</f>
        <v>0</v>
      </c>
      <c r="BH776" s="1439"/>
      <c r="BI776" s="1439"/>
      <c r="BJ776" s="1439"/>
      <c r="BK776" s="1439"/>
      <c r="BL776" s="1439"/>
      <c r="BM776" s="487"/>
      <c r="BN776" s="1439">
        <f>SUBTOTAL(109,BN770:BS775)</f>
        <v>0</v>
      </c>
      <c r="BO776" s="1439"/>
      <c r="BP776" s="1439"/>
      <c r="BQ776" s="1439"/>
      <c r="BR776" s="1439"/>
      <c r="BS776" s="1439"/>
      <c r="BT776" s="488"/>
      <c r="BU776" s="489"/>
      <c r="BV776" s="310">
        <f>AD776+KN_CT223</f>
        <v>-58217815550</v>
      </c>
      <c r="BW776" s="310"/>
      <c r="BX776" s="291">
        <f t="shared" si="22"/>
        <v>0</v>
      </c>
      <c r="BY776" s="344"/>
      <c r="BZ776" s="347"/>
      <c r="CA776" s="347"/>
    </row>
    <row r="777" spans="1:84" ht="25.5" hidden="1" customHeight="1" thickTop="1" x14ac:dyDescent="0.2">
      <c r="A777" s="313"/>
      <c r="B777" s="340"/>
      <c r="C777" s="1552" t="s">
        <v>1008</v>
      </c>
      <c r="D777" s="1552"/>
      <c r="E777" s="1552"/>
      <c r="F777" s="1552"/>
      <c r="G777" s="1552"/>
      <c r="H777" s="1552"/>
      <c r="I777" s="1421"/>
      <c r="J777" s="1421"/>
      <c r="K777" s="1421"/>
      <c r="L777" s="1421"/>
      <c r="M777" s="1421"/>
      <c r="N777" s="1421"/>
      <c r="O777" s="493"/>
      <c r="P777" s="1514"/>
      <c r="Q777" s="1514"/>
      <c r="R777" s="1514"/>
      <c r="S777" s="1514"/>
      <c r="T777" s="1514"/>
      <c r="U777" s="1514"/>
      <c r="V777" s="493"/>
      <c r="W777" s="1514"/>
      <c r="X777" s="1514"/>
      <c r="Y777" s="1514"/>
      <c r="Z777" s="1514"/>
      <c r="AA777" s="1514"/>
      <c r="AB777" s="1514"/>
      <c r="AC777" s="493"/>
      <c r="AD777" s="1514"/>
      <c r="AE777" s="1514"/>
      <c r="AF777" s="1514"/>
      <c r="AG777" s="1514"/>
      <c r="AH777" s="1514"/>
      <c r="AI777" s="1514"/>
      <c r="AJ777" s="344"/>
      <c r="AK777" s="345"/>
      <c r="AL777" s="340"/>
      <c r="AM777" s="1553" t="s">
        <v>1009</v>
      </c>
      <c r="AN777" s="1553"/>
      <c r="AO777" s="1553"/>
      <c r="AP777" s="1553"/>
      <c r="AQ777" s="1553"/>
      <c r="AR777" s="1553"/>
      <c r="AS777" s="1421"/>
      <c r="AT777" s="1421"/>
      <c r="AU777" s="1421"/>
      <c r="AV777" s="1421"/>
      <c r="AW777" s="1421"/>
      <c r="AX777" s="1421"/>
      <c r="AY777" s="493"/>
      <c r="AZ777" s="1514"/>
      <c r="BA777" s="1514"/>
      <c r="BB777" s="1514"/>
      <c r="BC777" s="1514"/>
      <c r="BD777" s="1514"/>
      <c r="BE777" s="1514"/>
      <c r="BF777" s="493"/>
      <c r="BG777" s="1514"/>
      <c r="BH777" s="1514"/>
      <c r="BI777" s="1514"/>
      <c r="BJ777" s="1514"/>
      <c r="BK777" s="1514"/>
      <c r="BL777" s="1514"/>
      <c r="BM777" s="493"/>
      <c r="BN777" s="1514"/>
      <c r="BO777" s="1514"/>
      <c r="BP777" s="1514"/>
      <c r="BQ777" s="1514"/>
      <c r="BR777" s="1514"/>
      <c r="BS777" s="1514"/>
      <c r="BT777" s="485"/>
      <c r="BU777" s="486"/>
      <c r="BV777" s="310"/>
      <c r="BW777" s="310"/>
      <c r="BX777" s="291">
        <f t="shared" si="22"/>
        <v>0</v>
      </c>
      <c r="BY777" s="344"/>
      <c r="BZ777" s="347"/>
      <c r="CA777" s="347"/>
    </row>
    <row r="778" spans="1:84" ht="15" hidden="1" customHeight="1" x14ac:dyDescent="0.25">
      <c r="A778" s="313"/>
      <c r="B778" s="340"/>
      <c r="C778" s="1550" t="s">
        <v>1010</v>
      </c>
      <c r="D778" s="1550"/>
      <c r="E778" s="1550"/>
      <c r="F778" s="1550"/>
      <c r="G778" s="1550"/>
      <c r="H778" s="1550"/>
      <c r="I778" s="1444">
        <f>I761-I770</f>
        <v>9518568822</v>
      </c>
      <c r="J778" s="1444"/>
      <c r="K778" s="1444"/>
      <c r="L778" s="1444"/>
      <c r="M778" s="1444"/>
      <c r="N778" s="1444"/>
      <c r="O778" s="493"/>
      <c r="P778" s="1442">
        <f>P761-P770</f>
        <v>6645362711</v>
      </c>
      <c r="Q778" s="1442"/>
      <c r="R778" s="1442"/>
      <c r="S778" s="1442"/>
      <c r="T778" s="1442"/>
      <c r="U778" s="1442"/>
      <c r="V778" s="493"/>
      <c r="W778" s="1442">
        <f>W761-W770</f>
        <v>16516402</v>
      </c>
      <c r="X778" s="1442"/>
      <c r="Y778" s="1442"/>
      <c r="Z778" s="1442"/>
      <c r="AA778" s="1442"/>
      <c r="AB778" s="1442"/>
      <c r="AC778" s="493"/>
      <c r="AD778" s="1361">
        <f>AD761-AD770</f>
        <v>16180447935</v>
      </c>
      <c r="AE778" s="1361"/>
      <c r="AF778" s="1361"/>
      <c r="AG778" s="1361"/>
      <c r="AH778" s="1361"/>
      <c r="AI778" s="1361"/>
      <c r="AJ778" s="344"/>
      <c r="AK778" s="345"/>
      <c r="AL778" s="340"/>
      <c r="AM778" s="1551" t="s">
        <v>1011</v>
      </c>
      <c r="AN778" s="1551"/>
      <c r="AO778" s="1551"/>
      <c r="AP778" s="1551"/>
      <c r="AQ778" s="1551"/>
      <c r="AR778" s="1551"/>
      <c r="AS778" s="1444">
        <f>AS761-AS770</f>
        <v>9518568822</v>
      </c>
      <c r="AT778" s="1444"/>
      <c r="AU778" s="1444"/>
      <c r="AV778" s="1444"/>
      <c r="AW778" s="1444"/>
      <c r="AX778" s="1444"/>
      <c r="AY778" s="493"/>
      <c r="AZ778" s="1442">
        <f>AZ761-AZ770</f>
        <v>6645362711</v>
      </c>
      <c r="BA778" s="1442"/>
      <c r="BB778" s="1442"/>
      <c r="BC778" s="1442"/>
      <c r="BD778" s="1442"/>
      <c r="BE778" s="1442"/>
      <c r="BF778" s="493"/>
      <c r="BG778" s="1442">
        <f>BG761-BG770</f>
        <v>16516402</v>
      </c>
      <c r="BH778" s="1442"/>
      <c r="BI778" s="1442"/>
      <c r="BJ778" s="1442"/>
      <c r="BK778" s="1442"/>
      <c r="BL778" s="1442"/>
      <c r="BM778" s="493"/>
      <c r="BN778" s="1361">
        <f>BN761-BN770</f>
        <v>16180447935</v>
      </c>
      <c r="BO778" s="1361"/>
      <c r="BP778" s="1361"/>
      <c r="BQ778" s="1361"/>
      <c r="BR778" s="1361"/>
      <c r="BS778" s="1361"/>
      <c r="BT778" s="488"/>
      <c r="BU778" s="489"/>
      <c r="BV778" s="310"/>
      <c r="BW778" s="310">
        <f>AD778-KT_CT221</f>
        <v>-569780273</v>
      </c>
      <c r="BX778" s="291">
        <f t="shared" si="22"/>
        <v>0</v>
      </c>
      <c r="BY778" s="344"/>
      <c r="BZ778" s="347"/>
      <c r="CA778" s="347"/>
    </row>
    <row r="779" spans="1:84" ht="15" hidden="1" customHeight="1" thickBot="1" x14ac:dyDescent="0.3">
      <c r="A779" s="313"/>
      <c r="B779" s="340"/>
      <c r="C779" s="1548" t="s">
        <v>1012</v>
      </c>
      <c r="D779" s="1548"/>
      <c r="E779" s="1548"/>
      <c r="F779" s="1548"/>
      <c r="G779" s="1548"/>
      <c r="H779" s="1548"/>
      <c r="I779" s="1439">
        <f>I768-I776</f>
        <v>0</v>
      </c>
      <c r="J779" s="1439"/>
      <c r="K779" s="1439"/>
      <c r="L779" s="1439"/>
      <c r="M779" s="1439"/>
      <c r="N779" s="1439"/>
      <c r="O779" s="487"/>
      <c r="P779" s="1439">
        <f>P768-P776</f>
        <v>0</v>
      </c>
      <c r="Q779" s="1439"/>
      <c r="R779" s="1439"/>
      <c r="S779" s="1439"/>
      <c r="T779" s="1439"/>
      <c r="U779" s="1439"/>
      <c r="V779" s="487"/>
      <c r="W779" s="1439">
        <f>W768-W776</f>
        <v>0</v>
      </c>
      <c r="X779" s="1439"/>
      <c r="Y779" s="1439"/>
      <c r="Z779" s="1439"/>
      <c r="AA779" s="1439"/>
      <c r="AB779" s="1439"/>
      <c r="AC779" s="487"/>
      <c r="AD779" s="1359">
        <f>AD768-AD776</f>
        <v>0</v>
      </c>
      <c r="AE779" s="1359"/>
      <c r="AF779" s="1359"/>
      <c r="AG779" s="1359"/>
      <c r="AH779" s="1359"/>
      <c r="AI779" s="1359"/>
      <c r="AJ779" s="344"/>
      <c r="AK779" s="345"/>
      <c r="AL779" s="340"/>
      <c r="AM779" s="1549" t="s">
        <v>1013</v>
      </c>
      <c r="AN779" s="1549"/>
      <c r="AO779" s="1549"/>
      <c r="AP779" s="1549"/>
      <c r="AQ779" s="1549"/>
      <c r="AR779" s="1549"/>
      <c r="AS779" s="1439">
        <f>AS768-AS776</f>
        <v>0</v>
      </c>
      <c r="AT779" s="1439"/>
      <c r="AU779" s="1439"/>
      <c r="AV779" s="1439"/>
      <c r="AW779" s="1439"/>
      <c r="AX779" s="1439"/>
      <c r="AY779" s="487"/>
      <c r="AZ779" s="1439">
        <f>AZ768-AZ776</f>
        <v>0</v>
      </c>
      <c r="BA779" s="1439"/>
      <c r="BB779" s="1439"/>
      <c r="BC779" s="1439"/>
      <c r="BD779" s="1439"/>
      <c r="BE779" s="1439"/>
      <c r="BF779" s="487"/>
      <c r="BG779" s="1439">
        <f>BG768-BG776</f>
        <v>0</v>
      </c>
      <c r="BH779" s="1439"/>
      <c r="BI779" s="1439"/>
      <c r="BJ779" s="1439"/>
      <c r="BK779" s="1439"/>
      <c r="BL779" s="1439"/>
      <c r="BM779" s="487"/>
      <c r="BN779" s="1359">
        <f>BN768-BN776</f>
        <v>0</v>
      </c>
      <c r="BO779" s="1359"/>
      <c r="BP779" s="1359"/>
      <c r="BQ779" s="1359"/>
      <c r="BR779" s="1359"/>
      <c r="BS779" s="1359"/>
      <c r="BT779" s="496"/>
      <c r="BU779" s="497"/>
      <c r="BV779" s="310">
        <f>AD779-KN_CT221</f>
        <v>-13597286537</v>
      </c>
      <c r="BW779" s="310"/>
      <c r="BX779" s="291">
        <f t="shared" si="22"/>
        <v>0</v>
      </c>
      <c r="BY779" s="344"/>
      <c r="BZ779" s="347"/>
      <c r="CA779" s="347"/>
    </row>
    <row r="780" spans="1:84" ht="15" hidden="1" customHeight="1" thickTop="1" x14ac:dyDescent="0.25">
      <c r="A780" s="313"/>
      <c r="B780" s="340"/>
      <c r="C780" s="498"/>
      <c r="D780" s="498"/>
      <c r="E780" s="498"/>
      <c r="F780" s="498"/>
      <c r="G780" s="498"/>
      <c r="H780" s="498"/>
      <c r="I780" s="499"/>
      <c r="J780" s="499"/>
      <c r="K780" s="499"/>
      <c r="L780" s="499"/>
      <c r="M780" s="499"/>
      <c r="N780" s="499"/>
      <c r="O780" s="499"/>
      <c r="P780" s="499"/>
      <c r="Q780" s="499"/>
      <c r="R780" s="499"/>
      <c r="S780" s="499"/>
      <c r="T780" s="499"/>
      <c r="U780" s="499"/>
      <c r="V780" s="499"/>
      <c r="W780" s="499"/>
      <c r="X780" s="499"/>
      <c r="Y780" s="499"/>
      <c r="Z780" s="499"/>
      <c r="AA780" s="499"/>
      <c r="AB780" s="499"/>
      <c r="AC780" s="499"/>
      <c r="AD780" s="500"/>
      <c r="AE780" s="500"/>
      <c r="AF780" s="500"/>
      <c r="AG780" s="500"/>
      <c r="AH780" s="500"/>
      <c r="AI780" s="500"/>
      <c r="AJ780" s="344"/>
      <c r="AK780" s="345"/>
      <c r="AL780" s="340"/>
      <c r="AM780" s="501"/>
      <c r="AN780" s="501"/>
      <c r="AO780" s="501"/>
      <c r="AP780" s="501"/>
      <c r="AQ780" s="501"/>
      <c r="AR780" s="501"/>
      <c r="AS780" s="499"/>
      <c r="AT780" s="499"/>
      <c r="AU780" s="499"/>
      <c r="AV780" s="499"/>
      <c r="AW780" s="499"/>
      <c r="AX780" s="499"/>
      <c r="AY780" s="499"/>
      <c r="AZ780" s="499"/>
      <c r="BA780" s="499"/>
      <c r="BB780" s="499"/>
      <c r="BC780" s="499"/>
      <c r="BD780" s="499"/>
      <c r="BE780" s="499"/>
      <c r="BF780" s="499"/>
      <c r="BG780" s="499"/>
      <c r="BH780" s="499"/>
      <c r="BI780" s="499"/>
      <c r="BJ780" s="499"/>
      <c r="BK780" s="499"/>
      <c r="BL780" s="499"/>
      <c r="BM780" s="499"/>
      <c r="BN780" s="500"/>
      <c r="BO780" s="500"/>
      <c r="BP780" s="500"/>
      <c r="BQ780" s="500"/>
      <c r="BR780" s="500"/>
      <c r="BS780" s="500"/>
      <c r="BT780" s="496"/>
      <c r="BU780" s="497"/>
      <c r="BV780" s="310"/>
      <c r="BW780" s="310"/>
      <c r="BX780" s="291">
        <f t="shared" si="22"/>
        <v>0</v>
      </c>
      <c r="BY780" s="344"/>
      <c r="BZ780" s="347"/>
      <c r="CA780" s="347"/>
    </row>
    <row r="781" spans="1:84" ht="15" hidden="1" customHeight="1" x14ac:dyDescent="0.25">
      <c r="A781" s="313"/>
      <c r="B781" s="340"/>
      <c r="C781" s="502" t="s">
        <v>1014</v>
      </c>
      <c r="D781" s="392"/>
      <c r="E781" s="392"/>
      <c r="F781" s="392"/>
      <c r="G781" s="392"/>
      <c r="H781" s="392"/>
      <c r="I781" s="392"/>
      <c r="J781" s="392"/>
      <c r="K781" s="503"/>
      <c r="L781" s="503"/>
      <c r="M781" s="503"/>
      <c r="N781" s="503"/>
      <c r="O781" s="504"/>
      <c r="P781" s="503"/>
      <c r="Q781" s="503"/>
      <c r="R781" s="503"/>
      <c r="S781" s="503"/>
      <c r="T781" s="503"/>
      <c r="U781" s="503"/>
      <c r="V781" s="504"/>
      <c r="W781" s="505"/>
      <c r="X781" s="505"/>
      <c r="Y781" s="505"/>
      <c r="Z781" s="505"/>
      <c r="AA781" s="505"/>
      <c r="AB781" s="505"/>
      <c r="AC781" s="506"/>
      <c r="AD781" s="506"/>
      <c r="AE781" s="506"/>
      <c r="AF781" s="506"/>
      <c r="AG781" s="506"/>
      <c r="AH781" s="506"/>
      <c r="AI781" s="506"/>
      <c r="AJ781" s="344"/>
      <c r="AK781" s="345"/>
      <c r="AL781" s="340"/>
      <c r="AM781" s="502" t="s">
        <v>1014</v>
      </c>
      <c r="AN781" s="392"/>
      <c r="AO781" s="392"/>
      <c r="AP781" s="392"/>
      <c r="AQ781" s="392"/>
      <c r="AR781" s="392"/>
      <c r="AS781" s="392"/>
      <c r="AT781" s="392"/>
      <c r="AU781" s="503"/>
      <c r="AV781" s="503"/>
      <c r="AW781" s="503"/>
      <c r="AX781" s="503"/>
      <c r="AY781" s="504"/>
      <c r="AZ781" s="503"/>
      <c r="BA781" s="503"/>
      <c r="BB781" s="503"/>
      <c r="BC781" s="503"/>
      <c r="BD781" s="503"/>
      <c r="BE781" s="503"/>
      <c r="BF781" s="504"/>
      <c r="BG781" s="503"/>
      <c r="BH781" s="503"/>
      <c r="BI781" s="503"/>
      <c r="BJ781" s="503"/>
      <c r="BK781" s="503"/>
      <c r="BL781" s="503"/>
      <c r="BM781" s="507"/>
      <c r="BN781" s="507"/>
      <c r="BO781" s="507"/>
      <c r="BP781" s="507"/>
      <c r="BQ781" s="507"/>
      <c r="BR781" s="507"/>
      <c r="BS781" s="507"/>
      <c r="BT781" s="507"/>
      <c r="BU781" s="492"/>
      <c r="BV781" s="310"/>
      <c r="BW781" s="310"/>
      <c r="BX781" s="291">
        <f t="shared" si="22"/>
        <v>0</v>
      </c>
      <c r="BY781" s="344"/>
      <c r="BZ781" s="347"/>
      <c r="CA781" s="347"/>
    </row>
    <row r="782" spans="1:84" s="510" customFormat="1" ht="15" hidden="1" customHeight="1" x14ac:dyDescent="0.25">
      <c r="A782" s="311"/>
      <c r="B782" s="311"/>
      <c r="C782" s="508" t="s">
        <v>355</v>
      </c>
      <c r="D782" s="1531" t="s">
        <v>1015</v>
      </c>
      <c r="E782" s="1531"/>
      <c r="F782" s="1531"/>
      <c r="G782" s="1531"/>
      <c r="H782" s="1531"/>
      <c r="I782" s="1531"/>
      <c r="J782" s="1531"/>
      <c r="K782" s="1531"/>
      <c r="L782" s="1531"/>
      <c r="M782" s="1531"/>
      <c r="N782" s="1531"/>
      <c r="O782" s="1531"/>
      <c r="P782" s="1531"/>
      <c r="Q782" s="1531"/>
      <c r="R782" s="1531"/>
      <c r="S782" s="1531"/>
      <c r="T782" s="1531"/>
      <c r="U782" s="1531"/>
      <c r="V782" s="1531"/>
      <c r="W782" s="1531"/>
      <c r="X782" s="1531"/>
      <c r="Y782" s="1531"/>
      <c r="Z782" s="1531"/>
      <c r="AA782" s="1531"/>
      <c r="AB782" s="1531"/>
      <c r="AC782" s="1531"/>
      <c r="AD782" s="1531"/>
      <c r="AE782" s="1531"/>
      <c r="AF782" s="1531"/>
      <c r="AG782" s="1531"/>
      <c r="AH782" s="1531"/>
      <c r="AI782" s="1531"/>
      <c r="AJ782" s="346"/>
      <c r="AK782" s="345"/>
      <c r="AL782" s="311"/>
      <c r="AM782" s="508" t="s">
        <v>355</v>
      </c>
      <c r="AN782" s="509" t="s">
        <v>1016</v>
      </c>
      <c r="AO782" s="509"/>
      <c r="AP782" s="509"/>
      <c r="AQ782" s="509"/>
      <c r="AR782" s="509"/>
      <c r="AS782" s="509"/>
      <c r="AT782" s="509"/>
      <c r="AU782" s="509"/>
      <c r="AV782" s="509"/>
      <c r="AW782" s="509"/>
      <c r="AX782" s="509"/>
      <c r="AY782" s="509"/>
      <c r="AZ782" s="509"/>
      <c r="BA782" s="509"/>
      <c r="BB782" s="509"/>
      <c r="BC782" s="509"/>
      <c r="BD782" s="509"/>
      <c r="BE782" s="509"/>
      <c r="BF782" s="509"/>
      <c r="BG782" s="509"/>
      <c r="BH782" s="509"/>
      <c r="BI782" s="509"/>
      <c r="BJ782" s="509"/>
      <c r="BK782" s="509"/>
      <c r="BL782" s="509"/>
      <c r="BM782" s="346"/>
      <c r="BN782" s="492"/>
      <c r="BO782" s="492"/>
      <c r="BP782" s="492"/>
      <c r="BQ782" s="492"/>
      <c r="BR782" s="492"/>
      <c r="BS782" s="492"/>
      <c r="BT782" s="357"/>
      <c r="BU782" s="357"/>
      <c r="BV782" s="310"/>
      <c r="BW782" s="310"/>
      <c r="BX782" s="300">
        <f t="shared" si="22"/>
        <v>0</v>
      </c>
      <c r="BY782" s="346"/>
      <c r="BZ782" s="438"/>
      <c r="CA782" s="438"/>
      <c r="CB782" s="439"/>
      <c r="CC782" s="439"/>
      <c r="CD782" s="439"/>
      <c r="CE782" s="439"/>
      <c r="CF782" s="439"/>
    </row>
    <row r="783" spans="1:84" s="510" customFormat="1" ht="15" hidden="1" customHeight="1" x14ac:dyDescent="0.25">
      <c r="A783" s="311"/>
      <c r="B783" s="311"/>
      <c r="C783" s="508" t="s">
        <v>355</v>
      </c>
      <c r="D783" s="1531" t="s">
        <v>1017</v>
      </c>
      <c r="E783" s="1531"/>
      <c r="F783" s="1531"/>
      <c r="G783" s="1531"/>
      <c r="H783" s="1531"/>
      <c r="I783" s="1531"/>
      <c r="J783" s="1531"/>
      <c r="K783" s="1531"/>
      <c r="L783" s="1531"/>
      <c r="M783" s="1531"/>
      <c r="N783" s="1531"/>
      <c r="O783" s="1531"/>
      <c r="P783" s="1531"/>
      <c r="Q783" s="1531"/>
      <c r="R783" s="1531"/>
      <c r="S783" s="1531"/>
      <c r="T783" s="1531"/>
      <c r="U783" s="1531"/>
      <c r="V783" s="1531"/>
      <c r="W783" s="1531"/>
      <c r="X783" s="1531"/>
      <c r="Y783" s="1531"/>
      <c r="Z783" s="1531"/>
      <c r="AA783" s="1531"/>
      <c r="AB783" s="1531"/>
      <c r="AC783" s="1531"/>
      <c r="AD783" s="1531"/>
      <c r="AE783" s="1531"/>
      <c r="AF783" s="1531"/>
      <c r="AG783" s="1531"/>
      <c r="AH783" s="1531"/>
      <c r="AI783" s="1531"/>
      <c r="AJ783" s="346"/>
      <c r="AK783" s="345"/>
      <c r="AL783" s="311"/>
      <c r="AM783" s="508" t="s">
        <v>355</v>
      </c>
      <c r="AN783" s="509" t="s">
        <v>1018</v>
      </c>
      <c r="AO783" s="509"/>
      <c r="AP783" s="509"/>
      <c r="AQ783" s="509"/>
      <c r="AR783" s="509"/>
      <c r="AS783" s="509"/>
      <c r="AT783" s="509"/>
      <c r="AU783" s="509"/>
      <c r="AV783" s="509"/>
      <c r="AW783" s="509"/>
      <c r="AX783" s="509"/>
      <c r="AY783" s="509"/>
      <c r="AZ783" s="509"/>
      <c r="BA783" s="509"/>
      <c r="BB783" s="509"/>
      <c r="BC783" s="509"/>
      <c r="BD783" s="509"/>
      <c r="BE783" s="509"/>
      <c r="BF783" s="509"/>
      <c r="BG783" s="509"/>
      <c r="BH783" s="509"/>
      <c r="BI783" s="509"/>
      <c r="BJ783" s="509"/>
      <c r="BK783" s="509"/>
      <c r="BL783" s="509"/>
      <c r="BM783" s="346"/>
      <c r="BN783" s="492"/>
      <c r="BO783" s="492"/>
      <c r="BP783" s="492"/>
      <c r="BQ783" s="492"/>
      <c r="BR783" s="492"/>
      <c r="BS783" s="492"/>
      <c r="BT783" s="357"/>
      <c r="BU783" s="357"/>
      <c r="BV783" s="310"/>
      <c r="BW783" s="310"/>
      <c r="BX783" s="300">
        <f t="shared" si="22"/>
        <v>0</v>
      </c>
      <c r="BY783" s="346"/>
      <c r="BZ783" s="438"/>
      <c r="CA783" s="438"/>
      <c r="CB783" s="439"/>
      <c r="CC783" s="439"/>
      <c r="CD783" s="439"/>
      <c r="CE783" s="439"/>
      <c r="CF783" s="439"/>
    </row>
    <row r="784" spans="1:84" s="510" customFormat="1" ht="15" hidden="1" customHeight="1" x14ac:dyDescent="0.25">
      <c r="A784" s="311"/>
      <c r="B784" s="311"/>
      <c r="C784" s="508" t="s">
        <v>355</v>
      </c>
      <c r="D784" s="1531" t="s">
        <v>1019</v>
      </c>
      <c r="E784" s="1531"/>
      <c r="F784" s="1531"/>
      <c r="G784" s="1531"/>
      <c r="H784" s="1531"/>
      <c r="I784" s="1531"/>
      <c r="J784" s="1531"/>
      <c r="K784" s="1531"/>
      <c r="L784" s="1531"/>
      <c r="M784" s="1531"/>
      <c r="N784" s="1531"/>
      <c r="O784" s="1531"/>
      <c r="P784" s="1531"/>
      <c r="Q784" s="1531"/>
      <c r="R784" s="1531"/>
      <c r="S784" s="1531"/>
      <c r="T784" s="1531"/>
      <c r="U784" s="1531"/>
      <c r="V784" s="1531"/>
      <c r="W784" s="1531"/>
      <c r="X784" s="1531"/>
      <c r="Y784" s="1531"/>
      <c r="Z784" s="1531"/>
      <c r="AA784" s="1531"/>
      <c r="AB784" s="1531"/>
      <c r="AC784" s="1531"/>
      <c r="AD784" s="1531"/>
      <c r="AE784" s="1531"/>
      <c r="AF784" s="1531"/>
      <c r="AG784" s="1531"/>
      <c r="AH784" s="1531"/>
      <c r="AI784" s="1531"/>
      <c r="AJ784" s="346"/>
      <c r="AK784" s="345"/>
      <c r="AL784" s="311"/>
      <c r="AM784" s="508" t="s">
        <v>355</v>
      </c>
      <c r="AN784" s="509" t="s">
        <v>1020</v>
      </c>
      <c r="AO784" s="509"/>
      <c r="AP784" s="509"/>
      <c r="AQ784" s="509"/>
      <c r="AR784" s="509"/>
      <c r="AS784" s="509"/>
      <c r="AT784" s="509"/>
      <c r="AU784" s="509"/>
      <c r="AV784" s="509"/>
      <c r="AW784" s="509"/>
      <c r="AX784" s="509"/>
      <c r="AY784" s="509"/>
      <c r="AZ784" s="509"/>
      <c r="BA784" s="509"/>
      <c r="BB784" s="509"/>
      <c r="BC784" s="509"/>
      <c r="BD784" s="509"/>
      <c r="BE784" s="509"/>
      <c r="BF784" s="509"/>
      <c r="BG784" s="509"/>
      <c r="BH784" s="509"/>
      <c r="BI784" s="509"/>
      <c r="BJ784" s="509"/>
      <c r="BK784" s="509"/>
      <c r="BL784" s="509"/>
      <c r="BM784" s="346"/>
      <c r="BN784" s="492"/>
      <c r="BO784" s="492"/>
      <c r="BP784" s="492"/>
      <c r="BQ784" s="492"/>
      <c r="BR784" s="492"/>
      <c r="BS784" s="492"/>
      <c r="BT784" s="357"/>
      <c r="BU784" s="357"/>
      <c r="BV784" s="310"/>
      <c r="BW784" s="310"/>
      <c r="BX784" s="300">
        <f t="shared" si="22"/>
        <v>0</v>
      </c>
      <c r="BY784" s="346"/>
      <c r="BZ784" s="438"/>
      <c r="CA784" s="438"/>
      <c r="CB784" s="439"/>
      <c r="CC784" s="439"/>
      <c r="CD784" s="439"/>
      <c r="CE784" s="439"/>
      <c r="CF784" s="439"/>
    </row>
    <row r="785" spans="1:84" s="510" customFormat="1" ht="15" hidden="1" customHeight="1" x14ac:dyDescent="0.25">
      <c r="A785" s="311"/>
      <c r="B785" s="311"/>
      <c r="C785" s="508" t="s">
        <v>355</v>
      </c>
      <c r="D785" s="1531" t="s">
        <v>1021</v>
      </c>
      <c r="E785" s="1531"/>
      <c r="F785" s="1531"/>
      <c r="G785" s="1531"/>
      <c r="H785" s="1531"/>
      <c r="I785" s="1531"/>
      <c r="J785" s="1531"/>
      <c r="K785" s="1531"/>
      <c r="L785" s="1531"/>
      <c r="M785" s="1531"/>
      <c r="N785" s="1531"/>
      <c r="O785" s="1531"/>
      <c r="P785" s="1531"/>
      <c r="Q785" s="1531"/>
      <c r="R785" s="1531"/>
      <c r="S785" s="1531"/>
      <c r="T785" s="1531"/>
      <c r="U785" s="1531"/>
      <c r="V785" s="1531"/>
      <c r="W785" s="1531"/>
      <c r="X785" s="1531"/>
      <c r="Y785" s="1531"/>
      <c r="Z785" s="1531"/>
      <c r="AA785" s="1531"/>
      <c r="AB785" s="1531"/>
      <c r="AC785" s="1531"/>
      <c r="AD785" s="1531"/>
      <c r="AE785" s="1531"/>
      <c r="AF785" s="1531"/>
      <c r="AG785" s="1531"/>
      <c r="AH785" s="1531"/>
      <c r="AI785" s="1531"/>
      <c r="AJ785" s="346"/>
      <c r="AK785" s="345"/>
      <c r="AL785" s="311"/>
      <c r="AM785" s="508" t="s">
        <v>355</v>
      </c>
      <c r="AN785" s="509" t="s">
        <v>1022</v>
      </c>
      <c r="AO785" s="509"/>
      <c r="AP785" s="509"/>
      <c r="AQ785" s="509"/>
      <c r="AR785" s="509"/>
      <c r="AS785" s="509"/>
      <c r="AT785" s="509"/>
      <c r="AU785" s="509"/>
      <c r="AV785" s="509"/>
      <c r="AW785" s="509"/>
      <c r="AX785" s="509"/>
      <c r="AY785" s="509"/>
      <c r="AZ785" s="509"/>
      <c r="BA785" s="509"/>
      <c r="BB785" s="509"/>
      <c r="BC785" s="509"/>
      <c r="BD785" s="509"/>
      <c r="BE785" s="509"/>
      <c r="BF785" s="509"/>
      <c r="BG785" s="509"/>
      <c r="BH785" s="509"/>
      <c r="BI785" s="509"/>
      <c r="BJ785" s="509"/>
      <c r="BK785" s="509"/>
      <c r="BL785" s="509"/>
      <c r="BM785" s="346"/>
      <c r="BN785" s="492"/>
      <c r="BO785" s="492"/>
      <c r="BP785" s="492"/>
      <c r="BQ785" s="492"/>
      <c r="BR785" s="492"/>
      <c r="BS785" s="492"/>
      <c r="BT785" s="357"/>
      <c r="BU785" s="357"/>
      <c r="BV785" s="310"/>
      <c r="BW785" s="310"/>
      <c r="BX785" s="300">
        <f t="shared" si="22"/>
        <v>0</v>
      </c>
      <c r="BY785" s="346"/>
      <c r="BZ785" s="438"/>
      <c r="CA785" s="438"/>
      <c r="CB785" s="439"/>
      <c r="CC785" s="439"/>
      <c r="CD785" s="439"/>
      <c r="CE785" s="439"/>
      <c r="CF785" s="439"/>
    </row>
    <row r="786" spans="1:84" s="510" customFormat="1" ht="15" hidden="1" customHeight="1" x14ac:dyDescent="0.25">
      <c r="A786" s="311"/>
      <c r="B786" s="311"/>
      <c r="C786" s="508" t="s">
        <v>355</v>
      </c>
      <c r="D786" s="1531" t="s">
        <v>1023</v>
      </c>
      <c r="E786" s="1531"/>
      <c r="F786" s="1531"/>
      <c r="G786" s="1531"/>
      <c r="H786" s="1531"/>
      <c r="I786" s="1531"/>
      <c r="J786" s="1531"/>
      <c r="K786" s="1531"/>
      <c r="L786" s="1531"/>
      <c r="M786" s="1531"/>
      <c r="N786" s="1531"/>
      <c r="O786" s="1531"/>
      <c r="P786" s="1531"/>
      <c r="Q786" s="1531"/>
      <c r="R786" s="1531"/>
      <c r="S786" s="1531"/>
      <c r="T786" s="1531"/>
      <c r="U786" s="1531"/>
      <c r="V786" s="1531"/>
      <c r="W786" s="1531"/>
      <c r="X786" s="1531"/>
      <c r="Y786" s="1531"/>
      <c r="Z786" s="1531"/>
      <c r="AA786" s="1531"/>
      <c r="AB786" s="1531"/>
      <c r="AC786" s="1531"/>
      <c r="AD786" s="1531"/>
      <c r="AE786" s="1531"/>
      <c r="AF786" s="1531"/>
      <c r="AG786" s="1531"/>
      <c r="AH786" s="1531"/>
      <c r="AI786" s="1531"/>
      <c r="AJ786" s="346"/>
      <c r="AK786" s="345"/>
      <c r="AL786" s="311"/>
      <c r="AM786" s="508" t="s">
        <v>355</v>
      </c>
      <c r="AN786" s="509" t="s">
        <v>1024</v>
      </c>
      <c r="AO786" s="509"/>
      <c r="AP786" s="509"/>
      <c r="AQ786" s="509"/>
      <c r="AR786" s="509"/>
      <c r="AS786" s="509"/>
      <c r="AT786" s="509"/>
      <c r="AU786" s="509"/>
      <c r="AV786" s="509"/>
      <c r="AW786" s="509"/>
      <c r="AX786" s="509"/>
      <c r="AY786" s="509"/>
      <c r="AZ786" s="509"/>
      <c r="BA786" s="509"/>
      <c r="BB786" s="509"/>
      <c r="BC786" s="509"/>
      <c r="BD786" s="509"/>
      <c r="BE786" s="509"/>
      <c r="BF786" s="509"/>
      <c r="BG786" s="509"/>
      <c r="BH786" s="509"/>
      <c r="BI786" s="509"/>
      <c r="BJ786" s="509"/>
      <c r="BK786" s="509"/>
      <c r="BL786" s="509"/>
      <c r="BM786" s="346"/>
      <c r="BN786" s="492"/>
      <c r="BO786" s="492"/>
      <c r="BP786" s="492"/>
      <c r="BQ786" s="492"/>
      <c r="BR786" s="492"/>
      <c r="BS786" s="492"/>
      <c r="BT786" s="357"/>
      <c r="BU786" s="357"/>
      <c r="BV786" s="310"/>
      <c r="BW786" s="310"/>
      <c r="BX786" s="300">
        <f t="shared" si="22"/>
        <v>0</v>
      </c>
      <c r="BY786" s="346"/>
      <c r="BZ786" s="438"/>
      <c r="CA786" s="438"/>
      <c r="CB786" s="439"/>
      <c r="CC786" s="439"/>
      <c r="CD786" s="439"/>
      <c r="CE786" s="439"/>
      <c r="CF786" s="439"/>
    </row>
    <row r="787" spans="1:84" ht="2.1" hidden="1" customHeight="1" x14ac:dyDescent="0.25">
      <c r="A787" s="313"/>
      <c r="B787" s="340"/>
      <c r="C787" s="392"/>
      <c r="D787" s="392"/>
      <c r="E787" s="392"/>
      <c r="F787" s="392"/>
      <c r="G787" s="392"/>
      <c r="H787" s="392"/>
      <c r="I787" s="392"/>
      <c r="J787" s="392"/>
      <c r="K787" s="392"/>
      <c r="L787" s="392"/>
      <c r="M787" s="392"/>
      <c r="N787" s="392"/>
      <c r="O787" s="392"/>
      <c r="P787" s="392"/>
      <c r="Q787" s="392"/>
      <c r="R787" s="392"/>
      <c r="S787" s="392"/>
      <c r="T787" s="392"/>
      <c r="U787" s="392"/>
      <c r="V787" s="392"/>
      <c r="W787" s="393"/>
      <c r="X787" s="393"/>
      <c r="Y787" s="393"/>
      <c r="Z787" s="393"/>
      <c r="AA787" s="393"/>
      <c r="AB787" s="393"/>
      <c r="AC787" s="343"/>
      <c r="AD787" s="343"/>
      <c r="AE787" s="343"/>
      <c r="AF787" s="343"/>
      <c r="AG787" s="343"/>
      <c r="AH787" s="343"/>
      <c r="AI787" s="343"/>
      <c r="AJ787" s="344"/>
      <c r="AK787" s="345"/>
      <c r="AL787" s="340"/>
      <c r="AM787" s="392"/>
      <c r="AN787" s="392"/>
      <c r="AO787" s="392"/>
      <c r="AP787" s="392"/>
      <c r="AQ787" s="392"/>
      <c r="AR787" s="392"/>
      <c r="AS787" s="392"/>
      <c r="AT787" s="392"/>
      <c r="AU787" s="392"/>
      <c r="AV787" s="392"/>
      <c r="AW787" s="392"/>
      <c r="AX787" s="392"/>
      <c r="AY787" s="392"/>
      <c r="AZ787" s="392"/>
      <c r="BA787" s="392"/>
      <c r="BB787" s="392"/>
      <c r="BC787" s="392"/>
      <c r="BD787" s="392"/>
      <c r="BE787" s="392"/>
      <c r="BF787" s="392"/>
      <c r="BG787" s="392"/>
      <c r="BH787" s="392"/>
      <c r="BI787" s="392"/>
      <c r="BJ787" s="392"/>
      <c r="BK787" s="392"/>
      <c r="BL787" s="392"/>
      <c r="BM787" s="342"/>
      <c r="BN787" s="356"/>
      <c r="BO787" s="356"/>
      <c r="BP787" s="356"/>
      <c r="BQ787" s="356"/>
      <c r="BR787" s="356"/>
      <c r="BS787" s="356"/>
      <c r="BT787" s="356"/>
      <c r="BU787" s="357"/>
      <c r="BV787" s="310"/>
      <c r="BW787" s="310"/>
      <c r="BX787" s="291">
        <f t="shared" si="22"/>
        <v>0</v>
      </c>
      <c r="BY787" s="344"/>
      <c r="BZ787" s="347"/>
      <c r="CA787" s="347"/>
    </row>
    <row r="788" spans="1:84" ht="12.95" hidden="1" customHeight="1" x14ac:dyDescent="0.25">
      <c r="A788" s="313"/>
      <c r="B788" s="340"/>
      <c r="C788" s="392"/>
      <c r="D788" s="392"/>
      <c r="E788" s="392"/>
      <c r="F788" s="392"/>
      <c r="G788" s="392"/>
      <c r="H788" s="392"/>
      <c r="I788" s="392"/>
      <c r="J788" s="392"/>
      <c r="K788" s="392"/>
      <c r="L788" s="392"/>
      <c r="M788" s="392"/>
      <c r="N788" s="392"/>
      <c r="O788" s="392"/>
      <c r="P788" s="392"/>
      <c r="Q788" s="392"/>
      <c r="R788" s="392"/>
      <c r="S788" s="392"/>
      <c r="T788" s="392"/>
      <c r="U788" s="392"/>
      <c r="V788" s="392"/>
      <c r="W788" s="393"/>
      <c r="X788" s="393"/>
      <c r="Y788" s="393"/>
      <c r="Z788" s="393"/>
      <c r="AA788" s="393"/>
      <c r="AB788" s="393"/>
      <c r="AC788" s="343"/>
      <c r="AD788" s="343"/>
      <c r="AE788" s="343"/>
      <c r="AF788" s="343"/>
      <c r="AG788" s="343"/>
      <c r="AH788" s="343"/>
      <c r="AI788" s="343"/>
      <c r="AJ788" s="344"/>
      <c r="AK788" s="345"/>
      <c r="AL788" s="340"/>
      <c r="AM788" s="392"/>
      <c r="AN788" s="392"/>
      <c r="AO788" s="392"/>
      <c r="AP788" s="392"/>
      <c r="AQ788" s="392"/>
      <c r="AR788" s="392"/>
      <c r="AS788" s="392"/>
      <c r="AT788" s="392"/>
      <c r="AU788" s="392"/>
      <c r="AV788" s="392"/>
      <c r="AW788" s="392"/>
      <c r="AX788" s="392"/>
      <c r="AY788" s="392"/>
      <c r="AZ788" s="392"/>
      <c r="BA788" s="392"/>
      <c r="BB788" s="392"/>
      <c r="BC788" s="392"/>
      <c r="BD788" s="392"/>
      <c r="BE788" s="392"/>
      <c r="BF788" s="392"/>
      <c r="BG788" s="392"/>
      <c r="BH788" s="392"/>
      <c r="BI788" s="392"/>
      <c r="BJ788" s="392"/>
      <c r="BK788" s="392"/>
      <c r="BL788" s="392"/>
      <c r="BM788" s="342"/>
      <c r="BN788" s="356"/>
      <c r="BO788" s="356"/>
      <c r="BP788" s="356"/>
      <c r="BQ788" s="356"/>
      <c r="BR788" s="356"/>
      <c r="BS788" s="356"/>
      <c r="BT788" s="356"/>
      <c r="BU788" s="357"/>
      <c r="BV788" s="310"/>
      <c r="BW788" s="310"/>
      <c r="BX788" s="291">
        <f t="shared" si="22"/>
        <v>0</v>
      </c>
      <c r="BY788" s="344"/>
      <c r="BZ788" s="347"/>
      <c r="CA788" s="347"/>
    </row>
    <row r="789" spans="1:84" ht="15" hidden="1" customHeight="1" x14ac:dyDescent="0.25">
      <c r="A789" s="313">
        <f>STT</f>
        <v>13</v>
      </c>
      <c r="B789" s="340" t="s">
        <v>345</v>
      </c>
      <c r="C789" s="471" t="s">
        <v>1025</v>
      </c>
      <c r="D789" s="392"/>
      <c r="E789" s="392"/>
      <c r="F789" s="392"/>
      <c r="G789" s="392"/>
      <c r="H789" s="392"/>
      <c r="I789" s="392"/>
      <c r="J789" s="392"/>
      <c r="K789" s="392"/>
      <c r="L789" s="392"/>
      <c r="M789" s="392"/>
      <c r="N789" s="392"/>
      <c r="O789" s="392"/>
      <c r="P789" s="392"/>
      <c r="Q789" s="392"/>
      <c r="R789" s="392"/>
      <c r="S789" s="392"/>
      <c r="T789" s="392"/>
      <c r="U789" s="392"/>
      <c r="V789" s="392"/>
      <c r="W789" s="393"/>
      <c r="X789" s="393"/>
      <c r="Y789" s="393"/>
      <c r="Z789" s="393"/>
      <c r="AA789" s="393"/>
      <c r="AB789" s="393"/>
      <c r="AC789" s="343"/>
      <c r="AD789" s="343"/>
      <c r="AE789" s="343"/>
      <c r="AF789" s="343"/>
      <c r="AG789" s="343"/>
      <c r="AH789" s="343"/>
      <c r="AI789" s="343"/>
      <c r="AJ789" s="344"/>
      <c r="AK789" s="345">
        <f>A789</f>
        <v>13</v>
      </c>
      <c r="AL789" s="340" t="s">
        <v>345</v>
      </c>
      <c r="AM789" s="471" t="s">
        <v>1026</v>
      </c>
      <c r="AN789" s="392"/>
      <c r="AO789" s="392"/>
      <c r="AP789" s="392"/>
      <c r="AQ789" s="392"/>
      <c r="AR789" s="392"/>
      <c r="AS789" s="392"/>
      <c r="AT789" s="392"/>
      <c r="AU789" s="392"/>
      <c r="AV789" s="392"/>
      <c r="AW789" s="392"/>
      <c r="AX789" s="392"/>
      <c r="AY789" s="392"/>
      <c r="AZ789" s="392"/>
      <c r="BA789" s="392"/>
      <c r="BB789" s="392"/>
      <c r="BC789" s="392"/>
      <c r="BD789" s="392"/>
      <c r="BE789" s="392"/>
      <c r="BF789" s="392"/>
      <c r="BG789" s="392"/>
      <c r="BH789" s="392"/>
      <c r="BI789" s="392"/>
      <c r="BJ789" s="392"/>
      <c r="BK789" s="392"/>
      <c r="BL789" s="392"/>
      <c r="BM789" s="342"/>
      <c r="BN789" s="342"/>
      <c r="BO789" s="342"/>
      <c r="BP789" s="342"/>
      <c r="BQ789" s="342"/>
      <c r="BR789" s="342"/>
      <c r="BS789" s="342"/>
      <c r="BT789" s="342"/>
      <c r="BU789" s="346">
        <f>SUBTOTAL(103,A789)</f>
        <v>0</v>
      </c>
      <c r="BV789" s="310"/>
      <c r="BW789" s="310"/>
      <c r="BX789" s="291">
        <f t="shared" si="22"/>
        <v>0</v>
      </c>
      <c r="BY789" s="344"/>
      <c r="BZ789" s="347"/>
      <c r="CA789" s="347"/>
    </row>
    <row r="790" spans="1:84" ht="15" hidden="1" customHeight="1" x14ac:dyDescent="0.25">
      <c r="A790" s="313"/>
      <c r="B790" s="340"/>
      <c r="C790" s="471"/>
      <c r="D790" s="392"/>
      <c r="E790" s="392"/>
      <c r="F790" s="392"/>
      <c r="G790" s="392"/>
      <c r="H790" s="392"/>
      <c r="I790" s="392"/>
      <c r="J790" s="392"/>
      <c r="K790" s="392"/>
      <c r="L790" s="392"/>
      <c r="M790" s="392"/>
      <c r="N790" s="392"/>
      <c r="O790" s="392"/>
      <c r="P790" s="392"/>
      <c r="Q790" s="392"/>
      <c r="R790" s="392"/>
      <c r="S790" s="392"/>
      <c r="T790" s="392"/>
      <c r="U790" s="392"/>
      <c r="V790" s="392"/>
      <c r="W790" s="393"/>
      <c r="X790" s="393"/>
      <c r="Y790" s="393"/>
      <c r="Z790" s="393"/>
      <c r="AA790" s="393"/>
      <c r="AB790" s="393"/>
      <c r="AC790" s="343"/>
      <c r="AD790" s="343"/>
      <c r="AE790" s="343"/>
      <c r="AF790" s="343"/>
      <c r="AG790" s="343"/>
      <c r="AH790" s="343"/>
      <c r="AI790" s="343"/>
      <c r="AJ790" s="344"/>
      <c r="AK790" s="345"/>
      <c r="AL790" s="340"/>
      <c r="AM790" s="471"/>
      <c r="AN790" s="392"/>
      <c r="AO790" s="392"/>
      <c r="AP790" s="392"/>
      <c r="AQ790" s="392"/>
      <c r="AR790" s="392"/>
      <c r="AS790" s="392"/>
      <c r="AT790" s="392"/>
      <c r="AU790" s="392"/>
      <c r="AV790" s="392"/>
      <c r="AW790" s="392"/>
      <c r="AX790" s="392"/>
      <c r="AY790" s="392"/>
      <c r="AZ790" s="392"/>
      <c r="BA790" s="392"/>
      <c r="BB790" s="392"/>
      <c r="BC790" s="392"/>
      <c r="BD790" s="392"/>
      <c r="BE790" s="392"/>
      <c r="BF790" s="392"/>
      <c r="BG790" s="392"/>
      <c r="BH790" s="392"/>
      <c r="BI790" s="392"/>
      <c r="BJ790" s="392"/>
      <c r="BK790" s="392"/>
      <c r="BL790" s="392"/>
      <c r="BM790" s="342"/>
      <c r="BN790" s="342"/>
      <c r="BO790" s="342"/>
      <c r="BP790" s="342"/>
      <c r="BQ790" s="342"/>
      <c r="BR790" s="342"/>
      <c r="BS790" s="342"/>
      <c r="BT790" s="342"/>
      <c r="BU790" s="346"/>
      <c r="BV790" s="310"/>
      <c r="BW790" s="310"/>
      <c r="BX790" s="291">
        <f t="shared" si="22"/>
        <v>0</v>
      </c>
      <c r="BY790" s="344"/>
      <c r="BZ790" s="347"/>
      <c r="CA790" s="347"/>
    </row>
    <row r="791" spans="1:84" ht="15" hidden="1" customHeight="1" x14ac:dyDescent="0.25">
      <c r="A791" s="313"/>
      <c r="B791" s="340"/>
      <c r="C791" s="472" t="s">
        <v>979</v>
      </c>
      <c r="D791" s="472"/>
      <c r="E791" s="472"/>
      <c r="F791" s="472"/>
      <c r="G791" s="472"/>
      <c r="H791" s="472"/>
      <c r="I791" s="1528" t="s">
        <v>1027</v>
      </c>
      <c r="J791" s="1528"/>
      <c r="K791" s="1528"/>
      <c r="L791" s="1528"/>
      <c r="M791" s="1528"/>
      <c r="N791" s="1528"/>
      <c r="O791" s="473"/>
      <c r="P791" s="1528" t="s">
        <v>1028</v>
      </c>
      <c r="Q791" s="1528"/>
      <c r="R791" s="1528"/>
      <c r="S791" s="1528"/>
      <c r="T791" s="1528"/>
      <c r="U791" s="1528"/>
      <c r="V791" s="473"/>
      <c r="W791" s="1528" t="s">
        <v>1029</v>
      </c>
      <c r="X791" s="1528"/>
      <c r="Y791" s="1528"/>
      <c r="Z791" s="1528"/>
      <c r="AA791" s="1528"/>
      <c r="AB791" s="1528"/>
      <c r="AC791" s="473"/>
      <c r="AD791" s="1529" t="s">
        <v>983</v>
      </c>
      <c r="AE791" s="1529"/>
      <c r="AF791" s="1529"/>
      <c r="AG791" s="1529"/>
      <c r="AH791" s="1529"/>
      <c r="AI791" s="1529"/>
      <c r="AJ791" s="474"/>
      <c r="AK791" s="475"/>
      <c r="AL791" s="476"/>
      <c r="AM791" s="472" t="s">
        <v>984</v>
      </c>
      <c r="AN791" s="472"/>
      <c r="AO791" s="472"/>
      <c r="AP791" s="472"/>
      <c r="AQ791" s="472"/>
      <c r="AR791" s="472"/>
      <c r="AS791" s="1528" t="str">
        <f>I791</f>
        <v>21211</v>
      </c>
      <c r="AT791" s="1528"/>
      <c r="AU791" s="1528"/>
      <c r="AV791" s="1528"/>
      <c r="AW791" s="1528"/>
      <c r="AX791" s="1528"/>
      <c r="AY791" s="511"/>
      <c r="AZ791" s="1528" t="str">
        <f>P791</f>
        <v>21212</v>
      </c>
      <c r="BA791" s="1528"/>
      <c r="BB791" s="1528"/>
      <c r="BC791" s="1528"/>
      <c r="BD791" s="1528"/>
      <c r="BE791" s="1528"/>
      <c r="BF791" s="511"/>
      <c r="BG791" s="1528" t="str">
        <f>W791</f>
        <v>2122</v>
      </c>
      <c r="BH791" s="1528"/>
      <c r="BI791" s="1528"/>
      <c r="BJ791" s="1528"/>
      <c r="BK791" s="1528"/>
      <c r="BL791" s="1528"/>
      <c r="BM791" s="511"/>
      <c r="BN791" s="1529" t="str">
        <f>AD791</f>
        <v>Cong</v>
      </c>
      <c r="BO791" s="1529"/>
      <c r="BP791" s="1529"/>
      <c r="BQ791" s="1529"/>
      <c r="BR791" s="1529"/>
      <c r="BS791" s="1529"/>
      <c r="BT791" s="478"/>
      <c r="BU791" s="479"/>
      <c r="BV791" s="310"/>
      <c r="BW791" s="310"/>
      <c r="BX791" s="291">
        <f t="shared" si="22"/>
        <v>0</v>
      </c>
      <c r="BY791" s="344"/>
      <c r="BZ791" s="347"/>
      <c r="CA791" s="347"/>
    </row>
    <row r="792" spans="1:84" ht="27.95" hidden="1" customHeight="1" x14ac:dyDescent="0.2">
      <c r="A792" s="313"/>
      <c r="B792" s="340"/>
      <c r="C792" s="480"/>
      <c r="D792" s="480"/>
      <c r="E792" s="480"/>
      <c r="F792" s="480"/>
      <c r="G792" s="480"/>
      <c r="H792" s="480"/>
      <c r="I792" s="1464" t="str">
        <f>HLOOKUP(I$791,TM_TSCDTTC_V,ROW()-ROW($C$791)+1,0)</f>
        <v>Nhà cửa, 
vật kiến trúc</v>
      </c>
      <c r="J792" s="1464"/>
      <c r="K792" s="1464"/>
      <c r="L792" s="1464"/>
      <c r="M792" s="1464"/>
      <c r="N792" s="1464"/>
      <c r="O792" s="481"/>
      <c r="P792" s="1464" t="str">
        <f>HLOOKUP(P$791,TM_TSCDTTC_V,ROW()-ROW($C$791)+1,0)</f>
        <v>Máy móc,
thiết bị</v>
      </c>
      <c r="Q792" s="1464"/>
      <c r="R792" s="1464"/>
      <c r="S792" s="1464"/>
      <c r="T792" s="1464"/>
      <c r="U792" s="1464"/>
      <c r="V792" s="481"/>
      <c r="W792" s="1465" t="str">
        <f>HLOOKUP(W$791,TM_TSCDTTC_V,ROW()-ROW($C$791)+1,0)</f>
        <v>TSCĐ vô hình</v>
      </c>
      <c r="X792" s="1465"/>
      <c r="Y792" s="1465"/>
      <c r="Z792" s="1465"/>
      <c r="AA792" s="1465"/>
      <c r="AB792" s="1465"/>
      <c r="AC792" s="482"/>
      <c r="AD792" s="1530" t="str">
        <f>HLOOKUP(AD$791,TM_TSCDTTC_V,ROW()-ROW($C$791)+1,0)</f>
        <v>Cộng</v>
      </c>
      <c r="AE792" s="1530"/>
      <c r="AF792" s="1530"/>
      <c r="AG792" s="1530"/>
      <c r="AH792" s="1530"/>
      <c r="AI792" s="1530"/>
      <c r="AJ792" s="344"/>
      <c r="AK792" s="345"/>
      <c r="AL792" s="340"/>
      <c r="AM792" s="480"/>
      <c r="AN792" s="480"/>
      <c r="AO792" s="480"/>
      <c r="AP792" s="480"/>
      <c r="AQ792" s="480"/>
      <c r="AR792" s="480"/>
      <c r="AS792" s="1464" t="str">
        <f>HLOOKUP(AS$791,TM_TSCDTTC_E,ROW()-ROW($AM$791)+1,0)</f>
        <v>Buildings</v>
      </c>
      <c r="AT792" s="1464"/>
      <c r="AU792" s="1464"/>
      <c r="AV792" s="1464"/>
      <c r="AW792" s="1464"/>
      <c r="AX792" s="1464"/>
      <c r="AY792" s="481"/>
      <c r="AZ792" s="1464" t="str">
        <f>HLOOKUP(AZ$791,TM_TSCDTTC_E,ROW()-ROW($AM$791)+1,0)</f>
        <v>Machine, equipment</v>
      </c>
      <c r="BA792" s="1464"/>
      <c r="BB792" s="1464"/>
      <c r="BC792" s="1464"/>
      <c r="BD792" s="1464"/>
      <c r="BE792" s="1464"/>
      <c r="BF792" s="481"/>
      <c r="BG792" s="1465" t="str">
        <f>HLOOKUP(BG$791,TM_TSCDTTC_E,ROW()-ROW($AM$791)+1,0)</f>
        <v>Intangible fixed assets</v>
      </c>
      <c r="BH792" s="1465"/>
      <c r="BI792" s="1465"/>
      <c r="BJ792" s="1465"/>
      <c r="BK792" s="1465"/>
      <c r="BL792" s="1465"/>
      <c r="BM792" s="482"/>
      <c r="BN792" s="1530" t="str">
        <f>HLOOKUP(BN$791,TM_TSCDTTC_E,ROW()-ROW($AM$791)+1,0)</f>
        <v>Total</v>
      </c>
      <c r="BO792" s="1530"/>
      <c r="BP792" s="1530"/>
      <c r="BQ792" s="1530"/>
      <c r="BR792" s="1530"/>
      <c r="BS792" s="1530"/>
      <c r="BT792" s="478"/>
      <c r="BU792" s="479"/>
      <c r="BV792" s="310"/>
      <c r="BW792" s="310"/>
      <c r="BX792" s="291">
        <f t="shared" si="22"/>
        <v>0</v>
      </c>
      <c r="BY792" s="344"/>
      <c r="BZ792" s="347"/>
      <c r="CA792" s="347"/>
    </row>
    <row r="793" spans="1:84" ht="15" hidden="1" customHeight="1" x14ac:dyDescent="0.2">
      <c r="A793" s="313"/>
      <c r="B793" s="340"/>
      <c r="C793" s="1527"/>
      <c r="D793" s="1527"/>
      <c r="E793" s="1527"/>
      <c r="F793" s="1527"/>
      <c r="G793" s="1527"/>
      <c r="H793" s="1527"/>
      <c r="I793" s="1546" t="str">
        <f>Don_Vi_Tinh_V</f>
        <v>VND</v>
      </c>
      <c r="J793" s="1546"/>
      <c r="K793" s="1546"/>
      <c r="L793" s="1546"/>
      <c r="M793" s="1546"/>
      <c r="N793" s="1546"/>
      <c r="O793" s="512"/>
      <c r="P793" s="1546" t="str">
        <f>Don_Vi_Tinh_V</f>
        <v>VND</v>
      </c>
      <c r="Q793" s="1546"/>
      <c r="R793" s="1546"/>
      <c r="S793" s="1546"/>
      <c r="T793" s="1546"/>
      <c r="U793" s="1546"/>
      <c r="V793" s="512"/>
      <c r="W793" s="1546" t="str">
        <f>Don_Vi_Tinh_V</f>
        <v>VND</v>
      </c>
      <c r="X793" s="1546"/>
      <c r="Y793" s="1546"/>
      <c r="Z793" s="1546"/>
      <c r="AA793" s="1546"/>
      <c r="AB793" s="1546"/>
      <c r="AC793" s="513"/>
      <c r="AD793" s="1546" t="str">
        <f>Don_Vi_Tinh_V</f>
        <v>VND</v>
      </c>
      <c r="AE793" s="1546"/>
      <c r="AF793" s="1546"/>
      <c r="AG793" s="1546"/>
      <c r="AH793" s="1546"/>
      <c r="AI793" s="1546"/>
      <c r="AJ793" s="344"/>
      <c r="AK793" s="345"/>
      <c r="AL793" s="340"/>
      <c r="AM793" s="1547"/>
      <c r="AN793" s="1547"/>
      <c r="AO793" s="1547"/>
      <c r="AP793" s="1547"/>
      <c r="AQ793" s="1547"/>
      <c r="AR793" s="1547"/>
      <c r="AS793" s="1545" t="str">
        <f>Don_Vi_Tinh_E</f>
        <v>VND</v>
      </c>
      <c r="AT793" s="1545"/>
      <c r="AU793" s="1545"/>
      <c r="AV793" s="1545"/>
      <c r="AW793" s="1545"/>
      <c r="AX793" s="1545"/>
      <c r="AY793" s="514"/>
      <c r="AZ793" s="1545" t="str">
        <f>Don_Vi_Tinh_E</f>
        <v>VND</v>
      </c>
      <c r="BA793" s="1545"/>
      <c r="BB793" s="1545"/>
      <c r="BC793" s="1545"/>
      <c r="BD793" s="1545"/>
      <c r="BE793" s="1545"/>
      <c r="BF793" s="514"/>
      <c r="BG793" s="1545" t="str">
        <f>Don_Vi_Tinh_E</f>
        <v>VND</v>
      </c>
      <c r="BH793" s="1545"/>
      <c r="BI793" s="1545"/>
      <c r="BJ793" s="1545"/>
      <c r="BK793" s="1545"/>
      <c r="BL793" s="1545"/>
      <c r="BM793" s="515"/>
      <c r="BN793" s="1545" t="str">
        <f>Don_Vi_Tinh_E</f>
        <v>VND</v>
      </c>
      <c r="BO793" s="1545"/>
      <c r="BP793" s="1545"/>
      <c r="BQ793" s="1545"/>
      <c r="BR793" s="1545"/>
      <c r="BS793" s="1545"/>
      <c r="BT793" s="478"/>
      <c r="BU793" s="479"/>
      <c r="BV793" s="310"/>
      <c r="BW793" s="310"/>
      <c r="BX793" s="291">
        <f t="shared" si="22"/>
        <v>0</v>
      </c>
      <c r="BY793" s="344"/>
      <c r="BZ793" s="347"/>
      <c r="CA793" s="347"/>
    </row>
    <row r="794" spans="1:84" ht="15" hidden="1" customHeight="1" x14ac:dyDescent="0.25">
      <c r="A794" s="313"/>
      <c r="B794" s="340"/>
      <c r="C794" s="1513" t="s">
        <v>985</v>
      </c>
      <c r="D794" s="1513"/>
      <c r="E794" s="1513"/>
      <c r="F794" s="1513"/>
      <c r="G794" s="1513"/>
      <c r="H794" s="1513"/>
      <c r="I794" s="1421"/>
      <c r="J794" s="1421"/>
      <c r="K794" s="1421"/>
      <c r="L794" s="1421"/>
      <c r="M794" s="1421"/>
      <c r="N794" s="1421"/>
      <c r="O794" s="484"/>
      <c r="P794" s="484"/>
      <c r="Q794" s="484"/>
      <c r="R794" s="484"/>
      <c r="S794" s="484"/>
      <c r="T794" s="484"/>
      <c r="U794" s="484"/>
      <c r="V794" s="484"/>
      <c r="W794" s="1525"/>
      <c r="X794" s="1525"/>
      <c r="Y794" s="1525"/>
      <c r="Z794" s="1525"/>
      <c r="AA794" s="1525"/>
      <c r="AB794" s="1525"/>
      <c r="AC794" s="484"/>
      <c r="AD794" s="1525"/>
      <c r="AE794" s="1525"/>
      <c r="AF794" s="1525"/>
      <c r="AG794" s="1525"/>
      <c r="AH794" s="1525"/>
      <c r="AI794" s="1525"/>
      <c r="AJ794" s="344"/>
      <c r="AK794" s="345"/>
      <c r="AL794" s="340"/>
      <c r="AM794" s="1533" t="s">
        <v>986</v>
      </c>
      <c r="AN794" s="1533"/>
      <c r="AO794" s="1533"/>
      <c r="AP794" s="1533"/>
      <c r="AQ794" s="1533"/>
      <c r="AR794" s="1533"/>
      <c r="AS794" s="1421"/>
      <c r="AT794" s="1421"/>
      <c r="AU794" s="1421"/>
      <c r="AV794" s="1421"/>
      <c r="AW794" s="1421"/>
      <c r="AX794" s="1421"/>
      <c r="AY794" s="484"/>
      <c r="AZ794" s="1525"/>
      <c r="BA794" s="1525"/>
      <c r="BB794" s="1525"/>
      <c r="BC794" s="1525"/>
      <c r="BD794" s="1525"/>
      <c r="BE794" s="1525"/>
      <c r="BF794" s="484"/>
      <c r="BG794" s="1525"/>
      <c r="BH794" s="1525"/>
      <c r="BI794" s="1525"/>
      <c r="BJ794" s="1525"/>
      <c r="BK794" s="1525"/>
      <c r="BL794" s="1525"/>
      <c r="BM794" s="484"/>
      <c r="BN794" s="1525"/>
      <c r="BO794" s="1525"/>
      <c r="BP794" s="1525"/>
      <c r="BQ794" s="1525"/>
      <c r="BR794" s="1525"/>
      <c r="BS794" s="1525"/>
      <c r="BT794" s="485"/>
      <c r="BU794" s="486"/>
      <c r="BV794" s="310"/>
      <c r="BW794" s="310"/>
      <c r="BX794" s="291">
        <f t="shared" si="22"/>
        <v>0</v>
      </c>
      <c r="BY794" s="344"/>
      <c r="BZ794" s="347"/>
      <c r="CA794" s="347"/>
    </row>
    <row r="795" spans="1:84" ht="15" hidden="1" customHeight="1" x14ac:dyDescent="0.25">
      <c r="A795" s="313"/>
      <c r="B795" s="340"/>
      <c r="C795" s="1522" t="s">
        <v>987</v>
      </c>
      <c r="D795" s="1522"/>
      <c r="E795" s="1522"/>
      <c r="F795" s="1522"/>
      <c r="G795" s="1522"/>
      <c r="H795" s="1522"/>
      <c r="I795" s="1445">
        <f t="shared" ref="I795:I800" si="39">HLOOKUP(I$791,TM_TSCDTTC_V,ROW()-ROW($C$791)+1,0)</f>
        <v>0</v>
      </c>
      <c r="J795" s="1445"/>
      <c r="K795" s="1445"/>
      <c r="L795" s="1445"/>
      <c r="M795" s="1445"/>
      <c r="N795" s="1445"/>
      <c r="O795" s="487"/>
      <c r="P795" s="1445">
        <f t="shared" ref="P795:P800" si="40">HLOOKUP(P$791,TM_TSCDTTC_V,ROW()-ROW($C$791)+1,0)</f>
        <v>0</v>
      </c>
      <c r="Q795" s="1445"/>
      <c r="R795" s="1445"/>
      <c r="S795" s="1445"/>
      <c r="T795" s="1445"/>
      <c r="U795" s="1445"/>
      <c r="V795" s="487"/>
      <c r="W795" s="1445">
        <f t="shared" ref="W795:W800" si="41">HLOOKUP(W$791,TM_TSCDTTC_V,ROW()-ROW($C$791)+1,0)</f>
        <v>0</v>
      </c>
      <c r="X795" s="1445"/>
      <c r="Y795" s="1445"/>
      <c r="Z795" s="1445"/>
      <c r="AA795" s="1445"/>
      <c r="AB795" s="1445"/>
      <c r="AC795" s="487"/>
      <c r="AD795" s="1330">
        <f t="shared" ref="AD795:AD800" si="42">SUM(I795:AB795)</f>
        <v>0</v>
      </c>
      <c r="AE795" s="1330"/>
      <c r="AF795" s="1330"/>
      <c r="AG795" s="1330"/>
      <c r="AH795" s="1330"/>
      <c r="AI795" s="1330"/>
      <c r="AJ795" s="344"/>
      <c r="AK795" s="345"/>
      <c r="AL795" s="340"/>
      <c r="AM795" s="1535" t="s">
        <v>988</v>
      </c>
      <c r="AN795" s="1535"/>
      <c r="AO795" s="1535"/>
      <c r="AP795" s="1535"/>
      <c r="AQ795" s="1535"/>
      <c r="AR795" s="1535"/>
      <c r="AS795" s="1445">
        <f t="shared" ref="AS795:AS800" si="43">I795</f>
        <v>0</v>
      </c>
      <c r="AT795" s="1445"/>
      <c r="AU795" s="1445"/>
      <c r="AV795" s="1445"/>
      <c r="AW795" s="1445"/>
      <c r="AX795" s="1445"/>
      <c r="AY795" s="487"/>
      <c r="AZ795" s="1445">
        <f t="shared" ref="AZ795:AZ800" si="44">P795</f>
        <v>0</v>
      </c>
      <c r="BA795" s="1445"/>
      <c r="BB795" s="1445"/>
      <c r="BC795" s="1445"/>
      <c r="BD795" s="1445"/>
      <c r="BE795" s="1445"/>
      <c r="BF795" s="487"/>
      <c r="BG795" s="1445">
        <f t="shared" ref="BG795:BG800" si="45">W795</f>
        <v>0</v>
      </c>
      <c r="BH795" s="1445"/>
      <c r="BI795" s="1445"/>
      <c r="BJ795" s="1445"/>
      <c r="BK795" s="1445"/>
      <c r="BL795" s="1445"/>
      <c r="BM795" s="487"/>
      <c r="BN795" s="1330">
        <f t="shared" ref="BN795:BN800" si="46">SUM(AS795:BL795)</f>
        <v>0</v>
      </c>
      <c r="BO795" s="1330"/>
      <c r="BP795" s="1330"/>
      <c r="BQ795" s="1330"/>
      <c r="BR795" s="1330"/>
      <c r="BS795" s="1330"/>
      <c r="BT795" s="488"/>
      <c r="BU795" s="489"/>
      <c r="BV795" s="310"/>
      <c r="BW795" s="310">
        <f>AD795-KT_CT225</f>
        <v>0</v>
      </c>
      <c r="BX795" s="291">
        <f t="shared" si="22"/>
        <v>0</v>
      </c>
      <c r="BY795" s="344"/>
      <c r="BZ795" s="347"/>
      <c r="CA795" s="347"/>
    </row>
    <row r="796" spans="1:84" ht="27.95" hidden="1" customHeight="1" x14ac:dyDescent="0.25">
      <c r="A796" s="313"/>
      <c r="B796" s="340"/>
      <c r="C796" s="1521" t="s">
        <v>1030</v>
      </c>
      <c r="D796" s="1521"/>
      <c r="E796" s="1521"/>
      <c r="F796" s="1521"/>
      <c r="G796" s="1521"/>
      <c r="H796" s="1521"/>
      <c r="I796" s="1520">
        <f t="shared" si="39"/>
        <v>0</v>
      </c>
      <c r="J796" s="1520"/>
      <c r="K796" s="1520"/>
      <c r="L796" s="1520"/>
      <c r="M796" s="1520"/>
      <c r="N796" s="1520"/>
      <c r="O796" s="490"/>
      <c r="P796" s="1520">
        <f t="shared" si="40"/>
        <v>0</v>
      </c>
      <c r="Q796" s="1520"/>
      <c r="R796" s="1520"/>
      <c r="S796" s="1520"/>
      <c r="T796" s="1520"/>
      <c r="U796" s="1520"/>
      <c r="V796" s="490"/>
      <c r="W796" s="1444">
        <f t="shared" si="41"/>
        <v>0</v>
      </c>
      <c r="X796" s="1444"/>
      <c r="Y796" s="1444"/>
      <c r="Z796" s="1444"/>
      <c r="AA796" s="1444"/>
      <c r="AB796" s="1444"/>
      <c r="AC796" s="493"/>
      <c r="AD796" s="1444">
        <f t="shared" si="42"/>
        <v>0</v>
      </c>
      <c r="AE796" s="1444"/>
      <c r="AF796" s="1444"/>
      <c r="AG796" s="1444"/>
      <c r="AH796" s="1444"/>
      <c r="AI796" s="1444"/>
      <c r="AJ796" s="344"/>
      <c r="AK796" s="345"/>
      <c r="AL796" s="340"/>
      <c r="AM796" s="1539" t="s">
        <v>1031</v>
      </c>
      <c r="AN796" s="1539"/>
      <c r="AO796" s="1539"/>
      <c r="AP796" s="1539"/>
      <c r="AQ796" s="1539"/>
      <c r="AR796" s="1539"/>
      <c r="AS796" s="1520">
        <f t="shared" si="43"/>
        <v>0</v>
      </c>
      <c r="AT796" s="1520"/>
      <c r="AU796" s="1520"/>
      <c r="AV796" s="1520"/>
      <c r="AW796" s="1520"/>
      <c r="AX796" s="1520"/>
      <c r="AY796" s="490"/>
      <c r="AZ796" s="1520">
        <f t="shared" si="44"/>
        <v>0</v>
      </c>
      <c r="BA796" s="1520"/>
      <c r="BB796" s="1520"/>
      <c r="BC796" s="1520"/>
      <c r="BD796" s="1520"/>
      <c r="BE796" s="1520"/>
      <c r="BF796" s="490"/>
      <c r="BG796" s="1444">
        <f t="shared" si="45"/>
        <v>0</v>
      </c>
      <c r="BH796" s="1444"/>
      <c r="BI796" s="1444"/>
      <c r="BJ796" s="1444"/>
      <c r="BK796" s="1444"/>
      <c r="BL796" s="1444"/>
      <c r="BM796" s="493"/>
      <c r="BN796" s="1444">
        <f t="shared" si="46"/>
        <v>0</v>
      </c>
      <c r="BO796" s="1444"/>
      <c r="BP796" s="1444"/>
      <c r="BQ796" s="1444"/>
      <c r="BR796" s="1444"/>
      <c r="BS796" s="1444"/>
      <c r="BT796" s="491"/>
      <c r="BU796" s="492"/>
      <c r="BV796" s="310"/>
      <c r="BW796" s="310"/>
      <c r="BX796" s="291">
        <f t="shared" si="22"/>
        <v>0</v>
      </c>
      <c r="BY796" s="344"/>
      <c r="BZ796" s="347"/>
      <c r="CA796" s="347"/>
    </row>
    <row r="797" spans="1:84" ht="27.95" hidden="1" customHeight="1" x14ac:dyDescent="0.25">
      <c r="A797" s="313"/>
      <c r="B797" s="340"/>
      <c r="C797" s="1521" t="s">
        <v>1032</v>
      </c>
      <c r="D797" s="1521"/>
      <c r="E797" s="1521"/>
      <c r="F797" s="1521"/>
      <c r="G797" s="1521"/>
      <c r="H797" s="1521"/>
      <c r="I797" s="1520">
        <f t="shared" si="39"/>
        <v>0</v>
      </c>
      <c r="J797" s="1520"/>
      <c r="K797" s="1520"/>
      <c r="L797" s="1520"/>
      <c r="M797" s="1520"/>
      <c r="N797" s="1520"/>
      <c r="O797" s="490"/>
      <c r="P797" s="1520">
        <f t="shared" si="40"/>
        <v>0</v>
      </c>
      <c r="Q797" s="1520"/>
      <c r="R797" s="1520"/>
      <c r="S797" s="1520"/>
      <c r="T797" s="1520"/>
      <c r="U797" s="1520"/>
      <c r="V797" s="490"/>
      <c r="W797" s="1444">
        <f t="shared" si="41"/>
        <v>0</v>
      </c>
      <c r="X797" s="1444"/>
      <c r="Y797" s="1444"/>
      <c r="Z797" s="1444"/>
      <c r="AA797" s="1444"/>
      <c r="AB797" s="1444"/>
      <c r="AC797" s="493"/>
      <c r="AD797" s="1444">
        <f t="shared" si="42"/>
        <v>0</v>
      </c>
      <c r="AE797" s="1444"/>
      <c r="AF797" s="1444"/>
      <c r="AG797" s="1444"/>
      <c r="AH797" s="1444"/>
      <c r="AI797" s="1444"/>
      <c r="AJ797" s="344"/>
      <c r="AK797" s="345"/>
      <c r="AL797" s="340"/>
      <c r="AM797" s="1539" t="s">
        <v>1033</v>
      </c>
      <c r="AN797" s="1539"/>
      <c r="AO797" s="1539"/>
      <c r="AP797" s="1539"/>
      <c r="AQ797" s="1539"/>
      <c r="AR797" s="1539"/>
      <c r="AS797" s="1520">
        <f t="shared" si="43"/>
        <v>0</v>
      </c>
      <c r="AT797" s="1520"/>
      <c r="AU797" s="1520"/>
      <c r="AV797" s="1520"/>
      <c r="AW797" s="1520"/>
      <c r="AX797" s="1520"/>
      <c r="AY797" s="490"/>
      <c r="AZ797" s="1520">
        <f t="shared" si="44"/>
        <v>0</v>
      </c>
      <c r="BA797" s="1520"/>
      <c r="BB797" s="1520"/>
      <c r="BC797" s="1520"/>
      <c r="BD797" s="1520"/>
      <c r="BE797" s="1520"/>
      <c r="BF797" s="490"/>
      <c r="BG797" s="1444">
        <f t="shared" si="45"/>
        <v>0</v>
      </c>
      <c r="BH797" s="1444"/>
      <c r="BI797" s="1444"/>
      <c r="BJ797" s="1444"/>
      <c r="BK797" s="1444"/>
      <c r="BL797" s="1444"/>
      <c r="BM797" s="493"/>
      <c r="BN797" s="1444">
        <f t="shared" si="46"/>
        <v>0</v>
      </c>
      <c r="BO797" s="1444"/>
      <c r="BP797" s="1444"/>
      <c r="BQ797" s="1444"/>
      <c r="BR797" s="1444"/>
      <c r="BS797" s="1444"/>
      <c r="BT797" s="491"/>
      <c r="BU797" s="492"/>
      <c r="BV797" s="310"/>
      <c r="BW797" s="310"/>
      <c r="BX797" s="291">
        <f t="shared" si="22"/>
        <v>0</v>
      </c>
      <c r="BY797" s="344"/>
      <c r="BZ797" s="347"/>
      <c r="CA797" s="347"/>
    </row>
    <row r="798" spans="1:84" ht="15" hidden="1" customHeight="1" x14ac:dyDescent="0.25">
      <c r="A798" s="313"/>
      <c r="B798" s="340"/>
      <c r="C798" s="1521" t="s">
        <v>993</v>
      </c>
      <c r="D798" s="1521"/>
      <c r="E798" s="1521"/>
      <c r="F798" s="1521"/>
      <c r="G798" s="1521"/>
      <c r="H798" s="1521"/>
      <c r="I798" s="1520">
        <f t="shared" si="39"/>
        <v>0</v>
      </c>
      <c r="J798" s="1520"/>
      <c r="K798" s="1520"/>
      <c r="L798" s="1520"/>
      <c r="M798" s="1520"/>
      <c r="N798" s="1520"/>
      <c r="O798" s="490"/>
      <c r="P798" s="1520">
        <f t="shared" si="40"/>
        <v>0</v>
      </c>
      <c r="Q798" s="1520"/>
      <c r="R798" s="1520"/>
      <c r="S798" s="1520"/>
      <c r="T798" s="1520"/>
      <c r="U798" s="1520"/>
      <c r="V798" s="490"/>
      <c r="W798" s="1444">
        <f t="shared" si="41"/>
        <v>0</v>
      </c>
      <c r="X798" s="1444"/>
      <c r="Y798" s="1444"/>
      <c r="Z798" s="1444"/>
      <c r="AA798" s="1444"/>
      <c r="AB798" s="1444"/>
      <c r="AC798" s="493"/>
      <c r="AD798" s="1444">
        <f t="shared" si="42"/>
        <v>0</v>
      </c>
      <c r="AE798" s="1444"/>
      <c r="AF798" s="1444"/>
      <c r="AG798" s="1444"/>
      <c r="AH798" s="1444"/>
      <c r="AI798" s="1444"/>
      <c r="AJ798" s="344"/>
      <c r="AK798" s="345"/>
      <c r="AL798" s="340"/>
      <c r="AM798" s="1539" t="s">
        <v>994</v>
      </c>
      <c r="AN798" s="1539"/>
      <c r="AO798" s="1539"/>
      <c r="AP798" s="1539"/>
      <c r="AQ798" s="1539"/>
      <c r="AR798" s="1539"/>
      <c r="AS798" s="1520">
        <f t="shared" si="43"/>
        <v>0</v>
      </c>
      <c r="AT798" s="1520"/>
      <c r="AU798" s="1520"/>
      <c r="AV798" s="1520"/>
      <c r="AW798" s="1520"/>
      <c r="AX798" s="1520"/>
      <c r="AY798" s="490"/>
      <c r="AZ798" s="1520">
        <f t="shared" si="44"/>
        <v>0</v>
      </c>
      <c r="BA798" s="1520"/>
      <c r="BB798" s="1520"/>
      <c r="BC798" s="1520"/>
      <c r="BD798" s="1520"/>
      <c r="BE798" s="1520"/>
      <c r="BF798" s="490"/>
      <c r="BG798" s="1444">
        <f t="shared" si="45"/>
        <v>0</v>
      </c>
      <c r="BH798" s="1444"/>
      <c r="BI798" s="1444"/>
      <c r="BJ798" s="1444"/>
      <c r="BK798" s="1444"/>
      <c r="BL798" s="1444"/>
      <c r="BM798" s="493"/>
      <c r="BN798" s="1444">
        <f t="shared" si="46"/>
        <v>0</v>
      </c>
      <c r="BO798" s="1444"/>
      <c r="BP798" s="1444"/>
      <c r="BQ798" s="1444"/>
      <c r="BR798" s="1444"/>
      <c r="BS798" s="1444"/>
      <c r="BT798" s="491"/>
      <c r="BU798" s="492"/>
      <c r="BV798" s="310"/>
      <c r="BW798" s="310"/>
      <c r="BX798" s="291">
        <f t="shared" si="22"/>
        <v>0</v>
      </c>
      <c r="BY798" s="344"/>
      <c r="BZ798" s="347"/>
      <c r="CA798" s="347"/>
    </row>
    <row r="799" spans="1:84" ht="27.95" hidden="1" customHeight="1" x14ac:dyDescent="0.25">
      <c r="A799" s="313"/>
      <c r="B799" s="340"/>
      <c r="C799" s="1521" t="s">
        <v>1034</v>
      </c>
      <c r="D799" s="1521"/>
      <c r="E799" s="1521"/>
      <c r="F799" s="1521"/>
      <c r="G799" s="1521"/>
      <c r="H799" s="1521"/>
      <c r="I799" s="1520">
        <f t="shared" si="39"/>
        <v>0</v>
      </c>
      <c r="J799" s="1520"/>
      <c r="K799" s="1520"/>
      <c r="L799" s="1520"/>
      <c r="M799" s="1520"/>
      <c r="N799" s="1520"/>
      <c r="O799" s="493"/>
      <c r="P799" s="1520">
        <f t="shared" si="40"/>
        <v>0</v>
      </c>
      <c r="Q799" s="1520"/>
      <c r="R799" s="1520"/>
      <c r="S799" s="1520"/>
      <c r="T799" s="1520"/>
      <c r="U799" s="1520"/>
      <c r="V799" s="490"/>
      <c r="W799" s="1444">
        <f t="shared" si="41"/>
        <v>0</v>
      </c>
      <c r="X799" s="1444"/>
      <c r="Y799" s="1444"/>
      <c r="Z799" s="1444"/>
      <c r="AA799" s="1444"/>
      <c r="AB799" s="1444"/>
      <c r="AC799" s="493"/>
      <c r="AD799" s="1444">
        <f t="shared" si="42"/>
        <v>0</v>
      </c>
      <c r="AE799" s="1444"/>
      <c r="AF799" s="1444"/>
      <c r="AG799" s="1444"/>
      <c r="AH799" s="1444"/>
      <c r="AI799" s="1444"/>
      <c r="AJ799" s="344"/>
      <c r="AK799" s="345"/>
      <c r="AL799" s="340"/>
      <c r="AM799" s="1539" t="s">
        <v>1035</v>
      </c>
      <c r="AN799" s="1539"/>
      <c r="AO799" s="1539"/>
      <c r="AP799" s="1539"/>
      <c r="AQ799" s="1539"/>
      <c r="AR799" s="1539"/>
      <c r="AS799" s="1520">
        <f t="shared" si="43"/>
        <v>0</v>
      </c>
      <c r="AT799" s="1520"/>
      <c r="AU799" s="1520"/>
      <c r="AV799" s="1520"/>
      <c r="AW799" s="1520"/>
      <c r="AX799" s="1520"/>
      <c r="AY799" s="490"/>
      <c r="AZ799" s="1520">
        <f t="shared" si="44"/>
        <v>0</v>
      </c>
      <c r="BA799" s="1520"/>
      <c r="BB799" s="1520"/>
      <c r="BC799" s="1520"/>
      <c r="BD799" s="1520"/>
      <c r="BE799" s="1520"/>
      <c r="BF799" s="490"/>
      <c r="BG799" s="1444">
        <f t="shared" si="45"/>
        <v>0</v>
      </c>
      <c r="BH799" s="1444"/>
      <c r="BI799" s="1444"/>
      <c r="BJ799" s="1444"/>
      <c r="BK799" s="1444"/>
      <c r="BL799" s="1444"/>
      <c r="BM799" s="493"/>
      <c r="BN799" s="1444">
        <f t="shared" si="46"/>
        <v>0</v>
      </c>
      <c r="BO799" s="1444"/>
      <c r="BP799" s="1444"/>
      <c r="BQ799" s="1444"/>
      <c r="BR799" s="1444"/>
      <c r="BS799" s="1444"/>
      <c r="BT799" s="491"/>
      <c r="BU799" s="492"/>
      <c r="BV799" s="310"/>
      <c r="BW799" s="310"/>
      <c r="BX799" s="291">
        <f t="shared" si="22"/>
        <v>0</v>
      </c>
      <c r="BY799" s="344"/>
      <c r="BZ799" s="347"/>
      <c r="CA799" s="347"/>
    </row>
    <row r="800" spans="1:84" ht="15" hidden="1" customHeight="1" x14ac:dyDescent="0.25">
      <c r="A800" s="313"/>
      <c r="B800" s="340"/>
      <c r="C800" s="1521" t="s">
        <v>999</v>
      </c>
      <c r="D800" s="1521"/>
      <c r="E800" s="1521"/>
      <c r="F800" s="1521"/>
      <c r="G800" s="1521"/>
      <c r="H800" s="1521"/>
      <c r="I800" s="1444">
        <f t="shared" si="39"/>
        <v>0</v>
      </c>
      <c r="J800" s="1444"/>
      <c r="K800" s="1444"/>
      <c r="L800" s="1444"/>
      <c r="M800" s="1444"/>
      <c r="N800" s="1444"/>
      <c r="O800" s="493"/>
      <c r="P800" s="1442">
        <f t="shared" si="40"/>
        <v>0</v>
      </c>
      <c r="Q800" s="1442"/>
      <c r="R800" s="1442"/>
      <c r="S800" s="1442"/>
      <c r="T800" s="1442"/>
      <c r="U800" s="1442"/>
      <c r="V800" s="493"/>
      <c r="W800" s="1442">
        <f t="shared" si="41"/>
        <v>0</v>
      </c>
      <c r="X800" s="1442"/>
      <c r="Y800" s="1442"/>
      <c r="Z800" s="1442"/>
      <c r="AA800" s="1442"/>
      <c r="AB800" s="1442"/>
      <c r="AC800" s="493"/>
      <c r="AD800" s="1444">
        <f t="shared" si="42"/>
        <v>0</v>
      </c>
      <c r="AE800" s="1444"/>
      <c r="AF800" s="1444"/>
      <c r="AG800" s="1444"/>
      <c r="AH800" s="1444"/>
      <c r="AI800" s="1444"/>
      <c r="AJ800" s="344"/>
      <c r="AK800" s="345"/>
      <c r="AL800" s="340"/>
      <c r="AM800" s="1539" t="s">
        <v>1000</v>
      </c>
      <c r="AN800" s="1539"/>
      <c r="AO800" s="1539"/>
      <c r="AP800" s="1539"/>
      <c r="AQ800" s="1539"/>
      <c r="AR800" s="1539"/>
      <c r="AS800" s="1444">
        <f t="shared" si="43"/>
        <v>0</v>
      </c>
      <c r="AT800" s="1444"/>
      <c r="AU800" s="1444"/>
      <c r="AV800" s="1444"/>
      <c r="AW800" s="1444"/>
      <c r="AX800" s="1444"/>
      <c r="AY800" s="493"/>
      <c r="AZ800" s="1442">
        <f t="shared" si="44"/>
        <v>0</v>
      </c>
      <c r="BA800" s="1442"/>
      <c r="BB800" s="1442"/>
      <c r="BC800" s="1442"/>
      <c r="BD800" s="1442"/>
      <c r="BE800" s="1442"/>
      <c r="BF800" s="493"/>
      <c r="BG800" s="1442">
        <f t="shared" si="45"/>
        <v>0</v>
      </c>
      <c r="BH800" s="1442"/>
      <c r="BI800" s="1442"/>
      <c r="BJ800" s="1442"/>
      <c r="BK800" s="1442"/>
      <c r="BL800" s="1442"/>
      <c r="BM800" s="493"/>
      <c r="BN800" s="1444">
        <f t="shared" si="46"/>
        <v>0</v>
      </c>
      <c r="BO800" s="1444"/>
      <c r="BP800" s="1444"/>
      <c r="BQ800" s="1444"/>
      <c r="BR800" s="1444"/>
      <c r="BS800" s="1444"/>
      <c r="BT800" s="491"/>
      <c r="BU800" s="492"/>
      <c r="BV800" s="310"/>
      <c r="BW800" s="310"/>
      <c r="BX800" s="291">
        <f t="shared" si="22"/>
        <v>0</v>
      </c>
      <c r="BY800" s="344"/>
      <c r="BZ800" s="347"/>
      <c r="CA800" s="347"/>
    </row>
    <row r="801" spans="1:84" ht="15" hidden="1" customHeight="1" thickBot="1" x14ac:dyDescent="0.3">
      <c r="A801" s="313"/>
      <c r="B801" s="340"/>
      <c r="C801" s="1542" t="s">
        <v>1001</v>
      </c>
      <c r="D801" s="1542"/>
      <c r="E801" s="1542"/>
      <c r="F801" s="1542"/>
      <c r="G801" s="1542"/>
      <c r="H801" s="1542"/>
      <c r="I801" s="1439">
        <f>SUBTOTAL(109,I795:N800)</f>
        <v>0</v>
      </c>
      <c r="J801" s="1439"/>
      <c r="K801" s="1439"/>
      <c r="L801" s="1439"/>
      <c r="M801" s="1439"/>
      <c r="N801" s="1439"/>
      <c r="O801" s="487"/>
      <c r="P801" s="1439">
        <f>SUBTOTAL(109,P795:U800)</f>
        <v>0</v>
      </c>
      <c r="Q801" s="1439"/>
      <c r="R801" s="1439"/>
      <c r="S801" s="1439"/>
      <c r="T801" s="1439"/>
      <c r="U801" s="1439"/>
      <c r="V801" s="487"/>
      <c r="W801" s="1439">
        <f>SUBTOTAL(109,W795:AB800)</f>
        <v>0</v>
      </c>
      <c r="X801" s="1439"/>
      <c r="Y801" s="1439"/>
      <c r="Z801" s="1439"/>
      <c r="AA801" s="1439"/>
      <c r="AB801" s="1439"/>
      <c r="AC801" s="487"/>
      <c r="AD801" s="1439">
        <f>SUBTOTAL(109,AD795:AI800)</f>
        <v>0</v>
      </c>
      <c r="AE801" s="1439"/>
      <c r="AF801" s="1439"/>
      <c r="AG801" s="1439"/>
      <c r="AH801" s="1439"/>
      <c r="AI801" s="1439"/>
      <c r="AJ801" s="344"/>
      <c r="AK801" s="345"/>
      <c r="AL801" s="340"/>
      <c r="AM801" s="1543" t="s">
        <v>1007</v>
      </c>
      <c r="AN801" s="1544"/>
      <c r="AO801" s="1544"/>
      <c r="AP801" s="1544"/>
      <c r="AQ801" s="1544"/>
      <c r="AR801" s="1544"/>
      <c r="AS801" s="1439">
        <f>SUBTOTAL(109,AS795:AX800)</f>
        <v>0</v>
      </c>
      <c r="AT801" s="1439"/>
      <c r="AU801" s="1439"/>
      <c r="AV801" s="1439"/>
      <c r="AW801" s="1439"/>
      <c r="AX801" s="1439"/>
      <c r="AY801" s="487"/>
      <c r="AZ801" s="1439">
        <f>SUBTOTAL(109,AZ795:BE800)</f>
        <v>0</v>
      </c>
      <c r="BA801" s="1439"/>
      <c r="BB801" s="1439"/>
      <c r="BC801" s="1439"/>
      <c r="BD801" s="1439"/>
      <c r="BE801" s="1439"/>
      <c r="BF801" s="487"/>
      <c r="BG801" s="1439">
        <f>SUBTOTAL(109,BG795:BL800)</f>
        <v>0</v>
      </c>
      <c r="BH801" s="1439"/>
      <c r="BI801" s="1439"/>
      <c r="BJ801" s="1439"/>
      <c r="BK801" s="1439"/>
      <c r="BL801" s="1439"/>
      <c r="BM801" s="487"/>
      <c r="BN801" s="1439">
        <f>SUBTOTAL(109,BN795:BS800)</f>
        <v>0</v>
      </c>
      <c r="BO801" s="1439"/>
      <c r="BP801" s="1439"/>
      <c r="BQ801" s="1439"/>
      <c r="BR801" s="1439"/>
      <c r="BS801" s="1439"/>
      <c r="BT801" s="488"/>
      <c r="BU801" s="489"/>
      <c r="BV801" s="310">
        <f>AD801-KN_CT225</f>
        <v>0</v>
      </c>
      <c r="BW801" s="310"/>
      <c r="BX801" s="291">
        <f t="shared" si="22"/>
        <v>0</v>
      </c>
      <c r="BY801" s="344"/>
      <c r="BZ801" s="347"/>
      <c r="CA801" s="347"/>
    </row>
    <row r="802" spans="1:84" ht="27.95" hidden="1" customHeight="1" thickTop="1" x14ac:dyDescent="0.2">
      <c r="A802" s="313"/>
      <c r="B802" s="340"/>
      <c r="C802" s="1515" t="s">
        <v>1003</v>
      </c>
      <c r="D802" s="1515"/>
      <c r="E802" s="1515"/>
      <c r="F802" s="1515"/>
      <c r="G802" s="1515"/>
      <c r="H802" s="1515"/>
      <c r="I802" s="1421"/>
      <c r="J802" s="1421"/>
      <c r="K802" s="1421"/>
      <c r="L802" s="1421"/>
      <c r="M802" s="1421"/>
      <c r="N802" s="1421"/>
      <c r="O802" s="493"/>
      <c r="P802" s="1514"/>
      <c r="Q802" s="1514"/>
      <c r="R802" s="1514"/>
      <c r="S802" s="1514"/>
      <c r="T802" s="1514"/>
      <c r="U802" s="1514"/>
      <c r="V802" s="493"/>
      <c r="W802" s="1514"/>
      <c r="X802" s="1514"/>
      <c r="Y802" s="1514"/>
      <c r="Z802" s="1514"/>
      <c r="AA802" s="1514"/>
      <c r="AB802" s="1514"/>
      <c r="AC802" s="493"/>
      <c r="AD802" s="1514"/>
      <c r="AE802" s="1514"/>
      <c r="AF802" s="1514"/>
      <c r="AG802" s="1514"/>
      <c r="AH802" s="1514"/>
      <c r="AI802" s="1514"/>
      <c r="AJ802" s="516"/>
      <c r="AK802" s="345"/>
      <c r="AL802" s="340"/>
      <c r="AM802" s="1541" t="s">
        <v>1004</v>
      </c>
      <c r="AN802" s="1541"/>
      <c r="AO802" s="1541"/>
      <c r="AP802" s="1541"/>
      <c r="AQ802" s="1541"/>
      <c r="AR802" s="1541"/>
      <c r="AS802" s="1421"/>
      <c r="AT802" s="1421"/>
      <c r="AU802" s="1421"/>
      <c r="AV802" s="1421"/>
      <c r="AW802" s="1421"/>
      <c r="AX802" s="1421"/>
      <c r="AY802" s="493"/>
      <c r="AZ802" s="1514"/>
      <c r="BA802" s="1514"/>
      <c r="BB802" s="1514"/>
      <c r="BC802" s="1514"/>
      <c r="BD802" s="1514"/>
      <c r="BE802" s="1514"/>
      <c r="BF802" s="493"/>
      <c r="BG802" s="1514"/>
      <c r="BH802" s="1514"/>
      <c r="BI802" s="1514"/>
      <c r="BJ802" s="1514"/>
      <c r="BK802" s="1514"/>
      <c r="BL802" s="1514"/>
      <c r="BM802" s="493"/>
      <c r="BN802" s="1514"/>
      <c r="BO802" s="1514"/>
      <c r="BP802" s="1514"/>
      <c r="BQ802" s="1514"/>
      <c r="BR802" s="1514"/>
      <c r="BS802" s="1514"/>
      <c r="BT802" s="485"/>
      <c r="BU802" s="486"/>
      <c r="BV802" s="310"/>
      <c r="BW802" s="310"/>
      <c r="BX802" s="291">
        <f t="shared" si="22"/>
        <v>0</v>
      </c>
      <c r="BY802" s="344"/>
      <c r="BZ802" s="347"/>
      <c r="CA802" s="347"/>
    </row>
    <row r="803" spans="1:84" ht="15" hidden="1" customHeight="1" x14ac:dyDescent="0.25">
      <c r="A803" s="313"/>
      <c r="B803" s="340"/>
      <c r="C803" s="1524" t="s">
        <v>987</v>
      </c>
      <c r="D803" s="1524"/>
      <c r="E803" s="1524"/>
      <c r="F803" s="1524"/>
      <c r="G803" s="1524"/>
      <c r="H803" s="1524"/>
      <c r="I803" s="1540">
        <f t="shared" ref="I803:I808" si="47">HLOOKUP(I$791,TM_TSCDTTC_V,ROW()-ROW($C$791)+1,0)</f>
        <v>0</v>
      </c>
      <c r="J803" s="1540"/>
      <c r="K803" s="1540"/>
      <c r="L803" s="1540"/>
      <c r="M803" s="1540"/>
      <c r="N803" s="1540"/>
      <c r="O803" s="487"/>
      <c r="P803" s="1540">
        <f t="shared" ref="P803:P808" si="48">HLOOKUP(P$791,TM_TSCDTTC_V,ROW()-ROW($C$791)+1,0)</f>
        <v>0</v>
      </c>
      <c r="Q803" s="1540"/>
      <c r="R803" s="1540"/>
      <c r="S803" s="1540"/>
      <c r="T803" s="1540"/>
      <c r="U803" s="1540"/>
      <c r="V803" s="487"/>
      <c r="W803" s="1445">
        <f t="shared" ref="W803:W808" si="49">HLOOKUP(W$791,TM_TSCDTTC_V,ROW()-ROW($C$791)+1,0)</f>
        <v>0</v>
      </c>
      <c r="X803" s="1445"/>
      <c r="Y803" s="1445"/>
      <c r="Z803" s="1445"/>
      <c r="AA803" s="1445"/>
      <c r="AB803" s="1445"/>
      <c r="AC803" s="487"/>
      <c r="AD803" s="1330">
        <f t="shared" ref="AD803:AD808" si="50">SUM(I803:AB803)</f>
        <v>0</v>
      </c>
      <c r="AE803" s="1330"/>
      <c r="AF803" s="1330"/>
      <c r="AG803" s="1330"/>
      <c r="AH803" s="1330"/>
      <c r="AI803" s="1330"/>
      <c r="AJ803" s="344"/>
      <c r="AK803" s="345"/>
      <c r="AL803" s="340"/>
      <c r="AM803" s="1535" t="s">
        <v>988</v>
      </c>
      <c r="AN803" s="1535"/>
      <c r="AO803" s="1535"/>
      <c r="AP803" s="1535"/>
      <c r="AQ803" s="1535"/>
      <c r="AR803" s="1535"/>
      <c r="AS803" s="1540">
        <f t="shared" ref="AS803:AS808" si="51">I803</f>
        <v>0</v>
      </c>
      <c r="AT803" s="1540"/>
      <c r="AU803" s="1540"/>
      <c r="AV803" s="1540"/>
      <c r="AW803" s="1540"/>
      <c r="AX803" s="1540"/>
      <c r="AY803" s="487"/>
      <c r="AZ803" s="1540">
        <f t="shared" ref="AZ803:AZ808" si="52">P803</f>
        <v>0</v>
      </c>
      <c r="BA803" s="1540"/>
      <c r="BB803" s="1540"/>
      <c r="BC803" s="1540"/>
      <c r="BD803" s="1540"/>
      <c r="BE803" s="1540"/>
      <c r="BF803" s="487"/>
      <c r="BG803" s="1445">
        <f t="shared" ref="BG803:BG808" si="53">W803</f>
        <v>0</v>
      </c>
      <c r="BH803" s="1445"/>
      <c r="BI803" s="1445"/>
      <c r="BJ803" s="1445"/>
      <c r="BK803" s="1445"/>
      <c r="BL803" s="1445"/>
      <c r="BM803" s="487"/>
      <c r="BN803" s="1330">
        <f t="shared" ref="BN803:BN808" si="54">SUM(AS803:BL803)</f>
        <v>0</v>
      </c>
      <c r="BO803" s="1330"/>
      <c r="BP803" s="1330"/>
      <c r="BQ803" s="1330"/>
      <c r="BR803" s="1330"/>
      <c r="BS803" s="1330"/>
      <c r="BT803" s="488"/>
      <c r="BU803" s="489"/>
      <c r="BV803" s="310"/>
      <c r="BW803" s="310">
        <f>AD803+KT_CT226</f>
        <v>0</v>
      </c>
      <c r="BX803" s="291">
        <f t="shared" si="22"/>
        <v>0</v>
      </c>
      <c r="BY803" s="344"/>
      <c r="BZ803" s="347"/>
      <c r="CA803" s="347"/>
    </row>
    <row r="804" spans="1:84" ht="15" hidden="1" customHeight="1" x14ac:dyDescent="0.25">
      <c r="A804" s="313"/>
      <c r="B804" s="340"/>
      <c r="C804" s="1521" t="s">
        <v>1005</v>
      </c>
      <c r="D804" s="1521"/>
      <c r="E804" s="1521"/>
      <c r="F804" s="1521"/>
      <c r="G804" s="1521"/>
      <c r="H804" s="1521"/>
      <c r="I804" s="1520">
        <f t="shared" si="47"/>
        <v>0</v>
      </c>
      <c r="J804" s="1520"/>
      <c r="K804" s="1520"/>
      <c r="L804" s="1520"/>
      <c r="M804" s="1520"/>
      <c r="N804" s="1520"/>
      <c r="O804" s="493"/>
      <c r="P804" s="1520">
        <f t="shared" si="48"/>
        <v>0</v>
      </c>
      <c r="Q804" s="1520"/>
      <c r="R804" s="1520"/>
      <c r="S804" s="1520"/>
      <c r="T804" s="1520"/>
      <c r="U804" s="1520"/>
      <c r="V804" s="493"/>
      <c r="W804" s="1444">
        <f t="shared" si="49"/>
        <v>0</v>
      </c>
      <c r="X804" s="1444"/>
      <c r="Y804" s="1444"/>
      <c r="Z804" s="1444"/>
      <c r="AA804" s="1444"/>
      <c r="AB804" s="1444"/>
      <c r="AC804" s="493"/>
      <c r="AD804" s="1444">
        <f t="shared" si="50"/>
        <v>0</v>
      </c>
      <c r="AE804" s="1444"/>
      <c r="AF804" s="1444"/>
      <c r="AG804" s="1444"/>
      <c r="AH804" s="1444"/>
      <c r="AI804" s="1444"/>
      <c r="AJ804" s="344"/>
      <c r="AK804" s="345"/>
      <c r="AL804" s="340"/>
      <c r="AM804" s="1539" t="s">
        <v>1006</v>
      </c>
      <c r="AN804" s="1539"/>
      <c r="AO804" s="1539"/>
      <c r="AP804" s="1539"/>
      <c r="AQ804" s="1539"/>
      <c r="AR804" s="1539"/>
      <c r="AS804" s="1520">
        <f t="shared" si="51"/>
        <v>0</v>
      </c>
      <c r="AT804" s="1520"/>
      <c r="AU804" s="1520"/>
      <c r="AV804" s="1520"/>
      <c r="AW804" s="1520"/>
      <c r="AX804" s="1520"/>
      <c r="AY804" s="493"/>
      <c r="AZ804" s="1520">
        <f t="shared" si="52"/>
        <v>0</v>
      </c>
      <c r="BA804" s="1520"/>
      <c r="BB804" s="1520"/>
      <c r="BC804" s="1520"/>
      <c r="BD804" s="1520"/>
      <c r="BE804" s="1520"/>
      <c r="BF804" s="493"/>
      <c r="BG804" s="1444">
        <f t="shared" si="53"/>
        <v>0</v>
      </c>
      <c r="BH804" s="1444"/>
      <c r="BI804" s="1444"/>
      <c r="BJ804" s="1444"/>
      <c r="BK804" s="1444"/>
      <c r="BL804" s="1444"/>
      <c r="BM804" s="493"/>
      <c r="BN804" s="1444">
        <f t="shared" si="54"/>
        <v>0</v>
      </c>
      <c r="BO804" s="1444"/>
      <c r="BP804" s="1444"/>
      <c r="BQ804" s="1444"/>
      <c r="BR804" s="1444"/>
      <c r="BS804" s="1444"/>
      <c r="BT804" s="491"/>
      <c r="BU804" s="492"/>
      <c r="BV804" s="310"/>
      <c r="BW804" s="310"/>
      <c r="BX804" s="291">
        <f t="shared" si="22"/>
        <v>0</v>
      </c>
      <c r="BY804" s="344"/>
      <c r="BZ804" s="347"/>
      <c r="CA804" s="347"/>
    </row>
    <row r="805" spans="1:84" ht="28.5" hidden="1" customHeight="1" x14ac:dyDescent="0.25">
      <c r="A805" s="313"/>
      <c r="B805" s="340"/>
      <c r="C805" s="1521" t="s">
        <v>1032</v>
      </c>
      <c r="D805" s="1521"/>
      <c r="E805" s="1521"/>
      <c r="F805" s="1521"/>
      <c r="G805" s="1521"/>
      <c r="H805" s="1521"/>
      <c r="I805" s="1520">
        <f t="shared" si="47"/>
        <v>0</v>
      </c>
      <c r="J805" s="1520"/>
      <c r="K805" s="1520"/>
      <c r="L805" s="1520"/>
      <c r="M805" s="1520"/>
      <c r="N805" s="1520"/>
      <c r="O805" s="493"/>
      <c r="P805" s="1520">
        <f t="shared" si="48"/>
        <v>0</v>
      </c>
      <c r="Q805" s="1520"/>
      <c r="R805" s="1520"/>
      <c r="S805" s="1520"/>
      <c r="T805" s="1520"/>
      <c r="U805" s="1520"/>
      <c r="V805" s="493"/>
      <c r="W805" s="1444">
        <f t="shared" si="49"/>
        <v>0</v>
      </c>
      <c r="X805" s="1444"/>
      <c r="Y805" s="1444"/>
      <c r="Z805" s="1444"/>
      <c r="AA805" s="1444"/>
      <c r="AB805" s="1444"/>
      <c r="AC805" s="493"/>
      <c r="AD805" s="1444">
        <f t="shared" si="50"/>
        <v>0</v>
      </c>
      <c r="AE805" s="1444"/>
      <c r="AF805" s="1444"/>
      <c r="AG805" s="1444"/>
      <c r="AH805" s="1444"/>
      <c r="AI805" s="1444"/>
      <c r="AJ805" s="344"/>
      <c r="AK805" s="345"/>
      <c r="AL805" s="340"/>
      <c r="AM805" s="1539" t="s">
        <v>1033</v>
      </c>
      <c r="AN805" s="1539"/>
      <c r="AO805" s="1539"/>
      <c r="AP805" s="1539"/>
      <c r="AQ805" s="1539"/>
      <c r="AR805" s="1539"/>
      <c r="AS805" s="1520">
        <f t="shared" si="51"/>
        <v>0</v>
      </c>
      <c r="AT805" s="1520"/>
      <c r="AU805" s="1520"/>
      <c r="AV805" s="1520"/>
      <c r="AW805" s="1520"/>
      <c r="AX805" s="1520"/>
      <c r="AY805" s="493"/>
      <c r="AZ805" s="1520">
        <f t="shared" si="52"/>
        <v>0</v>
      </c>
      <c r="BA805" s="1520"/>
      <c r="BB805" s="1520"/>
      <c r="BC805" s="1520"/>
      <c r="BD805" s="1520"/>
      <c r="BE805" s="1520"/>
      <c r="BF805" s="493"/>
      <c r="BG805" s="1444">
        <f t="shared" si="53"/>
        <v>0</v>
      </c>
      <c r="BH805" s="1444"/>
      <c r="BI805" s="1444"/>
      <c r="BJ805" s="1444"/>
      <c r="BK805" s="1444"/>
      <c r="BL805" s="1444"/>
      <c r="BM805" s="493"/>
      <c r="BN805" s="1444">
        <f t="shared" si="54"/>
        <v>0</v>
      </c>
      <c r="BO805" s="1444"/>
      <c r="BP805" s="1444"/>
      <c r="BQ805" s="1444"/>
      <c r="BR805" s="1444"/>
      <c r="BS805" s="1444"/>
      <c r="BT805" s="491"/>
      <c r="BU805" s="492"/>
      <c r="BV805" s="310"/>
      <c r="BW805" s="310"/>
      <c r="BX805" s="291">
        <f t="shared" si="22"/>
        <v>0</v>
      </c>
      <c r="BY805" s="344"/>
      <c r="BZ805" s="347"/>
      <c r="CA805" s="347"/>
    </row>
    <row r="806" spans="1:84" ht="15" hidden="1" customHeight="1" x14ac:dyDescent="0.25">
      <c r="A806" s="313"/>
      <c r="B806" s="340"/>
      <c r="C806" s="1521" t="s">
        <v>993</v>
      </c>
      <c r="D806" s="1521"/>
      <c r="E806" s="1521"/>
      <c r="F806" s="1521"/>
      <c r="G806" s="1521"/>
      <c r="H806" s="1521"/>
      <c r="I806" s="1520">
        <f t="shared" si="47"/>
        <v>0</v>
      </c>
      <c r="J806" s="1520"/>
      <c r="K806" s="1520"/>
      <c r="L806" s="1520"/>
      <c r="M806" s="1520"/>
      <c r="N806" s="1520"/>
      <c r="O806" s="493"/>
      <c r="P806" s="1520">
        <f t="shared" si="48"/>
        <v>0</v>
      </c>
      <c r="Q806" s="1520"/>
      <c r="R806" s="1520"/>
      <c r="S806" s="1520"/>
      <c r="T806" s="1520"/>
      <c r="U806" s="1520"/>
      <c r="V806" s="493"/>
      <c r="W806" s="1444">
        <f t="shared" si="49"/>
        <v>0</v>
      </c>
      <c r="X806" s="1444"/>
      <c r="Y806" s="1444"/>
      <c r="Z806" s="1444"/>
      <c r="AA806" s="1444"/>
      <c r="AB806" s="1444"/>
      <c r="AC806" s="493"/>
      <c r="AD806" s="1444">
        <f t="shared" si="50"/>
        <v>0</v>
      </c>
      <c r="AE806" s="1444"/>
      <c r="AF806" s="1444"/>
      <c r="AG806" s="1444"/>
      <c r="AH806" s="1444"/>
      <c r="AI806" s="1444"/>
      <c r="AJ806" s="344"/>
      <c r="AK806" s="345"/>
      <c r="AL806" s="340"/>
      <c r="AM806" s="1539" t="s">
        <v>994</v>
      </c>
      <c r="AN806" s="1539"/>
      <c r="AO806" s="1539"/>
      <c r="AP806" s="1539"/>
      <c r="AQ806" s="1539"/>
      <c r="AR806" s="1539"/>
      <c r="AS806" s="1520">
        <f t="shared" si="51"/>
        <v>0</v>
      </c>
      <c r="AT806" s="1520"/>
      <c r="AU806" s="1520"/>
      <c r="AV806" s="1520"/>
      <c r="AW806" s="1520"/>
      <c r="AX806" s="1520"/>
      <c r="AY806" s="493"/>
      <c r="AZ806" s="1520">
        <f t="shared" si="52"/>
        <v>0</v>
      </c>
      <c r="BA806" s="1520"/>
      <c r="BB806" s="1520"/>
      <c r="BC806" s="1520"/>
      <c r="BD806" s="1520"/>
      <c r="BE806" s="1520"/>
      <c r="BF806" s="493"/>
      <c r="BG806" s="1444">
        <f t="shared" si="53"/>
        <v>0</v>
      </c>
      <c r="BH806" s="1444"/>
      <c r="BI806" s="1444"/>
      <c r="BJ806" s="1444"/>
      <c r="BK806" s="1444"/>
      <c r="BL806" s="1444"/>
      <c r="BM806" s="493"/>
      <c r="BN806" s="1444">
        <f t="shared" si="54"/>
        <v>0</v>
      </c>
      <c r="BO806" s="1444"/>
      <c r="BP806" s="1444"/>
      <c r="BQ806" s="1444"/>
      <c r="BR806" s="1444"/>
      <c r="BS806" s="1444"/>
      <c r="BT806" s="491"/>
      <c r="BU806" s="492"/>
      <c r="BV806" s="310"/>
      <c r="BW806" s="310"/>
      <c r="BX806" s="291">
        <f t="shared" si="22"/>
        <v>0</v>
      </c>
      <c r="BY806" s="344"/>
      <c r="BZ806" s="347"/>
      <c r="CA806" s="347"/>
    </row>
    <row r="807" spans="1:84" ht="27.95" hidden="1" customHeight="1" x14ac:dyDescent="0.25">
      <c r="A807" s="313"/>
      <c r="B807" s="340"/>
      <c r="C807" s="1521" t="s">
        <v>1034</v>
      </c>
      <c r="D807" s="1521"/>
      <c r="E807" s="1521"/>
      <c r="F807" s="1521"/>
      <c r="G807" s="1521"/>
      <c r="H807" s="1521"/>
      <c r="I807" s="1520">
        <f t="shared" si="47"/>
        <v>0</v>
      </c>
      <c r="J807" s="1520"/>
      <c r="K807" s="1520"/>
      <c r="L807" s="1520"/>
      <c r="M807" s="1520"/>
      <c r="N807" s="1520"/>
      <c r="O807" s="493"/>
      <c r="P807" s="1520">
        <f t="shared" si="48"/>
        <v>0</v>
      </c>
      <c r="Q807" s="1520"/>
      <c r="R807" s="1520"/>
      <c r="S807" s="1520"/>
      <c r="T807" s="1520"/>
      <c r="U807" s="1520"/>
      <c r="V807" s="493"/>
      <c r="W807" s="1444">
        <f t="shared" si="49"/>
        <v>0</v>
      </c>
      <c r="X807" s="1444"/>
      <c r="Y807" s="1444"/>
      <c r="Z807" s="1444"/>
      <c r="AA807" s="1444"/>
      <c r="AB807" s="1444"/>
      <c r="AC807" s="493"/>
      <c r="AD807" s="1444">
        <f t="shared" si="50"/>
        <v>0</v>
      </c>
      <c r="AE807" s="1444"/>
      <c r="AF807" s="1444"/>
      <c r="AG807" s="1444"/>
      <c r="AH807" s="1444"/>
      <c r="AI807" s="1444"/>
      <c r="AJ807" s="344"/>
      <c r="AK807" s="345"/>
      <c r="AL807" s="340"/>
      <c r="AM807" s="1539" t="s">
        <v>1035</v>
      </c>
      <c r="AN807" s="1539"/>
      <c r="AO807" s="1539"/>
      <c r="AP807" s="1539"/>
      <c r="AQ807" s="1539"/>
      <c r="AR807" s="1539"/>
      <c r="AS807" s="1520">
        <f t="shared" si="51"/>
        <v>0</v>
      </c>
      <c r="AT807" s="1520"/>
      <c r="AU807" s="1520"/>
      <c r="AV807" s="1520"/>
      <c r="AW807" s="1520"/>
      <c r="AX807" s="1520"/>
      <c r="AY807" s="493"/>
      <c r="AZ807" s="1520">
        <f t="shared" si="52"/>
        <v>0</v>
      </c>
      <c r="BA807" s="1520"/>
      <c r="BB807" s="1520"/>
      <c r="BC807" s="1520"/>
      <c r="BD807" s="1520"/>
      <c r="BE807" s="1520"/>
      <c r="BF807" s="493"/>
      <c r="BG807" s="1444">
        <f t="shared" si="53"/>
        <v>0</v>
      </c>
      <c r="BH807" s="1444"/>
      <c r="BI807" s="1444"/>
      <c r="BJ807" s="1444"/>
      <c r="BK807" s="1444"/>
      <c r="BL807" s="1444"/>
      <c r="BM807" s="493"/>
      <c r="BN807" s="1444">
        <f t="shared" si="54"/>
        <v>0</v>
      </c>
      <c r="BO807" s="1444"/>
      <c r="BP807" s="1444"/>
      <c r="BQ807" s="1444"/>
      <c r="BR807" s="1444"/>
      <c r="BS807" s="1444"/>
      <c r="BT807" s="488"/>
      <c r="BU807" s="489"/>
      <c r="BV807" s="310"/>
      <c r="BW807" s="310"/>
      <c r="BX807" s="291">
        <f t="shared" si="22"/>
        <v>0</v>
      </c>
      <c r="BY807" s="344"/>
      <c r="BZ807" s="347"/>
      <c r="CA807" s="347"/>
    </row>
    <row r="808" spans="1:84" ht="15" hidden="1" customHeight="1" x14ac:dyDescent="0.25">
      <c r="A808" s="313"/>
      <c r="B808" s="340"/>
      <c r="C808" s="1521" t="s">
        <v>999</v>
      </c>
      <c r="D808" s="1521"/>
      <c r="E808" s="1521"/>
      <c r="F808" s="1521"/>
      <c r="G808" s="1521"/>
      <c r="H808" s="1521"/>
      <c r="I808" s="1444">
        <f t="shared" si="47"/>
        <v>0</v>
      </c>
      <c r="J808" s="1444"/>
      <c r="K808" s="1444"/>
      <c r="L808" s="1444"/>
      <c r="M808" s="1444"/>
      <c r="N808" s="1444"/>
      <c r="O808" s="493"/>
      <c r="P808" s="1442">
        <f t="shared" si="48"/>
        <v>0</v>
      </c>
      <c r="Q808" s="1442"/>
      <c r="R808" s="1442"/>
      <c r="S808" s="1442"/>
      <c r="T808" s="1442"/>
      <c r="U808" s="1442"/>
      <c r="V808" s="493"/>
      <c r="W808" s="1442">
        <f t="shared" si="49"/>
        <v>0</v>
      </c>
      <c r="X808" s="1442"/>
      <c r="Y808" s="1442"/>
      <c r="Z808" s="1442"/>
      <c r="AA808" s="1442"/>
      <c r="AB808" s="1442"/>
      <c r="AC808" s="493"/>
      <c r="AD808" s="1444">
        <f t="shared" si="50"/>
        <v>0</v>
      </c>
      <c r="AE808" s="1444"/>
      <c r="AF808" s="1444"/>
      <c r="AG808" s="1444"/>
      <c r="AH808" s="1444"/>
      <c r="AI808" s="1444"/>
      <c r="AJ808" s="344"/>
      <c r="AK808" s="345"/>
      <c r="AL808" s="340"/>
      <c r="AM808" s="1539" t="s">
        <v>1000</v>
      </c>
      <c r="AN808" s="1539"/>
      <c r="AO808" s="1539"/>
      <c r="AP808" s="1539"/>
      <c r="AQ808" s="1539"/>
      <c r="AR808" s="1539"/>
      <c r="AS808" s="1444">
        <f t="shared" si="51"/>
        <v>0</v>
      </c>
      <c r="AT808" s="1444"/>
      <c r="AU808" s="1444"/>
      <c r="AV808" s="1444"/>
      <c r="AW808" s="1444"/>
      <c r="AX808" s="1444"/>
      <c r="AY808" s="493"/>
      <c r="AZ808" s="1442">
        <f t="shared" si="52"/>
        <v>0</v>
      </c>
      <c r="BA808" s="1442"/>
      <c r="BB808" s="1442"/>
      <c r="BC808" s="1442"/>
      <c r="BD808" s="1442"/>
      <c r="BE808" s="1442"/>
      <c r="BF808" s="493"/>
      <c r="BG808" s="1442">
        <f t="shared" si="53"/>
        <v>0</v>
      </c>
      <c r="BH808" s="1442"/>
      <c r="BI808" s="1442"/>
      <c r="BJ808" s="1442"/>
      <c r="BK808" s="1442"/>
      <c r="BL808" s="1442"/>
      <c r="BM808" s="493"/>
      <c r="BN808" s="1444">
        <f t="shared" si="54"/>
        <v>0</v>
      </c>
      <c r="BO808" s="1444"/>
      <c r="BP808" s="1444"/>
      <c r="BQ808" s="1444"/>
      <c r="BR808" s="1444"/>
      <c r="BS808" s="1444"/>
      <c r="BT808" s="488"/>
      <c r="BU808" s="489"/>
      <c r="BV808" s="310"/>
      <c r="BW808" s="310"/>
      <c r="BX808" s="291">
        <f t="shared" si="22"/>
        <v>0</v>
      </c>
      <c r="BY808" s="344"/>
      <c r="BZ808" s="347"/>
      <c r="CA808" s="347"/>
    </row>
    <row r="809" spans="1:84" ht="15" hidden="1" customHeight="1" thickBot="1" x14ac:dyDescent="0.3">
      <c r="A809" s="313"/>
      <c r="B809" s="340"/>
      <c r="C809" s="1501" t="s">
        <v>1001</v>
      </c>
      <c r="D809" s="1501"/>
      <c r="E809" s="1501"/>
      <c r="F809" s="1501"/>
      <c r="G809" s="1501"/>
      <c r="H809" s="1501"/>
      <c r="I809" s="1439">
        <f>SUBTOTAL(109,I803:N808)</f>
        <v>0</v>
      </c>
      <c r="J809" s="1439"/>
      <c r="K809" s="1439"/>
      <c r="L809" s="1439"/>
      <c r="M809" s="1439"/>
      <c r="N809" s="1439"/>
      <c r="O809" s="487"/>
      <c r="P809" s="1439">
        <f>SUBTOTAL(109,P803:U808)</f>
        <v>0</v>
      </c>
      <c r="Q809" s="1439"/>
      <c r="R809" s="1439"/>
      <c r="S809" s="1439"/>
      <c r="T809" s="1439"/>
      <c r="U809" s="1439"/>
      <c r="V809" s="487"/>
      <c r="W809" s="1439">
        <f>SUBTOTAL(109,W803:AB808)</f>
        <v>0</v>
      </c>
      <c r="X809" s="1439"/>
      <c r="Y809" s="1439"/>
      <c r="Z809" s="1439"/>
      <c r="AA809" s="1439"/>
      <c r="AB809" s="1439"/>
      <c r="AC809" s="487"/>
      <c r="AD809" s="1439">
        <f>SUBTOTAL(109,AD803:AI808)</f>
        <v>0</v>
      </c>
      <c r="AE809" s="1439"/>
      <c r="AF809" s="1439"/>
      <c r="AG809" s="1439"/>
      <c r="AH809" s="1439"/>
      <c r="AI809" s="1439"/>
      <c r="AJ809" s="344"/>
      <c r="AK809" s="345"/>
      <c r="AL809" s="340"/>
      <c r="AM809" s="1538" t="s">
        <v>1007</v>
      </c>
      <c r="AN809" s="1533"/>
      <c r="AO809" s="1533"/>
      <c r="AP809" s="1533"/>
      <c r="AQ809" s="1533"/>
      <c r="AR809" s="1533"/>
      <c r="AS809" s="1439">
        <f>SUBTOTAL(109,AS803:AX808)</f>
        <v>0</v>
      </c>
      <c r="AT809" s="1439"/>
      <c r="AU809" s="1439"/>
      <c r="AV809" s="1439"/>
      <c r="AW809" s="1439"/>
      <c r="AX809" s="1439"/>
      <c r="AY809" s="487"/>
      <c r="AZ809" s="1439">
        <f>SUBTOTAL(109,AZ803:BE808)</f>
        <v>0</v>
      </c>
      <c r="BA809" s="1439"/>
      <c r="BB809" s="1439"/>
      <c r="BC809" s="1439"/>
      <c r="BD809" s="1439"/>
      <c r="BE809" s="1439"/>
      <c r="BF809" s="487"/>
      <c r="BG809" s="1439">
        <f>SUBTOTAL(109,BG803:BL808)</f>
        <v>0</v>
      </c>
      <c r="BH809" s="1439"/>
      <c r="BI809" s="1439"/>
      <c r="BJ809" s="1439"/>
      <c r="BK809" s="1439"/>
      <c r="BL809" s="1439"/>
      <c r="BM809" s="487"/>
      <c r="BN809" s="1439">
        <f>SUBTOTAL(109,BN803:BS808)</f>
        <v>0</v>
      </c>
      <c r="BO809" s="1439"/>
      <c r="BP809" s="1439"/>
      <c r="BQ809" s="1439"/>
      <c r="BR809" s="1439"/>
      <c r="BS809" s="1439"/>
      <c r="BT809" s="488"/>
      <c r="BU809" s="489"/>
      <c r="BV809" s="310">
        <f>AD809+KN_CT226</f>
        <v>0</v>
      </c>
      <c r="BW809" s="310"/>
      <c r="BX809" s="291">
        <f t="shared" si="22"/>
        <v>0</v>
      </c>
      <c r="BY809" s="344"/>
      <c r="BZ809" s="347"/>
      <c r="CA809" s="347"/>
    </row>
    <row r="810" spans="1:84" s="528" customFormat="1" ht="15.75" hidden="1" customHeight="1" thickTop="1" x14ac:dyDescent="0.25">
      <c r="A810" s="517"/>
      <c r="B810" s="518"/>
      <c r="C810" s="1443" t="s">
        <v>1008</v>
      </c>
      <c r="D810" s="1443"/>
      <c r="E810" s="1443"/>
      <c r="F810" s="1443"/>
      <c r="G810" s="1443"/>
      <c r="H810" s="1443"/>
      <c r="I810" s="1536"/>
      <c r="J810" s="1536"/>
      <c r="K810" s="1536"/>
      <c r="L810" s="1536"/>
      <c r="M810" s="1536"/>
      <c r="N810" s="1536"/>
      <c r="O810" s="519"/>
      <c r="P810" s="1534"/>
      <c r="Q810" s="1534"/>
      <c r="R810" s="1534"/>
      <c r="S810" s="1534"/>
      <c r="T810" s="1534"/>
      <c r="U810" s="1534"/>
      <c r="V810" s="519"/>
      <c r="W810" s="1534"/>
      <c r="X810" s="1534"/>
      <c r="Y810" s="1534"/>
      <c r="Z810" s="1534"/>
      <c r="AA810" s="1534"/>
      <c r="AB810" s="1534"/>
      <c r="AC810" s="519"/>
      <c r="AD810" s="1534"/>
      <c r="AE810" s="1534"/>
      <c r="AF810" s="1534"/>
      <c r="AG810" s="1534"/>
      <c r="AH810" s="1534"/>
      <c r="AI810" s="1534"/>
      <c r="AJ810" s="520"/>
      <c r="AK810" s="521"/>
      <c r="AL810" s="518"/>
      <c r="AM810" s="1537" t="s">
        <v>1036</v>
      </c>
      <c r="AN810" s="1537"/>
      <c r="AO810" s="1537"/>
      <c r="AP810" s="1537"/>
      <c r="AQ810" s="1537"/>
      <c r="AR810" s="1537"/>
      <c r="AS810" s="1536"/>
      <c r="AT810" s="1536"/>
      <c r="AU810" s="1536"/>
      <c r="AV810" s="1536"/>
      <c r="AW810" s="1536"/>
      <c r="AX810" s="1536"/>
      <c r="AY810" s="519"/>
      <c r="AZ810" s="1534"/>
      <c r="BA810" s="1534"/>
      <c r="BB810" s="1534"/>
      <c r="BC810" s="1534"/>
      <c r="BD810" s="1534"/>
      <c r="BE810" s="1534"/>
      <c r="BF810" s="519"/>
      <c r="BG810" s="1534"/>
      <c r="BH810" s="1534"/>
      <c r="BI810" s="1534"/>
      <c r="BJ810" s="1534"/>
      <c r="BK810" s="1534"/>
      <c r="BL810" s="1534"/>
      <c r="BM810" s="519"/>
      <c r="BN810" s="1534"/>
      <c r="BO810" s="1534"/>
      <c r="BP810" s="1534"/>
      <c r="BQ810" s="1534"/>
      <c r="BR810" s="1534"/>
      <c r="BS810" s="1534"/>
      <c r="BT810" s="522"/>
      <c r="BU810" s="523"/>
      <c r="BV810" s="524"/>
      <c r="BW810" s="524"/>
      <c r="BX810" s="525">
        <f t="shared" si="22"/>
        <v>0</v>
      </c>
      <c r="BY810" s="520"/>
      <c r="BZ810" s="526"/>
      <c r="CA810" s="526"/>
      <c r="CB810" s="527"/>
      <c r="CC810" s="527"/>
      <c r="CD810" s="527"/>
      <c r="CE810" s="527"/>
      <c r="CF810" s="527"/>
    </row>
    <row r="811" spans="1:84" ht="15" hidden="1" customHeight="1" x14ac:dyDescent="0.25">
      <c r="A811" s="313"/>
      <c r="B811" s="340"/>
      <c r="C811" s="1522" t="s">
        <v>1010</v>
      </c>
      <c r="D811" s="1522"/>
      <c r="E811" s="1522"/>
      <c r="F811" s="1522"/>
      <c r="G811" s="1522"/>
      <c r="H811" s="1522"/>
      <c r="I811" s="1444">
        <f>I795-I803</f>
        <v>0</v>
      </c>
      <c r="J811" s="1444"/>
      <c r="K811" s="1444"/>
      <c r="L811" s="1444"/>
      <c r="M811" s="1444"/>
      <c r="N811" s="1444"/>
      <c r="O811" s="493"/>
      <c r="P811" s="1442">
        <f>P795-P803</f>
        <v>0</v>
      </c>
      <c r="Q811" s="1442"/>
      <c r="R811" s="1442"/>
      <c r="S811" s="1442"/>
      <c r="T811" s="1442"/>
      <c r="U811" s="1442"/>
      <c r="V811" s="493"/>
      <c r="W811" s="1442">
        <f>W795-W803</f>
        <v>0</v>
      </c>
      <c r="X811" s="1442"/>
      <c r="Y811" s="1442"/>
      <c r="Z811" s="1442"/>
      <c r="AA811" s="1442"/>
      <c r="AB811" s="1442"/>
      <c r="AC811" s="493"/>
      <c r="AD811" s="1361">
        <f>AD795-AD803</f>
        <v>0</v>
      </c>
      <c r="AE811" s="1361"/>
      <c r="AF811" s="1361"/>
      <c r="AG811" s="1361"/>
      <c r="AH811" s="1361"/>
      <c r="AI811" s="1361"/>
      <c r="AJ811" s="344"/>
      <c r="AK811" s="345"/>
      <c r="AL811" s="340"/>
      <c r="AM811" s="1535" t="s">
        <v>1011</v>
      </c>
      <c r="AN811" s="1535"/>
      <c r="AO811" s="1535"/>
      <c r="AP811" s="1535"/>
      <c r="AQ811" s="1535"/>
      <c r="AR811" s="1535"/>
      <c r="AS811" s="1444">
        <f>AS795-AS803</f>
        <v>0</v>
      </c>
      <c r="AT811" s="1444"/>
      <c r="AU811" s="1444"/>
      <c r="AV811" s="1444"/>
      <c r="AW811" s="1444"/>
      <c r="AX811" s="1444"/>
      <c r="AY811" s="493"/>
      <c r="AZ811" s="1442">
        <f>AZ795-AZ803</f>
        <v>0</v>
      </c>
      <c r="BA811" s="1442"/>
      <c r="BB811" s="1442"/>
      <c r="BC811" s="1442"/>
      <c r="BD811" s="1442"/>
      <c r="BE811" s="1442"/>
      <c r="BF811" s="493"/>
      <c r="BG811" s="1442">
        <f>BG795-BG803</f>
        <v>0</v>
      </c>
      <c r="BH811" s="1442"/>
      <c r="BI811" s="1442"/>
      <c r="BJ811" s="1442"/>
      <c r="BK811" s="1442"/>
      <c r="BL811" s="1442"/>
      <c r="BM811" s="493"/>
      <c r="BN811" s="1361">
        <f>BN795-BN803</f>
        <v>0</v>
      </c>
      <c r="BO811" s="1361"/>
      <c r="BP811" s="1361"/>
      <c r="BQ811" s="1361"/>
      <c r="BR811" s="1361"/>
      <c r="BS811" s="1361"/>
      <c r="BT811" s="488"/>
      <c r="BU811" s="489"/>
      <c r="BV811" s="310"/>
      <c r="BW811" s="310">
        <f>AD811-KT_CT224</f>
        <v>0</v>
      </c>
      <c r="BX811" s="291">
        <f t="shared" si="22"/>
        <v>0</v>
      </c>
      <c r="BY811" s="344"/>
      <c r="BZ811" s="347"/>
      <c r="CA811" s="347"/>
    </row>
    <row r="812" spans="1:84" s="451" customFormat="1" ht="15" hidden="1" customHeight="1" thickBot="1" x14ac:dyDescent="0.3">
      <c r="A812" s="313"/>
      <c r="B812" s="340"/>
      <c r="C812" s="1513" t="s">
        <v>1012</v>
      </c>
      <c r="D812" s="1513"/>
      <c r="E812" s="1513"/>
      <c r="F812" s="1513"/>
      <c r="G812" s="1513"/>
      <c r="H812" s="1513"/>
      <c r="I812" s="1439">
        <f>I801-I809</f>
        <v>0</v>
      </c>
      <c r="J812" s="1439"/>
      <c r="K812" s="1439"/>
      <c r="L812" s="1439"/>
      <c r="M812" s="1439"/>
      <c r="N812" s="1439"/>
      <c r="O812" s="487"/>
      <c r="P812" s="1439">
        <f>P801-P809</f>
        <v>0</v>
      </c>
      <c r="Q812" s="1439"/>
      <c r="R812" s="1439"/>
      <c r="S812" s="1439"/>
      <c r="T812" s="1439"/>
      <c r="U812" s="1439"/>
      <c r="V812" s="487"/>
      <c r="W812" s="1439">
        <f>W801-W809</f>
        <v>0</v>
      </c>
      <c r="X812" s="1439"/>
      <c r="Y812" s="1439"/>
      <c r="Z812" s="1439"/>
      <c r="AA812" s="1439"/>
      <c r="AB812" s="1439"/>
      <c r="AC812" s="487"/>
      <c r="AD812" s="1359">
        <f>AD801-AD809</f>
        <v>0</v>
      </c>
      <c r="AE812" s="1359"/>
      <c r="AF812" s="1359"/>
      <c r="AG812" s="1359"/>
      <c r="AH812" s="1359"/>
      <c r="AI812" s="1359"/>
      <c r="AJ812" s="341"/>
      <c r="AK812" s="345"/>
      <c r="AL812" s="340"/>
      <c r="AM812" s="1533" t="s">
        <v>1013</v>
      </c>
      <c r="AN812" s="1533"/>
      <c r="AO812" s="1533"/>
      <c r="AP812" s="1533"/>
      <c r="AQ812" s="1533"/>
      <c r="AR812" s="1533"/>
      <c r="AS812" s="1439">
        <f>AS801-AS809</f>
        <v>0</v>
      </c>
      <c r="AT812" s="1439"/>
      <c r="AU812" s="1439"/>
      <c r="AV812" s="1439"/>
      <c r="AW812" s="1439"/>
      <c r="AX812" s="1439"/>
      <c r="AY812" s="487"/>
      <c r="AZ812" s="1439">
        <f>AZ801-AZ809</f>
        <v>0</v>
      </c>
      <c r="BA812" s="1439"/>
      <c r="BB812" s="1439"/>
      <c r="BC812" s="1439"/>
      <c r="BD812" s="1439"/>
      <c r="BE812" s="1439"/>
      <c r="BF812" s="487"/>
      <c r="BG812" s="1439">
        <f>BG801-BG809</f>
        <v>0</v>
      </c>
      <c r="BH812" s="1439"/>
      <c r="BI812" s="1439"/>
      <c r="BJ812" s="1439"/>
      <c r="BK812" s="1439"/>
      <c r="BL812" s="1439"/>
      <c r="BM812" s="487"/>
      <c r="BN812" s="1359">
        <f>BN801-BN809</f>
        <v>0</v>
      </c>
      <c r="BO812" s="1359"/>
      <c r="BP812" s="1359"/>
      <c r="BQ812" s="1359"/>
      <c r="BR812" s="1359"/>
      <c r="BS812" s="1359"/>
      <c r="BT812" s="496"/>
      <c r="BU812" s="497"/>
      <c r="BV812" s="310">
        <f>AD812-KN_CT224</f>
        <v>0</v>
      </c>
      <c r="BW812" s="310"/>
      <c r="BX812" s="300">
        <f t="shared" si="22"/>
        <v>0</v>
      </c>
      <c r="BY812" s="341"/>
      <c r="BZ812" s="431"/>
      <c r="CA812" s="431"/>
      <c r="CB812" s="450"/>
      <c r="CC812" s="450"/>
      <c r="CD812" s="450"/>
      <c r="CE812" s="450"/>
      <c r="CF812" s="450"/>
    </row>
    <row r="813" spans="1:84" ht="15" hidden="1" customHeight="1" thickTop="1" x14ac:dyDescent="0.25">
      <c r="A813" s="313"/>
      <c r="B813" s="340"/>
      <c r="C813" s="471"/>
      <c r="D813" s="392"/>
      <c r="E813" s="392"/>
      <c r="F813" s="392"/>
      <c r="G813" s="392"/>
      <c r="H813" s="392"/>
      <c r="I813" s="392"/>
      <c r="J813" s="392"/>
      <c r="K813" s="503"/>
      <c r="L813" s="503"/>
      <c r="M813" s="503"/>
      <c r="N813" s="503"/>
      <c r="O813" s="504"/>
      <c r="P813" s="503"/>
      <c r="Q813" s="503"/>
      <c r="R813" s="503"/>
      <c r="S813" s="503"/>
      <c r="T813" s="503"/>
      <c r="U813" s="503"/>
      <c r="V813" s="503"/>
      <c r="W813" s="505"/>
      <c r="X813" s="505"/>
      <c r="Y813" s="505"/>
      <c r="Z813" s="505"/>
      <c r="AA813" s="505"/>
      <c r="AB813" s="505"/>
      <c r="AC813" s="506"/>
      <c r="AD813" s="506"/>
      <c r="AE813" s="506"/>
      <c r="AF813" s="506"/>
      <c r="AG813" s="506"/>
      <c r="AH813" s="506"/>
      <c r="AI813" s="506"/>
      <c r="AJ813" s="344"/>
      <c r="AK813" s="345"/>
      <c r="AL813" s="340"/>
      <c r="AM813" s="471"/>
      <c r="AN813" s="392"/>
      <c r="AO813" s="392"/>
      <c r="AP813" s="392"/>
      <c r="AQ813" s="392"/>
      <c r="AR813" s="392"/>
      <c r="AS813" s="392"/>
      <c r="AT813" s="392"/>
      <c r="AU813" s="503"/>
      <c r="AV813" s="503"/>
      <c r="AW813" s="503"/>
      <c r="AX813" s="503"/>
      <c r="AY813" s="503"/>
      <c r="AZ813" s="503"/>
      <c r="BA813" s="503"/>
      <c r="BB813" s="503"/>
      <c r="BC813" s="503"/>
      <c r="BD813" s="503"/>
      <c r="BE813" s="503"/>
      <c r="BF813" s="503"/>
      <c r="BG813" s="503"/>
      <c r="BH813" s="503"/>
      <c r="BI813" s="503"/>
      <c r="BJ813" s="503"/>
      <c r="BK813" s="503"/>
      <c r="BL813" s="503"/>
      <c r="BM813" s="507"/>
      <c r="BN813" s="507"/>
      <c r="BO813" s="507"/>
      <c r="BP813" s="507"/>
      <c r="BQ813" s="507"/>
      <c r="BR813" s="507"/>
      <c r="BS813" s="507"/>
      <c r="BT813" s="507"/>
      <c r="BU813" s="492"/>
      <c r="BV813" s="310"/>
      <c r="BW813" s="310"/>
      <c r="BX813" s="291">
        <f t="shared" si="22"/>
        <v>0</v>
      </c>
      <c r="BY813" s="344"/>
      <c r="BZ813" s="347"/>
      <c r="CA813" s="347"/>
    </row>
    <row r="814" spans="1:84" s="423" customFormat="1" ht="15" hidden="1" customHeight="1" x14ac:dyDescent="0.25">
      <c r="A814" s="313"/>
      <c r="B814" s="340"/>
      <c r="C814" s="529" t="s">
        <v>355</v>
      </c>
      <c r="D814" s="1531" t="s">
        <v>1037</v>
      </c>
      <c r="E814" s="1531"/>
      <c r="F814" s="1531"/>
      <c r="G814" s="1531"/>
      <c r="H814" s="1531"/>
      <c r="I814" s="1531"/>
      <c r="J814" s="1531"/>
      <c r="K814" s="1531"/>
      <c r="L814" s="1531"/>
      <c r="M814" s="1531"/>
      <c r="N814" s="1531"/>
      <c r="O814" s="1531"/>
      <c r="P814" s="1531"/>
      <c r="Q814" s="1531"/>
      <c r="R814" s="1531"/>
      <c r="S814" s="1531"/>
      <c r="T814" s="1531"/>
      <c r="U814" s="1531"/>
      <c r="V814" s="1531"/>
      <c r="W814" s="1531"/>
      <c r="X814" s="1531"/>
      <c r="Y814" s="1531"/>
      <c r="Z814" s="1531"/>
      <c r="AA814" s="1531"/>
      <c r="AB814" s="1531"/>
      <c r="AC814" s="1531"/>
      <c r="AD814" s="1531"/>
      <c r="AE814" s="1531"/>
      <c r="AF814" s="1531"/>
      <c r="AG814" s="1531"/>
      <c r="AH814" s="1531"/>
      <c r="AI814" s="1531"/>
      <c r="AJ814" s="342"/>
      <c r="AK814" s="345"/>
      <c r="AL814" s="340"/>
      <c r="AM814" s="456" t="s">
        <v>355</v>
      </c>
      <c r="AN814" s="1531" t="s">
        <v>1038</v>
      </c>
      <c r="AO814" s="1531"/>
      <c r="AP814" s="1531"/>
      <c r="AQ814" s="1531"/>
      <c r="AR814" s="1531"/>
      <c r="AS814" s="1531"/>
      <c r="AT814" s="1531"/>
      <c r="AU814" s="1531"/>
      <c r="AV814" s="1531"/>
      <c r="AW814" s="1531"/>
      <c r="AX814" s="1531"/>
      <c r="AY814" s="1531"/>
      <c r="AZ814" s="1531"/>
      <c r="BA814" s="1531"/>
      <c r="BB814" s="1531"/>
      <c r="BC814" s="1531"/>
      <c r="BD814" s="1531"/>
      <c r="BE814" s="1531"/>
      <c r="BF814" s="1531"/>
      <c r="BG814" s="1531"/>
      <c r="BH814" s="1531"/>
      <c r="BI814" s="1531"/>
      <c r="BJ814" s="1531"/>
      <c r="BK814" s="1531"/>
      <c r="BL814" s="1531"/>
      <c r="BM814" s="1531"/>
      <c r="BN814" s="1531"/>
      <c r="BO814" s="1531"/>
      <c r="BP814" s="1531"/>
      <c r="BQ814" s="1531"/>
      <c r="BR814" s="1531"/>
      <c r="BS814" s="1531"/>
      <c r="BT814" s="356"/>
      <c r="BU814" s="357"/>
      <c r="BV814" s="310"/>
      <c r="BW814" s="310"/>
      <c r="BX814" s="300">
        <f t="shared" si="22"/>
        <v>0</v>
      </c>
      <c r="BY814" s="342"/>
      <c r="BZ814" s="438"/>
      <c r="CA814" s="438"/>
      <c r="CB814" s="439"/>
      <c r="CC814" s="439"/>
      <c r="CD814" s="439"/>
      <c r="CE814" s="439"/>
      <c r="CF814" s="439"/>
    </row>
    <row r="815" spans="1:84" s="423" customFormat="1" ht="14.1" hidden="1" customHeight="1" x14ac:dyDescent="0.25">
      <c r="A815" s="313"/>
      <c r="B815" s="340"/>
      <c r="C815" s="529" t="s">
        <v>355</v>
      </c>
      <c r="D815" s="1532" t="s">
        <v>1039</v>
      </c>
      <c r="E815" s="1532"/>
      <c r="F815" s="1532"/>
      <c r="G815" s="1532"/>
      <c r="H815" s="1532"/>
      <c r="I815" s="1532"/>
      <c r="J815" s="1532"/>
      <c r="K815" s="1532"/>
      <c r="L815" s="1532"/>
      <c r="M815" s="1532"/>
      <c r="N815" s="1532"/>
      <c r="O815" s="1532"/>
      <c r="P815" s="1532"/>
      <c r="Q815" s="1532"/>
      <c r="R815" s="1532"/>
      <c r="S815" s="1532"/>
      <c r="T815" s="1532"/>
      <c r="U815" s="1532"/>
      <c r="V815" s="1532"/>
      <c r="W815" s="1532"/>
      <c r="X815" s="1532"/>
      <c r="Y815" s="1532"/>
      <c r="Z815" s="1532"/>
      <c r="AA815" s="1532"/>
      <c r="AB815" s="1532"/>
      <c r="AC815" s="1532"/>
      <c r="AD815" s="1532"/>
      <c r="AE815" s="1532"/>
      <c r="AF815" s="1532"/>
      <c r="AG815" s="1532"/>
      <c r="AH815" s="1532"/>
      <c r="AI815" s="1532"/>
      <c r="AJ815" s="342"/>
      <c r="AK815" s="345"/>
      <c r="AL815" s="340"/>
      <c r="AM815" s="456" t="s">
        <v>355</v>
      </c>
      <c r="AN815" s="1468" t="s">
        <v>1040</v>
      </c>
      <c r="AO815" s="1468"/>
      <c r="AP815" s="1468"/>
      <c r="AQ815" s="1468"/>
      <c r="AR815" s="1468"/>
      <c r="AS815" s="1468"/>
      <c r="AT815" s="1468"/>
      <c r="AU815" s="1468"/>
      <c r="AV815" s="1468"/>
      <c r="AW815" s="1468"/>
      <c r="AX815" s="1468"/>
      <c r="AY815" s="1468"/>
      <c r="AZ815" s="1468"/>
      <c r="BA815" s="1468"/>
      <c r="BB815" s="1468"/>
      <c r="BC815" s="1468"/>
      <c r="BD815" s="1468"/>
      <c r="BE815" s="1468"/>
      <c r="BF815" s="1468"/>
      <c r="BG815" s="1468"/>
      <c r="BH815" s="1468"/>
      <c r="BI815" s="1468"/>
      <c r="BJ815" s="1468"/>
      <c r="BK815" s="1468"/>
      <c r="BL815" s="1468"/>
      <c r="BM815" s="1468"/>
      <c r="BN815" s="1468"/>
      <c r="BO815" s="1468"/>
      <c r="BP815" s="1468"/>
      <c r="BQ815" s="1468"/>
      <c r="BR815" s="1468"/>
      <c r="BS815" s="1468"/>
      <c r="BT815" s="356"/>
      <c r="BU815" s="357"/>
      <c r="BV815" s="310"/>
      <c r="BW815" s="310"/>
      <c r="BX815" s="300">
        <f t="shared" si="22"/>
        <v>0</v>
      </c>
      <c r="BY815" s="342"/>
      <c r="BZ815" s="438"/>
      <c r="CA815" s="438"/>
      <c r="CB815" s="439"/>
      <c r="CC815" s="439"/>
      <c r="CD815" s="439"/>
      <c r="CE815" s="439"/>
      <c r="CF815" s="439"/>
    </row>
    <row r="816" spans="1:84" s="423" customFormat="1" ht="15" hidden="1" customHeight="1" x14ac:dyDescent="0.25">
      <c r="A816" s="313"/>
      <c r="B816" s="340"/>
      <c r="C816" s="529" t="s">
        <v>355</v>
      </c>
      <c r="D816" s="1468" t="s">
        <v>1041</v>
      </c>
      <c r="E816" s="1468"/>
      <c r="F816" s="1468"/>
      <c r="G816" s="1468"/>
      <c r="H816" s="1468"/>
      <c r="I816" s="1468"/>
      <c r="J816" s="1468"/>
      <c r="K816" s="1468"/>
      <c r="L816" s="1468"/>
      <c r="M816" s="1468"/>
      <c r="N816" s="1468"/>
      <c r="O816" s="1468"/>
      <c r="P816" s="1468"/>
      <c r="Q816" s="1468"/>
      <c r="R816" s="1468"/>
      <c r="S816" s="1468"/>
      <c r="T816" s="1468"/>
      <c r="U816" s="1468"/>
      <c r="V816" s="1468"/>
      <c r="W816" s="1468"/>
      <c r="X816" s="1468"/>
      <c r="Y816" s="1468"/>
      <c r="Z816" s="1468"/>
      <c r="AA816" s="1468"/>
      <c r="AB816" s="1468"/>
      <c r="AC816" s="1468"/>
      <c r="AD816" s="1468"/>
      <c r="AE816" s="1468"/>
      <c r="AF816" s="1468"/>
      <c r="AG816" s="1468"/>
      <c r="AH816" s="1468"/>
      <c r="AI816" s="1468"/>
      <c r="AJ816" s="342"/>
      <c r="AK816" s="345"/>
      <c r="AL816" s="340"/>
      <c r="AM816" s="456" t="s">
        <v>355</v>
      </c>
      <c r="AN816" s="1468" t="s">
        <v>1042</v>
      </c>
      <c r="AO816" s="1468"/>
      <c r="AP816" s="1468"/>
      <c r="AQ816" s="1468"/>
      <c r="AR816" s="1468"/>
      <c r="AS816" s="1468"/>
      <c r="AT816" s="1468"/>
      <c r="AU816" s="1468"/>
      <c r="AV816" s="1468"/>
      <c r="AW816" s="1468"/>
      <c r="AX816" s="1468"/>
      <c r="AY816" s="1468"/>
      <c r="AZ816" s="1468"/>
      <c r="BA816" s="1468"/>
      <c r="BB816" s="1468"/>
      <c r="BC816" s="1468"/>
      <c r="BD816" s="1468"/>
      <c r="BE816" s="1468"/>
      <c r="BF816" s="1468"/>
      <c r="BG816" s="1468"/>
      <c r="BH816" s="1468"/>
      <c r="BI816" s="1468"/>
      <c r="BJ816" s="1468"/>
      <c r="BK816" s="1468"/>
      <c r="BL816" s="1468"/>
      <c r="BM816" s="1468"/>
      <c r="BN816" s="1468"/>
      <c r="BO816" s="1468"/>
      <c r="BP816" s="1468"/>
      <c r="BQ816" s="1468"/>
      <c r="BR816" s="1468"/>
      <c r="BS816" s="1468"/>
      <c r="BT816" s="356"/>
      <c r="BU816" s="357"/>
      <c r="BV816" s="310"/>
      <c r="BW816" s="310"/>
      <c r="BX816" s="300">
        <f t="shared" si="22"/>
        <v>0</v>
      </c>
      <c r="BY816" s="342"/>
      <c r="BZ816" s="438"/>
      <c r="CA816" s="438"/>
      <c r="CB816" s="439"/>
      <c r="CC816" s="439"/>
      <c r="CD816" s="439"/>
      <c r="CE816" s="439"/>
      <c r="CF816" s="439"/>
    </row>
    <row r="817" spans="1:84" ht="2.1" customHeight="1" x14ac:dyDescent="0.25">
      <c r="A817" s="313"/>
      <c r="B817" s="454"/>
      <c r="C817" s="392"/>
      <c r="D817" s="392"/>
      <c r="E817" s="392"/>
      <c r="F817" s="392"/>
      <c r="G817" s="392"/>
      <c r="H817" s="392"/>
      <c r="I817" s="392"/>
      <c r="J817" s="392"/>
      <c r="K817" s="392"/>
      <c r="L817" s="392"/>
      <c r="M817" s="392"/>
      <c r="N817" s="392"/>
      <c r="O817" s="392"/>
      <c r="P817" s="392"/>
      <c r="Q817" s="392"/>
      <c r="R817" s="392"/>
      <c r="S817" s="392"/>
      <c r="T817" s="392"/>
      <c r="U817" s="392"/>
      <c r="V817" s="392"/>
      <c r="W817" s="393"/>
      <c r="X817" s="393"/>
      <c r="Y817" s="393"/>
      <c r="Z817" s="393"/>
      <c r="AA817" s="393"/>
      <c r="AB817" s="393"/>
      <c r="AC817" s="343"/>
      <c r="AD817" s="343"/>
      <c r="AE817" s="343"/>
      <c r="AF817" s="343"/>
      <c r="AG817" s="343"/>
      <c r="AH817" s="343"/>
      <c r="AI817" s="343"/>
      <c r="AJ817" s="344"/>
      <c r="AK817" s="345"/>
      <c r="AL817" s="340"/>
      <c r="AM817" s="392"/>
      <c r="AN817" s="392"/>
      <c r="AO817" s="392"/>
      <c r="AP817" s="392"/>
      <c r="AQ817" s="392"/>
      <c r="AR817" s="392"/>
      <c r="AS817" s="392"/>
      <c r="AT817" s="392"/>
      <c r="AU817" s="392"/>
      <c r="AV817" s="392"/>
      <c r="AW817" s="392"/>
      <c r="AX817" s="392"/>
      <c r="AY817" s="392"/>
      <c r="AZ817" s="392"/>
      <c r="BA817" s="392"/>
      <c r="BB817" s="392"/>
      <c r="BC817" s="392"/>
      <c r="BD817" s="392"/>
      <c r="BE817" s="392"/>
      <c r="BF817" s="392"/>
      <c r="BG817" s="392"/>
      <c r="BH817" s="392"/>
      <c r="BI817" s="392"/>
      <c r="BJ817" s="392"/>
      <c r="BK817" s="392"/>
      <c r="BL817" s="392"/>
      <c r="BM817" s="342"/>
      <c r="BN817" s="342"/>
      <c r="BO817" s="342"/>
      <c r="BP817" s="342"/>
      <c r="BQ817" s="342"/>
      <c r="BR817" s="342"/>
      <c r="BS817" s="342"/>
      <c r="BT817" s="342"/>
      <c r="BU817" s="346"/>
      <c r="BV817" s="310"/>
      <c r="BW817" s="310"/>
      <c r="BX817" s="291">
        <f t="shared" si="22"/>
        <v>0</v>
      </c>
      <c r="BY817" s="344"/>
      <c r="BZ817" s="347"/>
      <c r="CA817" s="347"/>
    </row>
    <row r="818" spans="1:84" ht="12.95" customHeight="1" x14ac:dyDescent="0.25">
      <c r="A818" s="313"/>
      <c r="B818" s="340"/>
      <c r="C818" s="392"/>
      <c r="D818" s="392"/>
      <c r="E818" s="392"/>
      <c r="F818" s="392"/>
      <c r="G818" s="392"/>
      <c r="H818" s="392"/>
      <c r="I818" s="392"/>
      <c r="J818" s="392"/>
      <c r="K818" s="392"/>
      <c r="L818" s="392"/>
      <c r="M818" s="392"/>
      <c r="N818" s="392"/>
      <c r="O818" s="392"/>
      <c r="P818" s="392"/>
      <c r="Q818" s="392"/>
      <c r="R818" s="392"/>
      <c r="S818" s="392"/>
      <c r="T818" s="392"/>
      <c r="U818" s="392"/>
      <c r="V818" s="392"/>
      <c r="W818" s="393"/>
      <c r="X818" s="393"/>
      <c r="Y818" s="393"/>
      <c r="Z818" s="393"/>
      <c r="AA818" s="393"/>
      <c r="AB818" s="393"/>
      <c r="AC818" s="343"/>
      <c r="AD818" s="343"/>
      <c r="AE818" s="343"/>
      <c r="AF818" s="343"/>
      <c r="AG818" s="343"/>
      <c r="AH818" s="343"/>
      <c r="AI818" s="343"/>
      <c r="AJ818" s="344"/>
      <c r="AK818" s="345"/>
      <c r="AL818" s="340"/>
      <c r="AM818" s="392"/>
      <c r="AN818" s="392"/>
      <c r="AO818" s="392"/>
      <c r="AP818" s="392"/>
      <c r="AQ818" s="392"/>
      <c r="AR818" s="392"/>
      <c r="AS818" s="392"/>
      <c r="AT818" s="392"/>
      <c r="AU818" s="392"/>
      <c r="AV818" s="392"/>
      <c r="AW818" s="392"/>
      <c r="AX818" s="392"/>
      <c r="AY818" s="392"/>
      <c r="AZ818" s="392"/>
      <c r="BA818" s="392"/>
      <c r="BB818" s="392"/>
      <c r="BC818" s="392"/>
      <c r="BD818" s="392"/>
      <c r="BE818" s="392"/>
      <c r="BF818" s="392"/>
      <c r="BG818" s="392"/>
      <c r="BH818" s="392"/>
      <c r="BI818" s="392"/>
      <c r="BJ818" s="392"/>
      <c r="BK818" s="392"/>
      <c r="BL818" s="392"/>
      <c r="BM818" s="342"/>
      <c r="BN818" s="342"/>
      <c r="BO818" s="342"/>
      <c r="BP818" s="342"/>
      <c r="BQ818" s="342"/>
      <c r="BR818" s="342"/>
      <c r="BS818" s="342"/>
      <c r="BT818" s="342"/>
      <c r="BU818" s="346"/>
      <c r="BV818" s="310"/>
      <c r="BW818" s="310"/>
      <c r="BX818" s="291">
        <f t="shared" si="22"/>
        <v>0</v>
      </c>
      <c r="BY818" s="344"/>
      <c r="BZ818" s="347"/>
      <c r="CA818" s="347"/>
    </row>
    <row r="819" spans="1:84" ht="15" customHeight="1" x14ac:dyDescent="0.25">
      <c r="A819" s="313">
        <v>13</v>
      </c>
      <c r="B819" s="340" t="s">
        <v>345</v>
      </c>
      <c r="C819" s="471" t="s">
        <v>1043</v>
      </c>
      <c r="D819" s="392"/>
      <c r="E819" s="392"/>
      <c r="F819" s="392"/>
      <c r="G819" s="392"/>
      <c r="H819" s="392"/>
      <c r="I819" s="392"/>
      <c r="J819" s="392"/>
      <c r="K819" s="392"/>
      <c r="L819" s="392"/>
      <c r="M819" s="392"/>
      <c r="N819" s="392"/>
      <c r="O819" s="392"/>
      <c r="P819" s="392"/>
      <c r="Q819" s="392"/>
      <c r="R819" s="392"/>
      <c r="S819" s="392"/>
      <c r="T819" s="392"/>
      <c r="U819" s="392"/>
      <c r="V819" s="392"/>
      <c r="W819" s="393"/>
      <c r="X819" s="393"/>
      <c r="Y819" s="393"/>
      <c r="Z819" s="393"/>
      <c r="AA819" s="393"/>
      <c r="AB819" s="393"/>
      <c r="AC819" s="343"/>
      <c r="AD819" s="343"/>
      <c r="AE819" s="343"/>
      <c r="AF819" s="343"/>
      <c r="AG819" s="343"/>
      <c r="AH819" s="343"/>
      <c r="AI819" s="343"/>
      <c r="AJ819" s="344"/>
      <c r="AK819" s="345">
        <f>A819</f>
        <v>13</v>
      </c>
      <c r="AL819" s="340" t="s">
        <v>345</v>
      </c>
      <c r="AM819" s="471" t="s">
        <v>1044</v>
      </c>
      <c r="AN819" s="392"/>
      <c r="AO819" s="392"/>
      <c r="AP819" s="392"/>
      <c r="AQ819" s="392"/>
      <c r="AR819" s="392"/>
      <c r="AS819" s="392"/>
      <c r="AT819" s="392"/>
      <c r="AU819" s="392"/>
      <c r="AV819" s="392"/>
      <c r="AW819" s="392"/>
      <c r="AX819" s="392"/>
      <c r="AY819" s="392"/>
      <c r="AZ819" s="392"/>
      <c r="BA819" s="392"/>
      <c r="BB819" s="392"/>
      <c r="BC819" s="392"/>
      <c r="BD819" s="392"/>
      <c r="BE819" s="392"/>
      <c r="BF819" s="392"/>
      <c r="BG819" s="392"/>
      <c r="BH819" s="392"/>
      <c r="BI819" s="392"/>
      <c r="BJ819" s="392"/>
      <c r="BK819" s="392"/>
      <c r="BL819" s="392"/>
      <c r="BM819" s="342"/>
      <c r="BN819" s="342"/>
      <c r="BO819" s="342"/>
      <c r="BP819" s="342"/>
      <c r="BQ819" s="342"/>
      <c r="BR819" s="342"/>
      <c r="BS819" s="342"/>
      <c r="BT819" s="342"/>
      <c r="BU819" s="346">
        <f>SUBTOTAL(103,A819)</f>
        <v>1</v>
      </c>
      <c r="BV819" s="310"/>
      <c r="BW819" s="310"/>
      <c r="BX819" s="291">
        <f t="shared" si="22"/>
        <v>0</v>
      </c>
      <c r="BY819" s="344"/>
      <c r="BZ819" s="347"/>
      <c r="CA819" s="347"/>
    </row>
    <row r="820" spans="1:84" ht="12.95" customHeight="1" x14ac:dyDescent="0.25">
      <c r="A820" s="313"/>
      <c r="B820" s="340"/>
      <c r="C820" s="471"/>
      <c r="D820" s="392"/>
      <c r="E820" s="392"/>
      <c r="F820" s="392"/>
      <c r="G820" s="392"/>
      <c r="H820" s="392"/>
      <c r="I820" s="392"/>
      <c r="J820" s="392"/>
      <c r="K820" s="392"/>
      <c r="L820" s="392"/>
      <c r="M820" s="392"/>
      <c r="N820" s="392"/>
      <c r="O820" s="392"/>
      <c r="P820" s="392"/>
      <c r="Q820" s="392"/>
      <c r="R820" s="392"/>
      <c r="S820" s="392"/>
      <c r="T820" s="392"/>
      <c r="U820" s="392"/>
      <c r="V820" s="392"/>
      <c r="W820" s="393"/>
      <c r="X820" s="393"/>
      <c r="Y820" s="393"/>
      <c r="Z820" s="393"/>
      <c r="AA820" s="393"/>
      <c r="AB820" s="393"/>
      <c r="AC820" s="343"/>
      <c r="AD820" s="343"/>
      <c r="AE820" s="343"/>
      <c r="AF820" s="343"/>
      <c r="AG820" s="343"/>
      <c r="AH820" s="343"/>
      <c r="AI820" s="343"/>
      <c r="AJ820" s="344"/>
      <c r="AK820" s="345"/>
      <c r="AL820" s="340"/>
      <c r="AM820" s="471"/>
      <c r="AN820" s="392"/>
      <c r="AO820" s="392"/>
      <c r="AP820" s="392"/>
      <c r="AQ820" s="392"/>
      <c r="AR820" s="392"/>
      <c r="AS820" s="392"/>
      <c r="AT820" s="392"/>
      <c r="AU820" s="392"/>
      <c r="AV820" s="392"/>
      <c r="AW820" s="392"/>
      <c r="AX820" s="392"/>
      <c r="AY820" s="392"/>
      <c r="AZ820" s="392"/>
      <c r="BA820" s="392"/>
      <c r="BB820" s="392"/>
      <c r="BC820" s="392"/>
      <c r="BD820" s="392"/>
      <c r="BE820" s="392"/>
      <c r="BF820" s="392"/>
      <c r="BG820" s="392"/>
      <c r="BH820" s="392"/>
      <c r="BI820" s="392"/>
      <c r="BJ820" s="392"/>
      <c r="BK820" s="392"/>
      <c r="BL820" s="392"/>
      <c r="BM820" s="342"/>
      <c r="BN820" s="342"/>
      <c r="BO820" s="342"/>
      <c r="BP820" s="342"/>
      <c r="BQ820" s="342"/>
      <c r="BR820" s="342"/>
      <c r="BS820" s="342"/>
      <c r="BT820" s="342"/>
      <c r="BU820" s="346"/>
      <c r="BV820" s="310"/>
      <c r="BW820" s="310"/>
      <c r="BX820" s="291">
        <f t="shared" si="22"/>
        <v>0</v>
      </c>
      <c r="BY820" s="344"/>
      <c r="BZ820" s="347"/>
      <c r="CA820" s="347"/>
    </row>
    <row r="821" spans="1:84" ht="15" hidden="1" customHeight="1" x14ac:dyDescent="0.25">
      <c r="A821" s="313"/>
      <c r="B821" s="340"/>
      <c r="C821" s="472" t="s">
        <v>979</v>
      </c>
      <c r="D821" s="472"/>
      <c r="E821" s="472"/>
      <c r="F821" s="472"/>
      <c r="G821" s="472"/>
      <c r="H821" s="472"/>
      <c r="I821" s="1528" t="s">
        <v>1045</v>
      </c>
      <c r="J821" s="1528"/>
      <c r="K821" s="1528"/>
      <c r="L821" s="1528"/>
      <c r="M821" s="1528"/>
      <c r="N821" s="1528"/>
      <c r="O821" s="473"/>
      <c r="P821" s="1528" t="s">
        <v>1046</v>
      </c>
      <c r="Q821" s="1528"/>
      <c r="R821" s="1528"/>
      <c r="S821" s="1528"/>
      <c r="T821" s="1528"/>
      <c r="U821" s="1528"/>
      <c r="V821" s="473"/>
      <c r="W821" s="1528" t="s">
        <v>1047</v>
      </c>
      <c r="X821" s="1528"/>
      <c r="Y821" s="1528"/>
      <c r="Z821" s="1528"/>
      <c r="AA821" s="1528"/>
      <c r="AB821" s="1528"/>
      <c r="AC821" s="473"/>
      <c r="AD821" s="1529" t="s">
        <v>983</v>
      </c>
      <c r="AE821" s="1529"/>
      <c r="AF821" s="1529"/>
      <c r="AG821" s="1529"/>
      <c r="AH821" s="1529"/>
      <c r="AI821" s="1529"/>
      <c r="AJ821" s="474"/>
      <c r="AK821" s="475"/>
      <c r="AL821" s="476"/>
      <c r="AM821" s="472" t="s">
        <v>984</v>
      </c>
      <c r="AN821" s="472"/>
      <c r="AO821" s="472"/>
      <c r="AP821" s="472"/>
      <c r="AQ821" s="472"/>
      <c r="AR821" s="472"/>
      <c r="AS821" s="1528" t="str">
        <f>I821</f>
        <v>2131</v>
      </c>
      <c r="AT821" s="1528"/>
      <c r="AU821" s="1528"/>
      <c r="AV821" s="1528"/>
      <c r="AW821" s="1528"/>
      <c r="AX821" s="1528"/>
      <c r="AY821" s="477"/>
      <c r="AZ821" s="1528" t="str">
        <f>P821</f>
        <v>2135</v>
      </c>
      <c r="BA821" s="1528"/>
      <c r="BB821" s="1528"/>
      <c r="BC821" s="1528"/>
      <c r="BD821" s="1528"/>
      <c r="BE821" s="1528"/>
      <c r="BF821" s="477"/>
      <c r="BG821" s="1528" t="str">
        <f>W821</f>
        <v>2138</v>
      </c>
      <c r="BH821" s="1528"/>
      <c r="BI821" s="1528"/>
      <c r="BJ821" s="1528"/>
      <c r="BK821" s="1528"/>
      <c r="BL821" s="1528"/>
      <c r="BM821" s="477"/>
      <c r="BN821" s="1529" t="str">
        <f>AD821</f>
        <v>Cong</v>
      </c>
      <c r="BO821" s="1529"/>
      <c r="BP821" s="1529"/>
      <c r="BQ821" s="1529"/>
      <c r="BR821" s="1529"/>
      <c r="BS821" s="1529"/>
      <c r="BT821" s="478"/>
      <c r="BU821" s="479"/>
      <c r="BV821" s="310"/>
      <c r="BW821" s="310"/>
      <c r="BX821" s="291">
        <f t="shared" si="22"/>
        <v>0</v>
      </c>
      <c r="BY821" s="344"/>
      <c r="BZ821" s="347"/>
      <c r="CA821" s="347"/>
    </row>
    <row r="822" spans="1:84" ht="27.95" hidden="1" customHeight="1" x14ac:dyDescent="0.2">
      <c r="A822" s="313"/>
      <c r="B822" s="340"/>
      <c r="C822" s="480"/>
      <c r="D822" s="480"/>
      <c r="E822" s="480"/>
      <c r="F822" s="480"/>
      <c r="G822" s="480"/>
      <c r="H822" s="480"/>
      <c r="I822" s="1464" t="str">
        <f>HLOOKUP(I$821,TM_TSCDVH_V,ROW()-ROW($C$821)+1,0)</f>
        <v>Quyền
sử dụng đất</v>
      </c>
      <c r="J822" s="1464"/>
      <c r="K822" s="1464"/>
      <c r="L822" s="1464"/>
      <c r="M822" s="1464"/>
      <c r="N822" s="1464"/>
      <c r="O822" s="481"/>
      <c r="P822" s="1464" t="str">
        <f>HLOOKUP(P$821,TM_TSCDVH_V,ROW()-ROW($C$821)+1,0)</f>
        <v>Phần mềm
máy vi tính</v>
      </c>
      <c r="Q822" s="1464"/>
      <c r="R822" s="1464"/>
      <c r="S822" s="1464"/>
      <c r="T822" s="1464"/>
      <c r="U822" s="1464"/>
      <c r="V822" s="482"/>
      <c r="W822" s="1465" t="str">
        <f>HLOOKUP(W$821,TM_TSCDVH_V,ROW()-ROW($C$821)+1,0)</f>
        <v>TSCĐ vô hình khác</v>
      </c>
      <c r="X822" s="1465"/>
      <c r="Y822" s="1465"/>
      <c r="Z822" s="1465"/>
      <c r="AA822" s="1465"/>
      <c r="AB822" s="1465"/>
      <c r="AC822" s="482"/>
      <c r="AD822" s="1530" t="str">
        <f>HLOOKUP(AD$821,TM_TSCDVH_V,ROW()-ROW($C$821)+1,0)</f>
        <v>Cộng</v>
      </c>
      <c r="AE822" s="1530"/>
      <c r="AF822" s="1530"/>
      <c r="AG822" s="1530"/>
      <c r="AH822" s="1530"/>
      <c r="AI822" s="1530"/>
      <c r="AJ822" s="344"/>
      <c r="AK822" s="345"/>
      <c r="AL822" s="340"/>
      <c r="AM822" s="480"/>
      <c r="AN822" s="480"/>
      <c r="AO822" s="480"/>
      <c r="AP822" s="480"/>
      <c r="AQ822" s="480"/>
      <c r="AR822" s="480"/>
      <c r="AS822" s="1464" t="str">
        <f>HLOOKUP(AS$821,TM_TSCDVH_E,ROW()-ROW($AM$821)+1,0)</f>
        <v>Land use rights</v>
      </c>
      <c r="AT822" s="1464"/>
      <c r="AU822" s="1464"/>
      <c r="AV822" s="1464"/>
      <c r="AW822" s="1464"/>
      <c r="AX822" s="1464"/>
      <c r="AY822" s="481"/>
      <c r="AZ822" s="1464" t="str">
        <f>HLOOKUP(AZ$821,TM_TSCDVH_E,ROW()-ROW($AM$821)+1,0)</f>
        <v>Computer software</v>
      </c>
      <c r="BA822" s="1464"/>
      <c r="BB822" s="1464"/>
      <c r="BC822" s="1464"/>
      <c r="BD822" s="1464"/>
      <c r="BE822" s="1464"/>
      <c r="BF822" s="482"/>
      <c r="BG822" s="1465" t="str">
        <f>HLOOKUP(BG$821,TM_TSCDVH_E,ROW()-ROW($AM$821)+1,0)</f>
        <v>Other intangible fixed assets</v>
      </c>
      <c r="BH822" s="1465"/>
      <c r="BI822" s="1465"/>
      <c r="BJ822" s="1465"/>
      <c r="BK822" s="1465"/>
      <c r="BL822" s="1465"/>
      <c r="BM822" s="482"/>
      <c r="BN822" s="1530" t="str">
        <f>HLOOKUP(BN$821,TM_TSCDVH_E,ROW()-ROW($AM$821)+1,0)</f>
        <v>Total</v>
      </c>
      <c r="BO822" s="1530"/>
      <c r="BP822" s="1530"/>
      <c r="BQ822" s="1530"/>
      <c r="BR822" s="1530"/>
      <c r="BS822" s="1530"/>
      <c r="BT822" s="478"/>
      <c r="BU822" s="479"/>
      <c r="BV822" s="310"/>
      <c r="BW822" s="310"/>
      <c r="BX822" s="291">
        <f t="shared" si="22"/>
        <v>0</v>
      </c>
      <c r="BY822" s="344"/>
      <c r="BZ822" s="347"/>
      <c r="CA822" s="347"/>
    </row>
    <row r="823" spans="1:84" ht="15" hidden="1" customHeight="1" x14ac:dyDescent="0.25">
      <c r="A823" s="313"/>
      <c r="B823" s="340"/>
      <c r="C823" s="1527"/>
      <c r="D823" s="1527"/>
      <c r="E823" s="1527"/>
      <c r="F823" s="1527"/>
      <c r="G823" s="1527"/>
      <c r="H823" s="1527"/>
      <c r="I823" s="1526" t="str">
        <f>Don_Vi_Tinh_V</f>
        <v>VND</v>
      </c>
      <c r="J823" s="1526"/>
      <c r="K823" s="1526"/>
      <c r="L823" s="1526"/>
      <c r="M823" s="1526"/>
      <c r="N823" s="1526"/>
      <c r="O823" s="514"/>
      <c r="P823" s="1526" t="str">
        <f>Don_Vi_Tinh_V</f>
        <v>VND</v>
      </c>
      <c r="Q823" s="1526"/>
      <c r="R823" s="1526"/>
      <c r="S823" s="1526"/>
      <c r="T823" s="1526"/>
      <c r="U823" s="1526"/>
      <c r="V823" s="515"/>
      <c r="W823" s="1526" t="str">
        <f>Don_Vi_Tinh_V</f>
        <v>VND</v>
      </c>
      <c r="X823" s="1526"/>
      <c r="Y823" s="1526"/>
      <c r="Z823" s="1526"/>
      <c r="AA823" s="1526"/>
      <c r="AB823" s="1526"/>
      <c r="AC823" s="515"/>
      <c r="AD823" s="1526" t="str">
        <f>Don_Vi_Tinh_V</f>
        <v>VND</v>
      </c>
      <c r="AE823" s="1526"/>
      <c r="AF823" s="1526"/>
      <c r="AG823" s="1526"/>
      <c r="AH823" s="1526"/>
      <c r="AI823" s="1526"/>
      <c r="AJ823" s="344"/>
      <c r="AK823" s="345"/>
      <c r="AL823" s="340"/>
      <c r="AM823" s="483"/>
      <c r="AN823" s="483"/>
      <c r="AO823" s="483"/>
      <c r="AP823" s="483"/>
      <c r="AQ823" s="483"/>
      <c r="AR823" s="483"/>
      <c r="AS823" s="1526" t="str">
        <f>Don_Vi_Tinh_E</f>
        <v>VND</v>
      </c>
      <c r="AT823" s="1526"/>
      <c r="AU823" s="1526"/>
      <c r="AV823" s="1526"/>
      <c r="AW823" s="1526"/>
      <c r="AX823" s="1526"/>
      <c r="AY823" s="514"/>
      <c r="AZ823" s="1526" t="str">
        <f>Don_Vi_Tinh_E</f>
        <v>VND</v>
      </c>
      <c r="BA823" s="1526"/>
      <c r="BB823" s="1526"/>
      <c r="BC823" s="1526"/>
      <c r="BD823" s="1526"/>
      <c r="BE823" s="1526"/>
      <c r="BF823" s="515"/>
      <c r="BG823" s="1526" t="str">
        <f>Don_Vi_Tinh_E</f>
        <v>VND</v>
      </c>
      <c r="BH823" s="1526"/>
      <c r="BI823" s="1526"/>
      <c r="BJ823" s="1526"/>
      <c r="BK823" s="1526"/>
      <c r="BL823" s="1526"/>
      <c r="BM823" s="515"/>
      <c r="BN823" s="1526" t="str">
        <f>Don_Vi_Tinh_E</f>
        <v>VND</v>
      </c>
      <c r="BO823" s="1526"/>
      <c r="BP823" s="1526"/>
      <c r="BQ823" s="1526"/>
      <c r="BR823" s="1526"/>
      <c r="BS823" s="1526"/>
      <c r="BT823" s="478"/>
      <c r="BU823" s="479"/>
      <c r="BV823" s="310"/>
      <c r="BW823" s="310"/>
      <c r="BX823" s="291">
        <f t="shared" ref="BX823:BX886" si="55">IF(ISNONTEXT($C823),0,SUM(D823:AI823)-SUM(AN823:BS823))</f>
        <v>0</v>
      </c>
      <c r="BY823" s="344"/>
      <c r="BZ823" s="347"/>
      <c r="CA823" s="347"/>
    </row>
    <row r="824" spans="1:84" ht="15" hidden="1" customHeight="1" x14ac:dyDescent="0.25">
      <c r="A824" s="313"/>
      <c r="B824" s="340"/>
      <c r="C824" s="1513" t="s">
        <v>1048</v>
      </c>
      <c r="D824" s="1513"/>
      <c r="E824" s="1513"/>
      <c r="F824" s="1513"/>
      <c r="G824" s="1513"/>
      <c r="H824" s="1513"/>
      <c r="I824" s="1421"/>
      <c r="J824" s="1421"/>
      <c r="K824" s="1421"/>
      <c r="L824" s="1421"/>
      <c r="M824" s="1421"/>
      <c r="N824" s="1421"/>
      <c r="O824" s="484"/>
      <c r="P824" s="1525"/>
      <c r="Q824" s="1525"/>
      <c r="R824" s="1525"/>
      <c r="S824" s="1525"/>
      <c r="T824" s="1525"/>
      <c r="U824" s="1525"/>
      <c r="V824" s="484"/>
      <c r="W824" s="1525"/>
      <c r="X824" s="1525"/>
      <c r="Y824" s="1525"/>
      <c r="Z824" s="1525"/>
      <c r="AA824" s="1525"/>
      <c r="AB824" s="1525"/>
      <c r="AC824" s="484"/>
      <c r="AD824" s="1525"/>
      <c r="AE824" s="1525"/>
      <c r="AF824" s="1525"/>
      <c r="AG824" s="1525"/>
      <c r="AH824" s="1525"/>
      <c r="AI824" s="1525"/>
      <c r="AJ824" s="344"/>
      <c r="AK824" s="345"/>
      <c r="AL824" s="340"/>
      <c r="AM824" s="1501" t="s">
        <v>986</v>
      </c>
      <c r="AN824" s="1501"/>
      <c r="AO824" s="1501"/>
      <c r="AP824" s="1501"/>
      <c r="AQ824" s="1501"/>
      <c r="AR824" s="1501"/>
      <c r="AS824" s="1421"/>
      <c r="AT824" s="1421"/>
      <c r="AU824" s="1421"/>
      <c r="AV824" s="1421"/>
      <c r="AW824" s="1421"/>
      <c r="AX824" s="1421"/>
      <c r="AY824" s="484"/>
      <c r="AZ824" s="1525"/>
      <c r="BA824" s="1525"/>
      <c r="BB824" s="1525"/>
      <c r="BC824" s="1525"/>
      <c r="BD824" s="1525"/>
      <c r="BE824" s="1525"/>
      <c r="BF824" s="484"/>
      <c r="BG824" s="1525"/>
      <c r="BH824" s="1525"/>
      <c r="BI824" s="1525"/>
      <c r="BJ824" s="1525"/>
      <c r="BK824" s="1525"/>
      <c r="BL824" s="1525"/>
      <c r="BM824" s="484"/>
      <c r="BN824" s="1525"/>
      <c r="BO824" s="1525"/>
      <c r="BP824" s="1525"/>
      <c r="BQ824" s="1525"/>
      <c r="BR824" s="1525"/>
      <c r="BS824" s="1525"/>
      <c r="BT824" s="485"/>
      <c r="BU824" s="486"/>
      <c r="BV824" s="310"/>
      <c r="BW824" s="310"/>
      <c r="BX824" s="291">
        <f t="shared" si="55"/>
        <v>0</v>
      </c>
      <c r="BY824" s="344"/>
      <c r="BZ824" s="347"/>
      <c r="CA824" s="347"/>
    </row>
    <row r="825" spans="1:84" ht="15" hidden="1" customHeight="1" x14ac:dyDescent="0.25">
      <c r="A825" s="313"/>
      <c r="B825" s="340"/>
      <c r="C825" s="1522" t="s">
        <v>987</v>
      </c>
      <c r="D825" s="1522"/>
      <c r="E825" s="1522"/>
      <c r="F825" s="1522"/>
      <c r="G825" s="1522"/>
      <c r="H825" s="1522"/>
      <c r="I825" s="1445">
        <f t="shared" ref="I825:I831" si="56">HLOOKUP(I$821,TM_TSCDVH_V,ROW()-ROW($C$821)+1,0)</f>
        <v>0</v>
      </c>
      <c r="J825" s="1445"/>
      <c r="K825" s="1445"/>
      <c r="L825" s="1445"/>
      <c r="M825" s="1445"/>
      <c r="N825" s="1445"/>
      <c r="O825" s="487"/>
      <c r="P825" s="1445">
        <f t="shared" ref="P825:P831" si="57">HLOOKUP(P$821,TM_TSCDVH_V,ROW()-ROW($C$821)+1,0)</f>
        <v>118000000</v>
      </c>
      <c r="Q825" s="1445"/>
      <c r="R825" s="1445"/>
      <c r="S825" s="1445"/>
      <c r="T825" s="1445"/>
      <c r="U825" s="1445"/>
      <c r="V825" s="487"/>
      <c r="W825" s="1445">
        <f t="shared" ref="W825:W831" si="58">HLOOKUP(W$821,TM_TSCDVH_V,ROW()-ROW($C$821)+1,0)</f>
        <v>0</v>
      </c>
      <c r="X825" s="1445"/>
      <c r="Y825" s="1445"/>
      <c r="Z825" s="1445"/>
      <c r="AA825" s="1445"/>
      <c r="AB825" s="1445"/>
      <c r="AC825" s="487"/>
      <c r="AD825" s="1330">
        <f t="shared" ref="AD825:AD831" si="59">SUM(I825:AB825)</f>
        <v>118000000</v>
      </c>
      <c r="AE825" s="1330"/>
      <c r="AF825" s="1330"/>
      <c r="AG825" s="1330"/>
      <c r="AH825" s="1330"/>
      <c r="AI825" s="1330"/>
      <c r="AJ825" s="344"/>
      <c r="AK825" s="345"/>
      <c r="AL825" s="340"/>
      <c r="AM825" s="1524" t="s">
        <v>988</v>
      </c>
      <c r="AN825" s="1524"/>
      <c r="AO825" s="1524"/>
      <c r="AP825" s="1524"/>
      <c r="AQ825" s="1524"/>
      <c r="AR825" s="1524"/>
      <c r="AS825" s="1445">
        <f t="shared" ref="AS825:AS831" si="60">I825</f>
        <v>0</v>
      </c>
      <c r="AT825" s="1445"/>
      <c r="AU825" s="1445"/>
      <c r="AV825" s="1445"/>
      <c r="AW825" s="1445"/>
      <c r="AX825" s="1445"/>
      <c r="AY825" s="487"/>
      <c r="AZ825" s="1445">
        <f t="shared" ref="AZ825:AZ831" si="61">P825</f>
        <v>118000000</v>
      </c>
      <c r="BA825" s="1445"/>
      <c r="BB825" s="1445"/>
      <c r="BC825" s="1445"/>
      <c r="BD825" s="1445"/>
      <c r="BE825" s="1445"/>
      <c r="BF825" s="487"/>
      <c r="BG825" s="1445">
        <f t="shared" ref="BG825:BG831" si="62">W825</f>
        <v>0</v>
      </c>
      <c r="BH825" s="1445"/>
      <c r="BI825" s="1445"/>
      <c r="BJ825" s="1445"/>
      <c r="BK825" s="1445"/>
      <c r="BL825" s="1445"/>
      <c r="BM825" s="487"/>
      <c r="BN825" s="1330">
        <f t="shared" ref="BN825:BN831" si="63">SUM(AS825:BL825)</f>
        <v>118000000</v>
      </c>
      <c r="BO825" s="1330"/>
      <c r="BP825" s="1330"/>
      <c r="BQ825" s="1330"/>
      <c r="BR825" s="1330"/>
      <c r="BS825" s="1330"/>
      <c r="BT825" s="488"/>
      <c r="BU825" s="489"/>
      <c r="BV825" s="310"/>
      <c r="BW825" s="310">
        <f>AD825-KT_CT228</f>
        <v>0</v>
      </c>
      <c r="BX825" s="291">
        <f t="shared" si="55"/>
        <v>0</v>
      </c>
      <c r="BY825" s="344"/>
      <c r="BZ825" s="347"/>
      <c r="CA825" s="347"/>
    </row>
    <row r="826" spans="1:84" ht="15" hidden="1" customHeight="1" x14ac:dyDescent="0.25">
      <c r="A826" s="313"/>
      <c r="B826" s="340"/>
      <c r="C826" s="1521" t="s">
        <v>989</v>
      </c>
      <c r="D826" s="1522"/>
      <c r="E826" s="1522"/>
      <c r="F826" s="1522"/>
      <c r="G826" s="1522"/>
      <c r="H826" s="1522"/>
      <c r="I826" s="1520">
        <f t="shared" si="56"/>
        <v>0</v>
      </c>
      <c r="J826" s="1520"/>
      <c r="K826" s="1520"/>
      <c r="L826" s="1520"/>
      <c r="M826" s="1520"/>
      <c r="N826" s="1520"/>
      <c r="O826" s="490"/>
      <c r="P826" s="1520">
        <f t="shared" si="57"/>
        <v>0</v>
      </c>
      <c r="Q826" s="1520"/>
      <c r="R826" s="1520"/>
      <c r="S826" s="1520"/>
      <c r="T826" s="1520"/>
      <c r="U826" s="1520"/>
      <c r="V826" s="490"/>
      <c r="W826" s="1444">
        <f t="shared" si="58"/>
        <v>0</v>
      </c>
      <c r="X826" s="1444"/>
      <c r="Y826" s="1444"/>
      <c r="Z826" s="1444"/>
      <c r="AA826" s="1444"/>
      <c r="AB826" s="1444"/>
      <c r="AC826" s="493"/>
      <c r="AD826" s="1318">
        <f t="shared" si="59"/>
        <v>0</v>
      </c>
      <c r="AE826" s="1318"/>
      <c r="AF826" s="1318"/>
      <c r="AG826" s="1318"/>
      <c r="AH826" s="1318"/>
      <c r="AI826" s="1318"/>
      <c r="AJ826" s="344"/>
      <c r="AK826" s="345"/>
      <c r="AL826" s="340"/>
      <c r="AM826" s="1524" t="s">
        <v>1049</v>
      </c>
      <c r="AN826" s="1524"/>
      <c r="AO826" s="1524"/>
      <c r="AP826" s="1524"/>
      <c r="AQ826" s="1524"/>
      <c r="AR826" s="1524"/>
      <c r="AS826" s="1520">
        <f t="shared" si="60"/>
        <v>0</v>
      </c>
      <c r="AT826" s="1520"/>
      <c r="AU826" s="1520"/>
      <c r="AV826" s="1520"/>
      <c r="AW826" s="1520"/>
      <c r="AX826" s="1520"/>
      <c r="AY826" s="490"/>
      <c r="AZ826" s="1520">
        <f t="shared" si="61"/>
        <v>0</v>
      </c>
      <c r="BA826" s="1520"/>
      <c r="BB826" s="1520"/>
      <c r="BC826" s="1520"/>
      <c r="BD826" s="1520"/>
      <c r="BE826" s="1520"/>
      <c r="BF826" s="490"/>
      <c r="BG826" s="1444">
        <f t="shared" si="62"/>
        <v>0</v>
      </c>
      <c r="BH826" s="1444"/>
      <c r="BI826" s="1444"/>
      <c r="BJ826" s="1444"/>
      <c r="BK826" s="1444"/>
      <c r="BL826" s="1444"/>
      <c r="BM826" s="493"/>
      <c r="BN826" s="1318">
        <f t="shared" si="63"/>
        <v>0</v>
      </c>
      <c r="BO826" s="1318"/>
      <c r="BP826" s="1318"/>
      <c r="BQ826" s="1318"/>
      <c r="BR826" s="1318"/>
      <c r="BS826" s="1318"/>
      <c r="BT826" s="491"/>
      <c r="BU826" s="492"/>
      <c r="BV826" s="310"/>
      <c r="BW826" s="310"/>
      <c r="BX826" s="291">
        <f t="shared" si="55"/>
        <v>0</v>
      </c>
      <c r="BY826" s="344"/>
      <c r="BZ826" s="347"/>
      <c r="CA826" s="347"/>
    </row>
    <row r="827" spans="1:84" ht="27.95" hidden="1" customHeight="1" x14ac:dyDescent="0.25">
      <c r="A827" s="313"/>
      <c r="B827" s="340"/>
      <c r="C827" s="1521" t="s">
        <v>1050</v>
      </c>
      <c r="D827" s="1522"/>
      <c r="E827" s="1522"/>
      <c r="F827" s="1522"/>
      <c r="G827" s="1522"/>
      <c r="H827" s="1522"/>
      <c r="I827" s="1520">
        <f t="shared" si="56"/>
        <v>0</v>
      </c>
      <c r="J827" s="1520"/>
      <c r="K827" s="1520"/>
      <c r="L827" s="1520"/>
      <c r="M827" s="1520"/>
      <c r="N827" s="1520"/>
      <c r="O827" s="490"/>
      <c r="P827" s="1520">
        <f t="shared" si="57"/>
        <v>0</v>
      </c>
      <c r="Q827" s="1520"/>
      <c r="R827" s="1520"/>
      <c r="S827" s="1520"/>
      <c r="T827" s="1520"/>
      <c r="U827" s="1520"/>
      <c r="V827" s="490"/>
      <c r="W827" s="1444">
        <f t="shared" si="58"/>
        <v>0</v>
      </c>
      <c r="X827" s="1444"/>
      <c r="Y827" s="1444"/>
      <c r="Z827" s="1444"/>
      <c r="AA827" s="1444"/>
      <c r="AB827" s="1444"/>
      <c r="AC827" s="493"/>
      <c r="AD827" s="1318">
        <f t="shared" si="59"/>
        <v>0</v>
      </c>
      <c r="AE827" s="1318"/>
      <c r="AF827" s="1318"/>
      <c r="AG827" s="1318"/>
      <c r="AH827" s="1318"/>
      <c r="AI827" s="1318"/>
      <c r="AJ827" s="344"/>
      <c r="AK827" s="345"/>
      <c r="AL827" s="340"/>
      <c r="AM827" s="1523" t="s">
        <v>1051</v>
      </c>
      <c r="AN827" s="1524"/>
      <c r="AO827" s="1524"/>
      <c r="AP827" s="1524"/>
      <c r="AQ827" s="1524"/>
      <c r="AR827" s="1524"/>
      <c r="AS827" s="1520">
        <f t="shared" si="60"/>
        <v>0</v>
      </c>
      <c r="AT827" s="1520"/>
      <c r="AU827" s="1520"/>
      <c r="AV827" s="1520"/>
      <c r="AW827" s="1520"/>
      <c r="AX827" s="1520"/>
      <c r="AY827" s="490"/>
      <c r="AZ827" s="1520">
        <f t="shared" si="61"/>
        <v>0</v>
      </c>
      <c r="BA827" s="1520"/>
      <c r="BB827" s="1520"/>
      <c r="BC827" s="1520"/>
      <c r="BD827" s="1520"/>
      <c r="BE827" s="1520"/>
      <c r="BF827" s="490"/>
      <c r="BG827" s="1444">
        <f t="shared" si="62"/>
        <v>0</v>
      </c>
      <c r="BH827" s="1444"/>
      <c r="BI827" s="1444"/>
      <c r="BJ827" s="1444"/>
      <c r="BK827" s="1444"/>
      <c r="BL827" s="1444"/>
      <c r="BM827" s="493"/>
      <c r="BN827" s="1318">
        <f t="shared" si="63"/>
        <v>0</v>
      </c>
      <c r="BO827" s="1318"/>
      <c r="BP827" s="1318"/>
      <c r="BQ827" s="1318"/>
      <c r="BR827" s="1318"/>
      <c r="BS827" s="1318"/>
      <c r="BT827" s="491"/>
      <c r="BU827" s="492"/>
      <c r="BV827" s="310"/>
      <c r="BW827" s="310"/>
      <c r="BX827" s="291">
        <f t="shared" si="55"/>
        <v>0</v>
      </c>
      <c r="BY827" s="344"/>
      <c r="BZ827" s="347"/>
      <c r="CA827" s="347"/>
    </row>
    <row r="828" spans="1:84" ht="27.95" hidden="1" customHeight="1" x14ac:dyDescent="0.25">
      <c r="A828" s="313"/>
      <c r="B828" s="340"/>
      <c r="C828" s="1521" t="s">
        <v>1052</v>
      </c>
      <c r="D828" s="1522"/>
      <c r="E828" s="1522"/>
      <c r="F828" s="1522"/>
      <c r="G828" s="1522"/>
      <c r="H828" s="1522"/>
      <c r="I828" s="1520">
        <f t="shared" si="56"/>
        <v>0</v>
      </c>
      <c r="J828" s="1520"/>
      <c r="K828" s="1520"/>
      <c r="L828" s="1520"/>
      <c r="M828" s="1520"/>
      <c r="N828" s="1520"/>
      <c r="O828" s="490"/>
      <c r="P828" s="1520">
        <f t="shared" si="57"/>
        <v>0</v>
      </c>
      <c r="Q828" s="1520"/>
      <c r="R828" s="1520"/>
      <c r="S828" s="1520"/>
      <c r="T828" s="1520"/>
      <c r="U828" s="1520"/>
      <c r="V828" s="490"/>
      <c r="W828" s="1444">
        <f t="shared" si="58"/>
        <v>0</v>
      </c>
      <c r="X828" s="1444"/>
      <c r="Y828" s="1444"/>
      <c r="Z828" s="1444"/>
      <c r="AA828" s="1444"/>
      <c r="AB828" s="1444"/>
      <c r="AC828" s="493"/>
      <c r="AD828" s="1318">
        <f t="shared" si="59"/>
        <v>0</v>
      </c>
      <c r="AE828" s="1318"/>
      <c r="AF828" s="1318"/>
      <c r="AG828" s="1318"/>
      <c r="AH828" s="1318"/>
      <c r="AI828" s="1318"/>
      <c r="AJ828" s="344"/>
      <c r="AK828" s="345"/>
      <c r="AL828" s="340"/>
      <c r="AM828" s="1523" t="s">
        <v>1053</v>
      </c>
      <c r="AN828" s="1524"/>
      <c r="AO828" s="1524"/>
      <c r="AP828" s="1524"/>
      <c r="AQ828" s="1524"/>
      <c r="AR828" s="1524"/>
      <c r="AS828" s="1520">
        <f t="shared" si="60"/>
        <v>0</v>
      </c>
      <c r="AT828" s="1520"/>
      <c r="AU828" s="1520"/>
      <c r="AV828" s="1520"/>
      <c r="AW828" s="1520"/>
      <c r="AX828" s="1520"/>
      <c r="AY828" s="490"/>
      <c r="AZ828" s="1520">
        <f t="shared" si="61"/>
        <v>0</v>
      </c>
      <c r="BA828" s="1520"/>
      <c r="BB828" s="1520"/>
      <c r="BC828" s="1520"/>
      <c r="BD828" s="1520"/>
      <c r="BE828" s="1520"/>
      <c r="BF828" s="490"/>
      <c r="BG828" s="1444">
        <f t="shared" si="62"/>
        <v>0</v>
      </c>
      <c r="BH828" s="1444"/>
      <c r="BI828" s="1444"/>
      <c r="BJ828" s="1444"/>
      <c r="BK828" s="1444"/>
      <c r="BL828" s="1444"/>
      <c r="BM828" s="493"/>
      <c r="BN828" s="1318">
        <f t="shared" si="63"/>
        <v>0</v>
      </c>
      <c r="BO828" s="1318"/>
      <c r="BP828" s="1318"/>
      <c r="BQ828" s="1318"/>
      <c r="BR828" s="1318"/>
      <c r="BS828" s="1318"/>
      <c r="BT828" s="491"/>
      <c r="BU828" s="492"/>
      <c r="BV828" s="310"/>
      <c r="BW828" s="310"/>
      <c r="BX828" s="291">
        <f t="shared" si="55"/>
        <v>0</v>
      </c>
      <c r="BY828" s="344"/>
      <c r="BZ828" s="347"/>
      <c r="CA828" s="347"/>
    </row>
    <row r="829" spans="1:84" ht="15" hidden="1" customHeight="1" x14ac:dyDescent="0.25">
      <c r="A829" s="313"/>
      <c r="B829" s="340"/>
      <c r="C829" s="1521" t="s">
        <v>993</v>
      </c>
      <c r="D829" s="1522"/>
      <c r="E829" s="1522"/>
      <c r="F829" s="1522"/>
      <c r="G829" s="1522"/>
      <c r="H829" s="1522"/>
      <c r="I829" s="1520">
        <f t="shared" si="56"/>
        <v>0</v>
      </c>
      <c r="J829" s="1520"/>
      <c r="K829" s="1520"/>
      <c r="L829" s="1520"/>
      <c r="M829" s="1520"/>
      <c r="N829" s="1520"/>
      <c r="O829" s="490"/>
      <c r="P829" s="1520">
        <f t="shared" si="57"/>
        <v>0</v>
      </c>
      <c r="Q829" s="1520"/>
      <c r="R829" s="1520"/>
      <c r="S829" s="1520"/>
      <c r="T829" s="1520"/>
      <c r="U829" s="1520"/>
      <c r="V829" s="490"/>
      <c r="W829" s="1444">
        <f t="shared" si="58"/>
        <v>0</v>
      </c>
      <c r="X829" s="1444"/>
      <c r="Y829" s="1444"/>
      <c r="Z829" s="1444"/>
      <c r="AA829" s="1444"/>
      <c r="AB829" s="1444"/>
      <c r="AC829" s="493"/>
      <c r="AD829" s="1318">
        <f t="shared" si="59"/>
        <v>0</v>
      </c>
      <c r="AE829" s="1318"/>
      <c r="AF829" s="1318"/>
      <c r="AG829" s="1318"/>
      <c r="AH829" s="1318"/>
      <c r="AI829" s="1318"/>
      <c r="AJ829" s="344"/>
      <c r="AK829" s="345"/>
      <c r="AL829" s="340"/>
      <c r="AM829" s="1523" t="s">
        <v>994</v>
      </c>
      <c r="AN829" s="1524"/>
      <c r="AO829" s="1524"/>
      <c r="AP829" s="1524"/>
      <c r="AQ829" s="1524"/>
      <c r="AR829" s="1524"/>
      <c r="AS829" s="1520">
        <f t="shared" si="60"/>
        <v>0</v>
      </c>
      <c r="AT829" s="1520"/>
      <c r="AU829" s="1520"/>
      <c r="AV829" s="1520"/>
      <c r="AW829" s="1520"/>
      <c r="AX829" s="1520"/>
      <c r="AY829" s="490"/>
      <c r="AZ829" s="1520">
        <f t="shared" si="61"/>
        <v>0</v>
      </c>
      <c r="BA829" s="1520"/>
      <c r="BB829" s="1520"/>
      <c r="BC829" s="1520"/>
      <c r="BD829" s="1520"/>
      <c r="BE829" s="1520"/>
      <c r="BF829" s="490"/>
      <c r="BG829" s="1444">
        <f t="shared" si="62"/>
        <v>0</v>
      </c>
      <c r="BH829" s="1444"/>
      <c r="BI829" s="1444"/>
      <c r="BJ829" s="1444"/>
      <c r="BK829" s="1444"/>
      <c r="BL829" s="1444"/>
      <c r="BM829" s="493"/>
      <c r="BN829" s="1318">
        <f t="shared" si="63"/>
        <v>0</v>
      </c>
      <c r="BO829" s="1318"/>
      <c r="BP829" s="1318"/>
      <c r="BQ829" s="1318"/>
      <c r="BR829" s="1318"/>
      <c r="BS829" s="1318"/>
      <c r="BT829" s="491"/>
      <c r="BU829" s="492"/>
      <c r="BV829" s="310"/>
      <c r="BW829" s="310"/>
      <c r="BX829" s="291">
        <f t="shared" si="55"/>
        <v>0</v>
      </c>
      <c r="BY829" s="344"/>
      <c r="BZ829" s="347"/>
      <c r="CA829" s="347"/>
    </row>
    <row r="830" spans="1:84" ht="27.95" hidden="1" customHeight="1" x14ac:dyDescent="0.25">
      <c r="A830" s="313"/>
      <c r="B830" s="340"/>
      <c r="C830" s="1521" t="s">
        <v>997</v>
      </c>
      <c r="D830" s="1522"/>
      <c r="E830" s="1522"/>
      <c r="F830" s="1522"/>
      <c r="G830" s="1522"/>
      <c r="H830" s="1522"/>
      <c r="I830" s="1520">
        <f t="shared" si="56"/>
        <v>0</v>
      </c>
      <c r="J830" s="1520"/>
      <c r="K830" s="1520"/>
      <c r="L830" s="1520"/>
      <c r="M830" s="1520"/>
      <c r="N830" s="1520"/>
      <c r="O830" s="490"/>
      <c r="P830" s="1520">
        <f t="shared" si="57"/>
        <v>0</v>
      </c>
      <c r="Q830" s="1520"/>
      <c r="R830" s="1520"/>
      <c r="S830" s="1520"/>
      <c r="T830" s="1520"/>
      <c r="U830" s="1520"/>
      <c r="V830" s="490"/>
      <c r="W830" s="1444">
        <f t="shared" si="58"/>
        <v>0</v>
      </c>
      <c r="X830" s="1444"/>
      <c r="Y830" s="1444"/>
      <c r="Z830" s="1444"/>
      <c r="AA830" s="1444"/>
      <c r="AB830" s="1444"/>
      <c r="AC830" s="493"/>
      <c r="AD830" s="1318">
        <f t="shared" si="59"/>
        <v>0</v>
      </c>
      <c r="AE830" s="1318"/>
      <c r="AF830" s="1318"/>
      <c r="AG830" s="1318"/>
      <c r="AH830" s="1318"/>
      <c r="AI830" s="1318"/>
      <c r="AJ830" s="344"/>
      <c r="AK830" s="345"/>
      <c r="AL830" s="340"/>
      <c r="AM830" s="1523" t="s">
        <v>998</v>
      </c>
      <c r="AN830" s="1524"/>
      <c r="AO830" s="1524"/>
      <c r="AP830" s="1524"/>
      <c r="AQ830" s="1524"/>
      <c r="AR830" s="1524"/>
      <c r="AS830" s="1520">
        <f t="shared" si="60"/>
        <v>0</v>
      </c>
      <c r="AT830" s="1520"/>
      <c r="AU830" s="1520"/>
      <c r="AV830" s="1520"/>
      <c r="AW830" s="1520"/>
      <c r="AX830" s="1520"/>
      <c r="AY830" s="490"/>
      <c r="AZ830" s="1520">
        <f t="shared" si="61"/>
        <v>0</v>
      </c>
      <c r="BA830" s="1520"/>
      <c r="BB830" s="1520"/>
      <c r="BC830" s="1520"/>
      <c r="BD830" s="1520"/>
      <c r="BE830" s="1520"/>
      <c r="BF830" s="490"/>
      <c r="BG830" s="1444">
        <f t="shared" si="62"/>
        <v>0</v>
      </c>
      <c r="BH830" s="1444"/>
      <c r="BI830" s="1444"/>
      <c r="BJ830" s="1444"/>
      <c r="BK830" s="1444"/>
      <c r="BL830" s="1444"/>
      <c r="BM830" s="493"/>
      <c r="BN830" s="1318">
        <f t="shared" si="63"/>
        <v>0</v>
      </c>
      <c r="BO830" s="1318"/>
      <c r="BP830" s="1318"/>
      <c r="BQ830" s="1318"/>
      <c r="BR830" s="1318"/>
      <c r="BS830" s="1318"/>
      <c r="BT830" s="491"/>
      <c r="BU830" s="492"/>
      <c r="BV830" s="310"/>
      <c r="BW830" s="310"/>
      <c r="BX830" s="291">
        <f t="shared" si="55"/>
        <v>0</v>
      </c>
      <c r="BY830" s="344"/>
      <c r="BZ830" s="347"/>
      <c r="CA830" s="347"/>
    </row>
    <row r="831" spans="1:84" ht="15" hidden="1" customHeight="1" x14ac:dyDescent="0.25">
      <c r="A831" s="313"/>
      <c r="B831" s="340"/>
      <c r="C831" s="1521" t="s">
        <v>999</v>
      </c>
      <c r="D831" s="1522"/>
      <c r="E831" s="1522"/>
      <c r="F831" s="1522"/>
      <c r="G831" s="1522"/>
      <c r="H831" s="1522"/>
      <c r="I831" s="1444">
        <f t="shared" si="56"/>
        <v>0</v>
      </c>
      <c r="J831" s="1444"/>
      <c r="K831" s="1444"/>
      <c r="L831" s="1444"/>
      <c r="M831" s="1444"/>
      <c r="N831" s="1444"/>
      <c r="O831" s="493"/>
      <c r="P831" s="1442">
        <f t="shared" si="57"/>
        <v>0</v>
      </c>
      <c r="Q831" s="1442"/>
      <c r="R831" s="1442"/>
      <c r="S831" s="1442"/>
      <c r="T831" s="1442"/>
      <c r="U831" s="1442"/>
      <c r="V831" s="493"/>
      <c r="W831" s="1442">
        <f t="shared" si="58"/>
        <v>0</v>
      </c>
      <c r="X831" s="1442"/>
      <c r="Y831" s="1442"/>
      <c r="Z831" s="1442"/>
      <c r="AA831" s="1442"/>
      <c r="AB831" s="1442"/>
      <c r="AC831" s="493"/>
      <c r="AD831" s="1318">
        <f t="shared" si="59"/>
        <v>0</v>
      </c>
      <c r="AE831" s="1318"/>
      <c r="AF831" s="1318"/>
      <c r="AG831" s="1318"/>
      <c r="AH831" s="1318"/>
      <c r="AI831" s="1318"/>
      <c r="AJ831" s="344"/>
      <c r="AK831" s="345"/>
      <c r="AL831" s="340"/>
      <c r="AM831" s="1523" t="s">
        <v>1000</v>
      </c>
      <c r="AN831" s="1524"/>
      <c r="AO831" s="1524"/>
      <c r="AP831" s="1524"/>
      <c r="AQ831" s="1524"/>
      <c r="AR831" s="1524"/>
      <c r="AS831" s="1444">
        <f t="shared" si="60"/>
        <v>0</v>
      </c>
      <c r="AT831" s="1444"/>
      <c r="AU831" s="1444"/>
      <c r="AV831" s="1444"/>
      <c r="AW831" s="1444"/>
      <c r="AX831" s="1444"/>
      <c r="AY831" s="493"/>
      <c r="AZ831" s="1442">
        <f t="shared" si="61"/>
        <v>0</v>
      </c>
      <c r="BA831" s="1442"/>
      <c r="BB831" s="1442"/>
      <c r="BC831" s="1442"/>
      <c r="BD831" s="1442"/>
      <c r="BE831" s="1442"/>
      <c r="BF831" s="493"/>
      <c r="BG831" s="1442">
        <f t="shared" si="62"/>
        <v>0</v>
      </c>
      <c r="BH831" s="1442"/>
      <c r="BI831" s="1442"/>
      <c r="BJ831" s="1442"/>
      <c r="BK831" s="1442"/>
      <c r="BL831" s="1442"/>
      <c r="BM831" s="493"/>
      <c r="BN831" s="1318">
        <f t="shared" si="63"/>
        <v>0</v>
      </c>
      <c r="BO831" s="1318"/>
      <c r="BP831" s="1318"/>
      <c r="BQ831" s="1318"/>
      <c r="BR831" s="1318"/>
      <c r="BS831" s="1318"/>
      <c r="BT831" s="491"/>
      <c r="BU831" s="492"/>
      <c r="BV831" s="310"/>
      <c r="BW831" s="310"/>
      <c r="BX831" s="291">
        <f t="shared" si="55"/>
        <v>0</v>
      </c>
      <c r="BY831" s="344"/>
      <c r="BZ831" s="347"/>
      <c r="CA831" s="347"/>
    </row>
    <row r="832" spans="1:84" s="385" customFormat="1" ht="15" hidden="1" customHeight="1" thickBot="1" x14ac:dyDescent="0.3">
      <c r="A832" s="313"/>
      <c r="B832" s="340"/>
      <c r="C832" s="1513" t="s">
        <v>1001</v>
      </c>
      <c r="D832" s="1513"/>
      <c r="E832" s="1513"/>
      <c r="F832" s="1513"/>
      <c r="G832" s="1513"/>
      <c r="H832" s="1513"/>
      <c r="I832" s="1439">
        <f>SUBTOTAL(109,I825:N831)</f>
        <v>0</v>
      </c>
      <c r="J832" s="1439"/>
      <c r="K832" s="1439"/>
      <c r="L832" s="1439"/>
      <c r="M832" s="1439"/>
      <c r="N832" s="1439"/>
      <c r="O832" s="487"/>
      <c r="P832" s="1439">
        <f>SUBTOTAL(109,P825:U831)</f>
        <v>0</v>
      </c>
      <c r="Q832" s="1439"/>
      <c r="R832" s="1439"/>
      <c r="S832" s="1439"/>
      <c r="T832" s="1439"/>
      <c r="U832" s="1439"/>
      <c r="V832" s="487"/>
      <c r="W832" s="1439">
        <f>SUBTOTAL(109,W825:AB831)</f>
        <v>0</v>
      </c>
      <c r="X832" s="1439"/>
      <c r="Y832" s="1439"/>
      <c r="Z832" s="1439"/>
      <c r="AA832" s="1439"/>
      <c r="AB832" s="1439"/>
      <c r="AC832" s="487"/>
      <c r="AD832" s="1439">
        <f>SUBTOTAL(109,AD825:AI831)</f>
        <v>0</v>
      </c>
      <c r="AE832" s="1439"/>
      <c r="AF832" s="1439"/>
      <c r="AG832" s="1439"/>
      <c r="AH832" s="1439"/>
      <c r="AI832" s="1439"/>
      <c r="AJ832" s="374"/>
      <c r="AK832" s="345"/>
      <c r="AL832" s="340"/>
      <c r="AM832" s="1519" t="s">
        <v>1007</v>
      </c>
      <c r="AN832" s="1501"/>
      <c r="AO832" s="1501"/>
      <c r="AP832" s="1501"/>
      <c r="AQ832" s="1501"/>
      <c r="AR832" s="1501"/>
      <c r="AS832" s="1439">
        <f>SUBTOTAL(109,AS825:AX831)</f>
        <v>0</v>
      </c>
      <c r="AT832" s="1439"/>
      <c r="AU832" s="1439"/>
      <c r="AV832" s="1439"/>
      <c r="AW832" s="1439"/>
      <c r="AX832" s="1439"/>
      <c r="AY832" s="487"/>
      <c r="AZ832" s="1439">
        <f>SUBTOTAL(109,AZ825:BE831)</f>
        <v>0</v>
      </c>
      <c r="BA832" s="1439"/>
      <c r="BB832" s="1439"/>
      <c r="BC832" s="1439"/>
      <c r="BD832" s="1439"/>
      <c r="BE832" s="1439"/>
      <c r="BF832" s="487"/>
      <c r="BG832" s="1439">
        <f>SUBTOTAL(109,BG825:BL831)</f>
        <v>0</v>
      </c>
      <c r="BH832" s="1439"/>
      <c r="BI832" s="1439"/>
      <c r="BJ832" s="1439"/>
      <c r="BK832" s="1439"/>
      <c r="BL832" s="1439"/>
      <c r="BM832" s="487"/>
      <c r="BN832" s="1439">
        <f>SUBTOTAL(109,BN825:BS831)</f>
        <v>0</v>
      </c>
      <c r="BO832" s="1439"/>
      <c r="BP832" s="1439"/>
      <c r="BQ832" s="1439"/>
      <c r="BR832" s="1439"/>
      <c r="BS832" s="1439"/>
      <c r="BT832" s="494"/>
      <c r="BU832" s="495"/>
      <c r="BV832" s="425">
        <f>AD832-KN_CT228</f>
        <v>-118000000</v>
      </c>
      <c r="BW832" s="425"/>
      <c r="BX832" s="426">
        <f t="shared" si="55"/>
        <v>0</v>
      </c>
      <c r="BY832" s="374"/>
      <c r="BZ832" s="383"/>
      <c r="CA832" s="383"/>
      <c r="CB832" s="384"/>
      <c r="CC832" s="384"/>
      <c r="CD832" s="384"/>
      <c r="CE832" s="384"/>
      <c r="CF832" s="384"/>
    </row>
    <row r="833" spans="1:84" ht="27.95" hidden="1" customHeight="1" thickTop="1" x14ac:dyDescent="0.2">
      <c r="A833" s="313"/>
      <c r="B833" s="340"/>
      <c r="C833" s="1515" t="s">
        <v>1003</v>
      </c>
      <c r="D833" s="1515"/>
      <c r="E833" s="1515"/>
      <c r="F833" s="1515"/>
      <c r="G833" s="1515"/>
      <c r="H833" s="1515"/>
      <c r="I833" s="1421"/>
      <c r="J833" s="1421"/>
      <c r="K833" s="1421"/>
      <c r="L833" s="1421"/>
      <c r="M833" s="1421"/>
      <c r="N833" s="1421"/>
      <c r="O833" s="493"/>
      <c r="P833" s="1514"/>
      <c r="Q833" s="1514"/>
      <c r="R833" s="1514"/>
      <c r="S833" s="1514"/>
      <c r="T833" s="1514"/>
      <c r="U833" s="1514"/>
      <c r="V833" s="493"/>
      <c r="W833" s="1514"/>
      <c r="X833" s="1514"/>
      <c r="Y833" s="1514"/>
      <c r="Z833" s="1514"/>
      <c r="AA833" s="1514"/>
      <c r="AB833" s="1514"/>
      <c r="AC833" s="493"/>
      <c r="AD833" s="1514"/>
      <c r="AE833" s="1514"/>
      <c r="AF833" s="1514"/>
      <c r="AG833" s="1514"/>
      <c r="AH833" s="1514"/>
      <c r="AI833" s="1514"/>
      <c r="AJ833" s="344"/>
      <c r="AK833" s="345"/>
      <c r="AL833" s="340"/>
      <c r="AM833" s="1516" t="s">
        <v>1054</v>
      </c>
      <c r="AN833" s="1516"/>
      <c r="AO833" s="1516"/>
      <c r="AP833" s="1516"/>
      <c r="AQ833" s="1516"/>
      <c r="AR833" s="1516"/>
      <c r="AS833" s="1421"/>
      <c r="AT833" s="1421"/>
      <c r="AU833" s="1421"/>
      <c r="AV833" s="1421"/>
      <c r="AW833" s="1421"/>
      <c r="AX833" s="1421"/>
      <c r="AY833" s="493"/>
      <c r="AZ833" s="1514"/>
      <c r="BA833" s="1514"/>
      <c r="BB833" s="1514"/>
      <c r="BC833" s="1514"/>
      <c r="BD833" s="1514"/>
      <c r="BE833" s="1514"/>
      <c r="BF833" s="493"/>
      <c r="BG833" s="1514"/>
      <c r="BH833" s="1514"/>
      <c r="BI833" s="1514"/>
      <c r="BJ833" s="1514"/>
      <c r="BK833" s="1514"/>
      <c r="BL833" s="1514"/>
      <c r="BM833" s="493"/>
      <c r="BN833" s="1514"/>
      <c r="BO833" s="1514"/>
      <c r="BP833" s="1514"/>
      <c r="BQ833" s="1514"/>
      <c r="BR833" s="1514"/>
      <c r="BS833" s="1514"/>
      <c r="BT833" s="485"/>
      <c r="BU833" s="486"/>
      <c r="BV833" s="310"/>
      <c r="BW833" s="310"/>
      <c r="BX833" s="291">
        <f t="shared" si="55"/>
        <v>0</v>
      </c>
      <c r="BY833" s="344"/>
      <c r="BZ833" s="347"/>
      <c r="CA833" s="347"/>
    </row>
    <row r="834" spans="1:84" ht="15" hidden="1" customHeight="1" x14ac:dyDescent="0.25">
      <c r="A834" s="313"/>
      <c r="B834" s="340"/>
      <c r="C834" s="1500" t="s">
        <v>987</v>
      </c>
      <c r="D834" s="1500"/>
      <c r="E834" s="1500"/>
      <c r="F834" s="1500"/>
      <c r="G834" s="1500"/>
      <c r="H834" s="1500"/>
      <c r="I834" s="1445">
        <f>HLOOKUP(I$821,TM_TSCDVH_V,ROW()-ROW($C$821)+1,0)</f>
        <v>0</v>
      </c>
      <c r="J834" s="1445"/>
      <c r="K834" s="1445"/>
      <c r="L834" s="1445"/>
      <c r="M834" s="1445"/>
      <c r="N834" s="1445"/>
      <c r="O834" s="487"/>
      <c r="P834" s="1445">
        <f>HLOOKUP(P$821,TM_TSCDVH_V,ROW()-ROW($C$821)+1,0)</f>
        <v>22124997</v>
      </c>
      <c r="Q834" s="1445"/>
      <c r="R834" s="1445"/>
      <c r="S834" s="1445"/>
      <c r="T834" s="1445"/>
      <c r="U834" s="1445"/>
      <c r="V834" s="487"/>
      <c r="W834" s="1445">
        <f>HLOOKUP(W$821,TM_TSCDVH_V,ROW()-ROW($C$821)+1,0)</f>
        <v>0</v>
      </c>
      <c r="X834" s="1445"/>
      <c r="Y834" s="1445"/>
      <c r="Z834" s="1445"/>
      <c r="AA834" s="1445"/>
      <c r="AB834" s="1445"/>
      <c r="AC834" s="487"/>
      <c r="AD834" s="1330">
        <f>SUM(I834:AB834)</f>
        <v>22124997</v>
      </c>
      <c r="AE834" s="1330"/>
      <c r="AF834" s="1330"/>
      <c r="AG834" s="1330"/>
      <c r="AH834" s="1330"/>
      <c r="AI834" s="1330"/>
      <c r="AJ834" s="344"/>
      <c r="AK834" s="345"/>
      <c r="AL834" s="340"/>
      <c r="AM834" s="1500" t="s">
        <v>988</v>
      </c>
      <c r="AN834" s="1500"/>
      <c r="AO834" s="1500"/>
      <c r="AP834" s="1500"/>
      <c r="AQ834" s="1500"/>
      <c r="AR834" s="1500"/>
      <c r="AS834" s="1445">
        <f>I834</f>
        <v>0</v>
      </c>
      <c r="AT834" s="1445"/>
      <c r="AU834" s="1445"/>
      <c r="AV834" s="1445"/>
      <c r="AW834" s="1445"/>
      <c r="AX834" s="1445"/>
      <c r="AY834" s="487"/>
      <c r="AZ834" s="1445">
        <f>P834</f>
        <v>22124997</v>
      </c>
      <c r="BA834" s="1445"/>
      <c r="BB834" s="1445"/>
      <c r="BC834" s="1445"/>
      <c r="BD834" s="1445"/>
      <c r="BE834" s="1445"/>
      <c r="BF834" s="487"/>
      <c r="BG834" s="1445">
        <f>W834</f>
        <v>0</v>
      </c>
      <c r="BH834" s="1445"/>
      <c r="BI834" s="1445"/>
      <c r="BJ834" s="1445"/>
      <c r="BK834" s="1445"/>
      <c r="BL834" s="1445"/>
      <c r="BM834" s="487"/>
      <c r="BN834" s="1330">
        <f>SUM(AS834:BL834)</f>
        <v>22124997</v>
      </c>
      <c r="BO834" s="1330"/>
      <c r="BP834" s="1330"/>
      <c r="BQ834" s="1330"/>
      <c r="BR834" s="1330"/>
      <c r="BS834" s="1330"/>
      <c r="BT834" s="488"/>
      <c r="BU834" s="489"/>
      <c r="BV834" s="310"/>
      <c r="BW834" s="310">
        <f>AD834+KT_CT229</f>
        <v>0</v>
      </c>
      <c r="BX834" s="291">
        <f t="shared" si="55"/>
        <v>0</v>
      </c>
      <c r="BY834" s="344"/>
      <c r="BZ834" s="347"/>
      <c r="CA834" s="347"/>
    </row>
    <row r="835" spans="1:84" ht="15" hidden="1" customHeight="1" x14ac:dyDescent="0.25">
      <c r="A835" s="313"/>
      <c r="B835" s="340"/>
      <c r="C835" s="1518" t="s">
        <v>1005</v>
      </c>
      <c r="D835" s="1518"/>
      <c r="E835" s="1518"/>
      <c r="F835" s="1518"/>
      <c r="G835" s="1518"/>
      <c r="H835" s="1518"/>
      <c r="I835" s="1444">
        <f>HLOOKUP(I$821,TM_TSCDVH_V,ROW()-ROW($C$821)+1,0)</f>
        <v>0</v>
      </c>
      <c r="J835" s="1444"/>
      <c r="K835" s="1444"/>
      <c r="L835" s="1444"/>
      <c r="M835" s="1444"/>
      <c r="N835" s="1444"/>
      <c r="O835" s="493"/>
      <c r="P835" s="1444">
        <f>HLOOKUP(P$821,TM_TSCDVH_V,ROW()-ROW($C$821)+1,0)</f>
        <v>29499996</v>
      </c>
      <c r="Q835" s="1444"/>
      <c r="R835" s="1444"/>
      <c r="S835" s="1444"/>
      <c r="T835" s="1444"/>
      <c r="U835" s="1444"/>
      <c r="V835" s="493"/>
      <c r="W835" s="1444">
        <f>HLOOKUP(W$821,TM_TSCDVH_V,ROW()-ROW($C$821)+1,0)</f>
        <v>0</v>
      </c>
      <c r="X835" s="1444"/>
      <c r="Y835" s="1444"/>
      <c r="Z835" s="1444"/>
      <c r="AA835" s="1444"/>
      <c r="AB835" s="1444"/>
      <c r="AC835" s="493"/>
      <c r="AD835" s="1318">
        <f>SUM(I835:AB835)</f>
        <v>29499996</v>
      </c>
      <c r="AE835" s="1318"/>
      <c r="AF835" s="1318"/>
      <c r="AG835" s="1318"/>
      <c r="AH835" s="1318"/>
      <c r="AI835" s="1318"/>
      <c r="AJ835" s="344"/>
      <c r="AK835" s="345"/>
      <c r="AL835" s="340"/>
      <c r="AM835" s="1500" t="s">
        <v>1055</v>
      </c>
      <c r="AN835" s="1500"/>
      <c r="AO835" s="1500"/>
      <c r="AP835" s="1500"/>
      <c r="AQ835" s="1500"/>
      <c r="AR835" s="1500"/>
      <c r="AS835" s="1444">
        <f>I835</f>
        <v>0</v>
      </c>
      <c r="AT835" s="1444"/>
      <c r="AU835" s="1444"/>
      <c r="AV835" s="1444"/>
      <c r="AW835" s="1444"/>
      <c r="AX835" s="1444"/>
      <c r="AY835" s="493"/>
      <c r="AZ835" s="1444">
        <f>P835</f>
        <v>29499996</v>
      </c>
      <c r="BA835" s="1444"/>
      <c r="BB835" s="1444"/>
      <c r="BC835" s="1444"/>
      <c r="BD835" s="1444"/>
      <c r="BE835" s="1444"/>
      <c r="BF835" s="493"/>
      <c r="BG835" s="1444">
        <f>W835</f>
        <v>0</v>
      </c>
      <c r="BH835" s="1444"/>
      <c r="BI835" s="1444"/>
      <c r="BJ835" s="1444"/>
      <c r="BK835" s="1444"/>
      <c r="BL835" s="1444"/>
      <c r="BM835" s="493"/>
      <c r="BN835" s="1318">
        <f>SUM(AS835:BL835)</f>
        <v>29499996</v>
      </c>
      <c r="BO835" s="1318"/>
      <c r="BP835" s="1318"/>
      <c r="BQ835" s="1318"/>
      <c r="BR835" s="1318"/>
      <c r="BS835" s="1318"/>
      <c r="BT835" s="488"/>
      <c r="BU835" s="489"/>
      <c r="BV835" s="310"/>
      <c r="BW835" s="310"/>
      <c r="BX835" s="291">
        <f t="shared" si="55"/>
        <v>0</v>
      </c>
      <c r="BY835" s="344"/>
      <c r="BZ835" s="347"/>
      <c r="CA835" s="347"/>
    </row>
    <row r="836" spans="1:84" ht="15" hidden="1" customHeight="1" x14ac:dyDescent="0.25">
      <c r="A836" s="313"/>
      <c r="B836" s="340"/>
      <c r="C836" s="1518" t="s">
        <v>993</v>
      </c>
      <c r="D836" s="1518"/>
      <c r="E836" s="1518"/>
      <c r="F836" s="1518"/>
      <c r="G836" s="1518"/>
      <c r="H836" s="1518"/>
      <c r="I836" s="1444">
        <f>HLOOKUP(I$821,TM_TSCDVH_V,ROW()-ROW($C$821)+1,0)</f>
        <v>0</v>
      </c>
      <c r="J836" s="1444"/>
      <c r="K836" s="1444"/>
      <c r="L836" s="1444"/>
      <c r="M836" s="1444"/>
      <c r="N836" s="1444"/>
      <c r="O836" s="493"/>
      <c r="P836" s="1444">
        <f>HLOOKUP(P$821,TM_TSCDVH_V,ROW()-ROW($C$821)+1,0)</f>
        <v>0</v>
      </c>
      <c r="Q836" s="1444"/>
      <c r="R836" s="1444"/>
      <c r="S836" s="1444"/>
      <c r="T836" s="1444"/>
      <c r="U836" s="1444"/>
      <c r="V836" s="493"/>
      <c r="W836" s="1444">
        <f>HLOOKUP(W$821,TM_TSCDVH_V,ROW()-ROW($C$821)+1,0)</f>
        <v>0</v>
      </c>
      <c r="X836" s="1444"/>
      <c r="Y836" s="1444"/>
      <c r="Z836" s="1444"/>
      <c r="AA836" s="1444"/>
      <c r="AB836" s="1444"/>
      <c r="AC836" s="493"/>
      <c r="AD836" s="1318">
        <f>SUM(I836:AB836)</f>
        <v>0</v>
      </c>
      <c r="AE836" s="1318"/>
      <c r="AF836" s="1318"/>
      <c r="AG836" s="1318"/>
      <c r="AH836" s="1318"/>
      <c r="AI836" s="1318"/>
      <c r="AJ836" s="344"/>
      <c r="AK836" s="345"/>
      <c r="AL836" s="340"/>
      <c r="AM836" s="1518" t="s">
        <v>994</v>
      </c>
      <c r="AN836" s="1500"/>
      <c r="AO836" s="1500"/>
      <c r="AP836" s="1500"/>
      <c r="AQ836" s="1500"/>
      <c r="AR836" s="1500"/>
      <c r="AS836" s="1444">
        <f>I836</f>
        <v>0</v>
      </c>
      <c r="AT836" s="1444"/>
      <c r="AU836" s="1444"/>
      <c r="AV836" s="1444"/>
      <c r="AW836" s="1444"/>
      <c r="AX836" s="1444"/>
      <c r="AY836" s="493"/>
      <c r="AZ836" s="1444">
        <f>P836</f>
        <v>0</v>
      </c>
      <c r="BA836" s="1444"/>
      <c r="BB836" s="1444"/>
      <c r="BC836" s="1444"/>
      <c r="BD836" s="1444"/>
      <c r="BE836" s="1444"/>
      <c r="BF836" s="493"/>
      <c r="BG836" s="1444">
        <f>W836</f>
        <v>0</v>
      </c>
      <c r="BH836" s="1444"/>
      <c r="BI836" s="1444"/>
      <c r="BJ836" s="1444"/>
      <c r="BK836" s="1444"/>
      <c r="BL836" s="1444"/>
      <c r="BM836" s="493"/>
      <c r="BN836" s="1318">
        <f>SUM(AS836:BL836)</f>
        <v>0</v>
      </c>
      <c r="BO836" s="1318"/>
      <c r="BP836" s="1318"/>
      <c r="BQ836" s="1318"/>
      <c r="BR836" s="1318"/>
      <c r="BS836" s="1318"/>
      <c r="BT836" s="488"/>
      <c r="BU836" s="489"/>
      <c r="BV836" s="310"/>
      <c r="BW836" s="310"/>
      <c r="BX836" s="291">
        <f t="shared" si="55"/>
        <v>0</v>
      </c>
      <c r="BY836" s="344"/>
      <c r="BZ836" s="347"/>
      <c r="CA836" s="347"/>
    </row>
    <row r="837" spans="1:84" ht="27.95" hidden="1" customHeight="1" x14ac:dyDescent="0.25">
      <c r="A837" s="313"/>
      <c r="B837" s="340"/>
      <c r="C837" s="1517" t="s">
        <v>997</v>
      </c>
      <c r="D837" s="1447"/>
      <c r="E837" s="1447"/>
      <c r="F837" s="1447"/>
      <c r="G837" s="1447"/>
      <c r="H837" s="1447"/>
      <c r="I837" s="1444">
        <f>HLOOKUP(I$821,TM_TSCDVH_V,ROW()-ROW($C$821)+1,0)</f>
        <v>0</v>
      </c>
      <c r="J837" s="1444"/>
      <c r="K837" s="1444"/>
      <c r="L837" s="1444"/>
      <c r="M837" s="1444"/>
      <c r="N837" s="1444"/>
      <c r="O837" s="493"/>
      <c r="P837" s="1444">
        <f>HLOOKUP(P$821,TM_TSCDVH_V,ROW()-ROW($C$821)+1,0)</f>
        <v>0</v>
      </c>
      <c r="Q837" s="1444"/>
      <c r="R837" s="1444"/>
      <c r="S837" s="1444"/>
      <c r="T837" s="1444"/>
      <c r="U837" s="1444"/>
      <c r="V837" s="493"/>
      <c r="W837" s="1444">
        <f>HLOOKUP(W$821,TM_TSCDVH_V,ROW()-ROW($C$821)+1,0)</f>
        <v>0</v>
      </c>
      <c r="X837" s="1444"/>
      <c r="Y837" s="1444"/>
      <c r="Z837" s="1444"/>
      <c r="AA837" s="1444"/>
      <c r="AB837" s="1444"/>
      <c r="AC837" s="493"/>
      <c r="AD837" s="1318">
        <f>SUM(I837:AB837)</f>
        <v>0</v>
      </c>
      <c r="AE837" s="1318"/>
      <c r="AF837" s="1318"/>
      <c r="AG837" s="1318"/>
      <c r="AH837" s="1318"/>
      <c r="AI837" s="1318"/>
      <c r="AJ837" s="344"/>
      <c r="AK837" s="345"/>
      <c r="AL837" s="340"/>
      <c r="AM837" s="1518" t="s">
        <v>998</v>
      </c>
      <c r="AN837" s="1500"/>
      <c r="AO837" s="1500"/>
      <c r="AP837" s="1500"/>
      <c r="AQ837" s="1500"/>
      <c r="AR837" s="1500"/>
      <c r="AS837" s="1444">
        <f>I837</f>
        <v>0</v>
      </c>
      <c r="AT837" s="1444"/>
      <c r="AU837" s="1444"/>
      <c r="AV837" s="1444"/>
      <c r="AW837" s="1444"/>
      <c r="AX837" s="1444"/>
      <c r="AY837" s="493"/>
      <c r="AZ837" s="1444">
        <f>P837</f>
        <v>0</v>
      </c>
      <c r="BA837" s="1444"/>
      <c r="BB837" s="1444"/>
      <c r="BC837" s="1444"/>
      <c r="BD837" s="1444"/>
      <c r="BE837" s="1444"/>
      <c r="BF837" s="493"/>
      <c r="BG837" s="1444">
        <f>W837</f>
        <v>0</v>
      </c>
      <c r="BH837" s="1444"/>
      <c r="BI837" s="1444"/>
      <c r="BJ837" s="1444"/>
      <c r="BK837" s="1444"/>
      <c r="BL837" s="1444"/>
      <c r="BM837" s="493"/>
      <c r="BN837" s="1318">
        <f>SUM(AS837:BL837)</f>
        <v>0</v>
      </c>
      <c r="BO837" s="1318"/>
      <c r="BP837" s="1318"/>
      <c r="BQ837" s="1318"/>
      <c r="BR837" s="1318"/>
      <c r="BS837" s="1318"/>
      <c r="BT837" s="488"/>
      <c r="BU837" s="489"/>
      <c r="BV837" s="310"/>
      <c r="BW837" s="310"/>
      <c r="BX837" s="291">
        <f t="shared" si="55"/>
        <v>0</v>
      </c>
      <c r="BY837" s="344"/>
      <c r="BZ837" s="347"/>
      <c r="CA837" s="347"/>
    </row>
    <row r="838" spans="1:84" ht="15" hidden="1" customHeight="1" x14ac:dyDescent="0.25">
      <c r="A838" s="313"/>
      <c r="B838" s="340"/>
      <c r="C838" s="1517" t="s">
        <v>999</v>
      </c>
      <c r="D838" s="1447"/>
      <c r="E838" s="1447"/>
      <c r="F838" s="1447"/>
      <c r="G838" s="1447"/>
      <c r="H838" s="1447"/>
      <c r="I838" s="1444">
        <f>HLOOKUP(I$821,TM_TSCDVH_V,ROW()-ROW($C$821)+1,0)</f>
        <v>0</v>
      </c>
      <c r="J838" s="1444"/>
      <c r="K838" s="1444"/>
      <c r="L838" s="1444"/>
      <c r="M838" s="1444"/>
      <c r="N838" s="1444"/>
      <c r="O838" s="493"/>
      <c r="P838" s="1442">
        <f>HLOOKUP(P$821,TM_TSCDVH_V,ROW()-ROW($C$821)+1,0)</f>
        <v>0</v>
      </c>
      <c r="Q838" s="1442"/>
      <c r="R838" s="1442"/>
      <c r="S838" s="1442"/>
      <c r="T838" s="1442"/>
      <c r="U838" s="1442"/>
      <c r="V838" s="493"/>
      <c r="W838" s="1442">
        <f>HLOOKUP(W$821,TM_TSCDVH_V,ROW()-ROW($C$821)+1,0)</f>
        <v>0</v>
      </c>
      <c r="X838" s="1442"/>
      <c r="Y838" s="1442"/>
      <c r="Z838" s="1442"/>
      <c r="AA838" s="1442"/>
      <c r="AB838" s="1442"/>
      <c r="AC838" s="493"/>
      <c r="AD838" s="1318">
        <f>SUM(I838:AB838)</f>
        <v>0</v>
      </c>
      <c r="AE838" s="1318"/>
      <c r="AF838" s="1318"/>
      <c r="AG838" s="1318"/>
      <c r="AH838" s="1318"/>
      <c r="AI838" s="1318"/>
      <c r="AJ838" s="344"/>
      <c r="AK838" s="345"/>
      <c r="AL838" s="340"/>
      <c r="AM838" s="1518" t="s">
        <v>1000</v>
      </c>
      <c r="AN838" s="1500"/>
      <c r="AO838" s="1500"/>
      <c r="AP838" s="1500"/>
      <c r="AQ838" s="1500"/>
      <c r="AR838" s="1500"/>
      <c r="AS838" s="1444">
        <f>I838</f>
        <v>0</v>
      </c>
      <c r="AT838" s="1444"/>
      <c r="AU838" s="1444"/>
      <c r="AV838" s="1444"/>
      <c r="AW838" s="1444"/>
      <c r="AX838" s="1444"/>
      <c r="AY838" s="493"/>
      <c r="AZ838" s="1442">
        <f>P838</f>
        <v>0</v>
      </c>
      <c r="BA838" s="1442"/>
      <c r="BB838" s="1442"/>
      <c r="BC838" s="1442"/>
      <c r="BD838" s="1442"/>
      <c r="BE838" s="1442"/>
      <c r="BF838" s="493"/>
      <c r="BG838" s="1442">
        <f>W838</f>
        <v>0</v>
      </c>
      <c r="BH838" s="1442"/>
      <c r="BI838" s="1442"/>
      <c r="BJ838" s="1442"/>
      <c r="BK838" s="1442"/>
      <c r="BL838" s="1442"/>
      <c r="BM838" s="493"/>
      <c r="BN838" s="1318">
        <f>SUM(AS838:BL838)</f>
        <v>0</v>
      </c>
      <c r="BO838" s="1318"/>
      <c r="BP838" s="1318"/>
      <c r="BQ838" s="1318"/>
      <c r="BR838" s="1318"/>
      <c r="BS838" s="1318"/>
      <c r="BT838" s="488"/>
      <c r="BU838" s="489"/>
      <c r="BV838" s="310"/>
      <c r="BW838" s="310"/>
      <c r="BX838" s="291">
        <f t="shared" si="55"/>
        <v>0</v>
      </c>
      <c r="BY838" s="344"/>
      <c r="BZ838" s="347"/>
      <c r="CA838" s="347"/>
    </row>
    <row r="839" spans="1:84" s="385" customFormat="1" ht="15" hidden="1" customHeight="1" thickBot="1" x14ac:dyDescent="0.3">
      <c r="A839" s="313"/>
      <c r="B839" s="340"/>
      <c r="C839" s="1501" t="s">
        <v>1001</v>
      </c>
      <c r="D839" s="1501"/>
      <c r="E839" s="1501"/>
      <c r="F839" s="1501"/>
      <c r="G839" s="1501"/>
      <c r="H839" s="1501"/>
      <c r="I839" s="1439">
        <f>SUBTOTAL(109,I834:N838)</f>
        <v>0</v>
      </c>
      <c r="J839" s="1439"/>
      <c r="K839" s="1439"/>
      <c r="L839" s="1439"/>
      <c r="M839" s="1439"/>
      <c r="N839" s="1439"/>
      <c r="O839" s="487"/>
      <c r="P839" s="1439">
        <f>SUBTOTAL(109,P834:U838)</f>
        <v>0</v>
      </c>
      <c r="Q839" s="1439"/>
      <c r="R839" s="1439"/>
      <c r="S839" s="1439"/>
      <c r="T839" s="1439"/>
      <c r="U839" s="1439"/>
      <c r="V839" s="487"/>
      <c r="W839" s="1439">
        <f>SUBTOTAL(109,W834:AB838)</f>
        <v>0</v>
      </c>
      <c r="X839" s="1439"/>
      <c r="Y839" s="1439"/>
      <c r="Z839" s="1439"/>
      <c r="AA839" s="1439"/>
      <c r="AB839" s="1439"/>
      <c r="AC839" s="487"/>
      <c r="AD839" s="1439">
        <f>SUBTOTAL(109,AD834:AI838)</f>
        <v>0</v>
      </c>
      <c r="AE839" s="1439"/>
      <c r="AF839" s="1439"/>
      <c r="AG839" s="1439"/>
      <c r="AH839" s="1439"/>
      <c r="AI839" s="1439"/>
      <c r="AJ839" s="374"/>
      <c r="AK839" s="345"/>
      <c r="AL839" s="340"/>
      <c r="AM839" s="1501" t="s">
        <v>1007</v>
      </c>
      <c r="AN839" s="1501"/>
      <c r="AO839" s="1501"/>
      <c r="AP839" s="1501"/>
      <c r="AQ839" s="1501"/>
      <c r="AR839" s="1501"/>
      <c r="AS839" s="1439">
        <f>SUBTOTAL(109,AS834:AX838)</f>
        <v>0</v>
      </c>
      <c r="AT839" s="1439"/>
      <c r="AU839" s="1439"/>
      <c r="AV839" s="1439"/>
      <c r="AW839" s="1439"/>
      <c r="AX839" s="1439"/>
      <c r="AY839" s="487"/>
      <c r="AZ839" s="1439">
        <f>SUBTOTAL(109,AZ834:BE838)</f>
        <v>0</v>
      </c>
      <c r="BA839" s="1439"/>
      <c r="BB839" s="1439"/>
      <c r="BC839" s="1439"/>
      <c r="BD839" s="1439"/>
      <c r="BE839" s="1439"/>
      <c r="BF839" s="487"/>
      <c r="BG839" s="1439">
        <f>SUBTOTAL(109,BG834:BL838)</f>
        <v>0</v>
      </c>
      <c r="BH839" s="1439"/>
      <c r="BI839" s="1439"/>
      <c r="BJ839" s="1439"/>
      <c r="BK839" s="1439"/>
      <c r="BL839" s="1439"/>
      <c r="BM839" s="487"/>
      <c r="BN839" s="1439">
        <f>SUBTOTAL(109,BN834:BS838)</f>
        <v>0</v>
      </c>
      <c r="BO839" s="1439"/>
      <c r="BP839" s="1439"/>
      <c r="BQ839" s="1439"/>
      <c r="BR839" s="1439"/>
      <c r="BS839" s="1439"/>
      <c r="BT839" s="488"/>
      <c r="BU839" s="489"/>
      <c r="BV839" s="425">
        <f>AD839+KN_CT229</f>
        <v>-51624993</v>
      </c>
      <c r="BW839" s="425"/>
      <c r="BX839" s="426">
        <f t="shared" si="55"/>
        <v>0</v>
      </c>
      <c r="BY839" s="374"/>
      <c r="BZ839" s="383"/>
      <c r="CA839" s="383"/>
      <c r="CB839" s="384"/>
      <c r="CC839" s="384"/>
      <c r="CD839" s="384"/>
      <c r="CE839" s="384"/>
      <c r="CF839" s="384"/>
    </row>
    <row r="840" spans="1:84" ht="27" hidden="1" customHeight="1" thickTop="1" x14ac:dyDescent="0.2">
      <c r="A840" s="313"/>
      <c r="B840" s="340"/>
      <c r="C840" s="1515" t="s">
        <v>1008</v>
      </c>
      <c r="D840" s="1515"/>
      <c r="E840" s="1515"/>
      <c r="F840" s="1515"/>
      <c r="G840" s="1515"/>
      <c r="H840" s="1515"/>
      <c r="I840" s="1421"/>
      <c r="J840" s="1421"/>
      <c r="K840" s="1421"/>
      <c r="L840" s="1421"/>
      <c r="M840" s="1421"/>
      <c r="N840" s="1421"/>
      <c r="O840" s="493"/>
      <c r="P840" s="1514"/>
      <c r="Q840" s="1514"/>
      <c r="R840" s="1514"/>
      <c r="S840" s="1514"/>
      <c r="T840" s="1514"/>
      <c r="U840" s="1514"/>
      <c r="V840" s="493"/>
      <c r="W840" s="1514"/>
      <c r="X840" s="1514"/>
      <c r="Y840" s="1514"/>
      <c r="Z840" s="1514"/>
      <c r="AA840" s="1514"/>
      <c r="AB840" s="1514"/>
      <c r="AC840" s="493"/>
      <c r="AD840" s="1514"/>
      <c r="AE840" s="1514"/>
      <c r="AF840" s="1514"/>
      <c r="AG840" s="1514"/>
      <c r="AH840" s="1514"/>
      <c r="AI840" s="1514"/>
      <c r="AJ840" s="344"/>
      <c r="AK840" s="345"/>
      <c r="AL840" s="340"/>
      <c r="AM840" s="1516" t="s">
        <v>1009</v>
      </c>
      <c r="AN840" s="1516"/>
      <c r="AO840" s="1516"/>
      <c r="AP840" s="1516"/>
      <c r="AQ840" s="1516"/>
      <c r="AR840" s="1516"/>
      <c r="AS840" s="1421"/>
      <c r="AT840" s="1421"/>
      <c r="AU840" s="1421"/>
      <c r="AV840" s="1421"/>
      <c r="AW840" s="1421"/>
      <c r="AX840" s="1421"/>
      <c r="AY840" s="493"/>
      <c r="AZ840" s="1514"/>
      <c r="BA840" s="1514"/>
      <c r="BB840" s="1514"/>
      <c r="BC840" s="1514"/>
      <c r="BD840" s="1514"/>
      <c r="BE840" s="1514"/>
      <c r="BF840" s="493"/>
      <c r="BG840" s="1514"/>
      <c r="BH840" s="1514"/>
      <c r="BI840" s="1514"/>
      <c r="BJ840" s="1514"/>
      <c r="BK840" s="1514"/>
      <c r="BL840" s="1514"/>
      <c r="BM840" s="493"/>
      <c r="BN840" s="1514"/>
      <c r="BO840" s="1514"/>
      <c r="BP840" s="1514"/>
      <c r="BQ840" s="1514"/>
      <c r="BR840" s="1514"/>
      <c r="BS840" s="1514"/>
      <c r="BT840" s="485"/>
      <c r="BU840" s="486"/>
      <c r="BV840" s="310"/>
      <c r="BW840" s="310"/>
      <c r="BX840" s="291">
        <f t="shared" si="55"/>
        <v>0</v>
      </c>
      <c r="BY840" s="344"/>
      <c r="BZ840" s="347"/>
      <c r="CA840" s="347"/>
    </row>
    <row r="841" spans="1:84" ht="15" hidden="1" customHeight="1" x14ac:dyDescent="0.25">
      <c r="A841" s="313"/>
      <c r="B841" s="340"/>
      <c r="C841" s="1447" t="s">
        <v>1010</v>
      </c>
      <c r="D841" s="1447"/>
      <c r="E841" s="1447"/>
      <c r="F841" s="1447"/>
      <c r="G841" s="1447"/>
      <c r="H841" s="1447"/>
      <c r="I841" s="1444">
        <f>I825-I834</f>
        <v>0</v>
      </c>
      <c r="J841" s="1444"/>
      <c r="K841" s="1444"/>
      <c r="L841" s="1444"/>
      <c r="M841" s="1444"/>
      <c r="N841" s="1444"/>
      <c r="O841" s="493"/>
      <c r="P841" s="1442">
        <f>P825-P834</f>
        <v>95875003</v>
      </c>
      <c r="Q841" s="1442"/>
      <c r="R841" s="1442"/>
      <c r="S841" s="1442"/>
      <c r="T841" s="1442"/>
      <c r="U841" s="1442"/>
      <c r="V841" s="493"/>
      <c r="W841" s="1442">
        <f>W825-W834</f>
        <v>0</v>
      </c>
      <c r="X841" s="1442"/>
      <c r="Y841" s="1442"/>
      <c r="Z841" s="1442"/>
      <c r="AA841" s="1442"/>
      <c r="AB841" s="1442"/>
      <c r="AC841" s="493"/>
      <c r="AD841" s="1361">
        <f>AD825-AD834</f>
        <v>95875003</v>
      </c>
      <c r="AE841" s="1361"/>
      <c r="AF841" s="1361"/>
      <c r="AG841" s="1361"/>
      <c r="AH841" s="1361"/>
      <c r="AI841" s="1361"/>
      <c r="AJ841" s="344"/>
      <c r="AK841" s="345"/>
      <c r="AL841" s="340"/>
      <c r="AM841" s="1500" t="s">
        <v>1011</v>
      </c>
      <c r="AN841" s="1500"/>
      <c r="AO841" s="1500"/>
      <c r="AP841" s="1500"/>
      <c r="AQ841" s="1500"/>
      <c r="AR841" s="1500"/>
      <c r="AS841" s="1444">
        <f>AS825-AS834</f>
        <v>0</v>
      </c>
      <c r="AT841" s="1444"/>
      <c r="AU841" s="1444"/>
      <c r="AV841" s="1444"/>
      <c r="AW841" s="1444"/>
      <c r="AX841" s="1444"/>
      <c r="AY841" s="493"/>
      <c r="AZ841" s="1442">
        <f>AZ825-AZ834</f>
        <v>95875003</v>
      </c>
      <c r="BA841" s="1442"/>
      <c r="BB841" s="1442"/>
      <c r="BC841" s="1442"/>
      <c r="BD841" s="1442"/>
      <c r="BE841" s="1442"/>
      <c r="BF841" s="493"/>
      <c r="BG841" s="1442">
        <f>BG825-BG834</f>
        <v>0</v>
      </c>
      <c r="BH841" s="1442"/>
      <c r="BI841" s="1442"/>
      <c r="BJ841" s="1442"/>
      <c r="BK841" s="1442"/>
      <c r="BL841" s="1442"/>
      <c r="BM841" s="493"/>
      <c r="BN841" s="1361">
        <f>BN825-BN834</f>
        <v>95875003</v>
      </c>
      <c r="BO841" s="1361"/>
      <c r="BP841" s="1361"/>
      <c r="BQ841" s="1361"/>
      <c r="BR841" s="1361"/>
      <c r="BS841" s="1361"/>
      <c r="BT841" s="488"/>
      <c r="BU841" s="489"/>
      <c r="BV841" s="310"/>
      <c r="BW841" s="310">
        <f>AD841-KT_CT227</f>
        <v>0</v>
      </c>
      <c r="BX841" s="291">
        <f t="shared" si="55"/>
        <v>0</v>
      </c>
      <c r="BY841" s="344"/>
      <c r="BZ841" s="347"/>
      <c r="CA841" s="347"/>
    </row>
    <row r="842" spans="1:84" ht="15" hidden="1" customHeight="1" thickBot="1" x14ac:dyDescent="0.3">
      <c r="A842" s="313"/>
      <c r="B842" s="340"/>
      <c r="C842" s="1513" t="s">
        <v>1012</v>
      </c>
      <c r="D842" s="1513"/>
      <c r="E842" s="1513"/>
      <c r="F842" s="1513"/>
      <c r="G842" s="1513"/>
      <c r="H842" s="1513"/>
      <c r="I842" s="1439">
        <f>I832-I839</f>
        <v>0</v>
      </c>
      <c r="J842" s="1439"/>
      <c r="K842" s="1439"/>
      <c r="L842" s="1439"/>
      <c r="M842" s="1439"/>
      <c r="N842" s="1439"/>
      <c r="O842" s="487"/>
      <c r="P842" s="1439">
        <f>P832-P839</f>
        <v>0</v>
      </c>
      <c r="Q842" s="1439"/>
      <c r="R842" s="1439"/>
      <c r="S842" s="1439"/>
      <c r="T842" s="1439"/>
      <c r="U842" s="1439"/>
      <c r="V842" s="487"/>
      <c r="W842" s="1439">
        <f>W832-W839</f>
        <v>0</v>
      </c>
      <c r="X842" s="1439"/>
      <c r="Y842" s="1439"/>
      <c r="Z842" s="1439"/>
      <c r="AA842" s="1439"/>
      <c r="AB842" s="1439"/>
      <c r="AC842" s="487"/>
      <c r="AD842" s="1359">
        <f>AD832-AD839</f>
        <v>0</v>
      </c>
      <c r="AE842" s="1359"/>
      <c r="AF842" s="1359"/>
      <c r="AG842" s="1359"/>
      <c r="AH842" s="1359"/>
      <c r="AI842" s="1359"/>
      <c r="AJ842" s="344"/>
      <c r="AK842" s="345"/>
      <c r="AL842" s="340"/>
      <c r="AM842" s="1501" t="s">
        <v>1013</v>
      </c>
      <c r="AN842" s="1501"/>
      <c r="AO842" s="1501"/>
      <c r="AP842" s="1501"/>
      <c r="AQ842" s="1501"/>
      <c r="AR842" s="1501"/>
      <c r="AS842" s="1439">
        <f>AS832-AS839</f>
        <v>0</v>
      </c>
      <c r="AT842" s="1439"/>
      <c r="AU842" s="1439"/>
      <c r="AV842" s="1439"/>
      <c r="AW842" s="1439"/>
      <c r="AX842" s="1439"/>
      <c r="AY842" s="487"/>
      <c r="AZ842" s="1439">
        <f>AZ832-AZ839</f>
        <v>0</v>
      </c>
      <c r="BA842" s="1439"/>
      <c r="BB842" s="1439"/>
      <c r="BC842" s="1439"/>
      <c r="BD842" s="1439"/>
      <c r="BE842" s="1439"/>
      <c r="BF842" s="487"/>
      <c r="BG842" s="1439">
        <f>BG832-BG839</f>
        <v>0</v>
      </c>
      <c r="BH842" s="1439"/>
      <c r="BI842" s="1439"/>
      <c r="BJ842" s="1439"/>
      <c r="BK842" s="1439"/>
      <c r="BL842" s="1439"/>
      <c r="BM842" s="487"/>
      <c r="BN842" s="1359">
        <f>BN832-BN839</f>
        <v>0</v>
      </c>
      <c r="BO842" s="1359"/>
      <c r="BP842" s="1359"/>
      <c r="BQ842" s="1359"/>
      <c r="BR842" s="1359"/>
      <c r="BS842" s="1359"/>
      <c r="BT842" s="496"/>
      <c r="BU842" s="497"/>
      <c r="BV842" s="310">
        <f>AD842-KN_CT227</f>
        <v>-66375007</v>
      </c>
      <c r="BW842" s="310"/>
      <c r="BX842" s="291">
        <f t="shared" si="55"/>
        <v>0</v>
      </c>
      <c r="BY842" s="344"/>
      <c r="BZ842" s="347"/>
      <c r="CA842" s="347"/>
    </row>
    <row r="843" spans="1:84" ht="2.1" hidden="1" customHeight="1" x14ac:dyDescent="0.25">
      <c r="A843" s="313"/>
      <c r="B843" s="340"/>
      <c r="C843" s="471"/>
      <c r="D843" s="392"/>
      <c r="E843" s="392"/>
      <c r="F843" s="392"/>
      <c r="G843" s="392"/>
      <c r="H843" s="392"/>
      <c r="I843" s="392"/>
      <c r="J843" s="392"/>
      <c r="K843" s="503"/>
      <c r="L843" s="503"/>
      <c r="M843" s="503"/>
      <c r="N843" s="503"/>
      <c r="O843" s="503"/>
      <c r="P843" s="503"/>
      <c r="Q843" s="503"/>
      <c r="R843" s="503"/>
      <c r="S843" s="503"/>
      <c r="T843" s="503"/>
      <c r="U843" s="503"/>
      <c r="V843" s="503"/>
      <c r="W843" s="505"/>
      <c r="X843" s="505"/>
      <c r="Y843" s="505"/>
      <c r="Z843" s="505"/>
      <c r="AA843" s="505"/>
      <c r="AB843" s="505"/>
      <c r="AC843" s="506"/>
      <c r="AD843" s="506"/>
      <c r="AE843" s="506"/>
      <c r="AF843" s="506"/>
      <c r="AG843" s="506"/>
      <c r="AH843" s="506"/>
      <c r="AI843" s="506"/>
      <c r="AJ843" s="344"/>
      <c r="AK843" s="345"/>
      <c r="AL843" s="340"/>
      <c r="AM843" s="471"/>
      <c r="AN843" s="392"/>
      <c r="AO843" s="392"/>
      <c r="AP843" s="392"/>
      <c r="AQ843" s="392"/>
      <c r="AR843" s="392"/>
      <c r="AS843" s="392"/>
      <c r="AT843" s="392"/>
      <c r="AU843" s="503"/>
      <c r="AV843" s="503"/>
      <c r="AW843" s="503"/>
      <c r="AX843" s="503"/>
      <c r="AY843" s="503"/>
      <c r="AZ843" s="503"/>
      <c r="BA843" s="503"/>
      <c r="BB843" s="503"/>
      <c r="BC843" s="503"/>
      <c r="BD843" s="503"/>
      <c r="BE843" s="503"/>
      <c r="BF843" s="503"/>
      <c r="BG843" s="503"/>
      <c r="BH843" s="503"/>
      <c r="BI843" s="503"/>
      <c r="BJ843" s="503"/>
      <c r="BK843" s="503"/>
      <c r="BL843" s="503"/>
      <c r="BM843" s="507"/>
      <c r="BN843" s="507"/>
      <c r="BO843" s="507"/>
      <c r="BP843" s="507"/>
      <c r="BQ843" s="507"/>
      <c r="BR843" s="507"/>
      <c r="BS843" s="507"/>
      <c r="BT843" s="507"/>
      <c r="BU843" s="492"/>
      <c r="BV843" s="310"/>
      <c r="BW843" s="310"/>
      <c r="BX843" s="291">
        <f t="shared" si="55"/>
        <v>0</v>
      </c>
      <c r="BY843" s="344"/>
      <c r="BZ843" s="347"/>
      <c r="CA843" s="347"/>
    </row>
    <row r="844" spans="1:84" ht="15" hidden="1" customHeight="1" x14ac:dyDescent="0.25">
      <c r="A844" s="313"/>
      <c r="B844" s="340"/>
      <c r="C844" s="471"/>
      <c r="D844" s="392"/>
      <c r="E844" s="392"/>
      <c r="F844" s="392"/>
      <c r="G844" s="392"/>
      <c r="H844" s="392"/>
      <c r="I844" s="392"/>
      <c r="J844" s="392"/>
      <c r="K844" s="503"/>
      <c r="L844" s="503"/>
      <c r="M844" s="503"/>
      <c r="N844" s="503"/>
      <c r="O844" s="503"/>
      <c r="P844" s="503"/>
      <c r="Q844" s="503"/>
      <c r="R844" s="503"/>
      <c r="S844" s="503"/>
      <c r="T844" s="503"/>
      <c r="U844" s="503"/>
      <c r="V844" s="503"/>
      <c r="W844" s="505"/>
      <c r="X844" s="505"/>
      <c r="Y844" s="505"/>
      <c r="Z844" s="505"/>
      <c r="AA844" s="505"/>
      <c r="AB844" s="505"/>
      <c r="AC844" s="506"/>
      <c r="AD844" s="506"/>
      <c r="AE844" s="506"/>
      <c r="AF844" s="506"/>
      <c r="AG844" s="506"/>
      <c r="AH844" s="506"/>
      <c r="AI844" s="506"/>
      <c r="AJ844" s="344"/>
      <c r="AK844" s="345"/>
      <c r="AL844" s="340"/>
      <c r="AM844" s="471"/>
      <c r="AN844" s="392"/>
      <c r="AO844" s="392"/>
      <c r="AP844" s="392"/>
      <c r="AQ844" s="392"/>
      <c r="AR844" s="392"/>
      <c r="AS844" s="392"/>
      <c r="AT844" s="392"/>
      <c r="AU844" s="503"/>
      <c r="AV844" s="503"/>
      <c r="AW844" s="503"/>
      <c r="AX844" s="503"/>
      <c r="AY844" s="503"/>
      <c r="AZ844" s="503"/>
      <c r="BA844" s="503"/>
      <c r="BB844" s="503"/>
      <c r="BC844" s="503"/>
      <c r="BD844" s="503"/>
      <c r="BE844" s="503"/>
      <c r="BF844" s="503"/>
      <c r="BG844" s="503"/>
      <c r="BH844" s="503"/>
      <c r="BI844" s="503"/>
      <c r="BJ844" s="503"/>
      <c r="BK844" s="503"/>
      <c r="BL844" s="503"/>
      <c r="BM844" s="507"/>
      <c r="BN844" s="507"/>
      <c r="BO844" s="507"/>
      <c r="BP844" s="507"/>
      <c r="BQ844" s="507"/>
      <c r="BR844" s="507"/>
      <c r="BS844" s="507"/>
      <c r="BT844" s="507"/>
      <c r="BU844" s="492"/>
      <c r="BV844" s="310"/>
      <c r="BW844" s="310"/>
      <c r="BX844" s="291">
        <f t="shared" si="55"/>
        <v>0</v>
      </c>
      <c r="BY844" s="344"/>
      <c r="BZ844" s="347"/>
      <c r="CA844" s="347"/>
    </row>
    <row r="845" spans="1:84" s="423" customFormat="1" ht="15" hidden="1" customHeight="1" x14ac:dyDescent="0.25">
      <c r="A845" s="313"/>
      <c r="B845" s="340"/>
      <c r="C845" s="529" t="s">
        <v>355</v>
      </c>
      <c r="D845" s="1511" t="s">
        <v>1056</v>
      </c>
      <c r="E845" s="1511"/>
      <c r="F845" s="1511"/>
      <c r="G845" s="1511"/>
      <c r="H845" s="1511"/>
      <c r="I845" s="1511"/>
      <c r="J845" s="1511"/>
      <c r="K845" s="1511"/>
      <c r="L845" s="1511"/>
      <c r="M845" s="1511"/>
      <c r="N845" s="1511"/>
      <c r="O845" s="1511"/>
      <c r="P845" s="1511"/>
      <c r="Q845" s="1511"/>
      <c r="R845" s="1511"/>
      <c r="S845" s="1511"/>
      <c r="T845" s="1511"/>
      <c r="U845" s="1511"/>
      <c r="V845" s="1511"/>
      <c r="W845" s="1511"/>
      <c r="X845" s="1511"/>
      <c r="Y845" s="1511"/>
      <c r="Z845" s="1511"/>
      <c r="AA845" s="1511"/>
      <c r="AB845" s="1511"/>
      <c r="AC845" s="1511"/>
      <c r="AD845" s="1511"/>
      <c r="AE845" s="1511"/>
      <c r="AF845" s="1511"/>
      <c r="AG845" s="1511"/>
      <c r="AH845" s="1511"/>
      <c r="AI845" s="1511"/>
      <c r="AJ845" s="342"/>
      <c r="AK845" s="345"/>
      <c r="AL845" s="340"/>
      <c r="AM845" s="529" t="s">
        <v>355</v>
      </c>
      <c r="AN845" s="1512" t="s">
        <v>1057</v>
      </c>
      <c r="AO845" s="1512"/>
      <c r="AP845" s="1512"/>
      <c r="AQ845" s="1512"/>
      <c r="AR845" s="1512"/>
      <c r="AS845" s="1512"/>
      <c r="AT845" s="1512"/>
      <c r="AU845" s="1512"/>
      <c r="AV845" s="1512"/>
      <c r="AW845" s="1512"/>
      <c r="AX845" s="1512"/>
      <c r="AY845" s="1512"/>
      <c r="AZ845" s="1512"/>
      <c r="BA845" s="1512"/>
      <c r="BB845" s="1512"/>
      <c r="BC845" s="1512"/>
      <c r="BD845" s="1512"/>
      <c r="BE845" s="1512"/>
      <c r="BF845" s="1512"/>
      <c r="BG845" s="1512"/>
      <c r="BH845" s="1512"/>
      <c r="BI845" s="1512"/>
      <c r="BJ845" s="1512"/>
      <c r="BK845" s="1512"/>
      <c r="BL845" s="1512"/>
      <c r="BM845" s="1512"/>
      <c r="BN845" s="1512"/>
      <c r="BO845" s="1512"/>
      <c r="BP845" s="1512"/>
      <c r="BQ845" s="1512"/>
      <c r="BR845" s="1512"/>
      <c r="BS845" s="1512"/>
      <c r="BT845" s="507"/>
      <c r="BU845" s="492"/>
      <c r="BV845" s="310"/>
      <c r="BW845" s="310"/>
      <c r="BX845" s="300">
        <f t="shared" si="55"/>
        <v>0</v>
      </c>
      <c r="BY845" s="342"/>
      <c r="BZ845" s="438"/>
      <c r="CA845" s="438"/>
      <c r="CB845" s="439"/>
      <c r="CC845" s="439"/>
      <c r="CD845" s="439"/>
      <c r="CE845" s="439"/>
      <c r="CF845" s="439"/>
    </row>
    <row r="846" spans="1:84" s="423" customFormat="1" ht="15" hidden="1" customHeight="1" x14ac:dyDescent="0.25">
      <c r="A846" s="313"/>
      <c r="B846" s="340"/>
      <c r="C846" s="529" t="s">
        <v>355</v>
      </c>
      <c r="D846" s="1511" t="s">
        <v>1058</v>
      </c>
      <c r="E846" s="1511"/>
      <c r="F846" s="1511"/>
      <c r="G846" s="1511"/>
      <c r="H846" s="1511"/>
      <c r="I846" s="1511"/>
      <c r="J846" s="1511"/>
      <c r="K846" s="1511"/>
      <c r="L846" s="1511"/>
      <c r="M846" s="1511"/>
      <c r="N846" s="1511"/>
      <c r="O846" s="1511"/>
      <c r="P846" s="1511"/>
      <c r="Q846" s="1511"/>
      <c r="R846" s="1511"/>
      <c r="S846" s="1511"/>
      <c r="T846" s="1511"/>
      <c r="U846" s="1511"/>
      <c r="V846" s="1511"/>
      <c r="W846" s="1511"/>
      <c r="X846" s="1511"/>
      <c r="Y846" s="1511"/>
      <c r="Z846" s="1511"/>
      <c r="AA846" s="1511"/>
      <c r="AB846" s="1511"/>
      <c r="AC846" s="1511"/>
      <c r="AD846" s="1511"/>
      <c r="AE846" s="1511"/>
      <c r="AF846" s="1511"/>
      <c r="AG846" s="1511"/>
      <c r="AH846" s="1511"/>
      <c r="AI846" s="1511"/>
      <c r="AJ846" s="342"/>
      <c r="AK846" s="345"/>
      <c r="AL846" s="340"/>
      <c r="AM846" s="529" t="s">
        <v>355</v>
      </c>
      <c r="AN846" s="1512" t="s">
        <v>1059</v>
      </c>
      <c r="AO846" s="1512"/>
      <c r="AP846" s="1512"/>
      <c r="AQ846" s="1512"/>
      <c r="AR846" s="1512"/>
      <c r="AS846" s="1512"/>
      <c r="AT846" s="1512"/>
      <c r="AU846" s="1512"/>
      <c r="AV846" s="1512"/>
      <c r="AW846" s="1512"/>
      <c r="AX846" s="1512"/>
      <c r="AY846" s="1512"/>
      <c r="AZ846" s="1512"/>
      <c r="BA846" s="1512"/>
      <c r="BB846" s="1512"/>
      <c r="BC846" s="1512"/>
      <c r="BD846" s="1512"/>
      <c r="BE846" s="1512"/>
      <c r="BF846" s="1512"/>
      <c r="BG846" s="1512"/>
      <c r="BH846" s="1512"/>
      <c r="BI846" s="1512"/>
      <c r="BJ846" s="1512"/>
      <c r="BK846" s="1512"/>
      <c r="BL846" s="1512"/>
      <c r="BM846" s="1512"/>
      <c r="BN846" s="1512"/>
      <c r="BO846" s="1512"/>
      <c r="BP846" s="1512"/>
      <c r="BQ846" s="1512"/>
      <c r="BR846" s="1512"/>
      <c r="BS846" s="1512"/>
      <c r="BT846" s="507"/>
      <c r="BU846" s="492"/>
      <c r="BV846" s="310"/>
      <c r="BW846" s="310"/>
      <c r="BX846" s="300">
        <f t="shared" si="55"/>
        <v>0</v>
      </c>
      <c r="BY846" s="342"/>
      <c r="BZ846" s="438"/>
      <c r="CA846" s="438"/>
      <c r="CB846" s="439"/>
      <c r="CC846" s="439"/>
      <c r="CD846" s="439"/>
      <c r="CE846" s="439"/>
      <c r="CF846" s="439"/>
    </row>
    <row r="847" spans="1:84" s="423" customFormat="1" ht="29.1" customHeight="1" x14ac:dyDescent="0.25">
      <c r="A847" s="313"/>
      <c r="B847" s="340"/>
      <c r="C847" s="1508" t="s">
        <v>1060</v>
      </c>
      <c r="D847" s="1508"/>
      <c r="E847" s="1508"/>
      <c r="F847" s="1508"/>
      <c r="G847" s="1508"/>
      <c r="H847" s="1508"/>
      <c r="I847" s="1508"/>
      <c r="J847" s="1508"/>
      <c r="K847" s="1508"/>
      <c r="L847" s="1508"/>
      <c r="M847" s="1508"/>
      <c r="N847" s="1508"/>
      <c r="O847" s="1508"/>
      <c r="P847" s="1508"/>
      <c r="Q847" s="1508"/>
      <c r="R847" s="1508"/>
      <c r="S847" s="1508"/>
      <c r="T847" s="1508"/>
      <c r="U847" s="1508"/>
      <c r="V847" s="1508"/>
      <c r="W847" s="1508"/>
      <c r="X847" s="1508"/>
      <c r="Y847" s="1508"/>
      <c r="Z847" s="1508"/>
      <c r="AA847" s="1508"/>
      <c r="AB847" s="1508"/>
      <c r="AC847" s="1508"/>
      <c r="AD847" s="1508"/>
      <c r="AE847" s="1508"/>
      <c r="AF847" s="1508"/>
      <c r="AG847" s="1508"/>
      <c r="AH847" s="1508"/>
      <c r="AI847" s="1508"/>
      <c r="AJ847" s="342"/>
      <c r="AK847" s="345"/>
      <c r="AL847" s="340"/>
      <c r="AM847" s="529" t="s">
        <v>355</v>
      </c>
      <c r="AN847" s="1509" t="s">
        <v>1061</v>
      </c>
      <c r="AO847" s="1510"/>
      <c r="AP847" s="1510"/>
      <c r="AQ847" s="1510"/>
      <c r="AR847" s="1510"/>
      <c r="AS847" s="1510"/>
      <c r="AT847" s="1510"/>
      <c r="AU847" s="1510"/>
      <c r="AV847" s="1510"/>
      <c r="AW847" s="1510"/>
      <c r="AX847" s="1510"/>
      <c r="AY847" s="1510"/>
      <c r="AZ847" s="1510"/>
      <c r="BA847" s="1510"/>
      <c r="BB847" s="1510"/>
      <c r="BC847" s="1510"/>
      <c r="BD847" s="1510"/>
      <c r="BE847" s="1510"/>
      <c r="BF847" s="1510"/>
      <c r="BG847" s="1510"/>
      <c r="BH847" s="1510"/>
      <c r="BI847" s="1510"/>
      <c r="BJ847" s="1510"/>
      <c r="BK847" s="1510"/>
      <c r="BL847" s="1510"/>
      <c r="BM847" s="1510"/>
      <c r="BN847" s="1510"/>
      <c r="BO847" s="1510"/>
      <c r="BP847" s="1510"/>
      <c r="BQ847" s="1510"/>
      <c r="BR847" s="1510"/>
      <c r="BS847" s="1510"/>
      <c r="BT847" s="507"/>
      <c r="BU847" s="492"/>
      <c r="BV847" s="310"/>
      <c r="BW847" s="310"/>
      <c r="BX847" s="300">
        <f t="shared" si="55"/>
        <v>0</v>
      </c>
      <c r="BY847" s="342"/>
      <c r="BZ847" s="438"/>
      <c r="CA847" s="438"/>
      <c r="CB847" s="439"/>
      <c r="CC847" s="439"/>
      <c r="CD847" s="439"/>
      <c r="CE847" s="439"/>
      <c r="CF847" s="439"/>
    </row>
    <row r="848" spans="1:84" ht="2.1" hidden="1" customHeight="1" x14ac:dyDescent="0.25">
      <c r="A848" s="313"/>
      <c r="B848" s="454"/>
      <c r="C848" s="392"/>
      <c r="D848" s="392"/>
      <c r="E848" s="392"/>
      <c r="F848" s="392"/>
      <c r="G848" s="392"/>
      <c r="H848" s="392"/>
      <c r="I848" s="392"/>
      <c r="J848" s="392"/>
      <c r="K848" s="392"/>
      <c r="L848" s="392"/>
      <c r="M848" s="392"/>
      <c r="N848" s="392"/>
      <c r="O848" s="392"/>
      <c r="P848" s="392"/>
      <c r="Q848" s="392"/>
      <c r="R848" s="392"/>
      <c r="S848" s="392"/>
      <c r="T848" s="392"/>
      <c r="U848" s="392"/>
      <c r="V848" s="392"/>
      <c r="W848" s="393"/>
      <c r="X848" s="393"/>
      <c r="Y848" s="393"/>
      <c r="Z848" s="393"/>
      <c r="AA848" s="393"/>
      <c r="AB848" s="393"/>
      <c r="AC848" s="343"/>
      <c r="AD848" s="343"/>
      <c r="AE848" s="343"/>
      <c r="AF848" s="343"/>
      <c r="AG848" s="343"/>
      <c r="AH848" s="343"/>
      <c r="AI848" s="343"/>
      <c r="AJ848" s="344"/>
      <c r="AK848" s="345"/>
      <c r="AL848" s="340"/>
      <c r="AM848" s="392"/>
      <c r="AN848" s="392"/>
      <c r="AO848" s="392"/>
      <c r="AP848" s="392"/>
      <c r="AQ848" s="392"/>
      <c r="AR848" s="392"/>
      <c r="AS848" s="392"/>
      <c r="AT848" s="392"/>
      <c r="AU848" s="392"/>
      <c r="AV848" s="392"/>
      <c r="AW848" s="392"/>
      <c r="AX848" s="392"/>
      <c r="AY848" s="392"/>
      <c r="AZ848" s="392"/>
      <c r="BA848" s="392"/>
      <c r="BB848" s="392"/>
      <c r="BC848" s="392"/>
      <c r="BD848" s="392"/>
      <c r="BE848" s="392"/>
      <c r="BF848" s="392"/>
      <c r="BG848" s="392"/>
      <c r="BH848" s="392"/>
      <c r="BI848" s="392"/>
      <c r="BJ848" s="392"/>
      <c r="BK848" s="392"/>
      <c r="BL848" s="392"/>
      <c r="BM848" s="342"/>
      <c r="BN848" s="356"/>
      <c r="BO848" s="356"/>
      <c r="BP848" s="356"/>
      <c r="BQ848" s="356"/>
      <c r="BR848" s="356"/>
      <c r="BS848" s="356"/>
      <c r="BT848" s="356"/>
      <c r="BU848" s="357"/>
      <c r="BV848" s="310"/>
      <c r="BW848" s="310"/>
      <c r="BX848" s="291">
        <f t="shared" si="55"/>
        <v>0</v>
      </c>
      <c r="BY848" s="344"/>
      <c r="BZ848" s="347"/>
      <c r="CA848" s="347"/>
    </row>
    <row r="849" spans="1:84" ht="12.95" hidden="1" customHeight="1" x14ac:dyDescent="0.25">
      <c r="A849" s="313"/>
      <c r="B849" s="340"/>
      <c r="C849" s="392"/>
      <c r="D849" s="392"/>
      <c r="E849" s="392"/>
      <c r="F849" s="392"/>
      <c r="G849" s="392"/>
      <c r="H849" s="392"/>
      <c r="I849" s="392"/>
      <c r="J849" s="392"/>
      <c r="K849" s="392"/>
      <c r="L849" s="392"/>
      <c r="M849" s="392"/>
      <c r="N849" s="392"/>
      <c r="O849" s="392"/>
      <c r="P849" s="392"/>
      <c r="Q849" s="392"/>
      <c r="R849" s="392"/>
      <c r="S849" s="392"/>
      <c r="T849" s="392"/>
      <c r="U849" s="392"/>
      <c r="V849" s="392"/>
      <c r="W849" s="393"/>
      <c r="X849" s="393"/>
      <c r="Y849" s="393"/>
      <c r="Z849" s="393"/>
      <c r="AA849" s="393"/>
      <c r="AB849" s="393"/>
      <c r="AC849" s="343"/>
      <c r="AD849" s="343"/>
      <c r="AE849" s="343"/>
      <c r="AF849" s="343"/>
      <c r="AG849" s="343"/>
      <c r="AH849" s="343"/>
      <c r="AI849" s="343"/>
      <c r="AJ849" s="344"/>
      <c r="AK849" s="345"/>
      <c r="AL849" s="340"/>
      <c r="AM849" s="392"/>
      <c r="AN849" s="392"/>
      <c r="AO849" s="392"/>
      <c r="AP849" s="392"/>
      <c r="AQ849" s="392"/>
      <c r="AR849" s="392"/>
      <c r="AS849" s="392"/>
      <c r="AT849" s="392"/>
      <c r="AU849" s="392"/>
      <c r="AV849" s="392"/>
      <c r="AW849" s="392"/>
      <c r="AX849" s="392"/>
      <c r="AY849" s="392"/>
      <c r="AZ849" s="392"/>
      <c r="BA849" s="392"/>
      <c r="BB849" s="392"/>
      <c r="BC849" s="392"/>
      <c r="BD849" s="392"/>
      <c r="BE849" s="392"/>
      <c r="BF849" s="392"/>
      <c r="BG849" s="392"/>
      <c r="BH849" s="392"/>
      <c r="BI849" s="392"/>
      <c r="BJ849" s="392"/>
      <c r="BK849" s="392"/>
      <c r="BL849" s="392"/>
      <c r="BM849" s="342"/>
      <c r="BN849" s="356"/>
      <c r="BO849" s="356"/>
      <c r="BP849" s="356"/>
      <c r="BQ849" s="356"/>
      <c r="BR849" s="356"/>
      <c r="BS849" s="356"/>
      <c r="BT849" s="356"/>
      <c r="BU849" s="357"/>
      <c r="BV849" s="310"/>
      <c r="BW849" s="310"/>
      <c r="BX849" s="291">
        <f t="shared" si="55"/>
        <v>0</v>
      </c>
      <c r="BY849" s="344"/>
      <c r="BZ849" s="347"/>
      <c r="CA849" s="347"/>
    </row>
    <row r="850" spans="1:84" ht="15" hidden="1" customHeight="1" x14ac:dyDescent="0.25">
      <c r="A850" s="313">
        <f>STT</f>
        <v>14</v>
      </c>
      <c r="B850" s="340" t="s">
        <v>345</v>
      </c>
      <c r="C850" s="341" t="s">
        <v>1062</v>
      </c>
      <c r="D850" s="341"/>
      <c r="E850" s="341"/>
      <c r="F850" s="341"/>
      <c r="G850" s="341"/>
      <c r="H850" s="341"/>
      <c r="I850" s="341"/>
      <c r="J850" s="341"/>
      <c r="K850" s="341"/>
      <c r="L850" s="341"/>
      <c r="M850" s="341"/>
      <c r="N850" s="341"/>
      <c r="O850" s="341"/>
      <c r="P850" s="341"/>
      <c r="Q850" s="341"/>
      <c r="R850" s="341"/>
      <c r="S850" s="341"/>
      <c r="T850" s="341"/>
      <c r="U850" s="342"/>
      <c r="V850" s="342"/>
      <c r="W850" s="343"/>
      <c r="X850" s="343"/>
      <c r="Y850" s="343"/>
      <c r="Z850" s="343"/>
      <c r="AA850" s="343"/>
      <c r="AB850" s="343"/>
      <c r="AC850" s="343"/>
      <c r="AD850" s="343"/>
      <c r="AE850" s="343"/>
      <c r="AF850" s="343"/>
      <c r="AG850" s="343"/>
      <c r="AH850" s="343"/>
      <c r="AI850" s="343"/>
      <c r="AJ850" s="344"/>
      <c r="AK850" s="345">
        <f>A850</f>
        <v>14</v>
      </c>
      <c r="AL850" s="340" t="s">
        <v>345</v>
      </c>
      <c r="AM850" s="341" t="s">
        <v>1063</v>
      </c>
      <c r="AN850" s="341"/>
      <c r="AO850" s="341"/>
      <c r="AP850" s="341"/>
      <c r="AQ850" s="341"/>
      <c r="AR850" s="341"/>
      <c r="AS850" s="341"/>
      <c r="AT850" s="341"/>
      <c r="AU850" s="341"/>
      <c r="AV850" s="341"/>
      <c r="AW850" s="341"/>
      <c r="AX850" s="341"/>
      <c r="AY850" s="341"/>
      <c r="AZ850" s="341"/>
      <c r="BA850" s="341"/>
      <c r="BB850" s="341"/>
      <c r="BC850" s="341"/>
      <c r="BD850" s="341"/>
      <c r="BE850" s="342"/>
      <c r="BF850" s="342"/>
      <c r="BG850" s="342"/>
      <c r="BH850" s="342"/>
      <c r="BI850" s="342"/>
      <c r="BJ850" s="342"/>
      <c r="BK850" s="342"/>
      <c r="BL850" s="342"/>
      <c r="BM850" s="342"/>
      <c r="BN850" s="342"/>
      <c r="BO850" s="342"/>
      <c r="BP850" s="342"/>
      <c r="BQ850" s="342"/>
      <c r="BR850" s="342"/>
      <c r="BS850" s="342"/>
      <c r="BT850" s="342"/>
      <c r="BU850" s="346">
        <f>SUBTOTAL(103,A850)</f>
        <v>0</v>
      </c>
      <c r="BV850" s="310"/>
      <c r="BW850" s="310"/>
      <c r="BX850" s="291">
        <f t="shared" si="55"/>
        <v>0</v>
      </c>
      <c r="BY850" s="344"/>
      <c r="BZ850" s="347"/>
      <c r="CA850" s="347"/>
    </row>
    <row r="851" spans="1:84" ht="12.95" hidden="1" customHeight="1" x14ac:dyDescent="0.25">
      <c r="A851" s="313"/>
      <c r="B851" s="340"/>
      <c r="C851" s="392"/>
      <c r="D851" s="392"/>
      <c r="E851" s="392"/>
      <c r="F851" s="392"/>
      <c r="G851" s="392"/>
      <c r="H851" s="392"/>
      <c r="I851" s="392"/>
      <c r="J851" s="392"/>
      <c r="K851" s="392"/>
      <c r="L851" s="392"/>
      <c r="M851" s="392"/>
      <c r="N851" s="392"/>
      <c r="O851" s="392"/>
      <c r="P851" s="392"/>
      <c r="Q851" s="392"/>
      <c r="R851" s="392"/>
      <c r="S851" s="392"/>
      <c r="T851" s="392"/>
      <c r="U851" s="392"/>
      <c r="V851" s="392"/>
      <c r="W851" s="393"/>
      <c r="X851" s="393"/>
      <c r="Y851" s="393"/>
      <c r="Z851" s="393"/>
      <c r="AA851" s="393"/>
      <c r="AB851" s="393"/>
      <c r="AC851" s="343"/>
      <c r="AD851" s="530"/>
      <c r="AE851" s="343"/>
      <c r="AF851" s="343"/>
      <c r="AG851" s="343"/>
      <c r="AH851" s="343"/>
      <c r="AI851" s="531"/>
      <c r="AJ851" s="344"/>
      <c r="AK851" s="345"/>
      <c r="AL851" s="340"/>
      <c r="AM851" s="392"/>
      <c r="AN851" s="392"/>
      <c r="AO851" s="392"/>
      <c r="AP851" s="392"/>
      <c r="AQ851" s="392"/>
      <c r="AR851" s="392"/>
      <c r="AS851" s="392"/>
      <c r="AT851" s="392"/>
      <c r="AU851" s="392"/>
      <c r="AV851" s="392"/>
      <c r="AW851" s="392"/>
      <c r="AX851" s="392"/>
      <c r="AY851" s="392"/>
      <c r="AZ851" s="392"/>
      <c r="BA851" s="392"/>
      <c r="BB851" s="392"/>
      <c r="BC851" s="392"/>
      <c r="BD851" s="392"/>
      <c r="BE851" s="392"/>
      <c r="BF851" s="392"/>
      <c r="BG851" s="392"/>
      <c r="BH851" s="392"/>
      <c r="BI851" s="392"/>
      <c r="BJ851" s="392"/>
      <c r="BK851" s="392"/>
      <c r="BL851" s="392"/>
      <c r="BM851" s="342"/>
      <c r="BN851" s="356"/>
      <c r="BO851" s="356"/>
      <c r="BP851" s="356"/>
      <c r="BQ851" s="356"/>
      <c r="BR851" s="356"/>
      <c r="BS851" s="531"/>
      <c r="BT851" s="356"/>
      <c r="BU851" s="357"/>
      <c r="BV851" s="310"/>
      <c r="BW851" s="310"/>
      <c r="BX851" s="291">
        <f t="shared" si="55"/>
        <v>0</v>
      </c>
      <c r="BY851" s="344"/>
      <c r="BZ851" s="347"/>
      <c r="CA851" s="347"/>
    </row>
    <row r="852" spans="1:84" ht="15" hidden="1" customHeight="1" x14ac:dyDescent="0.25">
      <c r="A852" s="313"/>
      <c r="B852" s="340"/>
      <c r="C852" s="471" t="s">
        <v>1064</v>
      </c>
      <c r="D852" s="392"/>
      <c r="E852" s="392"/>
      <c r="F852" s="392"/>
      <c r="G852" s="392"/>
      <c r="H852" s="392"/>
      <c r="I852" s="392"/>
      <c r="J852" s="392"/>
      <c r="K852" s="392"/>
      <c r="L852" s="392"/>
      <c r="M852" s="392"/>
      <c r="N852" s="392"/>
      <c r="O852" s="392"/>
      <c r="P852" s="392"/>
      <c r="Q852" s="392"/>
      <c r="R852" s="392"/>
      <c r="S852" s="392"/>
      <c r="T852" s="392"/>
      <c r="U852" s="392"/>
      <c r="V852" s="392"/>
      <c r="W852" s="393"/>
      <c r="X852" s="393"/>
      <c r="Y852" s="393"/>
      <c r="Z852" s="393"/>
      <c r="AA852" s="393"/>
      <c r="AB852" s="393"/>
      <c r="AC852" s="343"/>
      <c r="AD852" s="530"/>
      <c r="AE852" s="343"/>
      <c r="AF852" s="343"/>
      <c r="AG852" s="343"/>
      <c r="AH852" s="343"/>
      <c r="AI852" s="531"/>
      <c r="AJ852" s="344"/>
      <c r="AK852" s="345"/>
      <c r="AL852" s="340"/>
      <c r="AM852" s="471" t="s">
        <v>1065</v>
      </c>
      <c r="AN852" s="392"/>
      <c r="AO852" s="392"/>
      <c r="AP852" s="392"/>
      <c r="AQ852" s="392"/>
      <c r="AR852" s="392"/>
      <c r="AS852" s="392"/>
      <c r="AT852" s="392"/>
      <c r="AU852" s="392"/>
      <c r="AV852" s="392"/>
      <c r="AW852" s="392"/>
      <c r="AX852" s="392"/>
      <c r="AY852" s="392"/>
      <c r="AZ852" s="392"/>
      <c r="BA852" s="392"/>
      <c r="BB852" s="392"/>
      <c r="BC852" s="392"/>
      <c r="BD852" s="392"/>
      <c r="BE852" s="392"/>
      <c r="BF852" s="392"/>
      <c r="BG852" s="392"/>
      <c r="BH852" s="392"/>
      <c r="BI852" s="392"/>
      <c r="BJ852" s="392"/>
      <c r="BK852" s="392"/>
      <c r="BL852" s="392"/>
      <c r="BM852" s="342"/>
      <c r="BN852" s="356"/>
      <c r="BO852" s="356"/>
      <c r="BP852" s="356"/>
      <c r="BQ852" s="356"/>
      <c r="BR852" s="356"/>
      <c r="BS852" s="531"/>
      <c r="BT852" s="356"/>
      <c r="BU852" s="357"/>
      <c r="BV852" s="310"/>
      <c r="BW852" s="310"/>
      <c r="BX852" s="291">
        <f t="shared" si="55"/>
        <v>0</v>
      </c>
      <c r="BY852" s="344"/>
      <c r="BZ852" s="347"/>
      <c r="CA852" s="347"/>
    </row>
    <row r="853" spans="1:84" ht="12.95" hidden="1" customHeight="1" x14ac:dyDescent="0.25">
      <c r="A853" s="313"/>
      <c r="B853" s="340"/>
      <c r="C853" s="392"/>
      <c r="D853" s="392"/>
      <c r="E853" s="392"/>
      <c r="F853" s="392"/>
      <c r="G853" s="392"/>
      <c r="H853" s="392"/>
      <c r="I853" s="392"/>
      <c r="J853" s="392"/>
      <c r="K853" s="392"/>
      <c r="L853" s="392"/>
      <c r="M853" s="392"/>
      <c r="N853" s="392"/>
      <c r="O853" s="392"/>
      <c r="P853" s="392"/>
      <c r="Q853" s="392"/>
      <c r="R853" s="392"/>
      <c r="S853" s="392"/>
      <c r="T853" s="392"/>
      <c r="U853" s="392"/>
      <c r="V853" s="392"/>
      <c r="W853" s="393"/>
      <c r="X853" s="393"/>
      <c r="Y853" s="393"/>
      <c r="Z853" s="393"/>
      <c r="AA853" s="393"/>
      <c r="AB853" s="393"/>
      <c r="AC853" s="343"/>
      <c r="AD853" s="530"/>
      <c r="AE853" s="343"/>
      <c r="AF853" s="343"/>
      <c r="AG853" s="343"/>
      <c r="AH853" s="343"/>
      <c r="AI853" s="531"/>
      <c r="AJ853" s="344"/>
      <c r="AK853" s="345"/>
      <c r="AL853" s="340"/>
      <c r="AM853" s="392"/>
      <c r="AN853" s="392"/>
      <c r="AO853" s="392"/>
      <c r="AP853" s="392"/>
      <c r="AQ853" s="392"/>
      <c r="AR853" s="392"/>
      <c r="AS853" s="392"/>
      <c r="AT853" s="392"/>
      <c r="AU853" s="392"/>
      <c r="AV853" s="392"/>
      <c r="AW853" s="392"/>
      <c r="AX853" s="392"/>
      <c r="AY853" s="392"/>
      <c r="AZ853" s="392"/>
      <c r="BA853" s="392"/>
      <c r="BB853" s="392"/>
      <c r="BC853" s="392"/>
      <c r="BD853" s="392"/>
      <c r="BE853" s="392"/>
      <c r="BF853" s="392"/>
      <c r="BG853" s="392"/>
      <c r="BH853" s="392"/>
      <c r="BI853" s="392"/>
      <c r="BJ853" s="392"/>
      <c r="BK853" s="392"/>
      <c r="BL853" s="392"/>
      <c r="BM853" s="342"/>
      <c r="BN853" s="356"/>
      <c r="BO853" s="356"/>
      <c r="BP853" s="356"/>
      <c r="BQ853" s="356"/>
      <c r="BR853" s="356"/>
      <c r="BS853" s="531"/>
      <c r="BT853" s="356"/>
      <c r="BU853" s="357"/>
      <c r="BV853" s="310"/>
      <c r="BW853" s="310"/>
      <c r="BX853" s="291">
        <f t="shared" si="55"/>
        <v>0</v>
      </c>
      <c r="BY853" s="344"/>
      <c r="BZ853" s="347"/>
      <c r="CA853" s="347"/>
    </row>
    <row r="854" spans="1:84" ht="15" hidden="1" customHeight="1" x14ac:dyDescent="0.25">
      <c r="A854" s="313"/>
      <c r="B854" s="340"/>
      <c r="C854" s="532"/>
      <c r="D854" s="407"/>
      <c r="E854" s="407"/>
      <c r="F854" s="407"/>
      <c r="G854" s="407"/>
      <c r="H854" s="407"/>
      <c r="I854" s="1506" t="s">
        <v>493</v>
      </c>
      <c r="J854" s="1506"/>
      <c r="K854" s="1506"/>
      <c r="L854" s="1506"/>
      <c r="M854" s="1506"/>
      <c r="N854" s="1506"/>
      <c r="O854" s="533"/>
      <c r="P854" s="1506" t="s">
        <v>1066</v>
      </c>
      <c r="Q854" s="1506"/>
      <c r="R854" s="1506"/>
      <c r="S854" s="1506"/>
      <c r="T854" s="1506"/>
      <c r="U854" s="1506"/>
      <c r="V854" s="533"/>
      <c r="W854" s="1506" t="s">
        <v>1067</v>
      </c>
      <c r="X854" s="1506"/>
      <c r="Y854" s="1506"/>
      <c r="Z854" s="1506"/>
      <c r="AA854" s="1506"/>
      <c r="AB854" s="1506"/>
      <c r="AC854" s="534"/>
      <c r="AD854" s="1409" t="s">
        <v>1068</v>
      </c>
      <c r="AE854" s="1409"/>
      <c r="AF854" s="1409"/>
      <c r="AG854" s="1409"/>
      <c r="AH854" s="1409"/>
      <c r="AI854" s="1409"/>
      <c r="AJ854" s="344"/>
      <c r="AK854" s="345"/>
      <c r="AL854" s="340"/>
      <c r="AM854" s="532"/>
      <c r="AN854" s="407"/>
      <c r="AO854" s="407"/>
      <c r="AP854" s="407"/>
      <c r="AQ854" s="407"/>
      <c r="AR854" s="407"/>
      <c r="AS854" s="1506" t="s">
        <v>494</v>
      </c>
      <c r="AT854" s="1506"/>
      <c r="AU854" s="1506"/>
      <c r="AV854" s="1506"/>
      <c r="AW854" s="1506"/>
      <c r="AX854" s="1506"/>
      <c r="AY854" s="533"/>
      <c r="AZ854" s="1506" t="s">
        <v>480</v>
      </c>
      <c r="BA854" s="1506"/>
      <c r="BB854" s="1506"/>
      <c r="BC854" s="1506"/>
      <c r="BD854" s="1506"/>
      <c r="BE854" s="1506"/>
      <c r="BF854" s="533"/>
      <c r="BG854" s="1506" t="s">
        <v>1069</v>
      </c>
      <c r="BH854" s="1506"/>
      <c r="BI854" s="1506"/>
      <c r="BJ854" s="1506"/>
      <c r="BK854" s="1506"/>
      <c r="BL854" s="1506"/>
      <c r="BM854" s="535"/>
      <c r="BN854" s="1409" t="s">
        <v>753</v>
      </c>
      <c r="BO854" s="1409"/>
      <c r="BP854" s="1409"/>
      <c r="BQ854" s="1409"/>
      <c r="BR854" s="1409"/>
      <c r="BS854" s="1409"/>
      <c r="BT854" s="536"/>
      <c r="BU854" s="537"/>
      <c r="BV854" s="310"/>
      <c r="BW854" s="310"/>
      <c r="BX854" s="291">
        <f t="shared" si="55"/>
        <v>0</v>
      </c>
      <c r="BY854" s="344"/>
      <c r="BZ854" s="347"/>
      <c r="CA854" s="347"/>
    </row>
    <row r="855" spans="1:84" ht="15" hidden="1" customHeight="1" x14ac:dyDescent="0.25">
      <c r="A855" s="313"/>
      <c r="B855" s="340"/>
      <c r="C855" s="532"/>
      <c r="D855" s="407"/>
      <c r="E855" s="407"/>
      <c r="F855" s="407"/>
      <c r="G855" s="407"/>
      <c r="H855" s="407"/>
      <c r="I855" s="1505" t="str">
        <f>Don_Vi_Tinh_V</f>
        <v>VND</v>
      </c>
      <c r="J855" s="1505"/>
      <c r="K855" s="1505"/>
      <c r="L855" s="1505"/>
      <c r="M855" s="1505"/>
      <c r="N855" s="1505"/>
      <c r="O855" s="407"/>
      <c r="P855" s="1505" t="str">
        <f>Don_Vi_Tinh_V</f>
        <v>VND</v>
      </c>
      <c r="Q855" s="1505"/>
      <c r="R855" s="1505"/>
      <c r="S855" s="1505"/>
      <c r="T855" s="1505"/>
      <c r="U855" s="1505"/>
      <c r="V855" s="407"/>
      <c r="W855" s="1505" t="str">
        <f>Don_Vi_Tinh_V</f>
        <v>VND</v>
      </c>
      <c r="X855" s="1505"/>
      <c r="Y855" s="1505"/>
      <c r="Z855" s="1505"/>
      <c r="AA855" s="1505"/>
      <c r="AB855" s="1505"/>
      <c r="AC855" s="393"/>
      <c r="AD855" s="1505" t="str">
        <f>Don_Vi_Tinh_V</f>
        <v>VND</v>
      </c>
      <c r="AE855" s="1505"/>
      <c r="AF855" s="1505"/>
      <c r="AG855" s="1505"/>
      <c r="AH855" s="1505"/>
      <c r="AI855" s="1505"/>
      <c r="AJ855" s="344"/>
      <c r="AK855" s="345"/>
      <c r="AL855" s="340"/>
      <c r="AM855" s="532"/>
      <c r="AN855" s="407"/>
      <c r="AO855" s="407"/>
      <c r="AP855" s="407"/>
      <c r="AQ855" s="407"/>
      <c r="AR855" s="407"/>
      <c r="AS855" s="1505" t="str">
        <f>Don_Vi_Tinh_E</f>
        <v>VND</v>
      </c>
      <c r="AT855" s="1505"/>
      <c r="AU855" s="1505"/>
      <c r="AV855" s="1505"/>
      <c r="AW855" s="1505"/>
      <c r="AX855" s="1505"/>
      <c r="AY855" s="407"/>
      <c r="AZ855" s="1505" t="str">
        <f>Don_Vi_Tinh_E</f>
        <v>VND</v>
      </c>
      <c r="BA855" s="1505"/>
      <c r="BB855" s="1505"/>
      <c r="BC855" s="1505"/>
      <c r="BD855" s="1505"/>
      <c r="BE855" s="1505"/>
      <c r="BF855" s="407"/>
      <c r="BG855" s="1505" t="str">
        <f>Don_Vi_Tinh_E</f>
        <v>VND</v>
      </c>
      <c r="BH855" s="1505"/>
      <c r="BI855" s="1505"/>
      <c r="BJ855" s="1505"/>
      <c r="BK855" s="1505"/>
      <c r="BL855" s="1505"/>
      <c r="BM855" s="393"/>
      <c r="BN855" s="1505" t="str">
        <f>Don_Vi_Tinh_E</f>
        <v>VND</v>
      </c>
      <c r="BO855" s="1505"/>
      <c r="BP855" s="1505"/>
      <c r="BQ855" s="1505"/>
      <c r="BR855" s="1505"/>
      <c r="BS855" s="1505"/>
      <c r="BT855" s="536"/>
      <c r="BU855" s="537"/>
      <c r="BV855" s="310"/>
      <c r="BW855" s="310"/>
      <c r="BX855" s="291">
        <f t="shared" si="55"/>
        <v>0</v>
      </c>
      <c r="BY855" s="344"/>
      <c r="BZ855" s="347"/>
      <c r="CA855" s="347"/>
    </row>
    <row r="856" spans="1:84" ht="15" hidden="1" customHeight="1" x14ac:dyDescent="0.25">
      <c r="A856" s="313"/>
      <c r="B856" s="340"/>
      <c r="C856" s="538" t="s">
        <v>985</v>
      </c>
      <c r="D856" s="407"/>
      <c r="E856" s="407"/>
      <c r="F856" s="407"/>
      <c r="G856" s="407"/>
      <c r="H856" s="407"/>
      <c r="I856" s="1444"/>
      <c r="J856" s="1444"/>
      <c r="K856" s="1444"/>
      <c r="L856" s="1444"/>
      <c r="M856" s="1444"/>
      <c r="N856" s="1444"/>
      <c r="O856" s="493"/>
      <c r="P856" s="1444"/>
      <c r="Q856" s="1444"/>
      <c r="R856" s="1444"/>
      <c r="S856" s="1444"/>
      <c r="T856" s="1444"/>
      <c r="U856" s="1444"/>
      <c r="V856" s="493"/>
      <c r="W856" s="1444"/>
      <c r="X856" s="1444"/>
      <c r="Y856" s="1444"/>
      <c r="Z856" s="1444"/>
      <c r="AA856" s="1444"/>
      <c r="AB856" s="1444"/>
      <c r="AC856" s="493"/>
      <c r="AD856" s="1445"/>
      <c r="AE856" s="1445"/>
      <c r="AF856" s="1445"/>
      <c r="AG856" s="1445"/>
      <c r="AH856" s="1445"/>
      <c r="AI856" s="1445"/>
      <c r="AJ856" s="344"/>
      <c r="AK856" s="345"/>
      <c r="AL856" s="340"/>
      <c r="AM856" s="539" t="s">
        <v>764</v>
      </c>
      <c r="AN856" s="407"/>
      <c r="AO856" s="407"/>
      <c r="AP856" s="407"/>
      <c r="AQ856" s="407"/>
      <c r="AR856" s="407"/>
      <c r="AS856" s="1444"/>
      <c r="AT856" s="1444"/>
      <c r="AU856" s="1444"/>
      <c r="AV856" s="1444"/>
      <c r="AW856" s="1444"/>
      <c r="AX856" s="1444"/>
      <c r="AY856" s="493"/>
      <c r="AZ856" s="1444"/>
      <c r="BA856" s="1444"/>
      <c r="BB856" s="1444"/>
      <c r="BC856" s="1444"/>
      <c r="BD856" s="1444"/>
      <c r="BE856" s="1444"/>
      <c r="BF856" s="493"/>
      <c r="BG856" s="1444"/>
      <c r="BH856" s="1444"/>
      <c r="BI856" s="1444"/>
      <c r="BJ856" s="1444"/>
      <c r="BK856" s="1444"/>
      <c r="BL856" s="1444"/>
      <c r="BM856" s="493"/>
      <c r="BN856" s="1445"/>
      <c r="BO856" s="1445"/>
      <c r="BP856" s="1445"/>
      <c r="BQ856" s="1445"/>
      <c r="BR856" s="1445"/>
      <c r="BS856" s="1445"/>
      <c r="BT856" s="516"/>
      <c r="BU856" s="540"/>
      <c r="BV856" s="310"/>
      <c r="BW856" s="310"/>
      <c r="BX856" s="291">
        <f t="shared" si="55"/>
        <v>0</v>
      </c>
      <c r="BY856" s="344"/>
      <c r="BZ856" s="347"/>
      <c r="CA856" s="347"/>
    </row>
    <row r="857" spans="1:84" s="423" customFormat="1" ht="15" hidden="1" customHeight="1" x14ac:dyDescent="0.25">
      <c r="A857" s="313"/>
      <c r="B857" s="340"/>
      <c r="C857" s="541" t="s">
        <v>987</v>
      </c>
      <c r="D857" s="407"/>
      <c r="E857" s="407"/>
      <c r="F857" s="407"/>
      <c r="G857" s="407"/>
      <c r="H857" s="407"/>
      <c r="I857" s="1445">
        <v>0</v>
      </c>
      <c r="J857" s="1445"/>
      <c r="K857" s="1445"/>
      <c r="L857" s="1445"/>
      <c r="M857" s="1445"/>
      <c r="N857" s="1445"/>
      <c r="O857" s="487"/>
      <c r="P857" s="1445">
        <v>0</v>
      </c>
      <c r="Q857" s="1445"/>
      <c r="R857" s="1445"/>
      <c r="S857" s="1445"/>
      <c r="T857" s="1445"/>
      <c r="U857" s="1445"/>
      <c r="V857" s="487"/>
      <c r="W857" s="1445">
        <v>0</v>
      </c>
      <c r="X857" s="1445"/>
      <c r="Y857" s="1445"/>
      <c r="Z857" s="1445"/>
      <c r="AA857" s="1445"/>
      <c r="AB857" s="1445"/>
      <c r="AC857" s="487"/>
      <c r="AD857" s="1330">
        <f>SUM(I857:AB857)</f>
        <v>0</v>
      </c>
      <c r="AE857" s="1330"/>
      <c r="AF857" s="1330"/>
      <c r="AG857" s="1330"/>
      <c r="AH857" s="1330"/>
      <c r="AI857" s="1330"/>
      <c r="AJ857" s="342"/>
      <c r="AK857" s="345"/>
      <c r="AL857" s="340"/>
      <c r="AM857" s="542" t="s">
        <v>988</v>
      </c>
      <c r="AN857" s="407"/>
      <c r="AO857" s="407"/>
      <c r="AP857" s="407"/>
      <c r="AQ857" s="407"/>
      <c r="AR857" s="407"/>
      <c r="AS857" s="1445">
        <f>I857</f>
        <v>0</v>
      </c>
      <c r="AT857" s="1445"/>
      <c r="AU857" s="1445"/>
      <c r="AV857" s="1445"/>
      <c r="AW857" s="1445"/>
      <c r="AX857" s="1445"/>
      <c r="AY857" s="487"/>
      <c r="AZ857" s="1445">
        <f>P857</f>
        <v>0</v>
      </c>
      <c r="BA857" s="1445"/>
      <c r="BB857" s="1445"/>
      <c r="BC857" s="1445"/>
      <c r="BD857" s="1445"/>
      <c r="BE857" s="1445"/>
      <c r="BF857" s="487"/>
      <c r="BG857" s="1445">
        <f>W857</f>
        <v>0</v>
      </c>
      <c r="BH857" s="1445"/>
      <c r="BI857" s="1445"/>
      <c r="BJ857" s="1445"/>
      <c r="BK857" s="1445"/>
      <c r="BL857" s="1445"/>
      <c r="BM857" s="487"/>
      <c r="BN857" s="1318">
        <f>SUM(AS857:BL857)</f>
        <v>0</v>
      </c>
      <c r="BO857" s="1318"/>
      <c r="BP857" s="1318"/>
      <c r="BQ857" s="1318"/>
      <c r="BR857" s="1318"/>
      <c r="BS857" s="1318"/>
      <c r="BT857" s="342"/>
      <c r="BU857" s="346"/>
      <c r="BV857" s="310"/>
      <c r="BW857" s="310">
        <f>AD857-KT_2171</f>
        <v>0</v>
      </c>
      <c r="BX857" s="300">
        <f t="shared" si="55"/>
        <v>0</v>
      </c>
      <c r="BY857" s="342"/>
      <c r="BZ857" s="438"/>
      <c r="CA857" s="438"/>
      <c r="CB857" s="439"/>
      <c r="CC857" s="439"/>
      <c r="CD857" s="439"/>
      <c r="CE857" s="439"/>
      <c r="CF857" s="439"/>
    </row>
    <row r="858" spans="1:84" ht="15" hidden="1" customHeight="1" x14ac:dyDescent="0.25">
      <c r="A858" s="313"/>
      <c r="B858" s="340"/>
      <c r="C858" s="543" t="s">
        <v>989</v>
      </c>
      <c r="D858" s="407"/>
      <c r="E858" s="407"/>
      <c r="F858" s="407"/>
      <c r="G858" s="407"/>
      <c r="H858" s="407"/>
      <c r="I858" s="1444">
        <v>0</v>
      </c>
      <c r="J858" s="1444"/>
      <c r="K858" s="1444"/>
      <c r="L858" s="1444"/>
      <c r="M858" s="1444"/>
      <c r="N858" s="1444"/>
      <c r="O858" s="493"/>
      <c r="P858" s="1444">
        <v>0</v>
      </c>
      <c r="Q858" s="1444"/>
      <c r="R858" s="1444"/>
      <c r="S858" s="1444"/>
      <c r="T858" s="1444"/>
      <c r="U858" s="1444"/>
      <c r="V858" s="493"/>
      <c r="W858" s="1444">
        <v>0</v>
      </c>
      <c r="X858" s="1444"/>
      <c r="Y858" s="1444"/>
      <c r="Z858" s="1444"/>
      <c r="AA858" s="1444"/>
      <c r="AB858" s="1444"/>
      <c r="AC858" s="493"/>
      <c r="AD858" s="1499">
        <f>SUM(I858:AB858)</f>
        <v>0</v>
      </c>
      <c r="AE858" s="1499"/>
      <c r="AF858" s="1499"/>
      <c r="AG858" s="1499"/>
      <c r="AH858" s="1499"/>
      <c r="AI858" s="1499"/>
      <c r="AJ858" s="344"/>
      <c r="AK858" s="345"/>
      <c r="AL858" s="340"/>
      <c r="AM858" s="1504" t="s">
        <v>990</v>
      </c>
      <c r="AN858" s="1504"/>
      <c r="AO858" s="1504"/>
      <c r="AP858" s="1504"/>
      <c r="AQ858" s="1504"/>
      <c r="AR858" s="1504"/>
      <c r="AS858" s="1444">
        <f>I858</f>
        <v>0</v>
      </c>
      <c r="AT858" s="1444"/>
      <c r="AU858" s="1444"/>
      <c r="AV858" s="1444"/>
      <c r="AW858" s="1444"/>
      <c r="AX858" s="1444"/>
      <c r="AY858" s="493"/>
      <c r="AZ858" s="1444">
        <f>P858</f>
        <v>0</v>
      </c>
      <c r="BA858" s="1444"/>
      <c r="BB858" s="1444"/>
      <c r="BC858" s="1444"/>
      <c r="BD858" s="1444"/>
      <c r="BE858" s="1444"/>
      <c r="BF858" s="493"/>
      <c r="BG858" s="1444">
        <f>W858</f>
        <v>0</v>
      </c>
      <c r="BH858" s="1444"/>
      <c r="BI858" s="1444"/>
      <c r="BJ858" s="1444"/>
      <c r="BK858" s="1444"/>
      <c r="BL858" s="1444"/>
      <c r="BM858" s="493"/>
      <c r="BN858" s="1499">
        <f>SUM(AS858:BL858)</f>
        <v>0</v>
      </c>
      <c r="BO858" s="1499"/>
      <c r="BP858" s="1499"/>
      <c r="BQ858" s="1499"/>
      <c r="BR858" s="1499"/>
      <c r="BS858" s="1499"/>
      <c r="BT858" s="344"/>
      <c r="BU858" s="544"/>
      <c r="BV858" s="310"/>
      <c r="BW858" s="310"/>
      <c r="BX858" s="291">
        <f t="shared" si="55"/>
        <v>0</v>
      </c>
      <c r="BY858" s="344"/>
      <c r="BZ858" s="347"/>
      <c r="CA858" s="347"/>
    </row>
    <row r="859" spans="1:84" ht="15" hidden="1" customHeight="1" x14ac:dyDescent="0.25">
      <c r="A859" s="313"/>
      <c r="B859" s="340"/>
      <c r="C859" s="543" t="s">
        <v>993</v>
      </c>
      <c r="D859" s="407"/>
      <c r="E859" s="407"/>
      <c r="F859" s="407"/>
      <c r="G859" s="407"/>
      <c r="H859" s="407"/>
      <c r="I859" s="1444">
        <v>0</v>
      </c>
      <c r="J859" s="1444"/>
      <c r="K859" s="1444"/>
      <c r="L859" s="1444"/>
      <c r="M859" s="1444"/>
      <c r="N859" s="1444"/>
      <c r="O859" s="493"/>
      <c r="P859" s="1444">
        <v>0</v>
      </c>
      <c r="Q859" s="1444"/>
      <c r="R859" s="1444"/>
      <c r="S859" s="1444"/>
      <c r="T859" s="1444"/>
      <c r="U859" s="1444"/>
      <c r="V859" s="493"/>
      <c r="W859" s="1444">
        <v>0</v>
      </c>
      <c r="X859" s="1444"/>
      <c r="Y859" s="1444"/>
      <c r="Z859" s="1444"/>
      <c r="AA859" s="1444"/>
      <c r="AB859" s="1444"/>
      <c r="AC859" s="493"/>
      <c r="AD859" s="1499">
        <f>SUM(I859:AB859)</f>
        <v>0</v>
      </c>
      <c r="AE859" s="1499"/>
      <c r="AF859" s="1499"/>
      <c r="AG859" s="1499"/>
      <c r="AH859" s="1499"/>
      <c r="AI859" s="1499"/>
      <c r="AJ859" s="344"/>
      <c r="AK859" s="345"/>
      <c r="AL859" s="340"/>
      <c r="AM859" s="545" t="s">
        <v>994</v>
      </c>
      <c r="AN859" s="407"/>
      <c r="AO859" s="407"/>
      <c r="AP859" s="407"/>
      <c r="AQ859" s="407"/>
      <c r="AR859" s="407"/>
      <c r="AS859" s="1444">
        <f>I859</f>
        <v>0</v>
      </c>
      <c r="AT859" s="1444"/>
      <c r="AU859" s="1444"/>
      <c r="AV859" s="1444"/>
      <c r="AW859" s="1444"/>
      <c r="AX859" s="1444"/>
      <c r="AY859" s="493"/>
      <c r="AZ859" s="1444">
        <f>P859</f>
        <v>0</v>
      </c>
      <c r="BA859" s="1444"/>
      <c r="BB859" s="1444"/>
      <c r="BC859" s="1444"/>
      <c r="BD859" s="1444"/>
      <c r="BE859" s="1444"/>
      <c r="BF859" s="493"/>
      <c r="BG859" s="1444">
        <f>W859</f>
        <v>0</v>
      </c>
      <c r="BH859" s="1444"/>
      <c r="BI859" s="1444"/>
      <c r="BJ859" s="1444"/>
      <c r="BK859" s="1444"/>
      <c r="BL859" s="1444"/>
      <c r="BM859" s="493"/>
      <c r="BN859" s="1499">
        <f>SUM(AS859:BL859)</f>
        <v>0</v>
      </c>
      <c r="BO859" s="1499"/>
      <c r="BP859" s="1499"/>
      <c r="BQ859" s="1499"/>
      <c r="BR859" s="1499"/>
      <c r="BS859" s="1499"/>
      <c r="BT859" s="344"/>
      <c r="BU859" s="544"/>
      <c r="BV859" s="310"/>
      <c r="BW859" s="310"/>
      <c r="BX859" s="291">
        <f t="shared" si="55"/>
        <v>0</v>
      </c>
      <c r="BY859" s="344"/>
      <c r="BZ859" s="347"/>
      <c r="CA859" s="347"/>
    </row>
    <row r="860" spans="1:84" ht="27.95" hidden="1" customHeight="1" x14ac:dyDescent="0.25">
      <c r="A860" s="313"/>
      <c r="B860" s="340"/>
      <c r="C860" s="1502" t="s">
        <v>997</v>
      </c>
      <c r="D860" s="1502"/>
      <c r="E860" s="1502"/>
      <c r="F860" s="1502"/>
      <c r="G860" s="1502"/>
      <c r="H860" s="1502"/>
      <c r="I860" s="1444">
        <v>0</v>
      </c>
      <c r="J860" s="1444"/>
      <c r="K860" s="1444"/>
      <c r="L860" s="1444"/>
      <c r="M860" s="1444"/>
      <c r="N860" s="1444"/>
      <c r="O860" s="493"/>
      <c r="P860" s="1444">
        <v>0</v>
      </c>
      <c r="Q860" s="1444"/>
      <c r="R860" s="1444"/>
      <c r="S860" s="1444"/>
      <c r="T860" s="1444"/>
      <c r="U860" s="1444"/>
      <c r="V860" s="493"/>
      <c r="W860" s="1444">
        <v>0</v>
      </c>
      <c r="X860" s="1444"/>
      <c r="Y860" s="1444"/>
      <c r="Z860" s="1444"/>
      <c r="AA860" s="1444"/>
      <c r="AB860" s="1444"/>
      <c r="AC860" s="493"/>
      <c r="AD860" s="1499">
        <f>SUM(I860:AB860)</f>
        <v>0</v>
      </c>
      <c r="AE860" s="1499"/>
      <c r="AF860" s="1499"/>
      <c r="AG860" s="1499"/>
      <c r="AH860" s="1499"/>
      <c r="AI860" s="1499"/>
      <c r="AJ860" s="344"/>
      <c r="AK860" s="345"/>
      <c r="AL860" s="340"/>
      <c r="AM860" s="1503" t="s">
        <v>1070</v>
      </c>
      <c r="AN860" s="1503"/>
      <c r="AO860" s="1503"/>
      <c r="AP860" s="1503"/>
      <c r="AQ860" s="1503"/>
      <c r="AR860" s="1503"/>
      <c r="AS860" s="1444">
        <f>I860</f>
        <v>0</v>
      </c>
      <c r="AT860" s="1444"/>
      <c r="AU860" s="1444"/>
      <c r="AV860" s="1444"/>
      <c r="AW860" s="1444"/>
      <c r="AX860" s="1444"/>
      <c r="AY860" s="493"/>
      <c r="AZ860" s="1444">
        <f>P860</f>
        <v>0</v>
      </c>
      <c r="BA860" s="1444"/>
      <c r="BB860" s="1444"/>
      <c r="BC860" s="1444"/>
      <c r="BD860" s="1444"/>
      <c r="BE860" s="1444"/>
      <c r="BF860" s="493"/>
      <c r="BG860" s="1444">
        <f>W860</f>
        <v>0</v>
      </c>
      <c r="BH860" s="1444"/>
      <c r="BI860" s="1444"/>
      <c r="BJ860" s="1444"/>
      <c r="BK860" s="1444"/>
      <c r="BL860" s="1444"/>
      <c r="BM860" s="493"/>
      <c r="BN860" s="1499">
        <f>SUM(AS860:BL860)</f>
        <v>0</v>
      </c>
      <c r="BO860" s="1499"/>
      <c r="BP860" s="1499"/>
      <c r="BQ860" s="1499"/>
      <c r="BR860" s="1499"/>
      <c r="BS860" s="1499"/>
      <c r="BT860" s="344"/>
      <c r="BU860" s="544"/>
      <c r="BV860" s="310"/>
      <c r="BW860" s="310"/>
      <c r="BX860" s="291">
        <f t="shared" si="55"/>
        <v>0</v>
      </c>
      <c r="BY860" s="344"/>
      <c r="BZ860" s="347"/>
      <c r="CA860" s="347"/>
    </row>
    <row r="861" spans="1:84" ht="15" hidden="1" customHeight="1" x14ac:dyDescent="0.25">
      <c r="A861" s="313"/>
      <c r="B861" s="340"/>
      <c r="C861" s="543" t="s">
        <v>999</v>
      </c>
      <c r="D861" s="407"/>
      <c r="E861" s="407"/>
      <c r="F861" s="407"/>
      <c r="G861" s="407"/>
      <c r="H861" s="407"/>
      <c r="I861" s="1444">
        <v>0</v>
      </c>
      <c r="J861" s="1444"/>
      <c r="K861" s="1444"/>
      <c r="L861" s="1444"/>
      <c r="M861" s="1444"/>
      <c r="N861" s="1444"/>
      <c r="O861" s="493"/>
      <c r="P861" s="1444">
        <v>0</v>
      </c>
      <c r="Q861" s="1444"/>
      <c r="R861" s="1444"/>
      <c r="S861" s="1444"/>
      <c r="T861" s="1444"/>
      <c r="U861" s="1444"/>
      <c r="V861" s="493"/>
      <c r="W861" s="1444">
        <v>0</v>
      </c>
      <c r="X861" s="1444"/>
      <c r="Y861" s="1444"/>
      <c r="Z861" s="1444"/>
      <c r="AA861" s="1444"/>
      <c r="AB861" s="1444"/>
      <c r="AC861" s="493"/>
      <c r="AD861" s="1499">
        <f>SUM(I861:AB861)</f>
        <v>0</v>
      </c>
      <c r="AE861" s="1499"/>
      <c r="AF861" s="1499"/>
      <c r="AG861" s="1499"/>
      <c r="AH861" s="1499"/>
      <c r="AI861" s="1499"/>
      <c r="AJ861" s="344"/>
      <c r="AK861" s="345"/>
      <c r="AL861" s="340"/>
      <c r="AM861" s="545" t="s">
        <v>1000</v>
      </c>
      <c r="AN861" s="407"/>
      <c r="AO861" s="407"/>
      <c r="AP861" s="407"/>
      <c r="AQ861" s="407"/>
      <c r="AR861" s="407"/>
      <c r="AS861" s="1444">
        <f>I861</f>
        <v>0</v>
      </c>
      <c r="AT861" s="1444"/>
      <c r="AU861" s="1444"/>
      <c r="AV861" s="1444"/>
      <c r="AW861" s="1444"/>
      <c r="AX861" s="1444"/>
      <c r="AY861" s="493"/>
      <c r="AZ861" s="1444">
        <f>P861</f>
        <v>0</v>
      </c>
      <c r="BA861" s="1444"/>
      <c r="BB861" s="1444"/>
      <c r="BC861" s="1444"/>
      <c r="BD861" s="1444"/>
      <c r="BE861" s="1444"/>
      <c r="BF861" s="493"/>
      <c r="BG861" s="1444">
        <f>W861</f>
        <v>0</v>
      </c>
      <c r="BH861" s="1444"/>
      <c r="BI861" s="1444"/>
      <c r="BJ861" s="1444"/>
      <c r="BK861" s="1444"/>
      <c r="BL861" s="1444"/>
      <c r="BM861" s="493"/>
      <c r="BN861" s="1499">
        <f>SUM(AS861:BL861)</f>
        <v>0</v>
      </c>
      <c r="BO861" s="1499"/>
      <c r="BP861" s="1499"/>
      <c r="BQ861" s="1499"/>
      <c r="BR861" s="1499"/>
      <c r="BS861" s="1499"/>
      <c r="BT861" s="344"/>
      <c r="BU861" s="544"/>
      <c r="BV861" s="310"/>
      <c r="BW861" s="310"/>
      <c r="BX861" s="291">
        <f t="shared" si="55"/>
        <v>0</v>
      </c>
      <c r="BY861" s="344"/>
      <c r="BZ861" s="347"/>
      <c r="CA861" s="347"/>
    </row>
    <row r="862" spans="1:84" ht="15" hidden="1" customHeight="1" thickBot="1" x14ac:dyDescent="0.3">
      <c r="A862" s="313"/>
      <c r="B862" s="340"/>
      <c r="C862" s="538" t="s">
        <v>1001</v>
      </c>
      <c r="D862" s="407"/>
      <c r="E862" s="407"/>
      <c r="F862" s="407"/>
      <c r="G862" s="407"/>
      <c r="H862" s="407"/>
      <c r="I862" s="1439">
        <f>SUBTOTAL(109,I857:N861)</f>
        <v>0</v>
      </c>
      <c r="J862" s="1439"/>
      <c r="K862" s="1439"/>
      <c r="L862" s="1439"/>
      <c r="M862" s="1439"/>
      <c r="N862" s="1439"/>
      <c r="O862" s="487"/>
      <c r="P862" s="1439">
        <f>SUBTOTAL(109,P857:U861)</f>
        <v>0</v>
      </c>
      <c r="Q862" s="1439"/>
      <c r="R862" s="1439"/>
      <c r="S862" s="1439"/>
      <c r="T862" s="1439"/>
      <c r="U862" s="1439"/>
      <c r="V862" s="487"/>
      <c r="W862" s="1439">
        <f>SUBTOTAL(109,W857:AB861)</f>
        <v>0</v>
      </c>
      <c r="X862" s="1439"/>
      <c r="Y862" s="1439"/>
      <c r="Z862" s="1439"/>
      <c r="AA862" s="1439"/>
      <c r="AB862" s="1439"/>
      <c r="AC862" s="487"/>
      <c r="AD862" s="1439">
        <f>SUBTOTAL(109,AD857:AI861)</f>
        <v>0</v>
      </c>
      <c r="AE862" s="1439"/>
      <c r="AF862" s="1439"/>
      <c r="AG862" s="1439"/>
      <c r="AH862" s="1439"/>
      <c r="AI862" s="1439"/>
      <c r="AJ862" s="344"/>
      <c r="AK862" s="345"/>
      <c r="AL862" s="340"/>
      <c r="AM862" s="1501" t="s">
        <v>1007</v>
      </c>
      <c r="AN862" s="1501"/>
      <c r="AO862" s="1501"/>
      <c r="AP862" s="1501"/>
      <c r="AQ862" s="1501"/>
      <c r="AR862" s="1501"/>
      <c r="AS862" s="1439">
        <f>SUBTOTAL(109,AS857:AX861)</f>
        <v>0</v>
      </c>
      <c r="AT862" s="1439"/>
      <c r="AU862" s="1439"/>
      <c r="AV862" s="1439"/>
      <c r="AW862" s="1439"/>
      <c r="AX862" s="1439"/>
      <c r="AY862" s="487"/>
      <c r="AZ862" s="1439">
        <f>SUBTOTAL(109,AZ857:BE861)</f>
        <v>0</v>
      </c>
      <c r="BA862" s="1439"/>
      <c r="BB862" s="1439"/>
      <c r="BC862" s="1439"/>
      <c r="BD862" s="1439"/>
      <c r="BE862" s="1439"/>
      <c r="BF862" s="487"/>
      <c r="BG862" s="1439">
        <f>SUBTOTAL(109,BG857:BL861)</f>
        <v>0</v>
      </c>
      <c r="BH862" s="1439"/>
      <c r="BI862" s="1439"/>
      <c r="BJ862" s="1439"/>
      <c r="BK862" s="1439"/>
      <c r="BL862" s="1439"/>
      <c r="BM862" s="487"/>
      <c r="BN862" s="1439">
        <f>SUBTOTAL(109,BN857:BS861)</f>
        <v>0</v>
      </c>
      <c r="BO862" s="1439"/>
      <c r="BP862" s="1439"/>
      <c r="BQ862" s="1439"/>
      <c r="BR862" s="1439"/>
      <c r="BS862" s="1439"/>
      <c r="BT862" s="344"/>
      <c r="BU862" s="544"/>
      <c r="BV862" s="310">
        <f>AD862-KN_2171</f>
        <v>0</v>
      </c>
      <c r="BW862" s="310"/>
      <c r="BX862" s="291">
        <f t="shared" si="55"/>
        <v>0</v>
      </c>
      <c r="BY862" s="344"/>
      <c r="BZ862" s="347"/>
      <c r="CA862" s="347"/>
    </row>
    <row r="863" spans="1:84" ht="15" hidden="1" customHeight="1" thickTop="1" x14ac:dyDescent="0.25">
      <c r="A863" s="313"/>
      <c r="B863" s="340"/>
      <c r="C863" s="541"/>
      <c r="D863" s="407"/>
      <c r="E863" s="407"/>
      <c r="F863" s="407"/>
      <c r="G863" s="407"/>
      <c r="H863" s="407"/>
      <c r="I863" s="1444"/>
      <c r="J863" s="1444"/>
      <c r="K863" s="1444"/>
      <c r="L863" s="1444"/>
      <c r="M863" s="1444"/>
      <c r="N863" s="1444"/>
      <c r="O863" s="493"/>
      <c r="P863" s="1444"/>
      <c r="Q863" s="1444"/>
      <c r="R863" s="1444"/>
      <c r="S863" s="1444"/>
      <c r="T863" s="1444"/>
      <c r="U863" s="1444"/>
      <c r="V863" s="493"/>
      <c r="W863" s="1444"/>
      <c r="X863" s="1444"/>
      <c r="Y863" s="1444"/>
      <c r="Z863" s="1444"/>
      <c r="AA863" s="1444"/>
      <c r="AB863" s="1444"/>
      <c r="AC863" s="493"/>
      <c r="AD863" s="1499"/>
      <c r="AE863" s="1499"/>
      <c r="AF863" s="1499"/>
      <c r="AG863" s="1499"/>
      <c r="AH863" s="1499"/>
      <c r="AI863" s="1499"/>
      <c r="AJ863" s="344"/>
      <c r="AK863" s="345"/>
      <c r="AL863" s="340"/>
      <c r="AM863" s="542"/>
      <c r="AN863" s="407"/>
      <c r="AO863" s="407"/>
      <c r="AP863" s="407"/>
      <c r="AQ863" s="407"/>
      <c r="AR863" s="407"/>
      <c r="AS863" s="1444"/>
      <c r="AT863" s="1444"/>
      <c r="AU863" s="1444"/>
      <c r="AV863" s="1444"/>
      <c r="AW863" s="1444"/>
      <c r="AX863" s="1444"/>
      <c r="AY863" s="493"/>
      <c r="AZ863" s="1444"/>
      <c r="BA863" s="1444"/>
      <c r="BB863" s="1444"/>
      <c r="BC863" s="1444"/>
      <c r="BD863" s="1444"/>
      <c r="BE863" s="1444"/>
      <c r="BF863" s="493"/>
      <c r="BG863" s="1444"/>
      <c r="BH863" s="1444"/>
      <c r="BI863" s="1444"/>
      <c r="BJ863" s="1444"/>
      <c r="BK863" s="1444"/>
      <c r="BL863" s="1444"/>
      <c r="BM863" s="493"/>
      <c r="BN863" s="1499"/>
      <c r="BO863" s="1499"/>
      <c r="BP863" s="1499"/>
      <c r="BQ863" s="1499"/>
      <c r="BR863" s="1499"/>
      <c r="BS863" s="1499"/>
      <c r="BT863" s="344"/>
      <c r="BU863" s="544"/>
      <c r="BV863" s="310"/>
      <c r="BW863" s="310"/>
      <c r="BX863" s="291">
        <f t="shared" si="55"/>
        <v>0</v>
      </c>
      <c r="BY863" s="344"/>
      <c r="BZ863" s="347"/>
      <c r="CA863" s="347"/>
    </row>
    <row r="864" spans="1:84" ht="15" hidden="1" customHeight="1" x14ac:dyDescent="0.25">
      <c r="A864" s="313"/>
      <c r="B864" s="340"/>
      <c r="C864" s="538" t="s">
        <v>1003</v>
      </c>
      <c r="D864" s="407"/>
      <c r="E864" s="407"/>
      <c r="F864" s="407"/>
      <c r="G864" s="407"/>
      <c r="H864" s="407"/>
      <c r="I864" s="493"/>
      <c r="J864" s="493"/>
      <c r="K864" s="493"/>
      <c r="L864" s="493"/>
      <c r="M864" s="493"/>
      <c r="N864" s="493"/>
      <c r="O864" s="493"/>
      <c r="P864" s="1444"/>
      <c r="Q864" s="1444"/>
      <c r="R864" s="1444"/>
      <c r="S864" s="1444"/>
      <c r="T864" s="1444"/>
      <c r="U864" s="1444"/>
      <c r="V864" s="493"/>
      <c r="W864" s="1444"/>
      <c r="X864" s="1444"/>
      <c r="Y864" s="1444"/>
      <c r="Z864" s="1444"/>
      <c r="AA864" s="1444"/>
      <c r="AB864" s="1444"/>
      <c r="AC864" s="493"/>
      <c r="AD864" s="1499"/>
      <c r="AE864" s="1499"/>
      <c r="AF864" s="1499"/>
      <c r="AG864" s="1499"/>
      <c r="AH864" s="1499"/>
      <c r="AI864" s="1499"/>
      <c r="AJ864" s="344"/>
      <c r="AK864" s="345"/>
      <c r="AL864" s="340"/>
      <c r="AM864" s="539" t="s">
        <v>1004</v>
      </c>
      <c r="AN864" s="407"/>
      <c r="AO864" s="407"/>
      <c r="AP864" s="407"/>
      <c r="AQ864" s="407"/>
      <c r="AR864" s="407"/>
      <c r="AS864" s="493"/>
      <c r="AT864" s="493"/>
      <c r="AU864" s="493"/>
      <c r="AV864" s="493"/>
      <c r="AW864" s="493"/>
      <c r="AX864" s="493"/>
      <c r="AY864" s="493"/>
      <c r="AZ864" s="1444"/>
      <c r="BA864" s="1444"/>
      <c r="BB864" s="1444"/>
      <c r="BC864" s="1444"/>
      <c r="BD864" s="1444"/>
      <c r="BE864" s="1444"/>
      <c r="BF864" s="493"/>
      <c r="BG864" s="1444"/>
      <c r="BH864" s="1444"/>
      <c r="BI864" s="1444"/>
      <c r="BJ864" s="1444"/>
      <c r="BK864" s="1444"/>
      <c r="BL864" s="1444"/>
      <c r="BM864" s="493"/>
      <c r="BN864" s="1499"/>
      <c r="BO864" s="1499"/>
      <c r="BP864" s="1499"/>
      <c r="BQ864" s="1499"/>
      <c r="BR864" s="1499"/>
      <c r="BS864" s="1499"/>
      <c r="BT864" s="516"/>
      <c r="BU864" s="540"/>
      <c r="BV864" s="310"/>
      <c r="BW864" s="310"/>
      <c r="BX864" s="291">
        <f t="shared" si="55"/>
        <v>0</v>
      </c>
      <c r="BY864" s="344"/>
      <c r="BZ864" s="347"/>
      <c r="CA864" s="347"/>
    </row>
    <row r="865" spans="1:84" s="423" customFormat="1" ht="15" hidden="1" customHeight="1" x14ac:dyDescent="0.25">
      <c r="A865" s="313"/>
      <c r="B865" s="340"/>
      <c r="C865" s="541" t="s">
        <v>987</v>
      </c>
      <c r="D865" s="407"/>
      <c r="E865" s="407"/>
      <c r="F865" s="407"/>
      <c r="G865" s="407"/>
      <c r="H865" s="407"/>
      <c r="I865" s="1445">
        <v>0</v>
      </c>
      <c r="J865" s="1445"/>
      <c r="K865" s="1445"/>
      <c r="L865" s="1445"/>
      <c r="M865" s="1445"/>
      <c r="N865" s="1445"/>
      <c r="O865" s="487"/>
      <c r="P865" s="1445">
        <v>0</v>
      </c>
      <c r="Q865" s="1445"/>
      <c r="R865" s="1445"/>
      <c r="S865" s="1445"/>
      <c r="T865" s="1445"/>
      <c r="U865" s="1445"/>
      <c r="V865" s="487"/>
      <c r="W865" s="1445">
        <v>0</v>
      </c>
      <c r="X865" s="1445"/>
      <c r="Y865" s="1445"/>
      <c r="Z865" s="1445"/>
      <c r="AA865" s="1445"/>
      <c r="AB865" s="1445"/>
      <c r="AC865" s="487"/>
      <c r="AD865" s="1330">
        <f>SUM(I865:AB865)</f>
        <v>0</v>
      </c>
      <c r="AE865" s="1330"/>
      <c r="AF865" s="1330"/>
      <c r="AG865" s="1330"/>
      <c r="AH865" s="1330"/>
      <c r="AI865" s="1330"/>
      <c r="AJ865" s="342"/>
      <c r="AK865" s="345"/>
      <c r="AL865" s="340"/>
      <c r="AM865" s="542" t="s">
        <v>988</v>
      </c>
      <c r="AN865" s="407"/>
      <c r="AO865" s="407"/>
      <c r="AP865" s="407"/>
      <c r="AQ865" s="407"/>
      <c r="AR865" s="407"/>
      <c r="AS865" s="1444">
        <f>I865</f>
        <v>0</v>
      </c>
      <c r="AT865" s="1444"/>
      <c r="AU865" s="1444"/>
      <c r="AV865" s="1444"/>
      <c r="AW865" s="1444"/>
      <c r="AX865" s="1444"/>
      <c r="AY865" s="487"/>
      <c r="AZ865" s="1444">
        <f>P865</f>
        <v>0</v>
      </c>
      <c r="BA865" s="1444"/>
      <c r="BB865" s="1444"/>
      <c r="BC865" s="1444"/>
      <c r="BD865" s="1444"/>
      <c r="BE865" s="1444"/>
      <c r="BF865" s="487"/>
      <c r="BG865" s="1444">
        <f>W865</f>
        <v>0</v>
      </c>
      <c r="BH865" s="1444"/>
      <c r="BI865" s="1444"/>
      <c r="BJ865" s="1444"/>
      <c r="BK865" s="1444"/>
      <c r="BL865" s="1444"/>
      <c r="BM865" s="487"/>
      <c r="BN865" s="1330">
        <f>SUM(AS865:BL865)</f>
        <v>0</v>
      </c>
      <c r="BO865" s="1330"/>
      <c r="BP865" s="1330"/>
      <c r="BQ865" s="1330"/>
      <c r="BR865" s="1330"/>
      <c r="BS865" s="1330"/>
      <c r="BT865" s="342"/>
      <c r="BU865" s="346"/>
      <c r="BV865" s="310"/>
      <c r="BW865" s="310">
        <f>AD865+KT_CT232</f>
        <v>0</v>
      </c>
      <c r="BX865" s="300">
        <f t="shared" si="55"/>
        <v>0</v>
      </c>
      <c r="BY865" s="342"/>
      <c r="BZ865" s="438"/>
      <c r="CA865" s="438"/>
      <c r="CB865" s="439"/>
      <c r="CC865" s="439"/>
      <c r="CD865" s="439"/>
      <c r="CE865" s="439"/>
      <c r="CF865" s="439"/>
    </row>
    <row r="866" spans="1:84" ht="15" hidden="1" customHeight="1" x14ac:dyDescent="0.25">
      <c r="A866" s="313"/>
      <c r="B866" s="340"/>
      <c r="C866" s="1502" t="s">
        <v>1005</v>
      </c>
      <c r="D866" s="1502"/>
      <c r="E866" s="1502"/>
      <c r="F866" s="1502"/>
      <c r="G866" s="1502"/>
      <c r="H866" s="1502"/>
      <c r="I866" s="1444">
        <v>0</v>
      </c>
      <c r="J866" s="1444"/>
      <c r="K866" s="1444"/>
      <c r="L866" s="1444"/>
      <c r="M866" s="1444"/>
      <c r="N866" s="1444"/>
      <c r="O866" s="493"/>
      <c r="P866" s="1444">
        <v>0</v>
      </c>
      <c r="Q866" s="1444"/>
      <c r="R866" s="1444"/>
      <c r="S866" s="1444"/>
      <c r="T866" s="1444"/>
      <c r="U866" s="1444"/>
      <c r="V866" s="493"/>
      <c r="W866" s="1444">
        <v>0</v>
      </c>
      <c r="X866" s="1444"/>
      <c r="Y866" s="1444"/>
      <c r="Z866" s="1444"/>
      <c r="AA866" s="1444"/>
      <c r="AB866" s="1444"/>
      <c r="AC866" s="493"/>
      <c r="AD866" s="1499">
        <f>SUM(I866:AB866)</f>
        <v>0</v>
      </c>
      <c r="AE866" s="1499"/>
      <c r="AF866" s="1499"/>
      <c r="AG866" s="1499"/>
      <c r="AH866" s="1499"/>
      <c r="AI866" s="1499"/>
      <c r="AJ866" s="344"/>
      <c r="AK866" s="345"/>
      <c r="AL866" s="340"/>
      <c r="AM866" s="1503" t="s">
        <v>1071</v>
      </c>
      <c r="AN866" s="1503"/>
      <c r="AO866" s="1503"/>
      <c r="AP866" s="1503"/>
      <c r="AQ866" s="1503"/>
      <c r="AR866" s="1503"/>
      <c r="AS866" s="1444">
        <f>I866</f>
        <v>0</v>
      </c>
      <c r="AT866" s="1444"/>
      <c r="AU866" s="1444"/>
      <c r="AV866" s="1444"/>
      <c r="AW866" s="1444"/>
      <c r="AX866" s="1444"/>
      <c r="AY866" s="493"/>
      <c r="AZ866" s="1444">
        <f>P866</f>
        <v>0</v>
      </c>
      <c r="BA866" s="1444"/>
      <c r="BB866" s="1444"/>
      <c r="BC866" s="1444"/>
      <c r="BD866" s="1444"/>
      <c r="BE866" s="1444"/>
      <c r="BF866" s="493"/>
      <c r="BG866" s="1444">
        <f>W866</f>
        <v>0</v>
      </c>
      <c r="BH866" s="1444"/>
      <c r="BI866" s="1444"/>
      <c r="BJ866" s="1444"/>
      <c r="BK866" s="1444"/>
      <c r="BL866" s="1444"/>
      <c r="BM866" s="493"/>
      <c r="BN866" s="1499">
        <f>SUM(AS866:BL866)</f>
        <v>0</v>
      </c>
      <c r="BO866" s="1499"/>
      <c r="BP866" s="1499"/>
      <c r="BQ866" s="1499"/>
      <c r="BR866" s="1499"/>
      <c r="BS866" s="1499"/>
      <c r="BT866" s="516"/>
      <c r="BU866" s="540"/>
      <c r="BV866" s="310"/>
      <c r="BW866" s="310"/>
      <c r="BX866" s="291">
        <f t="shared" si="55"/>
        <v>0</v>
      </c>
      <c r="BY866" s="344"/>
      <c r="BZ866" s="347"/>
      <c r="CA866" s="347"/>
    </row>
    <row r="867" spans="1:84" ht="15" hidden="1" customHeight="1" x14ac:dyDescent="0.25">
      <c r="A867" s="313"/>
      <c r="B867" s="340"/>
      <c r="C867" s="543" t="s">
        <v>993</v>
      </c>
      <c r="D867" s="407"/>
      <c r="E867" s="407"/>
      <c r="F867" s="407"/>
      <c r="G867" s="407"/>
      <c r="H867" s="407"/>
      <c r="I867" s="1444">
        <v>0</v>
      </c>
      <c r="J867" s="1444"/>
      <c r="K867" s="1444"/>
      <c r="L867" s="1444"/>
      <c r="M867" s="1444"/>
      <c r="N867" s="1444"/>
      <c r="O867" s="493"/>
      <c r="P867" s="1444">
        <v>0</v>
      </c>
      <c r="Q867" s="1444"/>
      <c r="R867" s="1444"/>
      <c r="S867" s="1444"/>
      <c r="T867" s="1444"/>
      <c r="U867" s="1444"/>
      <c r="V867" s="493"/>
      <c r="W867" s="1444">
        <v>0</v>
      </c>
      <c r="X867" s="1444"/>
      <c r="Y867" s="1444"/>
      <c r="Z867" s="1444"/>
      <c r="AA867" s="1444"/>
      <c r="AB867" s="1444"/>
      <c r="AC867" s="493"/>
      <c r="AD867" s="1499">
        <f>SUM(I867:AB867)</f>
        <v>0</v>
      </c>
      <c r="AE867" s="1499"/>
      <c r="AF867" s="1499"/>
      <c r="AG867" s="1499"/>
      <c r="AH867" s="1499"/>
      <c r="AI867" s="1499"/>
      <c r="AJ867" s="344"/>
      <c r="AK867" s="345"/>
      <c r="AL867" s="340"/>
      <c r="AM867" s="545" t="s">
        <v>994</v>
      </c>
      <c r="AN867" s="407"/>
      <c r="AO867" s="407"/>
      <c r="AP867" s="407"/>
      <c r="AQ867" s="407"/>
      <c r="AR867" s="407"/>
      <c r="AS867" s="1444">
        <f>I867</f>
        <v>0</v>
      </c>
      <c r="AT867" s="1444"/>
      <c r="AU867" s="1444"/>
      <c r="AV867" s="1444"/>
      <c r="AW867" s="1444"/>
      <c r="AX867" s="1444"/>
      <c r="AY867" s="493"/>
      <c r="AZ867" s="1444">
        <f>P867</f>
        <v>0</v>
      </c>
      <c r="BA867" s="1444"/>
      <c r="BB867" s="1444"/>
      <c r="BC867" s="1444"/>
      <c r="BD867" s="1444"/>
      <c r="BE867" s="1444"/>
      <c r="BF867" s="493"/>
      <c r="BG867" s="1444">
        <f>W867</f>
        <v>0</v>
      </c>
      <c r="BH867" s="1444"/>
      <c r="BI867" s="1444"/>
      <c r="BJ867" s="1444"/>
      <c r="BK867" s="1444"/>
      <c r="BL867" s="1444"/>
      <c r="BM867" s="493"/>
      <c r="BN867" s="1499">
        <f>SUM(AS867:BL867)</f>
        <v>0</v>
      </c>
      <c r="BO867" s="1499"/>
      <c r="BP867" s="1499"/>
      <c r="BQ867" s="1499"/>
      <c r="BR867" s="1499"/>
      <c r="BS867" s="1499"/>
      <c r="BT867" s="516"/>
      <c r="BU867" s="540"/>
      <c r="BV867" s="310"/>
      <c r="BW867" s="310"/>
      <c r="BX867" s="291">
        <f t="shared" si="55"/>
        <v>0</v>
      </c>
      <c r="BY867" s="344"/>
      <c r="BZ867" s="347"/>
      <c r="CA867" s="347"/>
    </row>
    <row r="868" spans="1:84" ht="27.95" hidden="1" customHeight="1" x14ac:dyDescent="0.25">
      <c r="A868" s="313"/>
      <c r="B868" s="340"/>
      <c r="C868" s="1507" t="s">
        <v>997</v>
      </c>
      <c r="D868" s="1507"/>
      <c r="E868" s="1507"/>
      <c r="F868" s="1507"/>
      <c r="G868" s="1507"/>
      <c r="H868" s="1507"/>
      <c r="I868" s="1444">
        <v>0</v>
      </c>
      <c r="J868" s="1444"/>
      <c r="K868" s="1444"/>
      <c r="L868" s="1444"/>
      <c r="M868" s="1444"/>
      <c r="N868" s="1444"/>
      <c r="O868" s="493"/>
      <c r="P868" s="1444">
        <v>0</v>
      </c>
      <c r="Q868" s="1444"/>
      <c r="R868" s="1444"/>
      <c r="S868" s="1444"/>
      <c r="T868" s="1444"/>
      <c r="U868" s="1444"/>
      <c r="V868" s="493"/>
      <c r="W868" s="1444">
        <v>0</v>
      </c>
      <c r="X868" s="1444"/>
      <c r="Y868" s="1444"/>
      <c r="Z868" s="1444"/>
      <c r="AA868" s="1444"/>
      <c r="AB868" s="1444"/>
      <c r="AC868" s="493"/>
      <c r="AD868" s="1499">
        <f>SUM(I868:AB868)</f>
        <v>0</v>
      </c>
      <c r="AE868" s="1499"/>
      <c r="AF868" s="1499"/>
      <c r="AG868" s="1499"/>
      <c r="AH868" s="1499"/>
      <c r="AI868" s="1499"/>
      <c r="AJ868" s="344"/>
      <c r="AK868" s="345"/>
      <c r="AL868" s="340"/>
      <c r="AM868" s="1507" t="s">
        <v>1070</v>
      </c>
      <c r="AN868" s="1507"/>
      <c r="AO868" s="1507"/>
      <c r="AP868" s="1507"/>
      <c r="AQ868" s="1507"/>
      <c r="AR868" s="1507"/>
      <c r="AS868" s="1444">
        <f>I868</f>
        <v>0</v>
      </c>
      <c r="AT868" s="1444"/>
      <c r="AU868" s="1444"/>
      <c r="AV868" s="1444"/>
      <c r="AW868" s="1444"/>
      <c r="AX868" s="1444"/>
      <c r="AY868" s="493"/>
      <c r="AZ868" s="1444">
        <f>P868</f>
        <v>0</v>
      </c>
      <c r="BA868" s="1444"/>
      <c r="BB868" s="1444"/>
      <c r="BC868" s="1444"/>
      <c r="BD868" s="1444"/>
      <c r="BE868" s="1444"/>
      <c r="BF868" s="493"/>
      <c r="BG868" s="1444">
        <f>W868</f>
        <v>0</v>
      </c>
      <c r="BH868" s="1444"/>
      <c r="BI868" s="1444"/>
      <c r="BJ868" s="1444"/>
      <c r="BK868" s="1444"/>
      <c r="BL868" s="1444"/>
      <c r="BM868" s="493"/>
      <c r="BN868" s="1499">
        <f>SUM(AS868:BL868)</f>
        <v>0</v>
      </c>
      <c r="BO868" s="1499"/>
      <c r="BP868" s="1499"/>
      <c r="BQ868" s="1499"/>
      <c r="BR868" s="1499"/>
      <c r="BS868" s="1499"/>
      <c r="BT868" s="356"/>
      <c r="BU868" s="357"/>
      <c r="BV868" s="310"/>
      <c r="BW868" s="310"/>
      <c r="BX868" s="291">
        <f t="shared" si="55"/>
        <v>0</v>
      </c>
      <c r="BY868" s="344"/>
      <c r="BZ868" s="347"/>
      <c r="CA868" s="347"/>
    </row>
    <row r="869" spans="1:84" ht="15" hidden="1" customHeight="1" x14ac:dyDescent="0.25">
      <c r="A869" s="313"/>
      <c r="B869" s="340"/>
      <c r="C869" s="456" t="s">
        <v>999</v>
      </c>
      <c r="D869" s="392"/>
      <c r="E869" s="392"/>
      <c r="F869" s="392"/>
      <c r="G869" s="392"/>
      <c r="H869" s="392"/>
      <c r="I869" s="1444">
        <v>0</v>
      </c>
      <c r="J869" s="1444"/>
      <c r="K869" s="1444"/>
      <c r="L869" s="1444"/>
      <c r="M869" s="1444"/>
      <c r="N869" s="1444"/>
      <c r="O869" s="493"/>
      <c r="P869" s="1444">
        <v>0</v>
      </c>
      <c r="Q869" s="1444"/>
      <c r="R869" s="1444"/>
      <c r="S869" s="1444"/>
      <c r="T869" s="1444"/>
      <c r="U869" s="1444"/>
      <c r="V869" s="493"/>
      <c r="W869" s="1444">
        <v>0</v>
      </c>
      <c r="X869" s="1444"/>
      <c r="Y869" s="1444"/>
      <c r="Z869" s="1444"/>
      <c r="AA869" s="1444"/>
      <c r="AB869" s="1444"/>
      <c r="AC869" s="493"/>
      <c r="AD869" s="1499">
        <f>SUM(I869:AB869)</f>
        <v>0</v>
      </c>
      <c r="AE869" s="1499"/>
      <c r="AF869" s="1499"/>
      <c r="AG869" s="1499"/>
      <c r="AH869" s="1499"/>
      <c r="AI869" s="1499"/>
      <c r="AJ869" s="344"/>
      <c r="AK869" s="345"/>
      <c r="AL869" s="340"/>
      <c r="AM869" s="456" t="s">
        <v>1000</v>
      </c>
      <c r="AN869" s="392"/>
      <c r="AO869" s="392"/>
      <c r="AP869" s="392"/>
      <c r="AQ869" s="392"/>
      <c r="AR869" s="392"/>
      <c r="AS869" s="1444">
        <f>I869</f>
        <v>0</v>
      </c>
      <c r="AT869" s="1444"/>
      <c r="AU869" s="1444"/>
      <c r="AV869" s="1444"/>
      <c r="AW869" s="1444"/>
      <c r="AX869" s="1444"/>
      <c r="AY869" s="493"/>
      <c r="AZ869" s="1444">
        <f>P869</f>
        <v>0</v>
      </c>
      <c r="BA869" s="1444"/>
      <c r="BB869" s="1444"/>
      <c r="BC869" s="1444"/>
      <c r="BD869" s="1444"/>
      <c r="BE869" s="1444"/>
      <c r="BF869" s="493"/>
      <c r="BG869" s="1444">
        <f>W869</f>
        <v>0</v>
      </c>
      <c r="BH869" s="1444"/>
      <c r="BI869" s="1444"/>
      <c r="BJ869" s="1444"/>
      <c r="BK869" s="1444"/>
      <c r="BL869" s="1444"/>
      <c r="BM869" s="493"/>
      <c r="BN869" s="1499">
        <f>SUM(AS869:BL869)</f>
        <v>0</v>
      </c>
      <c r="BO869" s="1499"/>
      <c r="BP869" s="1499"/>
      <c r="BQ869" s="1499"/>
      <c r="BR869" s="1499"/>
      <c r="BS869" s="1499"/>
      <c r="BT869" s="356"/>
      <c r="BU869" s="357"/>
      <c r="BV869" s="310"/>
      <c r="BW869" s="310"/>
      <c r="BX869" s="291">
        <f t="shared" si="55"/>
        <v>0</v>
      </c>
      <c r="BY869" s="344"/>
      <c r="BZ869" s="347"/>
      <c r="CA869" s="347"/>
    </row>
    <row r="870" spans="1:84" ht="15" hidden="1" customHeight="1" thickBot="1" x14ac:dyDescent="0.3">
      <c r="A870" s="313"/>
      <c r="B870" s="340"/>
      <c r="C870" s="471" t="s">
        <v>1001</v>
      </c>
      <c r="D870" s="392"/>
      <c r="E870" s="392"/>
      <c r="F870" s="392"/>
      <c r="G870" s="392"/>
      <c r="H870" s="392"/>
      <c r="I870" s="1439">
        <f>SUBTOTAL(109,I865:N869)</f>
        <v>0</v>
      </c>
      <c r="J870" s="1439"/>
      <c r="K870" s="1439"/>
      <c r="L870" s="1439"/>
      <c r="M870" s="1439"/>
      <c r="N870" s="1439"/>
      <c r="O870" s="487"/>
      <c r="P870" s="1439">
        <f>SUBTOTAL(109,P865:U869)</f>
        <v>0</v>
      </c>
      <c r="Q870" s="1439"/>
      <c r="R870" s="1439"/>
      <c r="S870" s="1439"/>
      <c r="T870" s="1439"/>
      <c r="U870" s="1439"/>
      <c r="V870" s="487"/>
      <c r="W870" s="1439">
        <f>SUBTOTAL(109,W865:AB869)</f>
        <v>0</v>
      </c>
      <c r="X870" s="1439"/>
      <c r="Y870" s="1439"/>
      <c r="Z870" s="1439"/>
      <c r="AA870" s="1439"/>
      <c r="AB870" s="1439"/>
      <c r="AC870" s="487"/>
      <c r="AD870" s="1439">
        <f>SUBTOTAL(109,AD865:AI869)</f>
        <v>0</v>
      </c>
      <c r="AE870" s="1439"/>
      <c r="AF870" s="1439"/>
      <c r="AG870" s="1439"/>
      <c r="AH870" s="1439"/>
      <c r="AI870" s="1439"/>
      <c r="AJ870" s="344"/>
      <c r="AK870" s="345"/>
      <c r="AL870" s="340"/>
      <c r="AM870" s="1501" t="s">
        <v>1007</v>
      </c>
      <c r="AN870" s="1501"/>
      <c r="AO870" s="1501"/>
      <c r="AP870" s="1501"/>
      <c r="AQ870" s="1501"/>
      <c r="AR870" s="1501"/>
      <c r="AS870" s="1439">
        <f>SUBTOTAL(109,AS865:AX869)</f>
        <v>0</v>
      </c>
      <c r="AT870" s="1439"/>
      <c r="AU870" s="1439"/>
      <c r="AV870" s="1439"/>
      <c r="AW870" s="1439"/>
      <c r="AX870" s="1439"/>
      <c r="AY870" s="487"/>
      <c r="AZ870" s="1439">
        <f>SUBTOTAL(109,AZ865:BE869)</f>
        <v>0</v>
      </c>
      <c r="BA870" s="1439"/>
      <c r="BB870" s="1439"/>
      <c r="BC870" s="1439"/>
      <c r="BD870" s="1439"/>
      <c r="BE870" s="1439"/>
      <c r="BF870" s="487"/>
      <c r="BG870" s="1439">
        <f>SUBTOTAL(109,BG865:BL869)</f>
        <v>0</v>
      </c>
      <c r="BH870" s="1439"/>
      <c r="BI870" s="1439"/>
      <c r="BJ870" s="1439"/>
      <c r="BK870" s="1439"/>
      <c r="BL870" s="1439"/>
      <c r="BM870" s="487"/>
      <c r="BN870" s="1439">
        <f>SUBTOTAL(109,BN865:BS869)</f>
        <v>0</v>
      </c>
      <c r="BO870" s="1439"/>
      <c r="BP870" s="1439"/>
      <c r="BQ870" s="1439"/>
      <c r="BR870" s="1439"/>
      <c r="BS870" s="1439"/>
      <c r="BT870" s="356"/>
      <c r="BU870" s="357"/>
      <c r="BV870" s="310">
        <f>AD870+KN_CT232</f>
        <v>0</v>
      </c>
      <c r="BW870" s="310"/>
      <c r="BX870" s="291">
        <f t="shared" si="55"/>
        <v>0</v>
      </c>
      <c r="BY870" s="344"/>
      <c r="BZ870" s="347"/>
      <c r="CA870" s="347"/>
    </row>
    <row r="871" spans="1:84" ht="15" hidden="1" customHeight="1" thickTop="1" x14ac:dyDescent="0.25">
      <c r="A871" s="369"/>
      <c r="B871" s="354"/>
      <c r="C871" s="392"/>
      <c r="D871" s="392"/>
      <c r="E871" s="392"/>
      <c r="F871" s="392"/>
      <c r="G871" s="392"/>
      <c r="H871" s="392"/>
      <c r="I871" s="1444"/>
      <c r="J871" s="1444"/>
      <c r="K871" s="1444"/>
      <c r="L871" s="1444"/>
      <c r="M871" s="1444"/>
      <c r="N871" s="1444"/>
      <c r="O871" s="493"/>
      <c r="P871" s="1444"/>
      <c r="Q871" s="1444"/>
      <c r="R871" s="1444"/>
      <c r="S871" s="1444"/>
      <c r="T871" s="1444"/>
      <c r="U871" s="1444"/>
      <c r="V871" s="493"/>
      <c r="W871" s="1444"/>
      <c r="X871" s="1444"/>
      <c r="Y871" s="1444"/>
      <c r="Z871" s="1444"/>
      <c r="AA871" s="1444"/>
      <c r="AB871" s="1444"/>
      <c r="AC871" s="493"/>
      <c r="AD871" s="1499"/>
      <c r="AE871" s="1499"/>
      <c r="AF871" s="1499"/>
      <c r="AG871" s="1499"/>
      <c r="AH871" s="1499"/>
      <c r="AI871" s="1499"/>
      <c r="AJ871" s="344"/>
      <c r="AK871" s="419"/>
      <c r="AL871" s="354"/>
      <c r="AM871" s="392"/>
      <c r="AN871" s="392"/>
      <c r="AO871" s="392"/>
      <c r="AP871" s="392"/>
      <c r="AQ871" s="392"/>
      <c r="AR871" s="392"/>
      <c r="AS871" s="1444"/>
      <c r="AT871" s="1444"/>
      <c r="AU871" s="1444"/>
      <c r="AV871" s="1444"/>
      <c r="AW871" s="1444"/>
      <c r="AX871" s="1444"/>
      <c r="AY871" s="493"/>
      <c r="AZ871" s="1444"/>
      <c r="BA871" s="1444"/>
      <c r="BB871" s="1444"/>
      <c r="BC871" s="1444"/>
      <c r="BD871" s="1444"/>
      <c r="BE871" s="1444"/>
      <c r="BF871" s="493"/>
      <c r="BG871" s="1444"/>
      <c r="BH871" s="1444"/>
      <c r="BI871" s="1444"/>
      <c r="BJ871" s="1444"/>
      <c r="BK871" s="1444"/>
      <c r="BL871" s="1444"/>
      <c r="BM871" s="493"/>
      <c r="BN871" s="1499"/>
      <c r="BO871" s="1499"/>
      <c r="BP871" s="1499"/>
      <c r="BQ871" s="1499"/>
      <c r="BR871" s="1499"/>
      <c r="BS871" s="1499"/>
      <c r="BT871" s="356"/>
      <c r="BU871" s="357"/>
      <c r="BV871" s="310"/>
      <c r="BW871" s="310"/>
      <c r="BX871" s="291">
        <f t="shared" si="55"/>
        <v>0</v>
      </c>
      <c r="BY871" s="344"/>
      <c r="BZ871" s="347"/>
      <c r="CA871" s="347"/>
    </row>
    <row r="872" spans="1:84" s="423" customFormat="1" ht="15" hidden="1" customHeight="1" x14ac:dyDescent="0.25">
      <c r="A872" s="369"/>
      <c r="B872" s="354"/>
      <c r="C872" s="471" t="s">
        <v>1008</v>
      </c>
      <c r="D872" s="392"/>
      <c r="E872" s="392"/>
      <c r="F872" s="392"/>
      <c r="G872" s="392"/>
      <c r="H872" s="392"/>
      <c r="I872" s="1444"/>
      <c r="J872" s="1444"/>
      <c r="K872" s="1444"/>
      <c r="L872" s="1444"/>
      <c r="M872" s="1444"/>
      <c r="N872" s="1444"/>
      <c r="O872" s="493"/>
      <c r="P872" s="1444"/>
      <c r="Q872" s="1444"/>
      <c r="R872" s="1444"/>
      <c r="S872" s="1444"/>
      <c r="T872" s="1444"/>
      <c r="U872" s="1444"/>
      <c r="V872" s="493"/>
      <c r="W872" s="1444"/>
      <c r="X872" s="1444"/>
      <c r="Y872" s="1444"/>
      <c r="Z872" s="1444"/>
      <c r="AA872" s="1444"/>
      <c r="AB872" s="1444"/>
      <c r="AC872" s="493"/>
      <c r="AD872" s="1318"/>
      <c r="AE872" s="1318"/>
      <c r="AF872" s="1318"/>
      <c r="AG872" s="1318"/>
      <c r="AH872" s="1318"/>
      <c r="AI872" s="1318"/>
      <c r="AJ872" s="342"/>
      <c r="AK872" s="419"/>
      <c r="AL872" s="354"/>
      <c r="AM872" s="471" t="s">
        <v>1009</v>
      </c>
      <c r="AN872" s="471"/>
      <c r="AO872" s="471"/>
      <c r="AP872" s="471"/>
      <c r="AQ872" s="471"/>
      <c r="AR872" s="471"/>
      <c r="AS872" s="493"/>
      <c r="AT872" s="493"/>
      <c r="AU872" s="493"/>
      <c r="AV872" s="493"/>
      <c r="AW872" s="493"/>
      <c r="AX872" s="493"/>
      <c r="AY872" s="493"/>
      <c r="AZ872" s="1444"/>
      <c r="BA872" s="1444"/>
      <c r="BB872" s="1444"/>
      <c r="BC872" s="1444"/>
      <c r="BD872" s="1444"/>
      <c r="BE872" s="1444"/>
      <c r="BF872" s="493"/>
      <c r="BG872" s="1444"/>
      <c r="BH872" s="1444"/>
      <c r="BI872" s="1444"/>
      <c r="BJ872" s="1444"/>
      <c r="BK872" s="1444"/>
      <c r="BL872" s="1444"/>
      <c r="BM872" s="493"/>
      <c r="BN872" s="1318"/>
      <c r="BO872" s="1318"/>
      <c r="BP872" s="1318"/>
      <c r="BQ872" s="1318"/>
      <c r="BR872" s="1318"/>
      <c r="BS872" s="1318"/>
      <c r="BT872" s="356"/>
      <c r="BU872" s="357"/>
      <c r="BV872" s="310"/>
      <c r="BW872" s="310"/>
      <c r="BX872" s="300">
        <f t="shared" si="55"/>
        <v>0</v>
      </c>
      <c r="BY872" s="342"/>
      <c r="BZ872" s="438"/>
      <c r="CA872" s="438"/>
      <c r="CB872" s="439"/>
      <c r="CC872" s="439"/>
      <c r="CD872" s="439"/>
      <c r="CE872" s="439"/>
      <c r="CF872" s="439"/>
    </row>
    <row r="873" spans="1:84" s="423" customFormat="1" ht="15" hidden="1" customHeight="1" x14ac:dyDescent="0.25">
      <c r="A873" s="369"/>
      <c r="B873" s="354"/>
      <c r="C873" s="392" t="s">
        <v>1010</v>
      </c>
      <c r="D873" s="392"/>
      <c r="E873" s="392"/>
      <c r="F873" s="392"/>
      <c r="G873" s="392"/>
      <c r="H873" s="392"/>
      <c r="I873" s="1444">
        <f>I857-I865</f>
        <v>0</v>
      </c>
      <c r="J873" s="1444"/>
      <c r="K873" s="1444"/>
      <c r="L873" s="1444"/>
      <c r="M873" s="1444"/>
      <c r="N873" s="1444"/>
      <c r="O873" s="493"/>
      <c r="P873" s="1444">
        <f>P857-P865</f>
        <v>0</v>
      </c>
      <c r="Q873" s="1444"/>
      <c r="R873" s="1444"/>
      <c r="S873" s="1444"/>
      <c r="T873" s="1444"/>
      <c r="U873" s="1444"/>
      <c r="V873" s="493"/>
      <c r="W873" s="1444">
        <f>W857-W865</f>
        <v>0</v>
      </c>
      <c r="X873" s="1444"/>
      <c r="Y873" s="1444"/>
      <c r="Z873" s="1444"/>
      <c r="AA873" s="1444"/>
      <c r="AB873" s="1444"/>
      <c r="AC873" s="493"/>
      <c r="AD873" s="1318">
        <f>AD857-AD865</f>
        <v>0</v>
      </c>
      <c r="AE873" s="1318"/>
      <c r="AF873" s="1318"/>
      <c r="AG873" s="1318"/>
      <c r="AH873" s="1318"/>
      <c r="AI873" s="1318"/>
      <c r="AJ873" s="342"/>
      <c r="AK873" s="419"/>
      <c r="AL873" s="354"/>
      <c r="AM873" s="1500" t="s">
        <v>1011</v>
      </c>
      <c r="AN873" s="1500"/>
      <c r="AO873" s="1500"/>
      <c r="AP873" s="1500"/>
      <c r="AQ873" s="1500"/>
      <c r="AR873" s="1500"/>
      <c r="AS873" s="1444">
        <f>AS857-AS865</f>
        <v>0</v>
      </c>
      <c r="AT873" s="1444"/>
      <c r="AU873" s="1444"/>
      <c r="AV873" s="1444"/>
      <c r="AW873" s="1444"/>
      <c r="AX873" s="1444"/>
      <c r="AY873" s="493"/>
      <c r="AZ873" s="1444">
        <f>AZ857-AZ865</f>
        <v>0</v>
      </c>
      <c r="BA873" s="1444"/>
      <c r="BB873" s="1444"/>
      <c r="BC873" s="1444"/>
      <c r="BD873" s="1444"/>
      <c r="BE873" s="1444"/>
      <c r="BF873" s="493"/>
      <c r="BG873" s="1444">
        <f>BG857-BG865</f>
        <v>0</v>
      </c>
      <c r="BH873" s="1444"/>
      <c r="BI873" s="1444"/>
      <c r="BJ873" s="1444"/>
      <c r="BK873" s="1444"/>
      <c r="BL873" s="1444"/>
      <c r="BM873" s="493"/>
      <c r="BN873" s="1318">
        <f>BN857-BN865</f>
        <v>0</v>
      </c>
      <c r="BO873" s="1318"/>
      <c r="BP873" s="1318"/>
      <c r="BQ873" s="1318"/>
      <c r="BR873" s="1318"/>
      <c r="BS873" s="1318"/>
      <c r="BT873" s="356"/>
      <c r="BU873" s="357"/>
      <c r="BV873" s="310"/>
      <c r="BW873" s="310"/>
      <c r="BX873" s="300">
        <f t="shared" si="55"/>
        <v>0</v>
      </c>
      <c r="BY873" s="342"/>
      <c r="BZ873" s="438"/>
      <c r="CA873" s="438"/>
      <c r="CB873" s="439"/>
      <c r="CC873" s="439"/>
      <c r="CD873" s="439"/>
      <c r="CE873" s="439"/>
      <c r="CF873" s="439"/>
    </row>
    <row r="874" spans="1:84" s="451" customFormat="1" ht="15" hidden="1" customHeight="1" thickBot="1" x14ac:dyDescent="0.3">
      <c r="A874" s="313"/>
      <c r="B874" s="340"/>
      <c r="C874" s="471" t="s">
        <v>1012</v>
      </c>
      <c r="D874" s="471"/>
      <c r="E874" s="471"/>
      <c r="F874" s="471"/>
      <c r="G874" s="471"/>
      <c r="H874" s="471"/>
      <c r="I874" s="1439">
        <f>I862-I870</f>
        <v>0</v>
      </c>
      <c r="J874" s="1439"/>
      <c r="K874" s="1439"/>
      <c r="L874" s="1439"/>
      <c r="M874" s="1439"/>
      <c r="N874" s="1439"/>
      <c r="O874" s="487"/>
      <c r="P874" s="1439">
        <f>P862-P870</f>
        <v>0</v>
      </c>
      <c r="Q874" s="1439"/>
      <c r="R874" s="1439"/>
      <c r="S874" s="1439"/>
      <c r="T874" s="1439"/>
      <c r="U874" s="1439"/>
      <c r="V874" s="487"/>
      <c r="W874" s="1439">
        <f>W862-W870</f>
        <v>0</v>
      </c>
      <c r="X874" s="1439"/>
      <c r="Y874" s="1439"/>
      <c r="Z874" s="1439"/>
      <c r="AA874" s="1439"/>
      <c r="AB874" s="1439"/>
      <c r="AC874" s="487"/>
      <c r="AD874" s="1359">
        <f>AD862-AD870</f>
        <v>0</v>
      </c>
      <c r="AE874" s="1359"/>
      <c r="AF874" s="1359"/>
      <c r="AG874" s="1359"/>
      <c r="AH874" s="1359"/>
      <c r="AI874" s="1359"/>
      <c r="AJ874" s="341"/>
      <c r="AK874" s="345"/>
      <c r="AL874" s="340"/>
      <c r="AM874" s="471" t="s">
        <v>1013</v>
      </c>
      <c r="AN874" s="471"/>
      <c r="AO874" s="471"/>
      <c r="AP874" s="471"/>
      <c r="AQ874" s="471"/>
      <c r="AR874" s="471"/>
      <c r="AS874" s="1439">
        <f>AS862-AS870</f>
        <v>0</v>
      </c>
      <c r="AT874" s="1439"/>
      <c r="AU874" s="1439"/>
      <c r="AV874" s="1439"/>
      <c r="AW874" s="1439"/>
      <c r="AX874" s="1439"/>
      <c r="AY874" s="487"/>
      <c r="AZ874" s="1439">
        <f>AZ862-AZ870</f>
        <v>0</v>
      </c>
      <c r="BA874" s="1439"/>
      <c r="BB874" s="1439"/>
      <c r="BC874" s="1439"/>
      <c r="BD874" s="1439"/>
      <c r="BE874" s="1439"/>
      <c r="BF874" s="487"/>
      <c r="BG874" s="1439">
        <f>BG862-BG870</f>
        <v>0</v>
      </c>
      <c r="BH874" s="1439"/>
      <c r="BI874" s="1439"/>
      <c r="BJ874" s="1439"/>
      <c r="BK874" s="1439"/>
      <c r="BL874" s="1439"/>
      <c r="BM874" s="487"/>
      <c r="BN874" s="1439">
        <f>BN862-BN870</f>
        <v>0</v>
      </c>
      <c r="BO874" s="1439"/>
      <c r="BP874" s="1439"/>
      <c r="BQ874" s="1439"/>
      <c r="BR874" s="1439"/>
      <c r="BS874" s="1439"/>
      <c r="BT874" s="361"/>
      <c r="BU874" s="362"/>
      <c r="BV874" s="310"/>
      <c r="BW874" s="310"/>
      <c r="BX874" s="300">
        <f t="shared" si="55"/>
        <v>0</v>
      </c>
      <c r="BY874" s="341"/>
      <c r="BZ874" s="431"/>
      <c r="CA874" s="431"/>
      <c r="CB874" s="450"/>
      <c r="CC874" s="450"/>
      <c r="CD874" s="450"/>
      <c r="CE874" s="450"/>
      <c r="CF874" s="450"/>
    </row>
    <row r="875" spans="1:84" ht="15" hidden="1" customHeight="1" thickTop="1" x14ac:dyDescent="0.25">
      <c r="A875" s="369"/>
      <c r="B875" s="354"/>
      <c r="C875" s="392"/>
      <c r="D875" s="392"/>
      <c r="E875" s="392"/>
      <c r="F875" s="392"/>
      <c r="G875" s="392"/>
      <c r="H875" s="392"/>
      <c r="I875" s="484"/>
      <c r="J875" s="484"/>
      <c r="K875" s="484"/>
      <c r="L875" s="484"/>
      <c r="M875" s="484"/>
      <c r="N875" s="484"/>
      <c r="O875" s="484"/>
      <c r="P875" s="484"/>
      <c r="Q875" s="484"/>
      <c r="R875" s="484"/>
      <c r="S875" s="484"/>
      <c r="T875" s="484"/>
      <c r="U875" s="484"/>
      <c r="V875" s="484"/>
      <c r="W875" s="484"/>
      <c r="X875" s="484"/>
      <c r="Y875" s="484"/>
      <c r="Z875" s="484"/>
      <c r="AA875" s="484"/>
      <c r="AB875" s="484"/>
      <c r="AC875" s="484"/>
      <c r="AD875" s="546"/>
      <c r="AE875" s="546"/>
      <c r="AF875" s="546"/>
      <c r="AG875" s="546"/>
      <c r="AH875" s="546"/>
      <c r="AI875" s="546"/>
      <c r="AJ875" s="344"/>
      <c r="AK875" s="419"/>
      <c r="AL875" s="354"/>
      <c r="AM875" s="471"/>
      <c r="AN875" s="392"/>
      <c r="AO875" s="392"/>
      <c r="AP875" s="392"/>
      <c r="AQ875" s="392"/>
      <c r="AR875" s="392"/>
      <c r="AS875" s="499"/>
      <c r="AT875" s="499"/>
      <c r="AU875" s="499"/>
      <c r="AV875" s="499"/>
      <c r="AW875" s="499"/>
      <c r="AX875" s="499"/>
      <c r="AY875" s="499"/>
      <c r="AZ875" s="499"/>
      <c r="BA875" s="499"/>
      <c r="BB875" s="499"/>
      <c r="BC875" s="499"/>
      <c r="BD875" s="499"/>
      <c r="BE875" s="499"/>
      <c r="BF875" s="499"/>
      <c r="BG875" s="499"/>
      <c r="BH875" s="499"/>
      <c r="BI875" s="499"/>
      <c r="BJ875" s="499"/>
      <c r="BK875" s="499"/>
      <c r="BL875" s="499"/>
      <c r="BM875" s="499"/>
      <c r="BN875" s="546"/>
      <c r="BO875" s="546"/>
      <c r="BP875" s="546"/>
      <c r="BQ875" s="546"/>
      <c r="BR875" s="546"/>
      <c r="BS875" s="546"/>
      <c r="BT875" s="356"/>
      <c r="BU875" s="357"/>
      <c r="BV875" s="310"/>
      <c r="BW875" s="310"/>
      <c r="BX875" s="291">
        <f t="shared" si="55"/>
        <v>0</v>
      </c>
      <c r="BY875" s="344"/>
      <c r="BZ875" s="347"/>
      <c r="CA875" s="347"/>
    </row>
    <row r="876" spans="1:84" ht="15" hidden="1" customHeight="1" x14ac:dyDescent="0.25">
      <c r="A876" s="313"/>
      <c r="B876" s="340"/>
      <c r="C876" s="471" t="s">
        <v>1072</v>
      </c>
      <c r="D876" s="392"/>
      <c r="E876" s="392"/>
      <c r="F876" s="392"/>
      <c r="G876" s="392"/>
      <c r="H876" s="392"/>
      <c r="I876" s="484"/>
      <c r="J876" s="484"/>
      <c r="K876" s="484"/>
      <c r="L876" s="484"/>
      <c r="M876" s="484"/>
      <c r="N876" s="484"/>
      <c r="O876" s="484"/>
      <c r="P876" s="484"/>
      <c r="Q876" s="484"/>
      <c r="R876" s="484"/>
      <c r="S876" s="484"/>
      <c r="T876" s="484"/>
      <c r="U876" s="484"/>
      <c r="V876" s="484"/>
      <c r="W876" s="484"/>
      <c r="X876" s="484"/>
      <c r="Y876" s="484"/>
      <c r="Z876" s="484"/>
      <c r="AA876" s="484"/>
      <c r="AB876" s="484"/>
      <c r="AC876" s="484"/>
      <c r="AD876" s="546"/>
      <c r="AE876" s="546"/>
      <c r="AF876" s="546"/>
      <c r="AG876" s="546"/>
      <c r="AH876" s="546"/>
      <c r="AI876" s="546"/>
      <c r="AJ876" s="344"/>
      <c r="AK876" s="419"/>
      <c r="AL876" s="354"/>
      <c r="AM876" s="471" t="s">
        <v>1073</v>
      </c>
      <c r="AN876" s="392"/>
      <c r="AO876" s="392"/>
      <c r="AP876" s="392"/>
      <c r="AQ876" s="392"/>
      <c r="AR876" s="392"/>
      <c r="AS876" s="484"/>
      <c r="AT876" s="484"/>
      <c r="AU876" s="484"/>
      <c r="AV876" s="484"/>
      <c r="AW876" s="484"/>
      <c r="AX876" s="484"/>
      <c r="AY876" s="484"/>
      <c r="AZ876" s="484"/>
      <c r="BA876" s="484"/>
      <c r="BB876" s="484"/>
      <c r="BC876" s="484"/>
      <c r="BD876" s="484"/>
      <c r="BE876" s="484"/>
      <c r="BF876" s="484"/>
      <c r="BG876" s="484"/>
      <c r="BH876" s="484"/>
      <c r="BI876" s="484"/>
      <c r="BJ876" s="484"/>
      <c r="BK876" s="484"/>
      <c r="BL876" s="484"/>
      <c r="BM876" s="484"/>
      <c r="BN876" s="546"/>
      <c r="BO876" s="546"/>
      <c r="BP876" s="546"/>
      <c r="BQ876" s="546"/>
      <c r="BR876" s="546"/>
      <c r="BS876" s="546"/>
      <c r="BT876" s="356"/>
      <c r="BU876" s="357"/>
      <c r="BV876" s="310"/>
      <c r="BW876" s="310"/>
      <c r="BX876" s="291">
        <f t="shared" si="55"/>
        <v>0</v>
      </c>
      <c r="BY876" s="344"/>
      <c r="BZ876" s="347"/>
      <c r="CA876" s="347"/>
    </row>
    <row r="877" spans="1:84" ht="15" hidden="1" customHeight="1" x14ac:dyDescent="0.25">
      <c r="A877" s="369"/>
      <c r="B877" s="354"/>
      <c r="C877" s="392"/>
      <c r="D877" s="392"/>
      <c r="E877" s="392"/>
      <c r="F877" s="392"/>
      <c r="G877" s="392"/>
      <c r="H877" s="392"/>
      <c r="I877" s="484"/>
      <c r="J877" s="484"/>
      <c r="K877" s="484"/>
      <c r="L877" s="484"/>
      <c r="M877" s="484"/>
      <c r="N877" s="484"/>
      <c r="O877" s="484"/>
      <c r="P877" s="484"/>
      <c r="Q877" s="484"/>
      <c r="R877" s="484"/>
      <c r="S877" s="484"/>
      <c r="T877" s="484"/>
      <c r="U877" s="484"/>
      <c r="V877" s="484"/>
      <c r="W877" s="484"/>
      <c r="X877" s="484"/>
      <c r="Y877" s="484"/>
      <c r="Z877" s="484"/>
      <c r="AA877" s="484"/>
      <c r="AB877" s="484"/>
      <c r="AC877" s="484"/>
      <c r="AD877" s="546"/>
      <c r="AE877" s="546"/>
      <c r="AF877" s="546"/>
      <c r="AG877" s="546"/>
      <c r="AH877" s="546"/>
      <c r="AI877" s="546"/>
      <c r="AJ877" s="344"/>
      <c r="AK877" s="419"/>
      <c r="AL877" s="354"/>
      <c r="AM877" s="392"/>
      <c r="AN877" s="392"/>
      <c r="AO877" s="392"/>
      <c r="AP877" s="392"/>
      <c r="AQ877" s="392"/>
      <c r="AR877" s="392"/>
      <c r="AS877" s="484"/>
      <c r="AT877" s="484"/>
      <c r="AU877" s="484"/>
      <c r="AV877" s="484"/>
      <c r="AW877" s="484"/>
      <c r="AX877" s="484"/>
      <c r="AY877" s="484"/>
      <c r="AZ877" s="484"/>
      <c r="BA877" s="484"/>
      <c r="BB877" s="484"/>
      <c r="BC877" s="484"/>
      <c r="BD877" s="484"/>
      <c r="BE877" s="484"/>
      <c r="BF877" s="484"/>
      <c r="BG877" s="484"/>
      <c r="BH877" s="484"/>
      <c r="BI877" s="484"/>
      <c r="BJ877" s="484"/>
      <c r="BK877" s="484"/>
      <c r="BL877" s="484"/>
      <c r="BM877" s="484"/>
      <c r="BN877" s="546"/>
      <c r="BO877" s="546"/>
      <c r="BP877" s="546"/>
      <c r="BQ877" s="546"/>
      <c r="BR877" s="546"/>
      <c r="BS877" s="546"/>
      <c r="BT877" s="356"/>
      <c r="BU877" s="357"/>
      <c r="BV877" s="310"/>
      <c r="BW877" s="310"/>
      <c r="BX877" s="291">
        <f t="shared" si="55"/>
        <v>0</v>
      </c>
      <c r="BY877" s="344"/>
      <c r="BZ877" s="347"/>
      <c r="CA877" s="347"/>
    </row>
    <row r="878" spans="1:84" ht="15" hidden="1" customHeight="1" x14ac:dyDescent="0.25">
      <c r="A878" s="369"/>
      <c r="B878" s="354"/>
      <c r="C878" s="532"/>
      <c r="D878" s="407"/>
      <c r="E878" s="407"/>
      <c r="F878" s="407"/>
      <c r="G878" s="407"/>
      <c r="H878" s="407"/>
      <c r="I878" s="1506" t="s">
        <v>493</v>
      </c>
      <c r="J878" s="1506"/>
      <c r="K878" s="1506"/>
      <c r="L878" s="1506"/>
      <c r="M878" s="1506"/>
      <c r="N878" s="1506"/>
      <c r="O878" s="533"/>
      <c r="P878" s="1506" t="s">
        <v>1066</v>
      </c>
      <c r="Q878" s="1506"/>
      <c r="R878" s="1506"/>
      <c r="S878" s="1506"/>
      <c r="T878" s="1506"/>
      <c r="U878" s="1506"/>
      <c r="V878" s="533"/>
      <c r="W878" s="1506" t="s">
        <v>1067</v>
      </c>
      <c r="X878" s="1506"/>
      <c r="Y878" s="1506"/>
      <c r="Z878" s="1506"/>
      <c r="AA878" s="1506"/>
      <c r="AB878" s="1506"/>
      <c r="AC878" s="534"/>
      <c r="AD878" s="1409" t="s">
        <v>1068</v>
      </c>
      <c r="AE878" s="1409"/>
      <c r="AF878" s="1409"/>
      <c r="AG878" s="1409"/>
      <c r="AH878" s="1409"/>
      <c r="AI878" s="1409"/>
      <c r="AJ878" s="344"/>
      <c r="AK878" s="419"/>
      <c r="AL878" s="354"/>
      <c r="AM878" s="532"/>
      <c r="AN878" s="407"/>
      <c r="AO878" s="407"/>
      <c r="AP878" s="407"/>
      <c r="AQ878" s="407"/>
      <c r="AR878" s="407"/>
      <c r="AS878" s="1506" t="s">
        <v>494</v>
      </c>
      <c r="AT878" s="1506"/>
      <c r="AU878" s="1506"/>
      <c r="AV878" s="1506"/>
      <c r="AW878" s="1506"/>
      <c r="AX878" s="1506"/>
      <c r="AY878" s="533"/>
      <c r="AZ878" s="1506" t="s">
        <v>480</v>
      </c>
      <c r="BA878" s="1506"/>
      <c r="BB878" s="1506"/>
      <c r="BC878" s="1506"/>
      <c r="BD878" s="1506"/>
      <c r="BE878" s="1506"/>
      <c r="BF878" s="533"/>
      <c r="BG878" s="1506" t="s">
        <v>1069</v>
      </c>
      <c r="BH878" s="1506"/>
      <c r="BI878" s="1506"/>
      <c r="BJ878" s="1506"/>
      <c r="BK878" s="1506"/>
      <c r="BL878" s="1506"/>
      <c r="BM878" s="534"/>
      <c r="BN878" s="1409" t="s">
        <v>753</v>
      </c>
      <c r="BO878" s="1409"/>
      <c r="BP878" s="1409"/>
      <c r="BQ878" s="1409"/>
      <c r="BR878" s="1409"/>
      <c r="BS878" s="1409"/>
      <c r="BT878" s="356"/>
      <c r="BU878" s="357"/>
      <c r="BV878" s="310"/>
      <c r="BW878" s="310"/>
      <c r="BX878" s="291">
        <f t="shared" si="55"/>
        <v>0</v>
      </c>
      <c r="BY878" s="344"/>
      <c r="BZ878" s="347"/>
      <c r="CA878" s="347"/>
    </row>
    <row r="879" spans="1:84" ht="15" hidden="1" customHeight="1" x14ac:dyDescent="0.25">
      <c r="A879" s="369"/>
      <c r="B879" s="354"/>
      <c r="C879" s="532"/>
      <c r="D879" s="407"/>
      <c r="E879" s="407"/>
      <c r="F879" s="407"/>
      <c r="G879" s="407"/>
      <c r="H879" s="407"/>
      <c r="I879" s="1505" t="str">
        <f>Don_Vi_Tinh_V</f>
        <v>VND</v>
      </c>
      <c r="J879" s="1505"/>
      <c r="K879" s="1505"/>
      <c r="L879" s="1505"/>
      <c r="M879" s="1505"/>
      <c r="N879" s="1505"/>
      <c r="O879" s="407"/>
      <c r="P879" s="1505" t="str">
        <f>Don_Vi_Tinh_V</f>
        <v>VND</v>
      </c>
      <c r="Q879" s="1505"/>
      <c r="R879" s="1505"/>
      <c r="S879" s="1505"/>
      <c r="T879" s="1505"/>
      <c r="U879" s="1505"/>
      <c r="V879" s="407"/>
      <c r="W879" s="1505" t="str">
        <f>Don_Vi_Tinh_V</f>
        <v>VND</v>
      </c>
      <c r="X879" s="1505"/>
      <c r="Y879" s="1505"/>
      <c r="Z879" s="1505"/>
      <c r="AA879" s="1505"/>
      <c r="AB879" s="1505"/>
      <c r="AC879" s="393"/>
      <c r="AD879" s="1505" t="str">
        <f>Don_Vi_Tinh_V</f>
        <v>VND</v>
      </c>
      <c r="AE879" s="1505"/>
      <c r="AF879" s="1505"/>
      <c r="AG879" s="1505"/>
      <c r="AH879" s="1505"/>
      <c r="AI879" s="1505"/>
      <c r="AJ879" s="344"/>
      <c r="AK879" s="419"/>
      <c r="AL879" s="354"/>
      <c r="AM879" s="532"/>
      <c r="AN879" s="407"/>
      <c r="AO879" s="407"/>
      <c r="AP879" s="407"/>
      <c r="AQ879" s="407"/>
      <c r="AR879" s="407"/>
      <c r="AS879" s="1505" t="str">
        <f>Don_Vi_Tinh_E</f>
        <v>VND</v>
      </c>
      <c r="AT879" s="1505"/>
      <c r="AU879" s="1505"/>
      <c r="AV879" s="1505"/>
      <c r="AW879" s="1505"/>
      <c r="AX879" s="1505"/>
      <c r="AY879" s="407"/>
      <c r="AZ879" s="1505" t="str">
        <f>Don_Vi_Tinh_E</f>
        <v>VND</v>
      </c>
      <c r="BA879" s="1505"/>
      <c r="BB879" s="1505"/>
      <c r="BC879" s="1505"/>
      <c r="BD879" s="1505"/>
      <c r="BE879" s="1505"/>
      <c r="BF879" s="407"/>
      <c r="BG879" s="1505" t="str">
        <f>Don_Vi_Tinh_E</f>
        <v>VND</v>
      </c>
      <c r="BH879" s="1505"/>
      <c r="BI879" s="1505"/>
      <c r="BJ879" s="1505"/>
      <c r="BK879" s="1505"/>
      <c r="BL879" s="1505"/>
      <c r="BM879" s="393"/>
      <c r="BN879" s="1505" t="str">
        <f>Don_Vi_Tinh_E</f>
        <v>VND</v>
      </c>
      <c r="BO879" s="1505"/>
      <c r="BP879" s="1505"/>
      <c r="BQ879" s="1505"/>
      <c r="BR879" s="1505"/>
      <c r="BS879" s="1505"/>
      <c r="BT879" s="356"/>
      <c r="BU879" s="357"/>
      <c r="BV879" s="310"/>
      <c r="BW879" s="310"/>
      <c r="BX879" s="291">
        <f t="shared" si="55"/>
        <v>0</v>
      </c>
      <c r="BY879" s="344"/>
      <c r="BZ879" s="347"/>
      <c r="CA879" s="347"/>
    </row>
    <row r="880" spans="1:84" ht="15" hidden="1" customHeight="1" x14ac:dyDescent="0.25">
      <c r="A880" s="369"/>
      <c r="B880" s="354"/>
      <c r="C880" s="538" t="s">
        <v>985</v>
      </c>
      <c r="D880" s="407"/>
      <c r="E880" s="407"/>
      <c r="F880" s="407"/>
      <c r="G880" s="407"/>
      <c r="H880" s="407"/>
      <c r="I880" s="1444"/>
      <c r="J880" s="1444"/>
      <c r="K880" s="1444"/>
      <c r="L880" s="1444"/>
      <c r="M880" s="1444"/>
      <c r="N880" s="1444"/>
      <c r="O880" s="493"/>
      <c r="P880" s="1444"/>
      <c r="Q880" s="1444"/>
      <c r="R880" s="1444"/>
      <c r="S880" s="1444"/>
      <c r="T880" s="1444"/>
      <c r="U880" s="1444"/>
      <c r="V880" s="493"/>
      <c r="W880" s="1444"/>
      <c r="X880" s="1444"/>
      <c r="Y880" s="1444"/>
      <c r="Z880" s="1444"/>
      <c r="AA880" s="1444"/>
      <c r="AB880" s="1444"/>
      <c r="AC880" s="493"/>
      <c r="AD880" s="1445"/>
      <c r="AE880" s="1445"/>
      <c r="AF880" s="1445"/>
      <c r="AG880" s="1445"/>
      <c r="AH880" s="1445"/>
      <c r="AI880" s="1445"/>
      <c r="AJ880" s="344"/>
      <c r="AK880" s="419"/>
      <c r="AL880" s="354"/>
      <c r="AM880" s="539" t="s">
        <v>764</v>
      </c>
      <c r="AN880" s="407"/>
      <c r="AO880" s="407"/>
      <c r="AP880" s="407"/>
      <c r="AQ880" s="407"/>
      <c r="AR880" s="407"/>
      <c r="AS880" s="1444"/>
      <c r="AT880" s="1444"/>
      <c r="AU880" s="1444"/>
      <c r="AV880" s="1444"/>
      <c r="AW880" s="1444"/>
      <c r="AX880" s="1444"/>
      <c r="AY880" s="493"/>
      <c r="AZ880" s="1444"/>
      <c r="BA880" s="1444"/>
      <c r="BB880" s="1444"/>
      <c r="BC880" s="1444"/>
      <c r="BD880" s="1444"/>
      <c r="BE880" s="1444"/>
      <c r="BF880" s="493"/>
      <c r="BG880" s="1444"/>
      <c r="BH880" s="1444"/>
      <c r="BI880" s="1444"/>
      <c r="BJ880" s="1444"/>
      <c r="BK880" s="1444"/>
      <c r="BL880" s="1444"/>
      <c r="BM880" s="493"/>
      <c r="BN880" s="1445"/>
      <c r="BO880" s="1445"/>
      <c r="BP880" s="1445"/>
      <c r="BQ880" s="1445"/>
      <c r="BR880" s="1445"/>
      <c r="BS880" s="1445"/>
      <c r="BT880" s="356"/>
      <c r="BU880" s="357"/>
      <c r="BV880" s="310"/>
      <c r="BW880" s="310"/>
      <c r="BX880" s="291">
        <f t="shared" si="55"/>
        <v>0</v>
      </c>
      <c r="BY880" s="344"/>
      <c r="BZ880" s="347"/>
      <c r="CA880" s="347"/>
    </row>
    <row r="881" spans="1:84" s="423" customFormat="1" ht="15" hidden="1" customHeight="1" x14ac:dyDescent="0.25">
      <c r="A881" s="369"/>
      <c r="B881" s="354"/>
      <c r="C881" s="541" t="s">
        <v>987</v>
      </c>
      <c r="D881" s="407"/>
      <c r="E881" s="407"/>
      <c r="F881" s="407"/>
      <c r="G881" s="407"/>
      <c r="H881" s="407"/>
      <c r="I881" s="1445">
        <v>0</v>
      </c>
      <c r="J881" s="1445"/>
      <c r="K881" s="1445"/>
      <c r="L881" s="1445"/>
      <c r="M881" s="1445"/>
      <c r="N881" s="1445"/>
      <c r="O881" s="487"/>
      <c r="P881" s="1445">
        <v>0</v>
      </c>
      <c r="Q881" s="1445"/>
      <c r="R881" s="1445"/>
      <c r="S881" s="1445"/>
      <c r="T881" s="1445"/>
      <c r="U881" s="1445"/>
      <c r="V881" s="487"/>
      <c r="W881" s="1445">
        <v>0</v>
      </c>
      <c r="X881" s="1445"/>
      <c r="Y881" s="1445"/>
      <c r="Z881" s="1445"/>
      <c r="AA881" s="1445"/>
      <c r="AB881" s="1445"/>
      <c r="AC881" s="487"/>
      <c r="AD881" s="1330">
        <f>SUM(I881:AB881)</f>
        <v>0</v>
      </c>
      <c r="AE881" s="1330"/>
      <c r="AF881" s="1330"/>
      <c r="AG881" s="1330"/>
      <c r="AH881" s="1330"/>
      <c r="AI881" s="1330"/>
      <c r="AJ881" s="342"/>
      <c r="AK881" s="419"/>
      <c r="AL881" s="354"/>
      <c r="AM881" s="542" t="s">
        <v>988</v>
      </c>
      <c r="AN881" s="407"/>
      <c r="AO881" s="407"/>
      <c r="AP881" s="407"/>
      <c r="AQ881" s="407"/>
      <c r="AR881" s="407"/>
      <c r="AS881" s="1445">
        <f>I881</f>
        <v>0</v>
      </c>
      <c r="AT881" s="1445"/>
      <c r="AU881" s="1445"/>
      <c r="AV881" s="1445"/>
      <c r="AW881" s="1445"/>
      <c r="AX881" s="1445"/>
      <c r="AY881" s="487"/>
      <c r="AZ881" s="1445">
        <f>P881</f>
        <v>0</v>
      </c>
      <c r="BA881" s="1445"/>
      <c r="BB881" s="1445"/>
      <c r="BC881" s="1445"/>
      <c r="BD881" s="1445"/>
      <c r="BE881" s="1445"/>
      <c r="BF881" s="487"/>
      <c r="BG881" s="1445">
        <f>W881</f>
        <v>0</v>
      </c>
      <c r="BH881" s="1445"/>
      <c r="BI881" s="1445"/>
      <c r="BJ881" s="1445"/>
      <c r="BK881" s="1445"/>
      <c r="BL881" s="1445"/>
      <c r="BM881" s="487"/>
      <c r="BN881" s="1330">
        <f>SUM(AS881:BL881)</f>
        <v>0</v>
      </c>
      <c r="BO881" s="1330"/>
      <c r="BP881" s="1330"/>
      <c r="BQ881" s="1330"/>
      <c r="BR881" s="1330"/>
      <c r="BS881" s="1330"/>
      <c r="BT881" s="356"/>
      <c r="BU881" s="357"/>
      <c r="BV881" s="310"/>
      <c r="BW881" s="310">
        <f>AD881-KT_2172</f>
        <v>0</v>
      </c>
      <c r="BX881" s="300">
        <f t="shared" si="55"/>
        <v>0</v>
      </c>
      <c r="BY881" s="342"/>
      <c r="BZ881" s="438"/>
      <c r="CA881" s="438"/>
      <c r="CB881" s="439"/>
      <c r="CC881" s="439"/>
      <c r="CD881" s="439"/>
      <c r="CE881" s="439"/>
      <c r="CF881" s="439"/>
    </row>
    <row r="882" spans="1:84" s="423" customFormat="1" ht="15" hidden="1" customHeight="1" x14ac:dyDescent="0.25">
      <c r="A882" s="369"/>
      <c r="B882" s="354"/>
      <c r="C882" s="543" t="s">
        <v>989</v>
      </c>
      <c r="D882" s="407"/>
      <c r="E882" s="407"/>
      <c r="F882" s="407"/>
      <c r="G882" s="407"/>
      <c r="H882" s="407"/>
      <c r="I882" s="1444">
        <v>0</v>
      </c>
      <c r="J882" s="1444"/>
      <c r="K882" s="1444"/>
      <c r="L882" s="1444"/>
      <c r="M882" s="1444"/>
      <c r="N882" s="1444"/>
      <c r="O882" s="493"/>
      <c r="P882" s="1444">
        <v>0</v>
      </c>
      <c r="Q882" s="1444"/>
      <c r="R882" s="1444"/>
      <c r="S882" s="1444"/>
      <c r="T882" s="1444"/>
      <c r="U882" s="1444"/>
      <c r="V882" s="493"/>
      <c r="W882" s="1444">
        <v>0</v>
      </c>
      <c r="X882" s="1444"/>
      <c r="Y882" s="1444"/>
      <c r="Z882" s="1444"/>
      <c r="AA882" s="1444"/>
      <c r="AB882" s="1444"/>
      <c r="AC882" s="493"/>
      <c r="AD882" s="1318">
        <f>SUM(I882:AB882)</f>
        <v>0</v>
      </c>
      <c r="AE882" s="1318"/>
      <c r="AF882" s="1318"/>
      <c r="AG882" s="1318"/>
      <c r="AH882" s="1318"/>
      <c r="AI882" s="1318"/>
      <c r="AJ882" s="342"/>
      <c r="AK882" s="419"/>
      <c r="AL882" s="354"/>
      <c r="AM882" s="1504" t="s">
        <v>990</v>
      </c>
      <c r="AN882" s="1504"/>
      <c r="AO882" s="1504"/>
      <c r="AP882" s="1504"/>
      <c r="AQ882" s="1504"/>
      <c r="AR882" s="1504"/>
      <c r="AS882" s="1445">
        <f>I882</f>
        <v>0</v>
      </c>
      <c r="AT882" s="1445"/>
      <c r="AU882" s="1445"/>
      <c r="AV882" s="1445"/>
      <c r="AW882" s="1445"/>
      <c r="AX882" s="1445"/>
      <c r="AY882" s="493"/>
      <c r="AZ882" s="1445">
        <f>P882</f>
        <v>0</v>
      </c>
      <c r="BA882" s="1445"/>
      <c r="BB882" s="1445"/>
      <c r="BC882" s="1445"/>
      <c r="BD882" s="1445"/>
      <c r="BE882" s="1445"/>
      <c r="BF882" s="493"/>
      <c r="BG882" s="1445">
        <f>W882</f>
        <v>0</v>
      </c>
      <c r="BH882" s="1445"/>
      <c r="BI882" s="1445"/>
      <c r="BJ882" s="1445"/>
      <c r="BK882" s="1445"/>
      <c r="BL882" s="1445"/>
      <c r="BM882" s="493"/>
      <c r="BN882" s="1318">
        <f>SUM(AS882:BL882)</f>
        <v>0</v>
      </c>
      <c r="BO882" s="1318"/>
      <c r="BP882" s="1318"/>
      <c r="BQ882" s="1318"/>
      <c r="BR882" s="1318"/>
      <c r="BS882" s="1318"/>
      <c r="BT882" s="356"/>
      <c r="BU882" s="357"/>
      <c r="BV882" s="310"/>
      <c r="BW882" s="310"/>
      <c r="BX882" s="300">
        <f t="shared" si="55"/>
        <v>0</v>
      </c>
      <c r="BY882" s="342"/>
      <c r="BZ882" s="438"/>
      <c r="CA882" s="438"/>
      <c r="CB882" s="439"/>
      <c r="CC882" s="439"/>
      <c r="CD882" s="439"/>
      <c r="CE882" s="439"/>
      <c r="CF882" s="439"/>
    </row>
    <row r="883" spans="1:84" s="423" customFormat="1" ht="15" hidden="1" customHeight="1" x14ac:dyDescent="0.25">
      <c r="A883" s="369"/>
      <c r="B883" s="354"/>
      <c r="C883" s="543" t="s">
        <v>993</v>
      </c>
      <c r="D883" s="407"/>
      <c r="E883" s="407"/>
      <c r="F883" s="407"/>
      <c r="G883" s="407"/>
      <c r="H883" s="407"/>
      <c r="I883" s="1444">
        <v>0</v>
      </c>
      <c r="J883" s="1444"/>
      <c r="K883" s="1444"/>
      <c r="L883" s="1444"/>
      <c r="M883" s="1444"/>
      <c r="N883" s="1444"/>
      <c r="O883" s="493"/>
      <c r="P883" s="1444">
        <v>0</v>
      </c>
      <c r="Q883" s="1444"/>
      <c r="R883" s="1444"/>
      <c r="S883" s="1444"/>
      <c r="T883" s="1444"/>
      <c r="U883" s="1444"/>
      <c r="V883" s="493"/>
      <c r="W883" s="1444">
        <v>0</v>
      </c>
      <c r="X883" s="1444"/>
      <c r="Y883" s="1444"/>
      <c r="Z883" s="1444"/>
      <c r="AA883" s="1444"/>
      <c r="AB883" s="1444"/>
      <c r="AC883" s="493"/>
      <c r="AD883" s="1318">
        <f>SUM(I883:AB883)</f>
        <v>0</v>
      </c>
      <c r="AE883" s="1318"/>
      <c r="AF883" s="1318"/>
      <c r="AG883" s="1318"/>
      <c r="AH883" s="1318"/>
      <c r="AI883" s="1318"/>
      <c r="AJ883" s="342"/>
      <c r="AK883" s="419"/>
      <c r="AL883" s="354"/>
      <c r="AM883" s="545" t="s">
        <v>994</v>
      </c>
      <c r="AN883" s="407"/>
      <c r="AO883" s="407"/>
      <c r="AP883" s="407"/>
      <c r="AQ883" s="407"/>
      <c r="AR883" s="407"/>
      <c r="AS883" s="1445">
        <f>I883</f>
        <v>0</v>
      </c>
      <c r="AT883" s="1445"/>
      <c r="AU883" s="1445"/>
      <c r="AV883" s="1445"/>
      <c r="AW883" s="1445"/>
      <c r="AX883" s="1445"/>
      <c r="AY883" s="493"/>
      <c r="AZ883" s="1445">
        <f>P883</f>
        <v>0</v>
      </c>
      <c r="BA883" s="1445"/>
      <c r="BB883" s="1445"/>
      <c r="BC883" s="1445"/>
      <c r="BD883" s="1445"/>
      <c r="BE883" s="1445"/>
      <c r="BF883" s="493"/>
      <c r="BG883" s="1445">
        <f>W883</f>
        <v>0</v>
      </c>
      <c r="BH883" s="1445"/>
      <c r="BI883" s="1445"/>
      <c r="BJ883" s="1445"/>
      <c r="BK883" s="1445"/>
      <c r="BL883" s="1445"/>
      <c r="BM883" s="493"/>
      <c r="BN883" s="1318">
        <f>SUM(AS883:BL883)</f>
        <v>0</v>
      </c>
      <c r="BO883" s="1318"/>
      <c r="BP883" s="1318"/>
      <c r="BQ883" s="1318"/>
      <c r="BR883" s="1318"/>
      <c r="BS883" s="1318"/>
      <c r="BT883" s="356"/>
      <c r="BU883" s="357"/>
      <c r="BV883" s="310"/>
      <c r="BW883" s="310"/>
      <c r="BX883" s="300">
        <f t="shared" si="55"/>
        <v>0</v>
      </c>
      <c r="BY883" s="342"/>
      <c r="BZ883" s="438"/>
      <c r="CA883" s="438"/>
      <c r="CB883" s="439"/>
      <c r="CC883" s="439"/>
      <c r="CD883" s="439"/>
      <c r="CE883" s="439"/>
      <c r="CF883" s="439"/>
    </row>
    <row r="884" spans="1:84" s="423" customFormat="1" ht="27.95" hidden="1" customHeight="1" x14ac:dyDescent="0.25">
      <c r="A884" s="369"/>
      <c r="B884" s="354"/>
      <c r="C884" s="1502" t="s">
        <v>997</v>
      </c>
      <c r="D884" s="1502"/>
      <c r="E884" s="1502"/>
      <c r="F884" s="1502"/>
      <c r="G884" s="1502"/>
      <c r="H884" s="1502"/>
      <c r="I884" s="1444">
        <v>0</v>
      </c>
      <c r="J884" s="1444"/>
      <c r="K884" s="1444"/>
      <c r="L884" s="1444"/>
      <c r="M884" s="1444"/>
      <c r="N884" s="1444"/>
      <c r="O884" s="493"/>
      <c r="P884" s="1444">
        <v>0</v>
      </c>
      <c r="Q884" s="1444"/>
      <c r="R884" s="1444"/>
      <c r="S884" s="1444"/>
      <c r="T884" s="1444"/>
      <c r="U884" s="1444"/>
      <c r="V884" s="493"/>
      <c r="W884" s="1444">
        <v>0</v>
      </c>
      <c r="X884" s="1444"/>
      <c r="Y884" s="1444"/>
      <c r="Z884" s="1444"/>
      <c r="AA884" s="1444"/>
      <c r="AB884" s="1444"/>
      <c r="AC884" s="493"/>
      <c r="AD884" s="1318">
        <f>SUM(I884:AB884)</f>
        <v>0</v>
      </c>
      <c r="AE884" s="1318"/>
      <c r="AF884" s="1318"/>
      <c r="AG884" s="1318"/>
      <c r="AH884" s="1318"/>
      <c r="AI884" s="1318"/>
      <c r="AJ884" s="342"/>
      <c r="AK884" s="419"/>
      <c r="AL884" s="354"/>
      <c r="AM884" s="1503" t="s">
        <v>1070</v>
      </c>
      <c r="AN884" s="1503"/>
      <c r="AO884" s="1503"/>
      <c r="AP884" s="1503"/>
      <c r="AQ884" s="1503"/>
      <c r="AR884" s="1503"/>
      <c r="AS884" s="1445">
        <f>I884</f>
        <v>0</v>
      </c>
      <c r="AT884" s="1445"/>
      <c r="AU884" s="1445"/>
      <c r="AV884" s="1445"/>
      <c r="AW884" s="1445"/>
      <c r="AX884" s="1445"/>
      <c r="AY884" s="493"/>
      <c r="AZ884" s="1445">
        <f>P884</f>
        <v>0</v>
      </c>
      <c r="BA884" s="1445"/>
      <c r="BB884" s="1445"/>
      <c r="BC884" s="1445"/>
      <c r="BD884" s="1445"/>
      <c r="BE884" s="1445"/>
      <c r="BF884" s="493"/>
      <c r="BG884" s="1445">
        <f>W884</f>
        <v>0</v>
      </c>
      <c r="BH884" s="1445"/>
      <c r="BI884" s="1445"/>
      <c r="BJ884" s="1445"/>
      <c r="BK884" s="1445"/>
      <c r="BL884" s="1445"/>
      <c r="BM884" s="493"/>
      <c r="BN884" s="1318">
        <f>SUM(AS884:BL884)</f>
        <v>0</v>
      </c>
      <c r="BO884" s="1318"/>
      <c r="BP884" s="1318"/>
      <c r="BQ884" s="1318"/>
      <c r="BR884" s="1318"/>
      <c r="BS884" s="1318"/>
      <c r="BT884" s="356"/>
      <c r="BU884" s="357"/>
      <c r="BV884" s="310"/>
      <c r="BW884" s="310"/>
      <c r="BX884" s="300">
        <f t="shared" si="55"/>
        <v>0</v>
      </c>
      <c r="BY884" s="342"/>
      <c r="BZ884" s="438"/>
      <c r="CA884" s="438"/>
      <c r="CB884" s="439"/>
      <c r="CC884" s="439"/>
      <c r="CD884" s="439"/>
      <c r="CE884" s="439"/>
      <c r="CF884" s="439"/>
    </row>
    <row r="885" spans="1:84" s="423" customFormat="1" ht="15" hidden="1" customHeight="1" x14ac:dyDescent="0.25">
      <c r="A885" s="369"/>
      <c r="B885" s="354"/>
      <c r="C885" s="543" t="s">
        <v>999</v>
      </c>
      <c r="D885" s="407"/>
      <c r="E885" s="407"/>
      <c r="F885" s="407"/>
      <c r="G885" s="407"/>
      <c r="H885" s="407"/>
      <c r="I885" s="1444">
        <v>0</v>
      </c>
      <c r="J885" s="1444"/>
      <c r="K885" s="1444"/>
      <c r="L885" s="1444"/>
      <c r="M885" s="1444"/>
      <c r="N885" s="1444"/>
      <c r="O885" s="493"/>
      <c r="P885" s="1444">
        <v>0</v>
      </c>
      <c r="Q885" s="1444"/>
      <c r="R885" s="1444"/>
      <c r="S885" s="1444"/>
      <c r="T885" s="1444"/>
      <c r="U885" s="1444"/>
      <c r="V885" s="493"/>
      <c r="W885" s="1444">
        <v>0</v>
      </c>
      <c r="X885" s="1444"/>
      <c r="Y885" s="1444"/>
      <c r="Z885" s="1444"/>
      <c r="AA885" s="1444"/>
      <c r="AB885" s="1444"/>
      <c r="AC885" s="493"/>
      <c r="AD885" s="1318">
        <f>SUM(I885:AB885)</f>
        <v>0</v>
      </c>
      <c r="AE885" s="1318"/>
      <c r="AF885" s="1318"/>
      <c r="AG885" s="1318"/>
      <c r="AH885" s="1318"/>
      <c r="AI885" s="1318"/>
      <c r="AJ885" s="342"/>
      <c r="AK885" s="419"/>
      <c r="AL885" s="354"/>
      <c r="AM885" s="545" t="s">
        <v>1000</v>
      </c>
      <c r="AN885" s="407"/>
      <c r="AO885" s="407"/>
      <c r="AP885" s="407"/>
      <c r="AQ885" s="407"/>
      <c r="AR885" s="407"/>
      <c r="AS885" s="1445">
        <f>I885</f>
        <v>0</v>
      </c>
      <c r="AT885" s="1445"/>
      <c r="AU885" s="1445"/>
      <c r="AV885" s="1445"/>
      <c r="AW885" s="1445"/>
      <c r="AX885" s="1445"/>
      <c r="AY885" s="493"/>
      <c r="AZ885" s="1445">
        <f>P885</f>
        <v>0</v>
      </c>
      <c r="BA885" s="1445"/>
      <c r="BB885" s="1445"/>
      <c r="BC885" s="1445"/>
      <c r="BD885" s="1445"/>
      <c r="BE885" s="1445"/>
      <c r="BF885" s="493"/>
      <c r="BG885" s="1445">
        <f>W885</f>
        <v>0</v>
      </c>
      <c r="BH885" s="1445"/>
      <c r="BI885" s="1445"/>
      <c r="BJ885" s="1445"/>
      <c r="BK885" s="1445"/>
      <c r="BL885" s="1445"/>
      <c r="BM885" s="493"/>
      <c r="BN885" s="1318">
        <f>SUM(AS885:BL885)</f>
        <v>0</v>
      </c>
      <c r="BO885" s="1318"/>
      <c r="BP885" s="1318"/>
      <c r="BQ885" s="1318"/>
      <c r="BR885" s="1318"/>
      <c r="BS885" s="1318"/>
      <c r="BT885" s="356"/>
      <c r="BU885" s="357"/>
      <c r="BV885" s="310"/>
      <c r="BW885" s="310"/>
      <c r="BX885" s="300">
        <f t="shared" si="55"/>
        <v>0</v>
      </c>
      <c r="BY885" s="342"/>
      <c r="BZ885" s="438"/>
      <c r="CA885" s="438"/>
      <c r="CB885" s="439"/>
      <c r="CC885" s="439"/>
      <c r="CD885" s="439"/>
      <c r="CE885" s="439"/>
      <c r="CF885" s="439"/>
    </row>
    <row r="886" spans="1:84" s="423" customFormat="1" ht="15" hidden="1" customHeight="1" thickBot="1" x14ac:dyDescent="0.3">
      <c r="A886" s="369"/>
      <c r="B886" s="354"/>
      <c r="C886" s="538" t="s">
        <v>1001</v>
      </c>
      <c r="D886" s="407"/>
      <c r="E886" s="407"/>
      <c r="F886" s="407"/>
      <c r="G886" s="407"/>
      <c r="H886" s="407"/>
      <c r="I886" s="1439">
        <f>SUBTOTAL(109,I881:N885)</f>
        <v>0</v>
      </c>
      <c r="J886" s="1439"/>
      <c r="K886" s="1439"/>
      <c r="L886" s="1439"/>
      <c r="M886" s="1439"/>
      <c r="N886" s="1439"/>
      <c r="O886" s="487"/>
      <c r="P886" s="1439">
        <f>SUBTOTAL(109,P881:U885)</f>
        <v>0</v>
      </c>
      <c r="Q886" s="1439"/>
      <c r="R886" s="1439"/>
      <c r="S886" s="1439"/>
      <c r="T886" s="1439"/>
      <c r="U886" s="1439"/>
      <c r="V886" s="487"/>
      <c r="W886" s="1439">
        <f>SUBTOTAL(109,W881:AB885)</f>
        <v>0</v>
      </c>
      <c r="X886" s="1439"/>
      <c r="Y886" s="1439"/>
      <c r="Z886" s="1439"/>
      <c r="AA886" s="1439"/>
      <c r="AB886" s="1439"/>
      <c r="AC886" s="487"/>
      <c r="AD886" s="1439">
        <f>SUBTOTAL(109,AD881:AI885)</f>
        <v>0</v>
      </c>
      <c r="AE886" s="1439"/>
      <c r="AF886" s="1439"/>
      <c r="AG886" s="1439"/>
      <c r="AH886" s="1439"/>
      <c r="AI886" s="1439"/>
      <c r="AJ886" s="342"/>
      <c r="AK886" s="419"/>
      <c r="AL886" s="354"/>
      <c r="AM886" s="1501" t="s">
        <v>1007</v>
      </c>
      <c r="AN886" s="1501"/>
      <c r="AO886" s="1501"/>
      <c r="AP886" s="1501"/>
      <c r="AQ886" s="1501"/>
      <c r="AR886" s="1501"/>
      <c r="AS886" s="1439">
        <f>SUBTOTAL(109,AS881:AX885)</f>
        <v>0</v>
      </c>
      <c r="AT886" s="1439"/>
      <c r="AU886" s="1439"/>
      <c r="AV886" s="1439"/>
      <c r="AW886" s="1439"/>
      <c r="AX886" s="1439"/>
      <c r="AY886" s="487"/>
      <c r="AZ886" s="1439">
        <f>SUBTOTAL(109,AZ881:BE885)</f>
        <v>0</v>
      </c>
      <c r="BA886" s="1439"/>
      <c r="BB886" s="1439"/>
      <c r="BC886" s="1439"/>
      <c r="BD886" s="1439"/>
      <c r="BE886" s="1439"/>
      <c r="BF886" s="487"/>
      <c r="BG886" s="1439">
        <f>SUBTOTAL(109,BG881:BL885)</f>
        <v>0</v>
      </c>
      <c r="BH886" s="1439"/>
      <c r="BI886" s="1439"/>
      <c r="BJ886" s="1439"/>
      <c r="BK886" s="1439"/>
      <c r="BL886" s="1439"/>
      <c r="BM886" s="487"/>
      <c r="BN886" s="1439">
        <f>SUBTOTAL(109,BN881:BS885)</f>
        <v>0</v>
      </c>
      <c r="BO886" s="1439"/>
      <c r="BP886" s="1439"/>
      <c r="BQ886" s="1439"/>
      <c r="BR886" s="1439"/>
      <c r="BS886" s="1439"/>
      <c r="BT886" s="356"/>
      <c r="BU886" s="357"/>
      <c r="BV886" s="310">
        <f>AD886-KN_2172</f>
        <v>0</v>
      </c>
      <c r="BW886" s="310"/>
      <c r="BX886" s="300">
        <f t="shared" si="55"/>
        <v>0</v>
      </c>
      <c r="BY886" s="342"/>
      <c r="BZ886" s="438"/>
      <c r="CA886" s="438"/>
      <c r="CB886" s="439"/>
      <c r="CC886" s="439"/>
      <c r="CD886" s="439"/>
      <c r="CE886" s="439"/>
      <c r="CF886" s="439"/>
    </row>
    <row r="887" spans="1:84" s="423" customFormat="1" ht="15" hidden="1" customHeight="1" thickTop="1" x14ac:dyDescent="0.25">
      <c r="A887" s="369"/>
      <c r="B887" s="354"/>
      <c r="C887" s="541"/>
      <c r="D887" s="407"/>
      <c r="E887" s="407"/>
      <c r="F887" s="407"/>
      <c r="G887" s="407"/>
      <c r="H887" s="407"/>
      <c r="I887" s="1444"/>
      <c r="J887" s="1444"/>
      <c r="K887" s="1444"/>
      <c r="L887" s="1444"/>
      <c r="M887" s="1444"/>
      <c r="N887" s="1444"/>
      <c r="O887" s="493"/>
      <c r="P887" s="1444"/>
      <c r="Q887" s="1444"/>
      <c r="R887" s="1444"/>
      <c r="S887" s="1444"/>
      <c r="T887" s="1444"/>
      <c r="U887" s="1444"/>
      <c r="V887" s="493"/>
      <c r="W887" s="1444"/>
      <c r="X887" s="1444"/>
      <c r="Y887" s="1444"/>
      <c r="Z887" s="1444"/>
      <c r="AA887" s="1444"/>
      <c r="AB887" s="1444"/>
      <c r="AC887" s="493"/>
      <c r="AD887" s="1318"/>
      <c r="AE887" s="1318"/>
      <c r="AF887" s="1318"/>
      <c r="AG887" s="1318"/>
      <c r="AH887" s="1318"/>
      <c r="AI887" s="1318"/>
      <c r="AJ887" s="342"/>
      <c r="AK887" s="419"/>
      <c r="AL887" s="354"/>
      <c r="AM887" s="542"/>
      <c r="AN887" s="407"/>
      <c r="AO887" s="407"/>
      <c r="AP887" s="407"/>
      <c r="AQ887" s="407"/>
      <c r="AR887" s="407"/>
      <c r="AS887" s="1444"/>
      <c r="AT887" s="1444"/>
      <c r="AU887" s="1444"/>
      <c r="AV887" s="1444"/>
      <c r="AW887" s="1444"/>
      <c r="AX887" s="1444"/>
      <c r="AY887" s="493"/>
      <c r="AZ887" s="1444"/>
      <c r="BA887" s="1444"/>
      <c r="BB887" s="1444"/>
      <c r="BC887" s="1444"/>
      <c r="BD887" s="1444"/>
      <c r="BE887" s="1444"/>
      <c r="BF887" s="493"/>
      <c r="BG887" s="1444"/>
      <c r="BH887" s="1444"/>
      <c r="BI887" s="1444"/>
      <c r="BJ887" s="1444"/>
      <c r="BK887" s="1444"/>
      <c r="BL887" s="1444"/>
      <c r="BM887" s="493"/>
      <c r="BN887" s="1318"/>
      <c r="BO887" s="1318"/>
      <c r="BP887" s="1318"/>
      <c r="BQ887" s="1318"/>
      <c r="BR887" s="1318"/>
      <c r="BS887" s="1318"/>
      <c r="BT887" s="356"/>
      <c r="BU887" s="357"/>
      <c r="BV887" s="310"/>
      <c r="BW887" s="310"/>
      <c r="BX887" s="300">
        <f t="shared" ref="BX887:BX983" si="64">IF(ISNONTEXT($C887),0,SUM(D887:AI887)-SUM(AN887:BS887))</f>
        <v>0</v>
      </c>
      <c r="BY887" s="342"/>
      <c r="BZ887" s="438"/>
      <c r="CA887" s="438"/>
      <c r="CB887" s="439"/>
      <c r="CC887" s="439"/>
      <c r="CD887" s="439"/>
      <c r="CE887" s="439"/>
      <c r="CF887" s="439"/>
    </row>
    <row r="888" spans="1:84" s="423" customFormat="1" ht="15" hidden="1" customHeight="1" x14ac:dyDescent="0.25">
      <c r="A888" s="369"/>
      <c r="B888" s="354"/>
      <c r="C888" s="538" t="s">
        <v>1074</v>
      </c>
      <c r="D888" s="407"/>
      <c r="E888" s="407"/>
      <c r="F888" s="407"/>
      <c r="G888" s="407"/>
      <c r="H888" s="407"/>
      <c r="I888" s="493"/>
      <c r="J888" s="493"/>
      <c r="K888" s="493"/>
      <c r="L888" s="493"/>
      <c r="M888" s="493"/>
      <c r="N888" s="493"/>
      <c r="O888" s="493"/>
      <c r="P888" s="1444"/>
      <c r="Q888" s="1444"/>
      <c r="R888" s="1444"/>
      <c r="S888" s="1444"/>
      <c r="T888" s="1444"/>
      <c r="U888" s="1444"/>
      <c r="V888" s="493"/>
      <c r="W888" s="1444"/>
      <c r="X888" s="1444"/>
      <c r="Y888" s="1444"/>
      <c r="Z888" s="1444"/>
      <c r="AA888" s="1444"/>
      <c r="AB888" s="1444"/>
      <c r="AC888" s="493"/>
      <c r="AD888" s="1318"/>
      <c r="AE888" s="1318"/>
      <c r="AF888" s="1318"/>
      <c r="AG888" s="1318"/>
      <c r="AH888" s="1318"/>
      <c r="AI888" s="1318"/>
      <c r="AJ888" s="342"/>
      <c r="AK888" s="419"/>
      <c r="AL888" s="354"/>
      <c r="AM888" s="539" t="s">
        <v>1075</v>
      </c>
      <c r="AN888" s="407"/>
      <c r="AO888" s="407"/>
      <c r="AP888" s="407"/>
      <c r="AQ888" s="407"/>
      <c r="AR888" s="407"/>
      <c r="AS888" s="493"/>
      <c r="AT888" s="493"/>
      <c r="AU888" s="493"/>
      <c r="AV888" s="493"/>
      <c r="AW888" s="493"/>
      <c r="AX888" s="493"/>
      <c r="AY888" s="493"/>
      <c r="AZ888" s="1444"/>
      <c r="BA888" s="1444"/>
      <c r="BB888" s="1444"/>
      <c r="BC888" s="1444"/>
      <c r="BD888" s="1444"/>
      <c r="BE888" s="1444"/>
      <c r="BF888" s="493"/>
      <c r="BG888" s="1444"/>
      <c r="BH888" s="1444"/>
      <c r="BI888" s="1444"/>
      <c r="BJ888" s="1444"/>
      <c r="BK888" s="1444"/>
      <c r="BL888" s="1444"/>
      <c r="BM888" s="493"/>
      <c r="BN888" s="1318"/>
      <c r="BO888" s="1318"/>
      <c r="BP888" s="1318"/>
      <c r="BQ888" s="1318"/>
      <c r="BR888" s="1318"/>
      <c r="BS888" s="1318"/>
      <c r="BT888" s="356"/>
      <c r="BU888" s="357"/>
      <c r="BV888" s="310"/>
      <c r="BW888" s="310"/>
      <c r="BX888" s="300">
        <f t="shared" si="64"/>
        <v>0</v>
      </c>
      <c r="BY888" s="342"/>
      <c r="BZ888" s="438"/>
      <c r="CA888" s="438"/>
      <c r="CB888" s="439"/>
      <c r="CC888" s="439"/>
      <c r="CD888" s="439"/>
      <c r="CE888" s="439"/>
      <c r="CF888" s="439"/>
    </row>
    <row r="889" spans="1:84" s="423" customFormat="1" ht="15" hidden="1" customHeight="1" x14ac:dyDescent="0.25">
      <c r="A889" s="369"/>
      <c r="B889" s="354"/>
      <c r="C889" s="541" t="s">
        <v>987</v>
      </c>
      <c r="D889" s="407"/>
      <c r="E889" s="407"/>
      <c r="F889" s="407"/>
      <c r="G889" s="407"/>
      <c r="H889" s="407"/>
      <c r="I889" s="1445">
        <v>0</v>
      </c>
      <c r="J889" s="1445"/>
      <c r="K889" s="1445"/>
      <c r="L889" s="1445"/>
      <c r="M889" s="1445"/>
      <c r="N889" s="1445"/>
      <c r="O889" s="487"/>
      <c r="P889" s="1445">
        <v>0</v>
      </c>
      <c r="Q889" s="1445"/>
      <c r="R889" s="1445"/>
      <c r="S889" s="1445"/>
      <c r="T889" s="1445"/>
      <c r="U889" s="1445"/>
      <c r="V889" s="487"/>
      <c r="W889" s="1445">
        <v>0</v>
      </c>
      <c r="X889" s="1445"/>
      <c r="Y889" s="1445"/>
      <c r="Z889" s="1445"/>
      <c r="AA889" s="1445"/>
      <c r="AB889" s="1445"/>
      <c r="AC889" s="487"/>
      <c r="AD889" s="1330">
        <f>SUM(I889:AB889)</f>
        <v>0</v>
      </c>
      <c r="AE889" s="1330"/>
      <c r="AF889" s="1330"/>
      <c r="AG889" s="1330"/>
      <c r="AH889" s="1330"/>
      <c r="AI889" s="1330"/>
      <c r="AJ889" s="342"/>
      <c r="AK889" s="419"/>
      <c r="AL889" s="354"/>
      <c r="AM889" s="542" t="s">
        <v>988</v>
      </c>
      <c r="AN889" s="407"/>
      <c r="AO889" s="407"/>
      <c r="AP889" s="407"/>
      <c r="AQ889" s="407"/>
      <c r="AR889" s="407"/>
      <c r="AS889" s="1445">
        <f>I889</f>
        <v>0</v>
      </c>
      <c r="AT889" s="1445"/>
      <c r="AU889" s="1445"/>
      <c r="AV889" s="1445"/>
      <c r="AW889" s="1445"/>
      <c r="AX889" s="1445"/>
      <c r="AY889" s="487"/>
      <c r="AZ889" s="1445">
        <f>P889</f>
        <v>0</v>
      </c>
      <c r="BA889" s="1445"/>
      <c r="BB889" s="1445"/>
      <c r="BC889" s="1445"/>
      <c r="BD889" s="1445"/>
      <c r="BE889" s="1445"/>
      <c r="BF889" s="487"/>
      <c r="BG889" s="1445">
        <f>W889</f>
        <v>0</v>
      </c>
      <c r="BH889" s="1445"/>
      <c r="BI889" s="1445"/>
      <c r="BJ889" s="1445"/>
      <c r="BK889" s="1445"/>
      <c r="BL889" s="1445"/>
      <c r="BM889" s="487"/>
      <c r="BN889" s="1330">
        <f>SUM(AS889:BL889)</f>
        <v>0</v>
      </c>
      <c r="BO889" s="1330"/>
      <c r="BP889" s="1330"/>
      <c r="BQ889" s="1330"/>
      <c r="BR889" s="1330"/>
      <c r="BS889" s="1330"/>
      <c r="BT889" s="356"/>
      <c r="BU889" s="357"/>
      <c r="BV889" s="310"/>
      <c r="BW889" s="310"/>
      <c r="BX889" s="300">
        <f t="shared" si="64"/>
        <v>0</v>
      </c>
      <c r="BY889" s="342"/>
      <c r="BZ889" s="438"/>
      <c r="CA889" s="438"/>
      <c r="CB889" s="439"/>
      <c r="CC889" s="439"/>
      <c r="CD889" s="439"/>
      <c r="CE889" s="439"/>
      <c r="CF889" s="439"/>
    </row>
    <row r="890" spans="1:84" s="423" customFormat="1" ht="15" hidden="1" customHeight="1" x14ac:dyDescent="0.25">
      <c r="A890" s="369"/>
      <c r="B890" s="354"/>
      <c r="C890" s="543" t="s">
        <v>993</v>
      </c>
      <c r="D890" s="407"/>
      <c r="E890" s="407"/>
      <c r="F890" s="407"/>
      <c r="G890" s="407"/>
      <c r="H890" s="407"/>
      <c r="I890" s="1444">
        <v>0</v>
      </c>
      <c r="J890" s="1444"/>
      <c r="K890" s="1444"/>
      <c r="L890" s="1444"/>
      <c r="M890" s="1444"/>
      <c r="N890" s="1444"/>
      <c r="O890" s="493"/>
      <c r="P890" s="1444">
        <v>0</v>
      </c>
      <c r="Q890" s="1444"/>
      <c r="R890" s="1444"/>
      <c r="S890" s="1444"/>
      <c r="T890" s="1444"/>
      <c r="U890" s="1444"/>
      <c r="V890" s="493"/>
      <c r="W890" s="1444">
        <v>0</v>
      </c>
      <c r="X890" s="1444"/>
      <c r="Y890" s="1444"/>
      <c r="Z890" s="1444"/>
      <c r="AA890" s="1444"/>
      <c r="AB890" s="1444"/>
      <c r="AC890" s="493"/>
      <c r="AD890" s="1318">
        <f>SUM(I890:AB890)</f>
        <v>0</v>
      </c>
      <c r="AE890" s="1318"/>
      <c r="AF890" s="1318"/>
      <c r="AG890" s="1318"/>
      <c r="AH890" s="1318"/>
      <c r="AI890" s="1318"/>
      <c r="AJ890" s="342"/>
      <c r="AK890" s="419"/>
      <c r="AL890" s="354"/>
      <c r="AM890" s="545" t="s">
        <v>994</v>
      </c>
      <c r="AN890" s="407"/>
      <c r="AO890" s="407"/>
      <c r="AP890" s="407"/>
      <c r="AQ890" s="407"/>
      <c r="AR890" s="407"/>
      <c r="AS890" s="1445">
        <f>I890</f>
        <v>0</v>
      </c>
      <c r="AT890" s="1445"/>
      <c r="AU890" s="1445"/>
      <c r="AV890" s="1445"/>
      <c r="AW890" s="1445"/>
      <c r="AX890" s="1445"/>
      <c r="AY890" s="493"/>
      <c r="AZ890" s="1445">
        <f>P890</f>
        <v>0</v>
      </c>
      <c r="BA890" s="1445"/>
      <c r="BB890" s="1445"/>
      <c r="BC890" s="1445"/>
      <c r="BD890" s="1445"/>
      <c r="BE890" s="1445"/>
      <c r="BF890" s="493"/>
      <c r="BG890" s="1445">
        <f>W890</f>
        <v>0</v>
      </c>
      <c r="BH890" s="1445"/>
      <c r="BI890" s="1445"/>
      <c r="BJ890" s="1445"/>
      <c r="BK890" s="1445"/>
      <c r="BL890" s="1445"/>
      <c r="BM890" s="493"/>
      <c r="BN890" s="1318">
        <f>SUM(AS890:BL890)</f>
        <v>0</v>
      </c>
      <c r="BO890" s="1318"/>
      <c r="BP890" s="1318"/>
      <c r="BQ890" s="1318"/>
      <c r="BR890" s="1318"/>
      <c r="BS890" s="1318"/>
      <c r="BT890" s="356"/>
      <c r="BU890" s="357"/>
      <c r="BV890" s="310"/>
      <c r="BW890" s="310"/>
      <c r="BX890" s="300">
        <f t="shared" si="64"/>
        <v>0</v>
      </c>
      <c r="BY890" s="342"/>
      <c r="BZ890" s="438"/>
      <c r="CA890" s="438"/>
      <c r="CB890" s="439"/>
      <c r="CC890" s="439"/>
      <c r="CD890" s="439"/>
      <c r="CE890" s="439"/>
      <c r="CF890" s="439"/>
    </row>
    <row r="891" spans="1:84" s="423" customFormat="1" ht="15" hidden="1" customHeight="1" x14ac:dyDescent="0.25">
      <c r="A891" s="369"/>
      <c r="B891" s="354"/>
      <c r="C891" s="456" t="s">
        <v>999</v>
      </c>
      <c r="D891" s="392"/>
      <c r="E891" s="392"/>
      <c r="F891" s="392"/>
      <c r="G891" s="392"/>
      <c r="H891" s="392"/>
      <c r="I891" s="1444">
        <v>0</v>
      </c>
      <c r="J891" s="1444"/>
      <c r="K891" s="1444"/>
      <c r="L891" s="1444"/>
      <c r="M891" s="1444"/>
      <c r="N891" s="1444"/>
      <c r="O891" s="493"/>
      <c r="P891" s="1444">
        <v>0</v>
      </c>
      <c r="Q891" s="1444"/>
      <c r="R891" s="1444"/>
      <c r="S891" s="1444"/>
      <c r="T891" s="1444"/>
      <c r="U891" s="1444"/>
      <c r="V891" s="493"/>
      <c r="W891" s="1444">
        <v>0</v>
      </c>
      <c r="X891" s="1444"/>
      <c r="Y891" s="1444"/>
      <c r="Z891" s="1444"/>
      <c r="AA891" s="1444"/>
      <c r="AB891" s="1444"/>
      <c r="AC891" s="493"/>
      <c r="AD891" s="1318">
        <f>SUM(I891:AB891)</f>
        <v>0</v>
      </c>
      <c r="AE891" s="1318"/>
      <c r="AF891" s="1318"/>
      <c r="AG891" s="1318"/>
      <c r="AH891" s="1318"/>
      <c r="AI891" s="1318"/>
      <c r="AJ891" s="342"/>
      <c r="AK891" s="419"/>
      <c r="AL891" s="354"/>
      <c r="AM891" s="545" t="s">
        <v>1000</v>
      </c>
      <c r="AN891" s="392"/>
      <c r="AO891" s="392"/>
      <c r="AP891" s="392"/>
      <c r="AQ891" s="392"/>
      <c r="AR891" s="392"/>
      <c r="AS891" s="1445">
        <f>I891</f>
        <v>0</v>
      </c>
      <c r="AT891" s="1445"/>
      <c r="AU891" s="1445"/>
      <c r="AV891" s="1445"/>
      <c r="AW891" s="1445"/>
      <c r="AX891" s="1445"/>
      <c r="AY891" s="493"/>
      <c r="AZ891" s="1445">
        <f>P891</f>
        <v>0</v>
      </c>
      <c r="BA891" s="1445"/>
      <c r="BB891" s="1445"/>
      <c r="BC891" s="1445"/>
      <c r="BD891" s="1445"/>
      <c r="BE891" s="1445"/>
      <c r="BF891" s="493"/>
      <c r="BG891" s="1445">
        <f>W891</f>
        <v>0</v>
      </c>
      <c r="BH891" s="1445"/>
      <c r="BI891" s="1445"/>
      <c r="BJ891" s="1445"/>
      <c r="BK891" s="1445"/>
      <c r="BL891" s="1445"/>
      <c r="BM891" s="493"/>
      <c r="BN891" s="1318">
        <f>SUM(AS891:BL891)</f>
        <v>0</v>
      </c>
      <c r="BO891" s="1318"/>
      <c r="BP891" s="1318"/>
      <c r="BQ891" s="1318"/>
      <c r="BR891" s="1318"/>
      <c r="BS891" s="1318"/>
      <c r="BT891" s="356"/>
      <c r="BU891" s="357"/>
      <c r="BV891" s="310"/>
      <c r="BW891" s="310"/>
      <c r="BX891" s="300">
        <f t="shared" si="64"/>
        <v>0</v>
      </c>
      <c r="BY891" s="342"/>
      <c r="BZ891" s="438"/>
      <c r="CA891" s="438"/>
      <c r="CB891" s="439"/>
      <c r="CC891" s="439"/>
      <c r="CD891" s="439"/>
      <c r="CE891" s="439"/>
      <c r="CF891" s="439"/>
    </row>
    <row r="892" spans="1:84" s="423" customFormat="1" ht="15" hidden="1" customHeight="1" thickBot="1" x14ac:dyDescent="0.3">
      <c r="A892" s="369"/>
      <c r="B892" s="354"/>
      <c r="C892" s="471" t="s">
        <v>1001</v>
      </c>
      <c r="D892" s="392"/>
      <c r="E892" s="392"/>
      <c r="F892" s="392"/>
      <c r="G892" s="392"/>
      <c r="H892" s="392"/>
      <c r="I892" s="1439">
        <f>SUBTOTAL(109,I889:N891)</f>
        <v>0</v>
      </c>
      <c r="J892" s="1439"/>
      <c r="K892" s="1439"/>
      <c r="L892" s="1439"/>
      <c r="M892" s="1439"/>
      <c r="N892" s="1439"/>
      <c r="O892" s="487"/>
      <c r="P892" s="1439">
        <f>SUBTOTAL(109,P889:U891)</f>
        <v>0</v>
      </c>
      <c r="Q892" s="1439"/>
      <c r="R892" s="1439"/>
      <c r="S892" s="1439"/>
      <c r="T892" s="1439"/>
      <c r="U892" s="1439"/>
      <c r="V892" s="487"/>
      <c r="W892" s="1439">
        <f>SUBTOTAL(109,W889:AB891)</f>
        <v>0</v>
      </c>
      <c r="X892" s="1439"/>
      <c r="Y892" s="1439"/>
      <c r="Z892" s="1439"/>
      <c r="AA892" s="1439"/>
      <c r="AB892" s="1439"/>
      <c r="AC892" s="487"/>
      <c r="AD892" s="1439">
        <f>SUBTOTAL(109,AD889:AI891)</f>
        <v>0</v>
      </c>
      <c r="AE892" s="1439"/>
      <c r="AF892" s="1439"/>
      <c r="AG892" s="1439"/>
      <c r="AH892" s="1439"/>
      <c r="AI892" s="1439"/>
      <c r="AJ892" s="342"/>
      <c r="AK892" s="419"/>
      <c r="AL892" s="354"/>
      <c r="AM892" s="1501" t="s">
        <v>1007</v>
      </c>
      <c r="AN892" s="1501"/>
      <c r="AO892" s="1501"/>
      <c r="AP892" s="1501"/>
      <c r="AQ892" s="1501"/>
      <c r="AR892" s="1501"/>
      <c r="AS892" s="1439">
        <f>SUBTOTAL(109,AS889:AX891)</f>
        <v>0</v>
      </c>
      <c r="AT892" s="1439"/>
      <c r="AU892" s="1439"/>
      <c r="AV892" s="1439"/>
      <c r="AW892" s="1439"/>
      <c r="AX892" s="1439"/>
      <c r="AY892" s="487"/>
      <c r="AZ892" s="1439">
        <f>SUBTOTAL(109,AZ889:BE891)</f>
        <v>0</v>
      </c>
      <c r="BA892" s="1439"/>
      <c r="BB892" s="1439"/>
      <c r="BC892" s="1439"/>
      <c r="BD892" s="1439"/>
      <c r="BE892" s="1439"/>
      <c r="BF892" s="487"/>
      <c r="BG892" s="1439">
        <f>SUBTOTAL(109,BG889:BL891)</f>
        <v>0</v>
      </c>
      <c r="BH892" s="1439"/>
      <c r="BI892" s="1439"/>
      <c r="BJ892" s="1439"/>
      <c r="BK892" s="1439"/>
      <c r="BL892" s="1439"/>
      <c r="BM892" s="487"/>
      <c r="BN892" s="1439">
        <f>SUBTOTAL(109,BN889:BS891)</f>
        <v>0</v>
      </c>
      <c r="BO892" s="1439"/>
      <c r="BP892" s="1439"/>
      <c r="BQ892" s="1439"/>
      <c r="BR892" s="1439"/>
      <c r="BS892" s="1439"/>
      <c r="BT892" s="356"/>
      <c r="BU892" s="357"/>
      <c r="BV892" s="310"/>
      <c r="BW892" s="310"/>
      <c r="BX892" s="300">
        <f t="shared" si="64"/>
        <v>0</v>
      </c>
      <c r="BY892" s="342"/>
      <c r="BZ892" s="438"/>
      <c r="CA892" s="438"/>
      <c r="CB892" s="439"/>
      <c r="CC892" s="439"/>
      <c r="CD892" s="439"/>
      <c r="CE892" s="439"/>
      <c r="CF892" s="439"/>
    </row>
    <row r="893" spans="1:84" ht="15" hidden="1" customHeight="1" thickTop="1" x14ac:dyDescent="0.25">
      <c r="A893" s="369"/>
      <c r="B893" s="354"/>
      <c r="C893" s="392"/>
      <c r="D893" s="392"/>
      <c r="E893" s="392"/>
      <c r="F893" s="392"/>
      <c r="G893" s="392"/>
      <c r="H893" s="392"/>
      <c r="I893" s="1444"/>
      <c r="J893" s="1444"/>
      <c r="K893" s="1444"/>
      <c r="L893" s="1444"/>
      <c r="M893" s="1444"/>
      <c r="N893" s="1444"/>
      <c r="O893" s="493"/>
      <c r="P893" s="1444"/>
      <c r="Q893" s="1444"/>
      <c r="R893" s="1444"/>
      <c r="S893" s="1444"/>
      <c r="T893" s="1444"/>
      <c r="U893" s="1444"/>
      <c r="V893" s="493"/>
      <c r="W893" s="1444"/>
      <c r="X893" s="1444"/>
      <c r="Y893" s="1444"/>
      <c r="Z893" s="1444"/>
      <c r="AA893" s="1444"/>
      <c r="AB893" s="1444"/>
      <c r="AC893" s="493"/>
      <c r="AD893" s="1499"/>
      <c r="AE893" s="1499"/>
      <c r="AF893" s="1499"/>
      <c r="AG893" s="1499"/>
      <c r="AH893" s="1499"/>
      <c r="AI893" s="1499"/>
      <c r="AJ893" s="344"/>
      <c r="AK893" s="419"/>
      <c r="AL893" s="354"/>
      <c r="AM893" s="392"/>
      <c r="AN893" s="392"/>
      <c r="AO893" s="392"/>
      <c r="AP893" s="392"/>
      <c r="AQ893" s="392"/>
      <c r="AR893" s="392"/>
      <c r="AS893" s="1444"/>
      <c r="AT893" s="1444"/>
      <c r="AU893" s="1444"/>
      <c r="AV893" s="1444"/>
      <c r="AW893" s="1444"/>
      <c r="AX893" s="1444"/>
      <c r="AY893" s="493"/>
      <c r="AZ893" s="1444"/>
      <c r="BA893" s="1444"/>
      <c r="BB893" s="1444"/>
      <c r="BC893" s="1444"/>
      <c r="BD893" s="1444"/>
      <c r="BE893" s="1444"/>
      <c r="BF893" s="493"/>
      <c r="BG893" s="1444"/>
      <c r="BH893" s="1444"/>
      <c r="BI893" s="1444"/>
      <c r="BJ893" s="1444"/>
      <c r="BK893" s="1444"/>
      <c r="BL893" s="1444"/>
      <c r="BM893" s="493"/>
      <c r="BN893" s="1499"/>
      <c r="BO893" s="1499"/>
      <c r="BP893" s="1499"/>
      <c r="BQ893" s="1499"/>
      <c r="BR893" s="1499"/>
      <c r="BS893" s="1499"/>
      <c r="BT893" s="356"/>
      <c r="BU893" s="357"/>
      <c r="BV893" s="310"/>
      <c r="BW893" s="310"/>
      <c r="BX893" s="291">
        <f t="shared" si="64"/>
        <v>0</v>
      </c>
      <c r="BY893" s="344"/>
      <c r="BZ893" s="347"/>
      <c r="CA893" s="347"/>
    </row>
    <row r="894" spans="1:84" ht="15" hidden="1" customHeight="1" x14ac:dyDescent="0.25">
      <c r="A894" s="369"/>
      <c r="B894" s="354"/>
      <c r="C894" s="471" t="s">
        <v>1008</v>
      </c>
      <c r="D894" s="392"/>
      <c r="E894" s="392"/>
      <c r="F894" s="392"/>
      <c r="G894" s="392"/>
      <c r="H894" s="392"/>
      <c r="I894" s="1444"/>
      <c r="J894" s="1444"/>
      <c r="K894" s="1444"/>
      <c r="L894" s="1444"/>
      <c r="M894" s="1444"/>
      <c r="N894" s="1444"/>
      <c r="O894" s="493"/>
      <c r="P894" s="1444"/>
      <c r="Q894" s="1444"/>
      <c r="R894" s="1444"/>
      <c r="S894" s="1444"/>
      <c r="T894" s="1444"/>
      <c r="U894" s="1444"/>
      <c r="V894" s="493"/>
      <c r="W894" s="1444"/>
      <c r="X894" s="1444"/>
      <c r="Y894" s="1444"/>
      <c r="Z894" s="1444"/>
      <c r="AA894" s="1444"/>
      <c r="AB894" s="1444"/>
      <c r="AC894" s="493"/>
      <c r="AD894" s="1499"/>
      <c r="AE894" s="1499"/>
      <c r="AF894" s="1499"/>
      <c r="AG894" s="1499"/>
      <c r="AH894" s="1499"/>
      <c r="AI894" s="1499"/>
      <c r="AJ894" s="344"/>
      <c r="AK894" s="419"/>
      <c r="AL894" s="354"/>
      <c r="AM894" s="471" t="s">
        <v>1009</v>
      </c>
      <c r="AN894" s="547"/>
      <c r="AO894" s="547"/>
      <c r="AP894" s="547"/>
      <c r="AQ894" s="547"/>
      <c r="AR894" s="547"/>
      <c r="AS894" s="493"/>
      <c r="AT894" s="493"/>
      <c r="AU894" s="493"/>
      <c r="AV894" s="493"/>
      <c r="AW894" s="493"/>
      <c r="AX894" s="493"/>
      <c r="AY894" s="493"/>
      <c r="AZ894" s="1444"/>
      <c r="BA894" s="1444"/>
      <c r="BB894" s="1444"/>
      <c r="BC894" s="1444"/>
      <c r="BD894" s="1444"/>
      <c r="BE894" s="1444"/>
      <c r="BF894" s="493"/>
      <c r="BG894" s="1444"/>
      <c r="BH894" s="1444"/>
      <c r="BI894" s="1444"/>
      <c r="BJ894" s="1444"/>
      <c r="BK894" s="1444"/>
      <c r="BL894" s="1444"/>
      <c r="BM894" s="493"/>
      <c r="BN894" s="1499"/>
      <c r="BO894" s="1499"/>
      <c r="BP894" s="1499"/>
      <c r="BQ894" s="1499"/>
      <c r="BR894" s="1499"/>
      <c r="BS894" s="1499"/>
      <c r="BT894" s="356"/>
      <c r="BU894" s="357"/>
      <c r="BV894" s="310"/>
      <c r="BW894" s="310"/>
      <c r="BX894" s="291">
        <f t="shared" si="64"/>
        <v>0</v>
      </c>
      <c r="BY894" s="344"/>
      <c r="BZ894" s="347"/>
      <c r="CA894" s="347"/>
    </row>
    <row r="895" spans="1:84" ht="15" hidden="1" customHeight="1" x14ac:dyDescent="0.25">
      <c r="A895" s="369"/>
      <c r="B895" s="354"/>
      <c r="C895" s="392" t="s">
        <v>1010</v>
      </c>
      <c r="D895" s="392"/>
      <c r="E895" s="392"/>
      <c r="F895" s="392"/>
      <c r="G895" s="392"/>
      <c r="H895" s="392"/>
      <c r="I895" s="1444">
        <f>I881-I889</f>
        <v>0</v>
      </c>
      <c r="J895" s="1444"/>
      <c r="K895" s="1444"/>
      <c r="L895" s="1444"/>
      <c r="M895" s="1444"/>
      <c r="N895" s="1444"/>
      <c r="O895" s="493"/>
      <c r="P895" s="1444">
        <f>P881-P889</f>
        <v>0</v>
      </c>
      <c r="Q895" s="1444"/>
      <c r="R895" s="1444"/>
      <c r="S895" s="1444"/>
      <c r="T895" s="1444"/>
      <c r="U895" s="1444"/>
      <c r="V895" s="493"/>
      <c r="W895" s="1444">
        <f>W881-W889</f>
        <v>0</v>
      </c>
      <c r="X895" s="1444"/>
      <c r="Y895" s="1444"/>
      <c r="Z895" s="1444"/>
      <c r="AA895" s="1444"/>
      <c r="AB895" s="1444"/>
      <c r="AC895" s="493"/>
      <c r="AD895" s="1499">
        <f>AD881-AD889</f>
        <v>0</v>
      </c>
      <c r="AE895" s="1499"/>
      <c r="AF895" s="1499"/>
      <c r="AG895" s="1499"/>
      <c r="AH895" s="1499"/>
      <c r="AI895" s="1499"/>
      <c r="AJ895" s="344"/>
      <c r="AK895" s="419"/>
      <c r="AL895" s="354"/>
      <c r="AM895" s="1500" t="s">
        <v>1011</v>
      </c>
      <c r="AN895" s="1500"/>
      <c r="AO895" s="1500"/>
      <c r="AP895" s="1500"/>
      <c r="AQ895" s="1500"/>
      <c r="AR895" s="1500"/>
      <c r="AS895" s="1444">
        <f>AS881-AS889</f>
        <v>0</v>
      </c>
      <c r="AT895" s="1444"/>
      <c r="AU895" s="1444"/>
      <c r="AV895" s="1444"/>
      <c r="AW895" s="1444"/>
      <c r="AX895" s="1444"/>
      <c r="AY895" s="493"/>
      <c r="AZ895" s="1444">
        <f>AZ881-AZ889</f>
        <v>0</v>
      </c>
      <c r="BA895" s="1444"/>
      <c r="BB895" s="1444"/>
      <c r="BC895" s="1444"/>
      <c r="BD895" s="1444"/>
      <c r="BE895" s="1444"/>
      <c r="BF895" s="493"/>
      <c r="BG895" s="1444">
        <f>BG881-BG889</f>
        <v>0</v>
      </c>
      <c r="BH895" s="1444"/>
      <c r="BI895" s="1444"/>
      <c r="BJ895" s="1444"/>
      <c r="BK895" s="1444"/>
      <c r="BL895" s="1444"/>
      <c r="BM895" s="493"/>
      <c r="BN895" s="1499">
        <f>BN881-BN889</f>
        <v>0</v>
      </c>
      <c r="BO895" s="1499"/>
      <c r="BP895" s="1499"/>
      <c r="BQ895" s="1499"/>
      <c r="BR895" s="1499"/>
      <c r="BS895" s="1499"/>
      <c r="BT895" s="356"/>
      <c r="BU895" s="357"/>
      <c r="BV895" s="310"/>
      <c r="BW895" s="310"/>
      <c r="BX895" s="291">
        <f t="shared" si="64"/>
        <v>0</v>
      </c>
      <c r="BY895" s="344"/>
      <c r="BZ895" s="347"/>
      <c r="CA895" s="347"/>
    </row>
    <row r="896" spans="1:84" s="451" customFormat="1" ht="15" hidden="1" customHeight="1" thickBot="1" x14ac:dyDescent="0.3">
      <c r="A896" s="313"/>
      <c r="B896" s="340"/>
      <c r="C896" s="471" t="s">
        <v>1012</v>
      </c>
      <c r="D896" s="471"/>
      <c r="E896" s="471"/>
      <c r="F896" s="471"/>
      <c r="G896" s="471"/>
      <c r="H896" s="471"/>
      <c r="I896" s="1439">
        <f>I886-I892</f>
        <v>0</v>
      </c>
      <c r="J896" s="1439"/>
      <c r="K896" s="1439"/>
      <c r="L896" s="1439"/>
      <c r="M896" s="1439"/>
      <c r="N896" s="1439"/>
      <c r="O896" s="487"/>
      <c r="P896" s="1439">
        <f>P886-P892</f>
        <v>0</v>
      </c>
      <c r="Q896" s="1439"/>
      <c r="R896" s="1439"/>
      <c r="S896" s="1439"/>
      <c r="T896" s="1439"/>
      <c r="U896" s="1439"/>
      <c r="V896" s="487"/>
      <c r="W896" s="1439">
        <f>W886-W892</f>
        <v>0</v>
      </c>
      <c r="X896" s="1439"/>
      <c r="Y896" s="1439"/>
      <c r="Z896" s="1439"/>
      <c r="AA896" s="1439"/>
      <c r="AB896" s="1439"/>
      <c r="AC896" s="487"/>
      <c r="AD896" s="1359">
        <f>AD886-AD892</f>
        <v>0</v>
      </c>
      <c r="AE896" s="1359"/>
      <c r="AF896" s="1359"/>
      <c r="AG896" s="1359"/>
      <c r="AH896" s="1359"/>
      <c r="AI896" s="1359"/>
      <c r="AJ896" s="341"/>
      <c r="AK896" s="345"/>
      <c r="AL896" s="340"/>
      <c r="AM896" s="471" t="s">
        <v>1013</v>
      </c>
      <c r="AN896" s="471"/>
      <c r="AO896" s="471"/>
      <c r="AP896" s="471"/>
      <c r="AQ896" s="471"/>
      <c r="AR896" s="471"/>
      <c r="AS896" s="1439">
        <f>AS886-AS892</f>
        <v>0</v>
      </c>
      <c r="AT896" s="1439"/>
      <c r="AU896" s="1439"/>
      <c r="AV896" s="1439"/>
      <c r="AW896" s="1439"/>
      <c r="AX896" s="1439"/>
      <c r="AY896" s="487"/>
      <c r="AZ896" s="1439">
        <f>AZ886-AZ892</f>
        <v>0</v>
      </c>
      <c r="BA896" s="1439"/>
      <c r="BB896" s="1439"/>
      <c r="BC896" s="1439"/>
      <c r="BD896" s="1439"/>
      <c r="BE896" s="1439"/>
      <c r="BF896" s="487"/>
      <c r="BG896" s="1439">
        <f>BG886-BG892</f>
        <v>0</v>
      </c>
      <c r="BH896" s="1439"/>
      <c r="BI896" s="1439"/>
      <c r="BJ896" s="1439"/>
      <c r="BK896" s="1439"/>
      <c r="BL896" s="1439"/>
      <c r="BM896" s="487"/>
      <c r="BN896" s="1359">
        <f>BN886-BN892</f>
        <v>0</v>
      </c>
      <c r="BO896" s="1359"/>
      <c r="BP896" s="1359"/>
      <c r="BQ896" s="1359"/>
      <c r="BR896" s="1359"/>
      <c r="BS896" s="1359"/>
      <c r="BT896" s="361"/>
      <c r="BU896" s="362"/>
      <c r="BV896" s="310"/>
      <c r="BW896" s="310"/>
      <c r="BX896" s="300">
        <f t="shared" si="64"/>
        <v>0</v>
      </c>
      <c r="BY896" s="341"/>
      <c r="BZ896" s="431"/>
      <c r="CA896" s="431"/>
      <c r="CB896" s="450"/>
      <c r="CC896" s="450"/>
      <c r="CD896" s="450"/>
      <c r="CE896" s="450"/>
      <c r="CF896" s="450"/>
    </row>
    <row r="897" spans="1:84" ht="15" hidden="1" customHeight="1" thickTop="1" x14ac:dyDescent="0.25">
      <c r="A897" s="369"/>
      <c r="B897" s="354"/>
      <c r="C897" s="392"/>
      <c r="D897" s="392"/>
      <c r="E897" s="392"/>
      <c r="F897" s="392"/>
      <c r="G897" s="392"/>
      <c r="H897" s="392"/>
      <c r="I897" s="484"/>
      <c r="J897" s="484"/>
      <c r="K897" s="484"/>
      <c r="L897" s="484"/>
      <c r="M897" s="484"/>
      <c r="N897" s="484"/>
      <c r="O897" s="484"/>
      <c r="P897" s="484"/>
      <c r="Q897" s="484"/>
      <c r="R897" s="484"/>
      <c r="S897" s="484"/>
      <c r="T897" s="484"/>
      <c r="U897" s="484"/>
      <c r="V897" s="484"/>
      <c r="W897" s="484"/>
      <c r="X897" s="484"/>
      <c r="Y897" s="484"/>
      <c r="Z897" s="484"/>
      <c r="AA897" s="484"/>
      <c r="AB897" s="484"/>
      <c r="AC897" s="484"/>
      <c r="AD897" s="546"/>
      <c r="AE897" s="546"/>
      <c r="AF897" s="546"/>
      <c r="AG897" s="546"/>
      <c r="AH897" s="546"/>
      <c r="AI897" s="546"/>
      <c r="AJ897" s="344"/>
      <c r="AK897" s="419"/>
      <c r="AL897" s="354"/>
      <c r="AM897" s="392"/>
      <c r="AN897" s="392"/>
      <c r="AO897" s="392"/>
      <c r="AP897" s="392"/>
      <c r="AQ897" s="392"/>
      <c r="AR897" s="392"/>
      <c r="AS897" s="484"/>
      <c r="AT897" s="484"/>
      <c r="AU897" s="484"/>
      <c r="AV897" s="484"/>
      <c r="AW897" s="484"/>
      <c r="AX897" s="484"/>
      <c r="AY897" s="484"/>
      <c r="AZ897" s="484"/>
      <c r="BA897" s="484"/>
      <c r="BB897" s="484"/>
      <c r="BC897" s="484"/>
      <c r="BD897" s="484"/>
      <c r="BE897" s="484"/>
      <c r="BF897" s="484"/>
      <c r="BG897" s="484"/>
      <c r="BH897" s="484"/>
      <c r="BI897" s="484"/>
      <c r="BJ897" s="484"/>
      <c r="BK897" s="484"/>
      <c r="BL897" s="484"/>
      <c r="BM897" s="484"/>
      <c r="BN897" s="546"/>
      <c r="BO897" s="546"/>
      <c r="BP897" s="546"/>
      <c r="BQ897" s="546"/>
      <c r="BR897" s="546"/>
      <c r="BS897" s="546"/>
      <c r="BT897" s="356"/>
      <c r="BU897" s="357"/>
      <c r="BV897" s="310"/>
      <c r="BW897" s="310"/>
      <c r="BX897" s="291">
        <f t="shared" si="64"/>
        <v>0</v>
      </c>
      <c r="BY897" s="344"/>
      <c r="BZ897" s="347"/>
      <c r="CA897" s="347"/>
    </row>
    <row r="898" spans="1:84" ht="15" hidden="1" customHeight="1" x14ac:dyDescent="0.25">
      <c r="A898" s="369"/>
      <c r="B898" s="354"/>
      <c r="C898" s="548" t="s">
        <v>1076</v>
      </c>
      <c r="D898" s="392"/>
      <c r="E898" s="392"/>
      <c r="F898" s="392"/>
      <c r="G898" s="392"/>
      <c r="H898" s="392"/>
      <c r="I898" s="484"/>
      <c r="J898" s="484"/>
      <c r="K898" s="484"/>
      <c r="L898" s="484"/>
      <c r="M898" s="484"/>
      <c r="N898" s="484"/>
      <c r="O898" s="484"/>
      <c r="P898" s="484"/>
      <c r="Q898" s="484"/>
      <c r="R898" s="484"/>
      <c r="S898" s="484"/>
      <c r="T898" s="484"/>
      <c r="U898" s="484"/>
      <c r="V898" s="484"/>
      <c r="W898" s="484"/>
      <c r="X898" s="484"/>
      <c r="Y898" s="484"/>
      <c r="Z898" s="484"/>
      <c r="AA898" s="484"/>
      <c r="AB898" s="484"/>
      <c r="AC898" s="484"/>
      <c r="AD898" s="546"/>
      <c r="AE898" s="546"/>
      <c r="AF898" s="546"/>
      <c r="AG898" s="546"/>
      <c r="AH898" s="546"/>
      <c r="AI898" s="546"/>
      <c r="AJ898" s="344"/>
      <c r="AK898" s="419"/>
      <c r="AL898" s="354"/>
      <c r="AM898" s="548" t="s">
        <v>1076</v>
      </c>
      <c r="AN898" s="392"/>
      <c r="AO898" s="392"/>
      <c r="AP898" s="392"/>
      <c r="AQ898" s="392"/>
      <c r="AR898" s="392"/>
      <c r="AS898" s="484"/>
      <c r="AT898" s="484"/>
      <c r="AU898" s="484"/>
      <c r="AV898" s="484"/>
      <c r="AW898" s="484"/>
      <c r="AX898" s="484"/>
      <c r="AY898" s="484"/>
      <c r="AZ898" s="484"/>
      <c r="BA898" s="484"/>
      <c r="BB898" s="484"/>
      <c r="BC898" s="484"/>
      <c r="BD898" s="484"/>
      <c r="BE898" s="484"/>
      <c r="BF898" s="484"/>
      <c r="BG898" s="484"/>
      <c r="BH898" s="484"/>
      <c r="BI898" s="484"/>
      <c r="BJ898" s="484"/>
      <c r="BK898" s="484"/>
      <c r="BL898" s="484"/>
      <c r="BM898" s="484"/>
      <c r="BN898" s="546"/>
      <c r="BO898" s="546"/>
      <c r="BP898" s="546"/>
      <c r="BQ898" s="546"/>
      <c r="BR898" s="546"/>
      <c r="BS898" s="546"/>
      <c r="BT898" s="356"/>
      <c r="BU898" s="357"/>
      <c r="BV898" s="310"/>
      <c r="BW898" s="310"/>
      <c r="BX898" s="291">
        <f t="shared" si="64"/>
        <v>0</v>
      </c>
      <c r="BY898" s="344"/>
      <c r="BZ898" s="347"/>
      <c r="CA898" s="347"/>
    </row>
    <row r="899" spans="1:84" s="423" customFormat="1" ht="15" hidden="1" customHeight="1" x14ac:dyDescent="0.25">
      <c r="A899" s="313"/>
      <c r="B899" s="454"/>
      <c r="C899" s="529" t="s">
        <v>355</v>
      </c>
      <c r="D899" s="1498" t="s">
        <v>1077</v>
      </c>
      <c r="E899" s="1498"/>
      <c r="F899" s="1498"/>
      <c r="G899" s="1498"/>
      <c r="H899" s="1498"/>
      <c r="I899" s="1498"/>
      <c r="J899" s="1498"/>
      <c r="K899" s="1498"/>
      <c r="L899" s="1498"/>
      <c r="M899" s="1498"/>
      <c r="N899" s="1498"/>
      <c r="O899" s="1498"/>
      <c r="P899" s="1498"/>
      <c r="Q899" s="1498"/>
      <c r="R899" s="1498"/>
      <c r="S899" s="1498"/>
      <c r="T899" s="1498"/>
      <c r="U899" s="1498"/>
      <c r="V899" s="1498"/>
      <c r="W899" s="1498"/>
      <c r="X899" s="1498"/>
      <c r="Y899" s="1498"/>
      <c r="Z899" s="1498"/>
      <c r="AA899" s="1498"/>
      <c r="AB899" s="1498"/>
      <c r="AC899" s="1498"/>
      <c r="AD899" s="1498"/>
      <c r="AE899" s="1498"/>
      <c r="AF899" s="1498"/>
      <c r="AG899" s="1498"/>
      <c r="AH899" s="1498"/>
      <c r="AI899" s="1498"/>
      <c r="AJ899" s="342"/>
      <c r="AK899" s="345"/>
      <c r="AL899" s="340"/>
      <c r="AM899" s="529" t="s">
        <v>355</v>
      </c>
      <c r="AN899" s="1498" t="s">
        <v>1078</v>
      </c>
      <c r="AO899" s="1498"/>
      <c r="AP899" s="1498"/>
      <c r="AQ899" s="1498"/>
      <c r="AR899" s="1498"/>
      <c r="AS899" s="1498"/>
      <c r="AT899" s="1498"/>
      <c r="AU899" s="1498"/>
      <c r="AV899" s="1498"/>
      <c r="AW899" s="1498"/>
      <c r="AX899" s="1498"/>
      <c r="AY899" s="1498"/>
      <c r="AZ899" s="1498"/>
      <c r="BA899" s="1498"/>
      <c r="BB899" s="1498"/>
      <c r="BC899" s="1498"/>
      <c r="BD899" s="1498"/>
      <c r="BE899" s="1498"/>
      <c r="BF899" s="1498"/>
      <c r="BG899" s="1498"/>
      <c r="BH899" s="1498"/>
      <c r="BI899" s="1498"/>
      <c r="BJ899" s="1498"/>
      <c r="BK899" s="1498"/>
      <c r="BL899" s="1498"/>
      <c r="BM899" s="1498"/>
      <c r="BN899" s="1498"/>
      <c r="BO899" s="1498"/>
      <c r="BP899" s="1498"/>
      <c r="BQ899" s="1498"/>
      <c r="BR899" s="1498"/>
      <c r="BS899" s="1498"/>
      <c r="BT899" s="356"/>
      <c r="BU899" s="357"/>
      <c r="BV899" s="310"/>
      <c r="BW899" s="310"/>
      <c r="BX899" s="300">
        <f t="shared" si="64"/>
        <v>0</v>
      </c>
      <c r="BY899" s="342"/>
      <c r="BZ899" s="438"/>
      <c r="CA899" s="438"/>
      <c r="CB899" s="439"/>
      <c r="CC899" s="439"/>
      <c r="CD899" s="439"/>
      <c r="CE899" s="439"/>
      <c r="CF899" s="439"/>
    </row>
    <row r="900" spans="1:84" s="423" customFormat="1" ht="15" hidden="1" customHeight="1" x14ac:dyDescent="0.25">
      <c r="A900" s="313"/>
      <c r="B900" s="454"/>
      <c r="C900" s="529" t="s">
        <v>355</v>
      </c>
      <c r="D900" s="1498" t="s">
        <v>1079</v>
      </c>
      <c r="E900" s="1498"/>
      <c r="F900" s="1498"/>
      <c r="G900" s="1498"/>
      <c r="H900" s="1498"/>
      <c r="I900" s="1498"/>
      <c r="J900" s="1498"/>
      <c r="K900" s="1498"/>
      <c r="L900" s="1498"/>
      <c r="M900" s="1498"/>
      <c r="N900" s="1498"/>
      <c r="O900" s="1498"/>
      <c r="P900" s="1498"/>
      <c r="Q900" s="1498"/>
      <c r="R900" s="1498"/>
      <c r="S900" s="1498"/>
      <c r="T900" s="1498"/>
      <c r="U900" s="1498"/>
      <c r="V900" s="1498"/>
      <c r="W900" s="1498"/>
      <c r="X900" s="1498"/>
      <c r="Y900" s="1498"/>
      <c r="Z900" s="1498"/>
      <c r="AA900" s="1498"/>
      <c r="AB900" s="1498"/>
      <c r="AC900" s="1498"/>
      <c r="AD900" s="1498"/>
      <c r="AE900" s="1498"/>
      <c r="AF900" s="1498"/>
      <c r="AG900" s="1498"/>
      <c r="AH900" s="1498"/>
      <c r="AI900" s="1498"/>
      <c r="AJ900" s="342"/>
      <c r="AK900" s="345"/>
      <c r="AL900" s="340"/>
      <c r="AM900" s="529" t="s">
        <v>355</v>
      </c>
      <c r="AN900" s="1498" t="s">
        <v>1080</v>
      </c>
      <c r="AO900" s="1498"/>
      <c r="AP900" s="1498"/>
      <c r="AQ900" s="1498"/>
      <c r="AR900" s="1498"/>
      <c r="AS900" s="1498"/>
      <c r="AT900" s="1498"/>
      <c r="AU900" s="1498"/>
      <c r="AV900" s="1498"/>
      <c r="AW900" s="1498"/>
      <c r="AX900" s="1498"/>
      <c r="AY900" s="1498"/>
      <c r="AZ900" s="1498"/>
      <c r="BA900" s="1498"/>
      <c r="BB900" s="1498"/>
      <c r="BC900" s="1498"/>
      <c r="BD900" s="1498"/>
      <c r="BE900" s="1498"/>
      <c r="BF900" s="1498"/>
      <c r="BG900" s="1498"/>
      <c r="BH900" s="1498"/>
      <c r="BI900" s="1498"/>
      <c r="BJ900" s="1498"/>
      <c r="BK900" s="1498"/>
      <c r="BL900" s="1498"/>
      <c r="BM900" s="1498"/>
      <c r="BN900" s="1498"/>
      <c r="BO900" s="1498"/>
      <c r="BP900" s="1498"/>
      <c r="BQ900" s="1498"/>
      <c r="BR900" s="1498"/>
      <c r="BS900" s="1498"/>
      <c r="BT900" s="356"/>
      <c r="BU900" s="357"/>
      <c r="BV900" s="310"/>
      <c r="BW900" s="310"/>
      <c r="BX900" s="300">
        <f t="shared" si="64"/>
        <v>0</v>
      </c>
      <c r="BY900" s="342"/>
      <c r="BZ900" s="438"/>
      <c r="CA900" s="438"/>
      <c r="CB900" s="439"/>
      <c r="CC900" s="439"/>
      <c r="CD900" s="439"/>
      <c r="CE900" s="439"/>
      <c r="CF900" s="439"/>
    </row>
    <row r="901" spans="1:84" s="423" customFormat="1" ht="15" hidden="1" customHeight="1" x14ac:dyDescent="0.25">
      <c r="A901" s="313"/>
      <c r="B901" s="454"/>
      <c r="C901" s="529" t="s">
        <v>355</v>
      </c>
      <c r="D901" s="1496" t="s">
        <v>1061</v>
      </c>
      <c r="E901" s="1496"/>
      <c r="F901" s="1496"/>
      <c r="G901" s="1496"/>
      <c r="H901" s="1496"/>
      <c r="I901" s="1496"/>
      <c r="J901" s="1496"/>
      <c r="K901" s="1496"/>
      <c r="L901" s="1496"/>
      <c r="M901" s="1496"/>
      <c r="N901" s="1496"/>
      <c r="O901" s="1496"/>
      <c r="P901" s="1496"/>
      <c r="Q901" s="1496"/>
      <c r="R901" s="1496"/>
      <c r="S901" s="1496"/>
      <c r="T901" s="1496"/>
      <c r="U901" s="1496"/>
      <c r="V901" s="1496"/>
      <c r="W901" s="1496"/>
      <c r="X901" s="1496"/>
      <c r="Y901" s="1496"/>
      <c r="Z901" s="1496"/>
      <c r="AA901" s="1496"/>
      <c r="AB901" s="1496"/>
      <c r="AC901" s="1496"/>
      <c r="AD901" s="1496"/>
      <c r="AE901" s="1496"/>
      <c r="AF901" s="1496"/>
      <c r="AG901" s="1496"/>
      <c r="AH901" s="1496"/>
      <c r="AI901" s="1496"/>
      <c r="AJ901" s="342"/>
      <c r="AK901" s="345"/>
      <c r="AL901" s="340"/>
      <c r="AM901" s="529" t="s">
        <v>355</v>
      </c>
      <c r="AN901" s="1496" t="s">
        <v>1061</v>
      </c>
      <c r="AO901" s="1496"/>
      <c r="AP901" s="1496"/>
      <c r="AQ901" s="1496"/>
      <c r="AR901" s="1496"/>
      <c r="AS901" s="1496"/>
      <c r="AT901" s="1496"/>
      <c r="AU901" s="1496"/>
      <c r="AV901" s="1496"/>
      <c r="AW901" s="1496"/>
      <c r="AX901" s="1496"/>
      <c r="AY901" s="1496"/>
      <c r="AZ901" s="1496"/>
      <c r="BA901" s="1496"/>
      <c r="BB901" s="1496"/>
      <c r="BC901" s="1496"/>
      <c r="BD901" s="1496"/>
      <c r="BE901" s="1496"/>
      <c r="BF901" s="1496"/>
      <c r="BG901" s="1496"/>
      <c r="BH901" s="1496"/>
      <c r="BI901" s="1496"/>
      <c r="BJ901" s="1496"/>
      <c r="BK901" s="1496"/>
      <c r="BL901" s="1496"/>
      <c r="BM901" s="1496"/>
      <c r="BN901" s="1496"/>
      <c r="BO901" s="1496"/>
      <c r="BP901" s="1496"/>
      <c r="BQ901" s="1496"/>
      <c r="BR901" s="1496"/>
      <c r="BS901" s="1496"/>
      <c r="BT901" s="356"/>
      <c r="BU901" s="357"/>
      <c r="BV901" s="310"/>
      <c r="BW901" s="310"/>
      <c r="BX901" s="300">
        <f t="shared" si="64"/>
        <v>0</v>
      </c>
      <c r="BY901" s="342"/>
      <c r="BZ901" s="438"/>
      <c r="CA901" s="438"/>
      <c r="CB901" s="439"/>
      <c r="CC901" s="439"/>
      <c r="CD901" s="439"/>
      <c r="CE901" s="439"/>
      <c r="CF901" s="439"/>
    </row>
    <row r="902" spans="1:84" ht="42" hidden="1" customHeight="1" x14ac:dyDescent="0.25">
      <c r="A902" s="313"/>
      <c r="B902" s="454"/>
      <c r="C902" s="1497" t="s">
        <v>1081</v>
      </c>
      <c r="D902" s="1497"/>
      <c r="E902" s="1497"/>
      <c r="F902" s="1497"/>
      <c r="G902" s="1497"/>
      <c r="H902" s="1497"/>
      <c r="I902" s="1497"/>
      <c r="J902" s="1497"/>
      <c r="K902" s="1497"/>
      <c r="L902" s="1497"/>
      <c r="M902" s="1497"/>
      <c r="N902" s="1497"/>
      <c r="O902" s="1497"/>
      <c r="P902" s="1497"/>
      <c r="Q902" s="1497"/>
      <c r="R902" s="1497"/>
      <c r="S902" s="1497"/>
      <c r="T902" s="1497"/>
      <c r="U902" s="1497"/>
      <c r="V902" s="1497"/>
      <c r="W902" s="1497"/>
      <c r="X902" s="1497"/>
      <c r="Y902" s="1497"/>
      <c r="Z902" s="1497"/>
      <c r="AA902" s="1497"/>
      <c r="AB902" s="1497"/>
      <c r="AC902" s="1497"/>
      <c r="AD902" s="1497"/>
      <c r="AE902" s="1497"/>
      <c r="AF902" s="1497"/>
      <c r="AG902" s="1497"/>
      <c r="AH902" s="1497"/>
      <c r="AI902" s="1497"/>
      <c r="AJ902" s="344"/>
      <c r="AK902" s="345"/>
      <c r="AL902" s="340"/>
      <c r="AM902" s="1497" t="s">
        <v>1082</v>
      </c>
      <c r="AN902" s="1497"/>
      <c r="AO902" s="1497"/>
      <c r="AP902" s="1497"/>
      <c r="AQ902" s="1497"/>
      <c r="AR902" s="1497"/>
      <c r="AS902" s="1497"/>
      <c r="AT902" s="1497"/>
      <c r="AU902" s="1497"/>
      <c r="AV902" s="1497"/>
      <c r="AW902" s="1497"/>
      <c r="AX902" s="1497"/>
      <c r="AY902" s="1497"/>
      <c r="AZ902" s="1497"/>
      <c r="BA902" s="1497"/>
      <c r="BB902" s="1497"/>
      <c r="BC902" s="1497"/>
      <c r="BD902" s="1497"/>
      <c r="BE902" s="1497"/>
      <c r="BF902" s="1497"/>
      <c r="BG902" s="1497"/>
      <c r="BH902" s="1497"/>
      <c r="BI902" s="1497"/>
      <c r="BJ902" s="1497"/>
      <c r="BK902" s="1497"/>
      <c r="BL902" s="1497"/>
      <c r="BM902" s="1497"/>
      <c r="BN902" s="1497"/>
      <c r="BO902" s="1497"/>
      <c r="BP902" s="1497"/>
      <c r="BQ902" s="1497"/>
      <c r="BR902" s="1497"/>
      <c r="BS902" s="1497"/>
      <c r="BT902" s="356"/>
      <c r="BU902" s="357"/>
      <c r="BV902" s="310"/>
      <c r="BW902" s="310"/>
      <c r="BX902" s="291">
        <f t="shared" si="64"/>
        <v>0</v>
      </c>
      <c r="BY902" s="344"/>
      <c r="BZ902" s="347"/>
      <c r="CA902" s="347"/>
    </row>
    <row r="903" spans="1:84" ht="2.1" hidden="1" customHeight="1" x14ac:dyDescent="0.25">
      <c r="A903" s="313"/>
      <c r="B903" s="454"/>
      <c r="C903" s="392"/>
      <c r="D903" s="392"/>
      <c r="E903" s="392"/>
      <c r="F903" s="392"/>
      <c r="G903" s="392"/>
      <c r="H903" s="392"/>
      <c r="I903" s="392"/>
      <c r="J903" s="392"/>
      <c r="K903" s="392"/>
      <c r="L903" s="392"/>
      <c r="M903" s="392"/>
      <c r="N903" s="392"/>
      <c r="O903" s="392"/>
      <c r="P903" s="392"/>
      <c r="Q903" s="392"/>
      <c r="R903" s="392"/>
      <c r="S903" s="392"/>
      <c r="T903" s="392"/>
      <c r="U903" s="392"/>
      <c r="V903" s="392"/>
      <c r="W903" s="393"/>
      <c r="X903" s="393"/>
      <c r="Y903" s="393"/>
      <c r="Z903" s="393"/>
      <c r="AA903" s="393"/>
      <c r="AB903" s="393"/>
      <c r="AC903" s="343"/>
      <c r="AD903" s="343"/>
      <c r="AE903" s="343"/>
      <c r="AF903" s="343"/>
      <c r="AG903" s="343"/>
      <c r="AH903" s="343"/>
      <c r="AI903" s="343"/>
      <c r="AJ903" s="344"/>
      <c r="AK903" s="345"/>
      <c r="AL903" s="340"/>
      <c r="AM903" s="392"/>
      <c r="AN903" s="392"/>
      <c r="AO903" s="392"/>
      <c r="AP903" s="392"/>
      <c r="AQ903" s="392"/>
      <c r="AR903" s="392"/>
      <c r="AS903" s="392"/>
      <c r="AT903" s="392"/>
      <c r="AU903" s="392"/>
      <c r="AV903" s="392"/>
      <c r="AW903" s="392"/>
      <c r="AX903" s="392"/>
      <c r="AY903" s="392"/>
      <c r="AZ903" s="392"/>
      <c r="BA903" s="392"/>
      <c r="BB903" s="392"/>
      <c r="BC903" s="392"/>
      <c r="BD903" s="392"/>
      <c r="BE903" s="392"/>
      <c r="BF903" s="392"/>
      <c r="BG903" s="392"/>
      <c r="BH903" s="392"/>
      <c r="BI903" s="392"/>
      <c r="BJ903" s="392"/>
      <c r="BK903" s="392"/>
      <c r="BL903" s="392"/>
      <c r="BM903" s="342"/>
      <c r="BN903" s="356"/>
      <c r="BO903" s="356"/>
      <c r="BP903" s="356"/>
      <c r="BQ903" s="356"/>
      <c r="BR903" s="356"/>
      <c r="BS903" s="356"/>
      <c r="BT903" s="356"/>
      <c r="BU903" s="357"/>
      <c r="BV903" s="310"/>
      <c r="BW903" s="310"/>
      <c r="BX903" s="291">
        <f t="shared" si="64"/>
        <v>0</v>
      </c>
      <c r="BY903" s="344"/>
      <c r="BZ903" s="347"/>
      <c r="CA903" s="347"/>
    </row>
    <row r="904" spans="1:84" ht="12.95" customHeight="1" x14ac:dyDescent="0.25">
      <c r="A904" s="313"/>
      <c r="B904" s="340"/>
      <c r="C904" s="392"/>
      <c r="D904" s="392"/>
      <c r="E904" s="392"/>
      <c r="F904" s="392"/>
      <c r="G904" s="392"/>
      <c r="H904" s="392"/>
      <c r="I904" s="392"/>
      <c r="J904" s="392"/>
      <c r="K904" s="392"/>
      <c r="L904" s="392"/>
      <c r="M904" s="392"/>
      <c r="N904" s="392"/>
      <c r="O904" s="392"/>
      <c r="P904" s="392"/>
      <c r="Q904" s="392"/>
      <c r="R904" s="392"/>
      <c r="S904" s="392"/>
      <c r="T904" s="392"/>
      <c r="U904" s="392"/>
      <c r="V904" s="392"/>
      <c r="W904" s="393"/>
      <c r="X904" s="393"/>
      <c r="Y904" s="393"/>
      <c r="Z904" s="393"/>
      <c r="AA904" s="393"/>
      <c r="AB904" s="393"/>
      <c r="AC904" s="343"/>
      <c r="AD904" s="343"/>
      <c r="AE904" s="343"/>
      <c r="AF904" s="343"/>
      <c r="AG904" s="343"/>
      <c r="AH904" s="343"/>
      <c r="AI904" s="343"/>
      <c r="AJ904" s="344"/>
      <c r="AK904" s="345"/>
      <c r="AL904" s="340"/>
      <c r="AM904" s="392"/>
      <c r="AN904" s="392"/>
      <c r="AO904" s="392"/>
      <c r="AP904" s="392"/>
      <c r="AQ904" s="392"/>
      <c r="AR904" s="392"/>
      <c r="AS904" s="392"/>
      <c r="AT904" s="392"/>
      <c r="AU904" s="392"/>
      <c r="AV904" s="392"/>
      <c r="AW904" s="392"/>
      <c r="AX904" s="392"/>
      <c r="AY904" s="392"/>
      <c r="AZ904" s="392"/>
      <c r="BA904" s="392"/>
      <c r="BB904" s="392"/>
      <c r="BC904" s="392"/>
      <c r="BD904" s="392"/>
      <c r="BE904" s="392"/>
      <c r="BF904" s="392"/>
      <c r="BG904" s="392"/>
      <c r="BH904" s="392"/>
      <c r="BI904" s="392"/>
      <c r="BJ904" s="392"/>
      <c r="BK904" s="392"/>
      <c r="BL904" s="392"/>
      <c r="BM904" s="342"/>
      <c r="BN904" s="356"/>
      <c r="BO904" s="356"/>
      <c r="BP904" s="356"/>
      <c r="BQ904" s="356"/>
      <c r="BR904" s="356"/>
      <c r="BS904" s="356"/>
      <c r="BT904" s="356"/>
      <c r="BU904" s="357"/>
      <c r="BV904" s="310"/>
      <c r="BW904" s="310"/>
      <c r="BX904" s="291">
        <f t="shared" si="64"/>
        <v>0</v>
      </c>
      <c r="BY904" s="344"/>
      <c r="BZ904" s="347"/>
      <c r="CA904" s="347"/>
    </row>
    <row r="905" spans="1:84" ht="15" customHeight="1" x14ac:dyDescent="0.25">
      <c r="A905" s="313">
        <v>14</v>
      </c>
      <c r="B905" s="340" t="s">
        <v>345</v>
      </c>
      <c r="C905" s="341" t="s">
        <v>1083</v>
      </c>
      <c r="D905" s="341"/>
      <c r="E905" s="341"/>
      <c r="F905" s="341"/>
      <c r="G905" s="341"/>
      <c r="H905" s="341"/>
      <c r="I905" s="341"/>
      <c r="J905" s="341"/>
      <c r="K905" s="341"/>
      <c r="L905" s="341"/>
      <c r="M905" s="341"/>
      <c r="N905" s="341"/>
      <c r="O905" s="341"/>
      <c r="P905" s="341"/>
      <c r="Q905" s="341"/>
      <c r="R905" s="341"/>
      <c r="S905" s="341"/>
      <c r="T905" s="341"/>
      <c r="U905" s="342"/>
      <c r="V905" s="342"/>
      <c r="W905" s="343"/>
      <c r="X905" s="343"/>
      <c r="Y905" s="343"/>
      <c r="Z905" s="343"/>
      <c r="AA905" s="343"/>
      <c r="AB905" s="343"/>
      <c r="AC905" s="343"/>
      <c r="AD905" s="343"/>
      <c r="AE905" s="343"/>
      <c r="AF905" s="343"/>
      <c r="AG905" s="343"/>
      <c r="AH905" s="343"/>
      <c r="AI905" s="343"/>
      <c r="AJ905" s="344"/>
      <c r="AK905" s="345">
        <f>A905</f>
        <v>14</v>
      </c>
      <c r="AL905" s="340" t="s">
        <v>345</v>
      </c>
      <c r="AM905" s="341" t="s">
        <v>1084</v>
      </c>
      <c r="AN905" s="341"/>
      <c r="AO905" s="341"/>
      <c r="AP905" s="341"/>
      <c r="AQ905" s="341"/>
      <c r="AR905" s="341"/>
      <c r="AS905" s="341"/>
      <c r="AT905" s="341"/>
      <c r="AU905" s="341"/>
      <c r="AV905" s="341"/>
      <c r="AW905" s="341"/>
      <c r="AX905" s="341"/>
      <c r="AY905" s="341"/>
      <c r="AZ905" s="341"/>
      <c r="BA905" s="341"/>
      <c r="BB905" s="341"/>
      <c r="BC905" s="341"/>
      <c r="BD905" s="341"/>
      <c r="BE905" s="342"/>
      <c r="BF905" s="342"/>
      <c r="BG905" s="342"/>
      <c r="BH905" s="342"/>
      <c r="BI905" s="342"/>
      <c r="BJ905" s="342"/>
      <c r="BK905" s="342"/>
      <c r="BL905" s="342"/>
      <c r="BM905" s="342"/>
      <c r="BN905" s="342"/>
      <c r="BO905" s="342"/>
      <c r="BP905" s="342"/>
      <c r="BQ905" s="342"/>
      <c r="BR905" s="342"/>
      <c r="BS905" s="342"/>
      <c r="BT905" s="342"/>
      <c r="BU905" s="346">
        <f>SUBTOTAL(103,A905)</f>
        <v>1</v>
      </c>
      <c r="BV905" s="310"/>
      <c r="BW905" s="310"/>
      <c r="BX905" s="291">
        <f t="shared" si="64"/>
        <v>0</v>
      </c>
      <c r="BY905" s="344"/>
      <c r="BZ905" s="347"/>
      <c r="CA905" s="347"/>
    </row>
    <row r="906" spans="1:84" ht="15" customHeight="1" x14ac:dyDescent="0.25">
      <c r="A906" s="313"/>
      <c r="B906" s="340"/>
      <c r="C906" s="350"/>
      <c r="D906" s="350"/>
      <c r="E906" s="350"/>
      <c r="F906" s="350"/>
      <c r="G906" s="350"/>
      <c r="H906" s="350"/>
      <c r="I906" s="350"/>
      <c r="J906" s="350"/>
      <c r="K906" s="350"/>
      <c r="L906" s="350"/>
      <c r="M906" s="350"/>
      <c r="N906" s="350"/>
      <c r="O906" s="350"/>
      <c r="P906" s="350"/>
      <c r="Q906" s="350"/>
      <c r="R906" s="350"/>
      <c r="S906" s="350"/>
      <c r="T906" s="350"/>
      <c r="U906" s="342"/>
      <c r="V906" s="342"/>
      <c r="W906" s="1325" t="str">
        <f>Ky_Nay1_V</f>
        <v>31/12/2017</v>
      </c>
      <c r="X906" s="1325"/>
      <c r="Y906" s="1325"/>
      <c r="Z906" s="1325"/>
      <c r="AA906" s="1325"/>
      <c r="AB906" s="1325"/>
      <c r="AC906" s="351"/>
      <c r="AD906" s="1325" t="str">
        <f>Ky_Truoc1_V</f>
        <v>01/01/2017</v>
      </c>
      <c r="AE906" s="1325"/>
      <c r="AF906" s="1325"/>
      <c r="AG906" s="1325"/>
      <c r="AH906" s="1325"/>
      <c r="AI906" s="1325"/>
      <c r="AJ906" s="344"/>
      <c r="AK906" s="345"/>
      <c r="AL906" s="340"/>
      <c r="AM906" s="350"/>
      <c r="AN906" s="350"/>
      <c r="AO906" s="350"/>
      <c r="AP906" s="350"/>
      <c r="AQ906" s="350"/>
      <c r="AR906" s="350"/>
      <c r="AS906" s="350"/>
      <c r="AT906" s="350"/>
      <c r="AU906" s="350"/>
      <c r="AV906" s="350"/>
      <c r="AW906" s="350"/>
      <c r="AX906" s="350"/>
      <c r="AY906" s="350"/>
      <c r="AZ906" s="350"/>
      <c r="BA906" s="350"/>
      <c r="BB906" s="350"/>
      <c r="BC906" s="350"/>
      <c r="BD906" s="350"/>
      <c r="BE906" s="342"/>
      <c r="BF906" s="342"/>
      <c r="BG906" s="1325" t="str">
        <f>Ky_Nay1_E</f>
        <v>31/12/2017</v>
      </c>
      <c r="BH906" s="1325"/>
      <c r="BI906" s="1325"/>
      <c r="BJ906" s="1325"/>
      <c r="BK906" s="1325"/>
      <c r="BL906" s="1325"/>
      <c r="BM906" s="351"/>
      <c r="BN906" s="1325" t="str">
        <f>Ky_Truoc1_E</f>
        <v>01/01/2017</v>
      </c>
      <c r="BO906" s="1325"/>
      <c r="BP906" s="1325"/>
      <c r="BQ906" s="1325"/>
      <c r="BR906" s="1325"/>
      <c r="BS906" s="1325"/>
      <c r="BT906" s="352"/>
      <c r="BU906" s="353"/>
      <c r="BV906" s="310"/>
      <c r="BW906" s="310"/>
      <c r="BX906" s="291">
        <f t="shared" si="64"/>
        <v>0</v>
      </c>
      <c r="BY906" s="344"/>
      <c r="BZ906" s="347"/>
      <c r="CA906" s="347"/>
    </row>
    <row r="907" spans="1:84" ht="15" customHeight="1" x14ac:dyDescent="0.25">
      <c r="A907" s="313"/>
      <c r="B907" s="340"/>
      <c r="C907" s="350"/>
      <c r="D907" s="350"/>
      <c r="E907" s="350"/>
      <c r="F907" s="350"/>
      <c r="G907" s="350"/>
      <c r="H907" s="350"/>
      <c r="I907" s="350"/>
      <c r="J907" s="350"/>
      <c r="K907" s="350"/>
      <c r="L907" s="350"/>
      <c r="M907" s="350"/>
      <c r="N907" s="350"/>
      <c r="O907" s="350"/>
      <c r="P907" s="350"/>
      <c r="Q907" s="350"/>
      <c r="R907" s="350"/>
      <c r="S907" s="350"/>
      <c r="T907" s="350"/>
      <c r="U907" s="342"/>
      <c r="V907" s="342"/>
      <c r="W907" s="1327" t="str">
        <f>Don_Vi_Tinh_V</f>
        <v>VND</v>
      </c>
      <c r="X907" s="1327"/>
      <c r="Y907" s="1327"/>
      <c r="Z907" s="1327"/>
      <c r="AA907" s="1327"/>
      <c r="AB907" s="1327"/>
      <c r="AC907" s="351"/>
      <c r="AD907" s="1327" t="str">
        <f>Don_Vi_Tinh_V</f>
        <v>VND</v>
      </c>
      <c r="AE907" s="1327"/>
      <c r="AF907" s="1327"/>
      <c r="AG907" s="1327"/>
      <c r="AH907" s="1327"/>
      <c r="AI907" s="1327"/>
      <c r="AJ907" s="344"/>
      <c r="AK907" s="345"/>
      <c r="AL907" s="340"/>
      <c r="AM907" s="350"/>
      <c r="AN907" s="350"/>
      <c r="AO907" s="350"/>
      <c r="AP907" s="350"/>
      <c r="AQ907" s="350"/>
      <c r="AR907" s="350"/>
      <c r="AS907" s="350"/>
      <c r="AT907" s="350"/>
      <c r="AU907" s="350"/>
      <c r="AV907" s="350"/>
      <c r="AW907" s="350"/>
      <c r="AX907" s="350"/>
      <c r="AY907" s="350"/>
      <c r="AZ907" s="350"/>
      <c r="BA907" s="350"/>
      <c r="BB907" s="350"/>
      <c r="BC907" s="350"/>
      <c r="BD907" s="350"/>
      <c r="BE907" s="342"/>
      <c r="BF907" s="342"/>
      <c r="BG907" s="1327" t="str">
        <f>Don_Vi_Tinh_E</f>
        <v>VND</v>
      </c>
      <c r="BH907" s="1327"/>
      <c r="BI907" s="1327"/>
      <c r="BJ907" s="1327"/>
      <c r="BK907" s="1327"/>
      <c r="BL907" s="1327"/>
      <c r="BM907" s="351"/>
      <c r="BN907" s="1327" t="str">
        <f>Don_Vi_Tinh_E</f>
        <v>VND</v>
      </c>
      <c r="BO907" s="1327"/>
      <c r="BP907" s="1327"/>
      <c r="BQ907" s="1327"/>
      <c r="BR907" s="1327"/>
      <c r="BS907" s="1327"/>
      <c r="BT907" s="352"/>
      <c r="BU907" s="353"/>
      <c r="BV907" s="310"/>
      <c r="BW907" s="310"/>
      <c r="BX907" s="291">
        <f t="shared" si="64"/>
        <v>0</v>
      </c>
      <c r="BY907" s="344"/>
      <c r="BZ907" s="347"/>
      <c r="CA907" s="347"/>
    </row>
    <row r="908" spans="1:84" ht="15" customHeight="1" x14ac:dyDescent="0.25">
      <c r="A908" s="313"/>
      <c r="B908" s="340"/>
      <c r="C908" s="350"/>
      <c r="D908" s="350"/>
      <c r="E908" s="350"/>
      <c r="F908" s="350"/>
      <c r="G908" s="350"/>
      <c r="H908" s="350"/>
      <c r="I908" s="350"/>
      <c r="J908" s="350"/>
      <c r="K908" s="350"/>
      <c r="L908" s="350"/>
      <c r="M908" s="350"/>
      <c r="N908" s="350"/>
      <c r="O908" s="350"/>
      <c r="P908" s="350"/>
      <c r="Q908" s="350"/>
      <c r="R908" s="350"/>
      <c r="S908" s="350"/>
      <c r="T908" s="350"/>
      <c r="U908" s="342"/>
      <c r="V908" s="342"/>
      <c r="W908" s="1318"/>
      <c r="X908" s="1318"/>
      <c r="Y908" s="1318"/>
      <c r="Z908" s="1318"/>
      <c r="AA908" s="1318"/>
      <c r="AB908" s="1318"/>
      <c r="AC908" s="355"/>
      <c r="AD908" s="1318"/>
      <c r="AE908" s="1318"/>
      <c r="AF908" s="1318"/>
      <c r="AG908" s="1318"/>
      <c r="AH908" s="1318"/>
      <c r="AI908" s="1318"/>
      <c r="AJ908" s="344"/>
      <c r="AK908" s="345"/>
      <c r="AL908" s="340"/>
      <c r="AM908" s="350"/>
      <c r="AN908" s="350"/>
      <c r="AO908" s="350"/>
      <c r="AP908" s="350"/>
      <c r="AQ908" s="350"/>
      <c r="AR908" s="350"/>
      <c r="AS908" s="350"/>
      <c r="AT908" s="350"/>
      <c r="AU908" s="350"/>
      <c r="AV908" s="350"/>
      <c r="AW908" s="350"/>
      <c r="AX908" s="350"/>
      <c r="AY908" s="350"/>
      <c r="AZ908" s="350"/>
      <c r="BA908" s="350"/>
      <c r="BB908" s="350"/>
      <c r="BC908" s="350"/>
      <c r="BD908" s="350"/>
      <c r="BE908" s="342"/>
      <c r="BF908" s="342"/>
      <c r="BG908" s="1318"/>
      <c r="BH908" s="1318"/>
      <c r="BI908" s="1318"/>
      <c r="BJ908" s="1318"/>
      <c r="BK908" s="1318"/>
      <c r="BL908" s="1318"/>
      <c r="BM908" s="355"/>
      <c r="BN908" s="1318"/>
      <c r="BO908" s="1318"/>
      <c r="BP908" s="1318"/>
      <c r="BQ908" s="1318"/>
      <c r="BR908" s="1318"/>
      <c r="BS908" s="1318"/>
      <c r="BT908" s="356"/>
      <c r="BU908" s="357"/>
      <c r="BV908" s="310"/>
      <c r="BW908" s="310"/>
      <c r="BX908" s="291">
        <f t="shared" si="64"/>
        <v>0</v>
      </c>
      <c r="BY908" s="344"/>
      <c r="BZ908" s="347"/>
      <c r="CA908" s="347"/>
    </row>
    <row r="909" spans="1:84" s="451" customFormat="1" ht="15" hidden="1" customHeight="1" x14ac:dyDescent="0.25">
      <c r="A909" s="313"/>
      <c r="B909" s="340"/>
      <c r="C909" s="341" t="s">
        <v>855</v>
      </c>
      <c r="D909" s="350"/>
      <c r="E909" s="350"/>
      <c r="F909" s="350"/>
      <c r="G909" s="350"/>
      <c r="H909" s="350"/>
      <c r="I909" s="350"/>
      <c r="J909" s="350"/>
      <c r="K909" s="350"/>
      <c r="L909" s="350"/>
      <c r="M909" s="350"/>
      <c r="N909" s="350"/>
      <c r="O909" s="350"/>
      <c r="P909" s="350"/>
      <c r="Q909" s="350"/>
      <c r="R909" s="350"/>
      <c r="S909" s="350"/>
      <c r="T909" s="350"/>
      <c r="U909" s="341"/>
      <c r="V909" s="341"/>
      <c r="W909" s="1330"/>
      <c r="X909" s="1330"/>
      <c r="Y909" s="1330"/>
      <c r="Z909" s="1330"/>
      <c r="AA909" s="1330"/>
      <c r="AB909" s="1330"/>
      <c r="AC909" s="363"/>
      <c r="AD909" s="1330"/>
      <c r="AE909" s="1330"/>
      <c r="AF909" s="1330"/>
      <c r="AG909" s="1330"/>
      <c r="AH909" s="1330"/>
      <c r="AI909" s="1330"/>
      <c r="AJ909" s="341"/>
      <c r="AK909" s="345"/>
      <c r="AL909" s="340"/>
      <c r="AM909" s="341"/>
      <c r="AN909" s="350"/>
      <c r="AO909" s="350"/>
      <c r="AP909" s="350"/>
      <c r="AQ909" s="350"/>
      <c r="AR909" s="350"/>
      <c r="AS909" s="350"/>
      <c r="AT909" s="350"/>
      <c r="AU909" s="350"/>
      <c r="AV909" s="350"/>
      <c r="AW909" s="350"/>
      <c r="AX909" s="350"/>
      <c r="AY909" s="350"/>
      <c r="AZ909" s="350"/>
      <c r="BA909" s="350"/>
      <c r="BB909" s="350"/>
      <c r="BC909" s="350"/>
      <c r="BD909" s="350"/>
      <c r="BE909" s="341"/>
      <c r="BF909" s="341"/>
      <c r="BG909" s="1330"/>
      <c r="BH909" s="1330"/>
      <c r="BI909" s="1330"/>
      <c r="BJ909" s="1330"/>
      <c r="BK909" s="1330"/>
      <c r="BL909" s="1330"/>
      <c r="BM909" s="363"/>
      <c r="BN909" s="1330"/>
      <c r="BO909" s="1330"/>
      <c r="BP909" s="1330"/>
      <c r="BQ909" s="1330"/>
      <c r="BR909" s="1330"/>
      <c r="BS909" s="1330"/>
      <c r="BT909" s="361"/>
      <c r="BU909" s="362"/>
      <c r="BV909" s="310"/>
      <c r="BW909" s="310"/>
      <c r="BX909" s="300">
        <f t="shared" si="64"/>
        <v>0</v>
      </c>
      <c r="BY909" s="341"/>
      <c r="BZ909" s="431"/>
      <c r="CA909" s="431"/>
      <c r="CB909" s="450"/>
      <c r="CC909" s="450"/>
      <c r="CD909" s="450"/>
      <c r="CE909" s="450"/>
      <c r="CF909" s="450"/>
    </row>
    <row r="910" spans="1:84" ht="15" hidden="1" customHeight="1" x14ac:dyDescent="0.25">
      <c r="A910" s="313"/>
      <c r="B910" s="340"/>
      <c r="C910" s="354" t="s">
        <v>1085</v>
      </c>
      <c r="E910" s="340"/>
      <c r="F910" s="340"/>
      <c r="G910" s="340"/>
      <c r="H910" s="340"/>
      <c r="I910" s="340"/>
      <c r="J910" s="340"/>
      <c r="K910" s="340"/>
      <c r="L910" s="340"/>
      <c r="M910" s="340"/>
      <c r="N910" s="340"/>
      <c r="O910" s="340"/>
      <c r="P910" s="340"/>
      <c r="Q910" s="340"/>
      <c r="R910" s="340"/>
      <c r="S910" s="340"/>
      <c r="T910" s="340"/>
      <c r="U910" s="342"/>
      <c r="V910" s="342"/>
      <c r="W910" s="1318"/>
      <c r="X910" s="1318"/>
      <c r="Y910" s="1318"/>
      <c r="Z910" s="1318"/>
      <c r="AA910" s="1318"/>
      <c r="AB910" s="1318"/>
      <c r="AC910" s="355"/>
      <c r="AD910" s="1318"/>
      <c r="AE910" s="1318"/>
      <c r="AF910" s="1318"/>
      <c r="AG910" s="1318"/>
      <c r="AH910" s="1318"/>
      <c r="AI910" s="1318"/>
      <c r="AJ910" s="344"/>
      <c r="AK910" s="345"/>
      <c r="AL910" s="340"/>
      <c r="AM910" s="354" t="s">
        <v>1086</v>
      </c>
      <c r="AO910" s="340"/>
      <c r="AP910" s="340"/>
      <c r="AQ910" s="340"/>
      <c r="AR910" s="340"/>
      <c r="AS910" s="340"/>
      <c r="AT910" s="340"/>
      <c r="AU910" s="340"/>
      <c r="AV910" s="340"/>
      <c r="AW910" s="340"/>
      <c r="AX910" s="340"/>
      <c r="AY910" s="340"/>
      <c r="AZ910" s="340"/>
      <c r="BA910" s="340"/>
      <c r="BB910" s="340"/>
      <c r="BC910" s="340"/>
      <c r="BD910" s="340"/>
      <c r="BE910" s="342"/>
      <c r="BF910" s="342"/>
      <c r="BG910" s="1318">
        <f>W910</f>
        <v>0</v>
      </c>
      <c r="BH910" s="1318"/>
      <c r="BI910" s="1318"/>
      <c r="BJ910" s="1318"/>
      <c r="BK910" s="1318"/>
      <c r="BL910" s="1318"/>
      <c r="BM910" s="355"/>
      <c r="BN910" s="1318">
        <f>AD910</f>
        <v>0</v>
      </c>
      <c r="BO910" s="1318"/>
      <c r="BP910" s="1318"/>
      <c r="BQ910" s="1318"/>
      <c r="BR910" s="1318"/>
      <c r="BS910" s="1318"/>
      <c r="BT910" s="359"/>
      <c r="BU910" s="346"/>
      <c r="BV910" s="310"/>
      <c r="BW910" s="310"/>
      <c r="BX910" s="291">
        <f t="shared" si="64"/>
        <v>0</v>
      </c>
      <c r="BY910" s="344"/>
      <c r="BZ910" s="347"/>
      <c r="CA910" s="347"/>
    </row>
    <row r="911" spans="1:84" ht="29.1" hidden="1" customHeight="1" x14ac:dyDescent="0.25">
      <c r="A911" s="313"/>
      <c r="B911" s="340"/>
      <c r="C911" s="1337" t="s">
        <v>1087</v>
      </c>
      <c r="D911" s="1337"/>
      <c r="E911" s="1337"/>
      <c r="F911" s="1337"/>
      <c r="G911" s="1337"/>
      <c r="H911" s="1337"/>
      <c r="I911" s="1337"/>
      <c r="J911" s="1337"/>
      <c r="K911" s="1337"/>
      <c r="L911" s="1337"/>
      <c r="M911" s="1337"/>
      <c r="N911" s="1337"/>
      <c r="O911" s="1337"/>
      <c r="P911" s="1337"/>
      <c r="Q911" s="1337"/>
      <c r="R911" s="1337"/>
      <c r="S911" s="1337"/>
      <c r="T911" s="1337"/>
      <c r="U911" s="1337"/>
      <c r="V911" s="1337"/>
      <c r="W911" s="1318"/>
      <c r="X911" s="1318"/>
      <c r="Y911" s="1318"/>
      <c r="Z911" s="1318"/>
      <c r="AA911" s="1318"/>
      <c r="AB911" s="1318"/>
      <c r="AC911" s="355"/>
      <c r="AD911" s="1318"/>
      <c r="AE911" s="1318"/>
      <c r="AF911" s="1318"/>
      <c r="AG911" s="1318"/>
      <c r="AH911" s="1318"/>
      <c r="AI911" s="1318"/>
      <c r="AJ911" s="344"/>
      <c r="AK911" s="345"/>
      <c r="AL911" s="340"/>
      <c r="AM911" s="354" t="s">
        <v>1088</v>
      </c>
      <c r="AO911" s="340"/>
      <c r="AP911" s="340"/>
      <c r="AQ911" s="340"/>
      <c r="AR911" s="340"/>
      <c r="AS911" s="340"/>
      <c r="AT911" s="340"/>
      <c r="AU911" s="340"/>
      <c r="AV911" s="340"/>
      <c r="AW911" s="340"/>
      <c r="AX911" s="340"/>
      <c r="AY911" s="340"/>
      <c r="AZ911" s="340"/>
      <c r="BA911" s="340"/>
      <c r="BB911" s="340"/>
      <c r="BC911" s="340"/>
      <c r="BD911" s="340"/>
      <c r="BE911" s="342"/>
      <c r="BF911" s="342"/>
      <c r="BG911" s="1318">
        <f>W911</f>
        <v>0</v>
      </c>
      <c r="BH911" s="1318"/>
      <c r="BI911" s="1318"/>
      <c r="BJ911" s="1318"/>
      <c r="BK911" s="1318"/>
      <c r="BL911" s="1318"/>
      <c r="BM911" s="355"/>
      <c r="BN911" s="1318">
        <f>AD911</f>
        <v>0</v>
      </c>
      <c r="BO911" s="1318"/>
      <c r="BP911" s="1318"/>
      <c r="BQ911" s="1318"/>
      <c r="BR911" s="1318"/>
      <c r="BS911" s="1318"/>
      <c r="BT911" s="359"/>
      <c r="BU911" s="346"/>
      <c r="BV911" s="310"/>
      <c r="BW911" s="310"/>
      <c r="BX911" s="291">
        <f t="shared" si="64"/>
        <v>0</v>
      </c>
      <c r="BY911" s="344"/>
      <c r="BZ911" s="347"/>
      <c r="CA911" s="347"/>
    </row>
    <row r="912" spans="1:84" ht="15" hidden="1" customHeight="1" x14ac:dyDescent="0.25">
      <c r="A912" s="313"/>
      <c r="B912" s="340"/>
      <c r="C912" s="354" t="s">
        <v>1089</v>
      </c>
      <c r="E912" s="342"/>
      <c r="F912" s="342"/>
      <c r="G912" s="342"/>
      <c r="H912" s="342"/>
      <c r="I912" s="342"/>
      <c r="J912" s="342"/>
      <c r="K912" s="342"/>
      <c r="L912" s="342"/>
      <c r="M912" s="342"/>
      <c r="N912" s="342"/>
      <c r="O912" s="342"/>
      <c r="P912" s="342"/>
      <c r="Q912" s="342"/>
      <c r="R912" s="342"/>
      <c r="S912" s="342"/>
      <c r="T912" s="342"/>
      <c r="U912" s="342"/>
      <c r="V912" s="342"/>
      <c r="W912" s="1318"/>
      <c r="X912" s="1318"/>
      <c r="Y912" s="1318"/>
      <c r="Z912" s="1318"/>
      <c r="AA912" s="1318"/>
      <c r="AB912" s="1318"/>
      <c r="AC912" s="355"/>
      <c r="AD912" s="1318"/>
      <c r="AE912" s="1318"/>
      <c r="AF912" s="1318"/>
      <c r="AG912" s="1318"/>
      <c r="AH912" s="1318"/>
      <c r="AI912" s="1318"/>
      <c r="AJ912" s="344"/>
      <c r="AK912" s="345"/>
      <c r="AL912" s="340"/>
      <c r="AM912" s="342" t="s">
        <v>1090</v>
      </c>
      <c r="AO912" s="342"/>
      <c r="AP912" s="342"/>
      <c r="AQ912" s="342"/>
      <c r="AR912" s="342"/>
      <c r="AS912" s="342"/>
      <c r="AT912" s="342"/>
      <c r="AU912" s="342"/>
      <c r="AV912" s="342"/>
      <c r="AW912" s="342"/>
      <c r="AX912" s="342"/>
      <c r="AY912" s="342"/>
      <c r="AZ912" s="342"/>
      <c r="BA912" s="342"/>
      <c r="BB912" s="342"/>
      <c r="BC912" s="342"/>
      <c r="BD912" s="342"/>
      <c r="BE912" s="342"/>
      <c r="BF912" s="342"/>
      <c r="BG912" s="1318">
        <f>W912</f>
        <v>0</v>
      </c>
      <c r="BH912" s="1318"/>
      <c r="BI912" s="1318"/>
      <c r="BJ912" s="1318"/>
      <c r="BK912" s="1318"/>
      <c r="BL912" s="1318"/>
      <c r="BM912" s="355"/>
      <c r="BN912" s="1318">
        <f>AD912</f>
        <v>0</v>
      </c>
      <c r="BO912" s="1318"/>
      <c r="BP912" s="1318"/>
      <c r="BQ912" s="1318"/>
      <c r="BR912" s="1318"/>
      <c r="BS912" s="1318"/>
      <c r="BT912" s="359"/>
      <c r="BU912" s="346"/>
      <c r="BV912" s="310"/>
      <c r="BW912" s="310"/>
      <c r="BX912" s="291">
        <f t="shared" si="64"/>
        <v>0</v>
      </c>
      <c r="BY912" s="344"/>
      <c r="BZ912" s="347"/>
      <c r="CA912" s="347"/>
    </row>
    <row r="913" spans="1:84" ht="15" hidden="1" customHeight="1" x14ac:dyDescent="0.25">
      <c r="A913" s="313"/>
      <c r="B913" s="340"/>
      <c r="C913" s="354" t="s">
        <v>1091</v>
      </c>
      <c r="E913" s="342"/>
      <c r="F913" s="342"/>
      <c r="G913" s="342"/>
      <c r="H913" s="342"/>
      <c r="I913" s="342"/>
      <c r="J913" s="342"/>
      <c r="K913" s="342"/>
      <c r="L913" s="342"/>
      <c r="M913" s="342"/>
      <c r="N913" s="342"/>
      <c r="O913" s="342"/>
      <c r="P913" s="342"/>
      <c r="Q913" s="342"/>
      <c r="R913" s="342"/>
      <c r="S913" s="342"/>
      <c r="T913" s="342"/>
      <c r="U913" s="342"/>
      <c r="V913" s="342"/>
      <c r="W913" s="1318"/>
      <c r="X913" s="1318"/>
      <c r="Y913" s="1318"/>
      <c r="Z913" s="1318"/>
      <c r="AA913" s="1318"/>
      <c r="AB913" s="1318"/>
      <c r="AC913" s="355"/>
      <c r="AD913" s="1318"/>
      <c r="AE913" s="1318"/>
      <c r="AF913" s="1318"/>
      <c r="AG913" s="1318"/>
      <c r="AH913" s="1318"/>
      <c r="AI913" s="1318"/>
      <c r="AJ913" s="344"/>
      <c r="AK913" s="345"/>
      <c r="AL913" s="340"/>
      <c r="AM913" s="342" t="s">
        <v>1092</v>
      </c>
      <c r="AO913" s="342"/>
      <c r="AP913" s="342"/>
      <c r="AQ913" s="342"/>
      <c r="AR913" s="342"/>
      <c r="AS913" s="342"/>
      <c r="AT913" s="342"/>
      <c r="AU913" s="342"/>
      <c r="AV913" s="342"/>
      <c r="AW913" s="342"/>
      <c r="AX913" s="342"/>
      <c r="AY913" s="342"/>
      <c r="AZ913" s="342"/>
      <c r="BA913" s="342"/>
      <c r="BB913" s="342"/>
      <c r="BC913" s="342"/>
      <c r="BD913" s="342"/>
      <c r="BE913" s="342"/>
      <c r="BF913" s="342"/>
      <c r="BG913" s="1318">
        <f>W913</f>
        <v>0</v>
      </c>
      <c r="BH913" s="1318"/>
      <c r="BI913" s="1318"/>
      <c r="BJ913" s="1318"/>
      <c r="BK913" s="1318"/>
      <c r="BL913" s="1318"/>
      <c r="BM913" s="355"/>
      <c r="BN913" s="1318">
        <f>AD913</f>
        <v>0</v>
      </c>
      <c r="BO913" s="1318"/>
      <c r="BP913" s="1318"/>
      <c r="BQ913" s="1318"/>
      <c r="BR913" s="1318"/>
      <c r="BS913" s="1318"/>
      <c r="BT913" s="359"/>
      <c r="BU913" s="346"/>
      <c r="BV913" s="310"/>
      <c r="BW913" s="310"/>
      <c r="BX913" s="291">
        <f t="shared" si="64"/>
        <v>0</v>
      </c>
      <c r="BY913" s="344"/>
      <c r="BZ913" s="347"/>
      <c r="CA913" s="347"/>
    </row>
    <row r="914" spans="1:84" ht="15" hidden="1" customHeight="1" x14ac:dyDescent="0.25">
      <c r="A914" s="313"/>
      <c r="B914" s="340"/>
      <c r="C914" s="342"/>
      <c r="D914" s="342"/>
      <c r="E914" s="342"/>
      <c r="F914" s="342"/>
      <c r="G914" s="342"/>
      <c r="H914" s="342"/>
      <c r="I914" s="342"/>
      <c r="J914" s="342"/>
      <c r="K914" s="342"/>
      <c r="L914" s="342"/>
      <c r="M914" s="342"/>
      <c r="N914" s="342"/>
      <c r="O914" s="342"/>
      <c r="P914" s="342"/>
      <c r="Q914" s="342"/>
      <c r="R914" s="342"/>
      <c r="S914" s="342"/>
      <c r="T914" s="342"/>
      <c r="U914" s="342"/>
      <c r="V914" s="342"/>
      <c r="W914" s="1318"/>
      <c r="X914" s="1318"/>
      <c r="Y914" s="1318"/>
      <c r="Z914" s="1318"/>
      <c r="AA914" s="1318"/>
      <c r="AB914" s="1318"/>
      <c r="AC914" s="355"/>
      <c r="AD914" s="1318"/>
      <c r="AE914" s="1318"/>
      <c r="AF914" s="1318"/>
      <c r="AG914" s="1318"/>
      <c r="AH914" s="1318"/>
      <c r="AI914" s="1318"/>
      <c r="AJ914" s="344"/>
      <c r="AK914" s="345"/>
      <c r="AL914" s="340"/>
      <c r="AM914" s="342"/>
      <c r="AN914" s="342"/>
      <c r="AO914" s="342"/>
      <c r="AP914" s="342"/>
      <c r="AQ914" s="342"/>
      <c r="AR914" s="342"/>
      <c r="AS914" s="342"/>
      <c r="AT914" s="342"/>
      <c r="AU914" s="342"/>
      <c r="AV914" s="342"/>
      <c r="AW914" s="342"/>
      <c r="AX914" s="342"/>
      <c r="AY914" s="342"/>
      <c r="AZ914" s="342"/>
      <c r="BA914" s="342"/>
      <c r="BB914" s="342"/>
      <c r="BC914" s="342"/>
      <c r="BD914" s="342"/>
      <c r="BE914" s="342"/>
      <c r="BF914" s="342"/>
      <c r="BG914" s="1318"/>
      <c r="BH914" s="1318"/>
      <c r="BI914" s="1318"/>
      <c r="BJ914" s="1318"/>
      <c r="BK914" s="1318"/>
      <c r="BL914" s="1318"/>
      <c r="BM914" s="355"/>
      <c r="BN914" s="1318"/>
      <c r="BO914" s="1318"/>
      <c r="BP914" s="1318"/>
      <c r="BQ914" s="1318"/>
      <c r="BR914" s="1318"/>
      <c r="BS914" s="1318"/>
      <c r="BT914" s="359"/>
      <c r="BU914" s="346"/>
      <c r="BV914" s="310"/>
      <c r="BW914" s="310"/>
      <c r="BX914" s="291">
        <f>IF(ISNONTEXT($C914),0,SUM(D914:AI914)-SUM(AN914:BS914))</f>
        <v>0</v>
      </c>
      <c r="BY914" s="344"/>
      <c r="BZ914" s="347"/>
      <c r="CA914" s="347"/>
    </row>
    <row r="915" spans="1:84" ht="15" hidden="1" customHeight="1" thickBot="1" x14ac:dyDescent="0.3">
      <c r="A915" s="313"/>
      <c r="B915" s="340"/>
      <c r="C915" s="360" t="s">
        <v>752</v>
      </c>
      <c r="D915" s="340"/>
      <c r="E915" s="340"/>
      <c r="F915" s="340"/>
      <c r="G915" s="340"/>
      <c r="H915" s="340"/>
      <c r="I915" s="340"/>
      <c r="J915" s="340"/>
      <c r="K915" s="340"/>
      <c r="L915" s="340"/>
      <c r="M915" s="340"/>
      <c r="N915" s="340"/>
      <c r="O915" s="340"/>
      <c r="P915" s="340"/>
      <c r="Q915" s="340"/>
      <c r="R915" s="340"/>
      <c r="S915" s="340"/>
      <c r="T915" s="340"/>
      <c r="U915" s="342"/>
      <c r="V915" s="342"/>
      <c r="W915" s="1359">
        <f>SUBTOTAL(109,W909:AB913)</f>
        <v>0</v>
      </c>
      <c r="X915" s="1359"/>
      <c r="Y915" s="1359"/>
      <c r="Z915" s="1359"/>
      <c r="AA915" s="1359"/>
      <c r="AB915" s="1359"/>
      <c r="AC915" s="355"/>
      <c r="AD915" s="1359">
        <f>SUBTOTAL(109,AD909:AI913)</f>
        <v>0</v>
      </c>
      <c r="AE915" s="1359"/>
      <c r="AF915" s="1359"/>
      <c r="AG915" s="1359"/>
      <c r="AH915" s="1359"/>
      <c r="AI915" s="1359"/>
      <c r="AJ915" s="344"/>
      <c r="AK915" s="345"/>
      <c r="AL915" s="340"/>
      <c r="AM915" s="360" t="s">
        <v>752</v>
      </c>
      <c r="AN915" s="340"/>
      <c r="AO915" s="340"/>
      <c r="AP915" s="340"/>
      <c r="AQ915" s="340"/>
      <c r="AR915" s="340"/>
      <c r="AS915" s="340"/>
      <c r="AT915" s="340"/>
      <c r="AU915" s="340"/>
      <c r="AV915" s="340"/>
      <c r="AW915" s="340"/>
      <c r="AX915" s="340"/>
      <c r="AY915" s="340"/>
      <c r="AZ915" s="340"/>
      <c r="BA915" s="340"/>
      <c r="BB915" s="340"/>
      <c r="BC915" s="340"/>
      <c r="BD915" s="340"/>
      <c r="BE915" s="342"/>
      <c r="BF915" s="342"/>
      <c r="BG915" s="1359">
        <f>SUBTOTAL(109,BG902:BL913)</f>
        <v>0</v>
      </c>
      <c r="BH915" s="1359"/>
      <c r="BI915" s="1359"/>
      <c r="BJ915" s="1359"/>
      <c r="BK915" s="1359"/>
      <c r="BL915" s="1359"/>
      <c r="BM915" s="355"/>
      <c r="BN915" s="1359">
        <f>SUBTOTAL(109,BN902:BS913)</f>
        <v>0</v>
      </c>
      <c r="BO915" s="1359"/>
      <c r="BP915" s="1359"/>
      <c r="BQ915" s="1359"/>
      <c r="BR915" s="1359"/>
      <c r="BS915" s="1359"/>
      <c r="BT915" s="359"/>
      <c r="BU915" s="346"/>
      <c r="BV915" s="310">
        <f>W915-KN_CT151</f>
        <v>0</v>
      </c>
      <c r="BW915" s="310">
        <f>AD915-KT_CT151</f>
        <v>0</v>
      </c>
      <c r="BX915" s="291">
        <f>IF(ISNONTEXT($C915),0,SUM(D915:AI915)-SUM(AN915:BS915))</f>
        <v>0</v>
      </c>
      <c r="BY915" s="344"/>
      <c r="BZ915" s="347"/>
      <c r="CA915" s="347"/>
    </row>
    <row r="916" spans="1:84" ht="15" hidden="1" customHeight="1" thickTop="1" x14ac:dyDescent="0.25">
      <c r="A916" s="313"/>
      <c r="B916" s="340"/>
      <c r="C916" s="342"/>
      <c r="D916" s="342"/>
      <c r="E916" s="342"/>
      <c r="F916" s="342"/>
      <c r="G916" s="342"/>
      <c r="H916" s="342"/>
      <c r="I916" s="342"/>
      <c r="J916" s="342"/>
      <c r="K916" s="342"/>
      <c r="L916" s="342"/>
      <c r="M916" s="342"/>
      <c r="N916" s="342"/>
      <c r="O916" s="342"/>
      <c r="P916" s="342"/>
      <c r="Q916" s="342"/>
      <c r="R916" s="342"/>
      <c r="S916" s="342"/>
      <c r="T916" s="342"/>
      <c r="U916" s="342"/>
      <c r="V916" s="342"/>
      <c r="W916" s="1318"/>
      <c r="X916" s="1318"/>
      <c r="Y916" s="1318"/>
      <c r="Z916" s="1318"/>
      <c r="AA916" s="1318"/>
      <c r="AB916" s="1318"/>
      <c r="AC916" s="355"/>
      <c r="AD916" s="1318"/>
      <c r="AE916" s="1318"/>
      <c r="AF916" s="1318"/>
      <c r="AG916" s="1318"/>
      <c r="AH916" s="1318"/>
      <c r="AI916" s="1318"/>
      <c r="AJ916" s="344"/>
      <c r="AK916" s="345"/>
      <c r="AL916" s="340"/>
      <c r="AM916" s="342"/>
      <c r="AN916" s="342"/>
      <c r="AO916" s="342"/>
      <c r="AP916" s="342"/>
      <c r="AQ916" s="342"/>
      <c r="AR916" s="342"/>
      <c r="AS916" s="342"/>
      <c r="AT916" s="342"/>
      <c r="AU916" s="342"/>
      <c r="AV916" s="342"/>
      <c r="AW916" s="342"/>
      <c r="AX916" s="342"/>
      <c r="AY916" s="342"/>
      <c r="AZ916" s="342"/>
      <c r="BA916" s="342"/>
      <c r="BB916" s="342"/>
      <c r="BC916" s="342"/>
      <c r="BD916" s="342"/>
      <c r="BE916" s="342"/>
      <c r="BF916" s="342"/>
      <c r="BG916" s="1318"/>
      <c r="BH916" s="1318"/>
      <c r="BI916" s="1318"/>
      <c r="BJ916" s="1318"/>
      <c r="BK916" s="1318"/>
      <c r="BL916" s="1318"/>
      <c r="BM916" s="355"/>
      <c r="BN916" s="1318"/>
      <c r="BO916" s="1318"/>
      <c r="BP916" s="1318"/>
      <c r="BQ916" s="1318"/>
      <c r="BR916" s="1318"/>
      <c r="BS916" s="1318"/>
      <c r="BT916" s="359"/>
      <c r="BU916" s="346"/>
      <c r="BV916" s="310"/>
      <c r="BW916" s="310"/>
      <c r="BX916" s="291">
        <f>IF(ISNONTEXT($C916),0,SUM(D916:AI916)-SUM(AN916:BS916))</f>
        <v>0</v>
      </c>
      <c r="BY916" s="344"/>
      <c r="BZ916" s="347"/>
      <c r="CA916" s="347"/>
    </row>
    <row r="917" spans="1:84" s="385" customFormat="1" ht="15" hidden="1" customHeight="1" x14ac:dyDescent="0.25">
      <c r="A917" s="451"/>
      <c r="B917" s="451"/>
      <c r="C917" s="451" t="s">
        <v>850</v>
      </c>
      <c r="D917" s="341"/>
      <c r="E917" s="341"/>
      <c r="F917" s="341"/>
      <c r="G917" s="341"/>
      <c r="H917" s="341"/>
      <c r="I917" s="341"/>
      <c r="J917" s="341"/>
      <c r="K917" s="341"/>
      <c r="L917" s="341"/>
      <c r="M917" s="341"/>
      <c r="N917" s="341"/>
      <c r="O917" s="341"/>
      <c r="P917" s="341"/>
      <c r="Q917" s="341"/>
      <c r="R917" s="341"/>
      <c r="S917" s="341"/>
      <c r="T917" s="341"/>
      <c r="U917" s="341"/>
      <c r="V917" s="341"/>
      <c r="W917" s="1330"/>
      <c r="X917" s="1330"/>
      <c r="Y917" s="1330"/>
      <c r="Z917" s="1330"/>
      <c r="AA917" s="1330"/>
      <c r="AB917" s="1330"/>
      <c r="AC917" s="363"/>
      <c r="AD917" s="1330"/>
      <c r="AE917" s="1330"/>
      <c r="AF917" s="1330"/>
      <c r="AG917" s="1330"/>
      <c r="AH917" s="1330"/>
      <c r="AI917" s="1330"/>
      <c r="AJ917" s="374"/>
      <c r="AK917" s="345"/>
      <c r="AL917" s="340"/>
      <c r="AM917" s="451"/>
      <c r="AN917" s="341"/>
      <c r="AO917" s="341"/>
      <c r="AP917" s="341"/>
      <c r="AQ917" s="341"/>
      <c r="AR917" s="341"/>
      <c r="AS917" s="341"/>
      <c r="AT917" s="341"/>
      <c r="AU917" s="341"/>
      <c r="AV917" s="341"/>
      <c r="AW917" s="341"/>
      <c r="AX917" s="341"/>
      <c r="AY917" s="341"/>
      <c r="AZ917" s="341"/>
      <c r="BA917" s="341"/>
      <c r="BB917" s="341"/>
      <c r="BC917" s="341"/>
      <c r="BD917" s="341"/>
      <c r="BE917" s="341"/>
      <c r="BF917" s="341"/>
      <c r="BG917" s="1330"/>
      <c r="BH917" s="1330"/>
      <c r="BI917" s="1330"/>
      <c r="BJ917" s="1330"/>
      <c r="BK917" s="1330"/>
      <c r="BL917" s="1330"/>
      <c r="BM917" s="363"/>
      <c r="BN917" s="1330"/>
      <c r="BO917" s="1330"/>
      <c r="BP917" s="1330"/>
      <c r="BQ917" s="1330"/>
      <c r="BR917" s="1330"/>
      <c r="BS917" s="1330"/>
      <c r="BT917" s="549"/>
      <c r="BU917" s="550"/>
      <c r="BV917" s="310"/>
      <c r="BW917" s="310"/>
      <c r="BX917" s="291">
        <f t="shared" si="64"/>
        <v>0</v>
      </c>
      <c r="BY917" s="374"/>
      <c r="BZ917" s="383"/>
      <c r="CA917" s="383"/>
      <c r="CB917" s="384"/>
      <c r="CC917" s="384"/>
      <c r="CD917" s="384"/>
      <c r="CE917" s="384"/>
      <c r="CF917" s="384"/>
    </row>
    <row r="918" spans="1:84" ht="15" customHeight="1" x14ac:dyDescent="0.25">
      <c r="A918" s="313"/>
      <c r="B918" s="340"/>
      <c r="C918" s="354" t="s">
        <v>1085</v>
      </c>
      <c r="E918" s="340"/>
      <c r="F918" s="340"/>
      <c r="G918" s="340"/>
      <c r="H918" s="340"/>
      <c r="I918" s="340"/>
      <c r="J918" s="340"/>
      <c r="K918" s="340"/>
      <c r="L918" s="340"/>
      <c r="M918" s="340"/>
      <c r="N918" s="340"/>
      <c r="O918" s="340"/>
      <c r="P918" s="340"/>
      <c r="Q918" s="340"/>
      <c r="R918" s="340"/>
      <c r="S918" s="340"/>
      <c r="T918" s="340"/>
      <c r="U918" s="342"/>
      <c r="V918" s="342"/>
      <c r="W918" s="1318">
        <f>BZ918</f>
        <v>306426935</v>
      </c>
      <c r="X918" s="1318"/>
      <c r="Y918" s="1318"/>
      <c r="Z918" s="1318"/>
      <c r="AA918" s="1318"/>
      <c r="AB918" s="1318"/>
      <c r="AC918" s="355"/>
      <c r="AD918" s="1318">
        <v>337067435</v>
      </c>
      <c r="AE918" s="1318"/>
      <c r="AF918" s="1318"/>
      <c r="AG918" s="1318"/>
      <c r="AH918" s="1318"/>
      <c r="AI918" s="1318"/>
      <c r="AJ918" s="344"/>
      <c r="AK918" s="345"/>
      <c r="AL918" s="340"/>
      <c r="AM918" s="342" t="s">
        <v>1093</v>
      </c>
      <c r="AN918" s="342"/>
      <c r="AO918" s="342"/>
      <c r="AP918" s="342"/>
      <c r="AQ918" s="342"/>
      <c r="AR918" s="342"/>
      <c r="AS918" s="342"/>
      <c r="AT918" s="342"/>
      <c r="AU918" s="342"/>
      <c r="AV918" s="342"/>
      <c r="AW918" s="342"/>
      <c r="AX918" s="342"/>
      <c r="AY918" s="342"/>
      <c r="AZ918" s="342"/>
      <c r="BA918" s="342"/>
      <c r="BB918" s="342"/>
      <c r="BC918" s="342"/>
      <c r="BD918" s="342"/>
      <c r="BE918" s="342"/>
      <c r="BF918" s="342"/>
      <c r="BG918" s="1318">
        <f>W918</f>
        <v>306426935</v>
      </c>
      <c r="BH918" s="1318"/>
      <c r="BI918" s="1318"/>
      <c r="BJ918" s="1318"/>
      <c r="BK918" s="1318"/>
      <c r="BL918" s="1318"/>
      <c r="BM918" s="355"/>
      <c r="BN918" s="1318">
        <f>AD918</f>
        <v>337067435</v>
      </c>
      <c r="BO918" s="1318"/>
      <c r="BP918" s="1318"/>
      <c r="BQ918" s="1318"/>
      <c r="BR918" s="1318"/>
      <c r="BS918" s="1318"/>
      <c r="BT918" s="359"/>
      <c r="BU918" s="346"/>
      <c r="BV918" s="310"/>
      <c r="BW918" s="310"/>
      <c r="BX918" s="291">
        <f t="shared" si="64"/>
        <v>0</v>
      </c>
      <c r="BY918" s="344"/>
      <c r="BZ918" s="347">
        <f>SUM(CA918:CB918)</f>
        <v>306426935</v>
      </c>
      <c r="CA918" s="347"/>
      <c r="CB918" s="348">
        <v>306426935</v>
      </c>
    </row>
    <row r="919" spans="1:84" ht="29.1" hidden="1" customHeight="1" x14ac:dyDescent="0.25">
      <c r="A919" s="313"/>
      <c r="B919" s="340"/>
      <c r="C919" s="1337" t="s">
        <v>1087</v>
      </c>
      <c r="D919" s="1337"/>
      <c r="E919" s="1337"/>
      <c r="F919" s="1337"/>
      <c r="G919" s="1337"/>
      <c r="H919" s="1337"/>
      <c r="I919" s="1337"/>
      <c r="J919" s="1337"/>
      <c r="K919" s="1337"/>
      <c r="L919" s="1337"/>
      <c r="M919" s="1337"/>
      <c r="N919" s="1337"/>
      <c r="O919" s="1337"/>
      <c r="P919" s="1337"/>
      <c r="Q919" s="1337"/>
      <c r="R919" s="1337"/>
      <c r="S919" s="1337"/>
      <c r="T919" s="1337"/>
      <c r="U919" s="1337"/>
      <c r="V919" s="1337"/>
      <c r="W919" s="1318">
        <f>BZ919</f>
        <v>0</v>
      </c>
      <c r="X919" s="1318"/>
      <c r="Y919" s="1318"/>
      <c r="Z919" s="1318"/>
      <c r="AA919" s="1318"/>
      <c r="AB919" s="1318"/>
      <c r="AC919" s="355"/>
      <c r="AD919" s="1318">
        <v>0</v>
      </c>
      <c r="AE919" s="1318"/>
      <c r="AF919" s="1318"/>
      <c r="AG919" s="1318"/>
      <c r="AH919" s="1318"/>
      <c r="AI919" s="1318"/>
      <c r="AJ919" s="344"/>
      <c r="AK919" s="345"/>
      <c r="AL919" s="340"/>
      <c r="AM919" s="342" t="s">
        <v>1094</v>
      </c>
      <c r="AN919" s="342"/>
      <c r="AO919" s="342"/>
      <c r="AP919" s="342"/>
      <c r="AQ919" s="342"/>
      <c r="AR919" s="342"/>
      <c r="AS919" s="342"/>
      <c r="AT919" s="342"/>
      <c r="AU919" s="342"/>
      <c r="AV919" s="342"/>
      <c r="AW919" s="342"/>
      <c r="AX919" s="342"/>
      <c r="AY919" s="342"/>
      <c r="AZ919" s="342"/>
      <c r="BA919" s="342"/>
      <c r="BB919" s="342"/>
      <c r="BC919" s="342"/>
      <c r="BD919" s="342"/>
      <c r="BE919" s="342"/>
      <c r="BF919" s="342"/>
      <c r="BG919" s="1318">
        <f>W919</f>
        <v>0</v>
      </c>
      <c r="BH919" s="1318"/>
      <c r="BI919" s="1318"/>
      <c r="BJ919" s="1318"/>
      <c r="BK919" s="1318"/>
      <c r="BL919" s="1318"/>
      <c r="BM919" s="355"/>
      <c r="BN919" s="1318">
        <f>AD919</f>
        <v>0</v>
      </c>
      <c r="BO919" s="1318"/>
      <c r="BP919" s="1318"/>
      <c r="BQ919" s="1318"/>
      <c r="BR919" s="1318"/>
      <c r="BS919" s="1318"/>
      <c r="BT919" s="359"/>
      <c r="BU919" s="346"/>
      <c r="BV919" s="310"/>
      <c r="BW919" s="310"/>
      <c r="BX919" s="291">
        <f t="shared" si="64"/>
        <v>0</v>
      </c>
      <c r="BY919" s="344"/>
      <c r="BZ919" s="347">
        <f>SUM(CA919:CB919)</f>
        <v>0</v>
      </c>
      <c r="CA919" s="347"/>
    </row>
    <row r="920" spans="1:84" ht="15" customHeight="1" x14ac:dyDescent="0.25">
      <c r="A920" s="313"/>
      <c r="B920" s="340"/>
      <c r="C920" s="354" t="s">
        <v>1095</v>
      </c>
      <c r="E920" s="342"/>
      <c r="F920" s="342"/>
      <c r="G920" s="342"/>
      <c r="H920" s="342"/>
      <c r="I920" s="342"/>
      <c r="J920" s="342"/>
      <c r="K920" s="342"/>
      <c r="L920" s="342"/>
      <c r="M920" s="342"/>
      <c r="N920" s="342"/>
      <c r="O920" s="342"/>
      <c r="P920" s="342"/>
      <c r="Q920" s="342"/>
      <c r="R920" s="342"/>
      <c r="S920" s="342"/>
      <c r="T920" s="342"/>
      <c r="U920" s="342"/>
      <c r="V920" s="342"/>
      <c r="W920" s="1318">
        <f>BZ920</f>
        <v>180000000</v>
      </c>
      <c r="X920" s="1318"/>
      <c r="Y920" s="1318"/>
      <c r="Z920" s="1318"/>
      <c r="AA920" s="1318"/>
      <c r="AB920" s="1318"/>
      <c r="AC920" s="355"/>
      <c r="AD920" s="1318">
        <v>0</v>
      </c>
      <c r="AE920" s="1318"/>
      <c r="AF920" s="1318"/>
      <c r="AG920" s="1318"/>
      <c r="AH920" s="1318"/>
      <c r="AI920" s="1318"/>
      <c r="AJ920" s="344"/>
      <c r="AK920" s="345"/>
      <c r="AL920" s="340"/>
      <c r="AM920" s="342"/>
      <c r="AN920" s="342"/>
      <c r="AO920" s="342"/>
      <c r="AP920" s="342"/>
      <c r="AQ920" s="342"/>
      <c r="AR920" s="342"/>
      <c r="AS920" s="342"/>
      <c r="AT920" s="342"/>
      <c r="AU920" s="342"/>
      <c r="AV920" s="342"/>
      <c r="AW920" s="342"/>
      <c r="AX920" s="342"/>
      <c r="AY920" s="342"/>
      <c r="AZ920" s="342"/>
      <c r="BA920" s="342"/>
      <c r="BB920" s="342"/>
      <c r="BC920" s="342"/>
      <c r="BD920" s="342"/>
      <c r="BE920" s="342"/>
      <c r="BF920" s="342"/>
      <c r="BG920" s="355"/>
      <c r="BH920" s="355"/>
      <c r="BI920" s="355"/>
      <c r="BJ920" s="355"/>
      <c r="BK920" s="355"/>
      <c r="BL920" s="355"/>
      <c r="BM920" s="355"/>
      <c r="BN920" s="355"/>
      <c r="BO920" s="355"/>
      <c r="BP920" s="355"/>
      <c r="BQ920" s="355"/>
      <c r="BR920" s="355"/>
      <c r="BS920" s="355"/>
      <c r="BT920" s="359"/>
      <c r="BU920" s="346"/>
      <c r="BV920" s="310"/>
      <c r="BW920" s="310"/>
      <c r="BX920" s="291"/>
      <c r="BY920" s="344"/>
      <c r="BZ920" s="347">
        <f>SUM(CA920:CB920)</f>
        <v>180000000</v>
      </c>
      <c r="CA920" s="347"/>
      <c r="CB920" s="348">
        <v>180000000</v>
      </c>
    </row>
    <row r="921" spans="1:84" ht="15" customHeight="1" x14ac:dyDescent="0.25">
      <c r="A921" s="313"/>
      <c r="B921" s="340"/>
      <c r="C921" s="354" t="s">
        <v>1091</v>
      </c>
      <c r="E921" s="342"/>
      <c r="F921" s="342"/>
      <c r="G921" s="342"/>
      <c r="H921" s="342"/>
      <c r="I921" s="342"/>
      <c r="J921" s="342"/>
      <c r="K921" s="342"/>
      <c r="L921" s="342"/>
      <c r="M921" s="342"/>
      <c r="N921" s="342"/>
      <c r="O921" s="342"/>
      <c r="P921" s="342"/>
      <c r="Q921" s="342"/>
      <c r="R921" s="342"/>
      <c r="S921" s="342"/>
      <c r="T921" s="342"/>
      <c r="U921" s="342"/>
      <c r="V921" s="342"/>
      <c r="W921" s="1318">
        <f>BZ921+[1]Dieu_chinh!N24</f>
        <v>21512912</v>
      </c>
      <c r="X921" s="1318"/>
      <c r="Y921" s="1318"/>
      <c r="Z921" s="1318"/>
      <c r="AA921" s="1318"/>
      <c r="AB921" s="1318"/>
      <c r="AC921" s="355"/>
      <c r="AD921" s="1318">
        <v>16036377</v>
      </c>
      <c r="AE921" s="1318"/>
      <c r="AF921" s="1318"/>
      <c r="AG921" s="1318"/>
      <c r="AH921" s="1318"/>
      <c r="AI921" s="1318"/>
      <c r="AJ921" s="344"/>
      <c r="AK921" s="345"/>
      <c r="AL921" s="340"/>
      <c r="AM921" s="342" t="s">
        <v>1092</v>
      </c>
      <c r="AN921" s="342"/>
      <c r="AO921" s="342"/>
      <c r="AP921" s="342"/>
      <c r="AQ921" s="342"/>
      <c r="AR921" s="342"/>
      <c r="AS921" s="342"/>
      <c r="AT921" s="342"/>
      <c r="AU921" s="342"/>
      <c r="AV921" s="342"/>
      <c r="AW921" s="342"/>
      <c r="AX921" s="342"/>
      <c r="AY921" s="342"/>
      <c r="AZ921" s="342"/>
      <c r="BA921" s="342"/>
      <c r="BB921" s="342"/>
      <c r="BC921" s="342"/>
      <c r="BD921" s="342"/>
      <c r="BE921" s="342"/>
      <c r="BF921" s="342"/>
      <c r="BG921" s="1318">
        <f>W921</f>
        <v>21512912</v>
      </c>
      <c r="BH921" s="1318"/>
      <c r="BI921" s="1318"/>
      <c r="BJ921" s="1318"/>
      <c r="BK921" s="1318"/>
      <c r="BL921" s="1318"/>
      <c r="BM921" s="355"/>
      <c r="BN921" s="1318">
        <f>AD921</f>
        <v>16036377</v>
      </c>
      <c r="BO921" s="1318"/>
      <c r="BP921" s="1318"/>
      <c r="BQ921" s="1318"/>
      <c r="BR921" s="1318"/>
      <c r="BS921" s="1318"/>
      <c r="BT921" s="359"/>
      <c r="BU921" s="346"/>
      <c r="BV921" s="310"/>
      <c r="BW921" s="310"/>
      <c r="BX921" s="291">
        <f t="shared" si="64"/>
        <v>0</v>
      </c>
      <c r="BY921" s="344"/>
      <c r="BZ921" s="347">
        <f>SUM(CA921:CB921)</f>
        <v>12563106</v>
      </c>
      <c r="CA921" s="347">
        <v>12563106</v>
      </c>
    </row>
    <row r="922" spans="1:84" ht="15" customHeight="1" x14ac:dyDescent="0.25">
      <c r="A922" s="313"/>
      <c r="B922" s="340"/>
      <c r="C922" s="342"/>
      <c r="D922" s="342"/>
      <c r="E922" s="342"/>
      <c r="F922" s="342"/>
      <c r="G922" s="342"/>
      <c r="H922" s="342"/>
      <c r="I922" s="342"/>
      <c r="J922" s="342"/>
      <c r="K922" s="342"/>
      <c r="L922" s="342"/>
      <c r="M922" s="342"/>
      <c r="N922" s="342"/>
      <c r="O922" s="342"/>
      <c r="P922" s="342"/>
      <c r="Q922" s="342"/>
      <c r="R922" s="342"/>
      <c r="S922" s="342"/>
      <c r="T922" s="342"/>
      <c r="U922" s="342"/>
      <c r="V922" s="342"/>
      <c r="W922" s="1318"/>
      <c r="X922" s="1318"/>
      <c r="Y922" s="1318"/>
      <c r="Z922" s="1318"/>
      <c r="AA922" s="1318"/>
      <c r="AB922" s="1318"/>
      <c r="AC922" s="355"/>
      <c r="AD922" s="1318"/>
      <c r="AE922" s="1318"/>
      <c r="AF922" s="1318"/>
      <c r="AG922" s="1318"/>
      <c r="AH922" s="1318"/>
      <c r="AI922" s="1318"/>
      <c r="AJ922" s="344"/>
      <c r="AK922" s="345"/>
      <c r="AL922" s="340"/>
      <c r="AM922" s="342"/>
      <c r="AN922" s="342"/>
      <c r="AO922" s="342"/>
      <c r="AP922" s="342"/>
      <c r="AQ922" s="342"/>
      <c r="AR922" s="342"/>
      <c r="AS922" s="342"/>
      <c r="AT922" s="342"/>
      <c r="AU922" s="342"/>
      <c r="AV922" s="342"/>
      <c r="AW922" s="342"/>
      <c r="AX922" s="342"/>
      <c r="AY922" s="342"/>
      <c r="AZ922" s="342"/>
      <c r="BA922" s="342"/>
      <c r="BB922" s="342"/>
      <c r="BC922" s="342"/>
      <c r="BD922" s="342"/>
      <c r="BE922" s="342"/>
      <c r="BF922" s="342"/>
      <c r="BG922" s="1318"/>
      <c r="BH922" s="1318"/>
      <c r="BI922" s="1318"/>
      <c r="BJ922" s="1318"/>
      <c r="BK922" s="1318"/>
      <c r="BL922" s="1318"/>
      <c r="BM922" s="355"/>
      <c r="BN922" s="1318"/>
      <c r="BO922" s="1318"/>
      <c r="BP922" s="1318"/>
      <c r="BQ922" s="1318"/>
      <c r="BR922" s="1318"/>
      <c r="BS922" s="1318"/>
      <c r="BT922" s="359"/>
      <c r="BU922" s="346"/>
      <c r="BV922" s="310"/>
      <c r="BW922" s="310"/>
      <c r="BX922" s="291">
        <f t="shared" si="64"/>
        <v>0</v>
      </c>
      <c r="BY922" s="344"/>
      <c r="BZ922" s="347"/>
      <c r="CA922" s="347"/>
    </row>
    <row r="923" spans="1:84" ht="15" customHeight="1" thickBot="1" x14ac:dyDescent="0.3">
      <c r="A923" s="313"/>
      <c r="B923" s="340"/>
      <c r="C923" s="360" t="s">
        <v>752</v>
      </c>
      <c r="D923" s="340"/>
      <c r="E923" s="340"/>
      <c r="F923" s="340"/>
      <c r="G923" s="340"/>
      <c r="H923" s="340"/>
      <c r="I923" s="340"/>
      <c r="J923" s="340"/>
      <c r="K923" s="340"/>
      <c r="L923" s="340"/>
      <c r="M923" s="340"/>
      <c r="N923" s="340"/>
      <c r="O923" s="340"/>
      <c r="P923" s="340"/>
      <c r="Q923" s="340"/>
      <c r="R923" s="340"/>
      <c r="S923" s="340"/>
      <c r="T923" s="340"/>
      <c r="U923" s="342"/>
      <c r="V923" s="342"/>
      <c r="W923" s="1359">
        <f>SUBTOTAL(109,W917:AB921)</f>
        <v>507939847</v>
      </c>
      <c r="X923" s="1359"/>
      <c r="Y923" s="1359"/>
      <c r="Z923" s="1359"/>
      <c r="AA923" s="1359"/>
      <c r="AB923" s="1359"/>
      <c r="AC923" s="355"/>
      <c r="AD923" s="1359">
        <f>SUBTOTAL(109,AD917:AI921)</f>
        <v>353103812</v>
      </c>
      <c r="AE923" s="1359"/>
      <c r="AF923" s="1359"/>
      <c r="AG923" s="1359"/>
      <c r="AH923" s="1359"/>
      <c r="AI923" s="1359"/>
      <c r="AJ923" s="344"/>
      <c r="AK923" s="345"/>
      <c r="AL923" s="340"/>
      <c r="AM923" s="360" t="s">
        <v>752</v>
      </c>
      <c r="AN923" s="340"/>
      <c r="AO923" s="340"/>
      <c r="AP923" s="340"/>
      <c r="AQ923" s="340"/>
      <c r="AR923" s="340"/>
      <c r="AS923" s="340"/>
      <c r="AT923" s="340"/>
      <c r="AU923" s="340"/>
      <c r="AV923" s="340"/>
      <c r="AW923" s="340"/>
      <c r="AX923" s="340"/>
      <c r="AY923" s="340"/>
      <c r="AZ923" s="340"/>
      <c r="BA923" s="340"/>
      <c r="BB923" s="340"/>
      <c r="BC923" s="340"/>
      <c r="BD923" s="340"/>
      <c r="BE923" s="342"/>
      <c r="BF923" s="342"/>
      <c r="BG923" s="1359">
        <f>SUBTOTAL(109,BG909:BL921)</f>
        <v>327939847</v>
      </c>
      <c r="BH923" s="1359"/>
      <c r="BI923" s="1359"/>
      <c r="BJ923" s="1359"/>
      <c r="BK923" s="1359"/>
      <c r="BL923" s="1359"/>
      <c r="BM923" s="355"/>
      <c r="BN923" s="1359">
        <f>SUBTOTAL(109,BN909:BS921)</f>
        <v>353103812</v>
      </c>
      <c r="BO923" s="1359"/>
      <c r="BP923" s="1359"/>
      <c r="BQ923" s="1359"/>
      <c r="BR923" s="1359"/>
      <c r="BS923" s="1359"/>
      <c r="BT923" s="359"/>
      <c r="BU923" s="346"/>
      <c r="BV923" s="310">
        <f>W923-KN_CT261</f>
        <v>0</v>
      </c>
      <c r="BW923" s="310">
        <f>AD923-KT_CT261</f>
        <v>0</v>
      </c>
      <c r="BX923" s="291">
        <f t="shared" si="64"/>
        <v>180000000</v>
      </c>
      <c r="BY923" s="344"/>
      <c r="BZ923" s="347">
        <f>SUM(BZ918:BZ922)</f>
        <v>498990041</v>
      </c>
      <c r="CA923" s="347">
        <f>SUM(CA918:CA922)</f>
        <v>12563106</v>
      </c>
      <c r="CB923" s="347">
        <f>SUM(CB918:CB922)</f>
        <v>486426935</v>
      </c>
    </row>
    <row r="924" spans="1:84" ht="2.1" hidden="1" customHeight="1" thickTop="1" x14ac:dyDescent="0.25">
      <c r="A924" s="313"/>
      <c r="B924" s="340"/>
      <c r="C924" s="392"/>
      <c r="D924" s="392"/>
      <c r="E924" s="392"/>
      <c r="F924" s="392"/>
      <c r="G924" s="392"/>
      <c r="H924" s="392"/>
      <c r="I924" s="392"/>
      <c r="J924" s="392"/>
      <c r="K924" s="392"/>
      <c r="L924" s="392"/>
      <c r="M924" s="392"/>
      <c r="N924" s="392"/>
      <c r="O924" s="392"/>
      <c r="P924" s="392"/>
      <c r="Q924" s="392"/>
      <c r="R924" s="392"/>
      <c r="S924" s="392"/>
      <c r="T924" s="392"/>
      <c r="U924" s="392"/>
      <c r="V924" s="392"/>
      <c r="W924" s="393"/>
      <c r="X924" s="393"/>
      <c r="Y924" s="393"/>
      <c r="Z924" s="393"/>
      <c r="AA924" s="393"/>
      <c r="AB924" s="393"/>
      <c r="AC924" s="343"/>
      <c r="AD924" s="343"/>
      <c r="AE924" s="343"/>
      <c r="AF924" s="343"/>
      <c r="AG924" s="343"/>
      <c r="AH924" s="343"/>
      <c r="AI924" s="343"/>
      <c r="AJ924" s="344"/>
      <c r="AK924" s="345"/>
      <c r="AL924" s="340"/>
      <c r="AM924" s="392"/>
      <c r="AN924" s="392"/>
      <c r="AO924" s="392"/>
      <c r="AP924" s="392"/>
      <c r="AQ924" s="392"/>
      <c r="AR924" s="392"/>
      <c r="AS924" s="392"/>
      <c r="AT924" s="392"/>
      <c r="AU924" s="392"/>
      <c r="AV924" s="392"/>
      <c r="AW924" s="392"/>
      <c r="AX924" s="392"/>
      <c r="AY924" s="392"/>
      <c r="AZ924" s="392"/>
      <c r="BA924" s="392"/>
      <c r="BB924" s="392"/>
      <c r="BC924" s="392"/>
      <c r="BD924" s="392"/>
      <c r="BE924" s="392"/>
      <c r="BF924" s="392"/>
      <c r="BG924" s="392"/>
      <c r="BH924" s="392"/>
      <c r="BI924" s="392"/>
      <c r="BJ924" s="392"/>
      <c r="BK924" s="392"/>
      <c r="BL924" s="392"/>
      <c r="BM924" s="342"/>
      <c r="BN924" s="356"/>
      <c r="BO924" s="356"/>
      <c r="BP924" s="356"/>
      <c r="BQ924" s="356"/>
      <c r="BR924" s="356"/>
      <c r="BS924" s="356"/>
      <c r="BT924" s="356"/>
      <c r="BU924" s="357"/>
      <c r="BV924" s="310"/>
      <c r="BW924" s="310"/>
      <c r="BX924" s="291">
        <f t="shared" si="64"/>
        <v>0</v>
      </c>
      <c r="BY924" s="344"/>
      <c r="BZ924" s="347"/>
      <c r="CA924" s="347"/>
    </row>
    <row r="925" spans="1:84" ht="12.95" hidden="1" customHeight="1" x14ac:dyDescent="0.25">
      <c r="A925" s="369"/>
      <c r="B925" s="354"/>
      <c r="C925" s="342"/>
      <c r="D925" s="342"/>
      <c r="E925" s="342"/>
      <c r="F925" s="342"/>
      <c r="G925" s="342"/>
      <c r="H925" s="342"/>
      <c r="I925" s="342"/>
      <c r="J925" s="342"/>
      <c r="K925" s="342"/>
      <c r="L925" s="342"/>
      <c r="M925" s="342"/>
      <c r="N925" s="342"/>
      <c r="O925" s="342"/>
      <c r="P925" s="342"/>
      <c r="Q925" s="342"/>
      <c r="R925" s="342"/>
      <c r="S925" s="342"/>
      <c r="T925" s="342"/>
      <c r="U925" s="342"/>
      <c r="V925" s="342"/>
      <c r="W925" s="1338"/>
      <c r="X925" s="1338"/>
      <c r="Y925" s="1338"/>
      <c r="Z925" s="1338"/>
      <c r="AA925" s="1338"/>
      <c r="AB925" s="1338"/>
      <c r="AC925" s="343"/>
      <c r="AD925" s="1338"/>
      <c r="AE925" s="1338"/>
      <c r="AF925" s="1338"/>
      <c r="AG925" s="1338"/>
      <c r="AH925" s="1338"/>
      <c r="AI925" s="1338"/>
      <c r="AJ925" s="344"/>
      <c r="AK925" s="419"/>
      <c r="AL925" s="354"/>
      <c r="AM925" s="342"/>
      <c r="AN925" s="342"/>
      <c r="AO925" s="342"/>
      <c r="AP925" s="342"/>
      <c r="AQ925" s="342"/>
      <c r="AR925" s="342"/>
      <c r="AS925" s="342"/>
      <c r="AT925" s="342"/>
      <c r="AU925" s="342"/>
      <c r="AV925" s="342"/>
      <c r="AW925" s="342"/>
      <c r="AX925" s="342"/>
      <c r="AY925" s="342"/>
      <c r="AZ925" s="342"/>
      <c r="BA925" s="342"/>
      <c r="BB925" s="342"/>
      <c r="BC925" s="342"/>
      <c r="BD925" s="342"/>
      <c r="BE925" s="342"/>
      <c r="BF925" s="342"/>
      <c r="BG925" s="342"/>
      <c r="BH925" s="342"/>
      <c r="BI925" s="342"/>
      <c r="BJ925" s="342"/>
      <c r="BK925" s="342"/>
      <c r="BL925" s="342"/>
      <c r="BM925" s="342"/>
      <c r="BN925" s="342"/>
      <c r="BO925" s="342"/>
      <c r="BP925" s="342"/>
      <c r="BQ925" s="342"/>
      <c r="BR925" s="342"/>
      <c r="BS925" s="342"/>
      <c r="BT925" s="342"/>
      <c r="BU925" s="346"/>
      <c r="BV925" s="310"/>
      <c r="BW925" s="310"/>
      <c r="BX925" s="291">
        <f t="shared" si="64"/>
        <v>0</v>
      </c>
      <c r="BY925" s="344"/>
      <c r="BZ925" s="347"/>
      <c r="CA925" s="347"/>
    </row>
    <row r="926" spans="1:84" ht="15" hidden="1" customHeight="1" x14ac:dyDescent="0.25">
      <c r="A926" s="313">
        <f>STT</f>
        <v>15</v>
      </c>
      <c r="B926" s="340" t="s">
        <v>345</v>
      </c>
      <c r="C926" s="341" t="s">
        <v>1096</v>
      </c>
      <c r="D926" s="341"/>
      <c r="E926" s="341"/>
      <c r="F926" s="341"/>
      <c r="G926" s="341"/>
      <c r="H926" s="341"/>
      <c r="I926" s="341"/>
      <c r="J926" s="341"/>
      <c r="K926" s="341"/>
      <c r="L926" s="341"/>
      <c r="M926" s="341"/>
      <c r="N926" s="341"/>
      <c r="O926" s="341"/>
      <c r="P926" s="341"/>
      <c r="Q926" s="341"/>
      <c r="R926" s="341"/>
      <c r="S926" s="341"/>
      <c r="T926" s="341"/>
      <c r="U926" s="342"/>
      <c r="V926" s="342"/>
      <c r="W926" s="343"/>
      <c r="X926" s="343"/>
      <c r="Y926" s="343"/>
      <c r="Z926" s="343"/>
      <c r="AA926" s="343"/>
      <c r="AB926" s="343"/>
      <c r="AC926" s="343"/>
      <c r="AD926" s="343"/>
      <c r="AE926" s="343"/>
      <c r="AF926" s="343"/>
      <c r="AG926" s="343"/>
      <c r="AH926" s="343"/>
      <c r="AI926" s="343"/>
      <c r="AJ926" s="344"/>
      <c r="AK926" s="345">
        <f>A926</f>
        <v>15</v>
      </c>
      <c r="AL926" s="340" t="s">
        <v>345</v>
      </c>
      <c r="AM926" s="341" t="s">
        <v>1097</v>
      </c>
      <c r="AN926" s="341"/>
      <c r="AO926" s="341"/>
      <c r="AP926" s="341"/>
      <c r="AQ926" s="341"/>
      <c r="AR926" s="341"/>
      <c r="AS926" s="341"/>
      <c r="AT926" s="341"/>
      <c r="AU926" s="341"/>
      <c r="AV926" s="341"/>
      <c r="AW926" s="341"/>
      <c r="AX926" s="341"/>
      <c r="AY926" s="341"/>
      <c r="AZ926" s="341"/>
      <c r="BA926" s="341"/>
      <c r="BB926" s="341"/>
      <c r="BC926" s="341"/>
      <c r="BD926" s="341"/>
      <c r="BE926" s="342"/>
      <c r="BF926" s="342"/>
      <c r="BG926" s="342"/>
      <c r="BH926" s="342"/>
      <c r="BI926" s="342"/>
      <c r="BJ926" s="342"/>
      <c r="BK926" s="342"/>
      <c r="BL926" s="342"/>
      <c r="BM926" s="342"/>
      <c r="BN926" s="342"/>
      <c r="BO926" s="342"/>
      <c r="BP926" s="342"/>
      <c r="BQ926" s="342"/>
      <c r="BR926" s="342"/>
      <c r="BS926" s="342"/>
      <c r="BT926" s="342"/>
      <c r="BU926" s="346">
        <f>SUBTOTAL(103,A926)</f>
        <v>0</v>
      </c>
      <c r="BV926" s="310"/>
      <c r="BW926" s="310"/>
      <c r="BX926" s="291">
        <f t="shared" si="64"/>
        <v>0</v>
      </c>
      <c r="BY926" s="344"/>
      <c r="BZ926" s="347"/>
      <c r="CA926" s="347"/>
    </row>
    <row r="927" spans="1:84" ht="15" hidden="1" customHeight="1" x14ac:dyDescent="0.25">
      <c r="A927" s="313"/>
      <c r="B927" s="340"/>
      <c r="C927" s="350"/>
      <c r="D927" s="350"/>
      <c r="E927" s="350"/>
      <c r="F927" s="350"/>
      <c r="G927" s="350"/>
      <c r="H927" s="350"/>
      <c r="I927" s="350"/>
      <c r="J927" s="350"/>
      <c r="K927" s="350"/>
      <c r="L927" s="371"/>
      <c r="M927" s="371"/>
      <c r="N927" s="371"/>
      <c r="O927" s="371"/>
      <c r="P927" s="371"/>
      <c r="Q927" s="371"/>
      <c r="R927" s="371"/>
      <c r="S927" s="371"/>
      <c r="T927" s="371"/>
      <c r="U927" s="371"/>
      <c r="V927" s="371"/>
      <c r="W927" s="1325" t="str">
        <f>Ky_Nay1_V</f>
        <v>31/12/2017</v>
      </c>
      <c r="X927" s="1325"/>
      <c r="Y927" s="1325"/>
      <c r="Z927" s="1325"/>
      <c r="AA927" s="1325"/>
      <c r="AB927" s="1325"/>
      <c r="AC927" s="351"/>
      <c r="AD927" s="1325" t="str">
        <f>Ky_Truoc1_V</f>
        <v>01/01/2017</v>
      </c>
      <c r="AE927" s="1325"/>
      <c r="AF927" s="1325"/>
      <c r="AG927" s="1325"/>
      <c r="AH927" s="1325"/>
      <c r="AI927" s="1325"/>
      <c r="AJ927" s="344"/>
      <c r="AK927" s="345"/>
      <c r="AL927" s="340"/>
      <c r="AM927" s="350"/>
      <c r="AN927" s="350"/>
      <c r="AO927" s="350"/>
      <c r="AP927" s="350"/>
      <c r="AQ927" s="350"/>
      <c r="AR927" s="350"/>
      <c r="AS927" s="350"/>
      <c r="AT927" s="350"/>
      <c r="AU927" s="350"/>
      <c r="AV927" s="371"/>
      <c r="AW927" s="371"/>
      <c r="AX927" s="371"/>
      <c r="AY927" s="371"/>
      <c r="AZ927" s="371"/>
      <c r="BA927" s="371"/>
      <c r="BB927" s="371"/>
      <c r="BC927" s="371"/>
      <c r="BD927" s="371"/>
      <c r="BE927" s="371"/>
      <c r="BF927" s="371"/>
      <c r="BG927" s="1325" t="str">
        <f>Ky_Nay1_E</f>
        <v>31/12/2017</v>
      </c>
      <c r="BH927" s="1325"/>
      <c r="BI927" s="1325"/>
      <c r="BJ927" s="1325"/>
      <c r="BK927" s="1325"/>
      <c r="BL927" s="1325"/>
      <c r="BM927" s="351"/>
      <c r="BN927" s="1325" t="str">
        <f>Ky_Truoc1_E</f>
        <v>01/01/2017</v>
      </c>
      <c r="BO927" s="1325"/>
      <c r="BP927" s="1325"/>
      <c r="BQ927" s="1325"/>
      <c r="BR927" s="1325"/>
      <c r="BS927" s="1325"/>
      <c r="BT927" s="352"/>
      <c r="BU927" s="353"/>
      <c r="BV927" s="310"/>
      <c r="BW927" s="310"/>
      <c r="BX927" s="291">
        <f t="shared" si="64"/>
        <v>0</v>
      </c>
      <c r="BY927" s="344"/>
      <c r="BZ927" s="347"/>
      <c r="CA927" s="347"/>
    </row>
    <row r="928" spans="1:84" ht="15" hidden="1" customHeight="1" x14ac:dyDescent="0.25">
      <c r="A928" s="313"/>
      <c r="B928" s="340"/>
      <c r="C928" s="350"/>
      <c r="D928" s="350"/>
      <c r="E928" s="350"/>
      <c r="F928" s="350"/>
      <c r="G928" s="350"/>
      <c r="H928" s="350"/>
      <c r="I928" s="350"/>
      <c r="J928" s="350"/>
      <c r="K928" s="350"/>
      <c r="L928" s="378"/>
      <c r="M928" s="378"/>
      <c r="N928" s="378"/>
      <c r="O928" s="378"/>
      <c r="P928" s="378"/>
      <c r="Q928" s="372"/>
      <c r="R928" s="371"/>
      <c r="S928" s="371"/>
      <c r="T928" s="371"/>
      <c r="U928" s="371"/>
      <c r="V928" s="371"/>
      <c r="W928" s="1327" t="str">
        <f>Don_Vi_Tinh_V</f>
        <v>VND</v>
      </c>
      <c r="X928" s="1327"/>
      <c r="Y928" s="1327"/>
      <c r="Z928" s="1327"/>
      <c r="AA928" s="1327"/>
      <c r="AB928" s="1327"/>
      <c r="AC928" s="351"/>
      <c r="AD928" s="1327" t="str">
        <f>Don_Vi_Tinh_V</f>
        <v>VND</v>
      </c>
      <c r="AE928" s="1327"/>
      <c r="AF928" s="1327"/>
      <c r="AG928" s="1327"/>
      <c r="AH928" s="1327"/>
      <c r="AI928" s="1327"/>
      <c r="AJ928" s="344"/>
      <c r="AK928" s="345"/>
      <c r="AL928" s="340"/>
      <c r="AM928" s="350"/>
      <c r="AN928" s="350"/>
      <c r="AO928" s="350"/>
      <c r="AP928" s="350"/>
      <c r="AQ928" s="350"/>
      <c r="AR928" s="350"/>
      <c r="AS928" s="350"/>
      <c r="AT928" s="350"/>
      <c r="AU928" s="350"/>
      <c r="AV928" s="378"/>
      <c r="AW928" s="378"/>
      <c r="AX928" s="378"/>
      <c r="AY928" s="378"/>
      <c r="AZ928" s="378"/>
      <c r="BA928" s="372"/>
      <c r="BB928" s="371"/>
      <c r="BC928" s="371"/>
      <c r="BD928" s="371"/>
      <c r="BE928" s="371"/>
      <c r="BF928" s="371"/>
      <c r="BG928" s="1327" t="str">
        <f>Don_Vi_Tinh_E</f>
        <v>VND</v>
      </c>
      <c r="BH928" s="1327"/>
      <c r="BI928" s="1327"/>
      <c r="BJ928" s="1327"/>
      <c r="BK928" s="1327"/>
      <c r="BL928" s="1327"/>
      <c r="BM928" s="351"/>
      <c r="BN928" s="1327" t="str">
        <f>Don_Vi_Tinh_E</f>
        <v>VND</v>
      </c>
      <c r="BO928" s="1327"/>
      <c r="BP928" s="1327"/>
      <c r="BQ928" s="1327"/>
      <c r="BR928" s="1327"/>
      <c r="BS928" s="1327"/>
      <c r="BT928" s="352"/>
      <c r="BU928" s="353"/>
      <c r="BV928" s="310"/>
      <c r="BW928" s="310"/>
      <c r="BX928" s="291">
        <f t="shared" si="64"/>
        <v>0</v>
      </c>
      <c r="BY928" s="344"/>
      <c r="BZ928" s="347"/>
      <c r="CA928" s="347"/>
    </row>
    <row r="929" spans="1:79" ht="15" hidden="1" customHeight="1" x14ac:dyDescent="0.25">
      <c r="A929" s="423"/>
      <c r="B929" s="423"/>
      <c r="D929" s="350"/>
      <c r="E929" s="350"/>
      <c r="F929" s="350"/>
      <c r="G929" s="350"/>
      <c r="H929" s="350"/>
      <c r="I929" s="350"/>
      <c r="J929" s="350"/>
      <c r="K929" s="350"/>
      <c r="L929" s="386"/>
      <c r="M929" s="386"/>
      <c r="N929" s="386"/>
      <c r="O929" s="386"/>
      <c r="P929" s="386"/>
      <c r="Q929" s="386"/>
      <c r="R929" s="386"/>
      <c r="S929" s="386"/>
      <c r="T929" s="386"/>
      <c r="U929" s="389"/>
      <c r="V929" s="389"/>
      <c r="W929" s="355"/>
      <c r="X929" s="355"/>
      <c r="Y929" s="355"/>
      <c r="Z929" s="355"/>
      <c r="AA929" s="355"/>
      <c r="AB929" s="355"/>
      <c r="AC929" s="355"/>
      <c r="AD929" s="355"/>
      <c r="AE929" s="355"/>
      <c r="AF929" s="355"/>
      <c r="AG929" s="355"/>
      <c r="AH929" s="355"/>
      <c r="AI929" s="355"/>
      <c r="AJ929" s="344"/>
      <c r="AK929" s="345"/>
      <c r="AL929" s="340"/>
      <c r="AN929" s="350"/>
      <c r="AO929" s="350"/>
      <c r="AP929" s="350"/>
      <c r="AQ929" s="350"/>
      <c r="AR929" s="350"/>
      <c r="AS929" s="350"/>
      <c r="AT929" s="350"/>
      <c r="AU929" s="350"/>
      <c r="AV929" s="386"/>
      <c r="AW929" s="386"/>
      <c r="AX929" s="386"/>
      <c r="AY929" s="386"/>
      <c r="AZ929" s="386"/>
      <c r="BA929" s="386"/>
      <c r="BB929" s="386"/>
      <c r="BC929" s="386"/>
      <c r="BD929" s="386"/>
      <c r="BE929" s="389"/>
      <c r="BF929" s="389"/>
      <c r="BG929" s="355"/>
      <c r="BH929" s="355"/>
      <c r="BI929" s="355"/>
      <c r="BJ929" s="355"/>
      <c r="BK929" s="355"/>
      <c r="BL929" s="355"/>
      <c r="BM929" s="355"/>
      <c r="BN929" s="355"/>
      <c r="BO929" s="355"/>
      <c r="BP929" s="355"/>
      <c r="BQ929" s="355"/>
      <c r="BR929" s="355"/>
      <c r="BS929" s="355"/>
      <c r="BT929" s="352"/>
      <c r="BU929" s="353"/>
      <c r="BV929" s="310"/>
      <c r="BW929" s="310"/>
      <c r="BX929" s="291">
        <f t="shared" si="64"/>
        <v>0</v>
      </c>
      <c r="BY929" s="344"/>
      <c r="BZ929" s="347"/>
      <c r="CA929" s="347"/>
    </row>
    <row r="930" spans="1:79" ht="15" hidden="1" customHeight="1" x14ac:dyDescent="0.25">
      <c r="A930" s="313"/>
      <c r="B930" s="340"/>
      <c r="C930" s="451" t="s">
        <v>1098</v>
      </c>
      <c r="D930" s="350"/>
      <c r="E930" s="350"/>
      <c r="F930" s="350"/>
      <c r="G930" s="350"/>
      <c r="H930" s="350"/>
      <c r="I930" s="350"/>
      <c r="J930" s="350"/>
      <c r="K930" s="350"/>
      <c r="L930" s="373"/>
      <c r="M930" s="373"/>
      <c r="N930" s="373"/>
      <c r="O930" s="373"/>
      <c r="P930" s="373"/>
      <c r="Q930" s="373"/>
      <c r="R930" s="373"/>
      <c r="S930" s="373"/>
      <c r="T930" s="373"/>
      <c r="U930" s="551"/>
      <c r="V930" s="551"/>
      <c r="W930" s="1330"/>
      <c r="X930" s="1330"/>
      <c r="Y930" s="1330"/>
      <c r="Z930" s="1330"/>
      <c r="AA930" s="1330"/>
      <c r="AB930" s="1330"/>
      <c r="AC930" s="363"/>
      <c r="AD930" s="1330"/>
      <c r="AE930" s="1330"/>
      <c r="AF930" s="1330"/>
      <c r="AG930" s="1330"/>
      <c r="AH930" s="1330"/>
      <c r="AI930" s="1330"/>
      <c r="AJ930" s="374"/>
      <c r="AK930" s="345"/>
      <c r="AL930" s="340"/>
      <c r="AM930" s="451"/>
      <c r="AN930" s="350"/>
      <c r="AO930" s="350"/>
      <c r="AP930" s="350"/>
      <c r="AQ930" s="350"/>
      <c r="AR930" s="350"/>
      <c r="AS930" s="350"/>
      <c r="AT930" s="350"/>
      <c r="AU930" s="350"/>
      <c r="AV930" s="373"/>
      <c r="AW930" s="373"/>
      <c r="AX930" s="373"/>
      <c r="AY930" s="373"/>
      <c r="AZ930" s="373"/>
      <c r="BA930" s="373"/>
      <c r="BB930" s="373"/>
      <c r="BC930" s="373"/>
      <c r="BD930" s="373"/>
      <c r="BE930" s="551"/>
      <c r="BF930" s="551"/>
      <c r="BG930" s="1330"/>
      <c r="BH930" s="1330"/>
      <c r="BI930" s="1330"/>
      <c r="BJ930" s="1330"/>
      <c r="BK930" s="1330"/>
      <c r="BL930" s="1330"/>
      <c r="BM930" s="363"/>
      <c r="BN930" s="1330"/>
      <c r="BO930" s="1330"/>
      <c r="BP930" s="1330"/>
      <c r="BQ930" s="1330"/>
      <c r="BR930" s="1330"/>
      <c r="BS930" s="1330"/>
      <c r="BT930" s="352"/>
      <c r="BU930" s="353"/>
      <c r="BV930" s="310"/>
      <c r="BW930" s="310"/>
      <c r="BX930" s="291">
        <f t="shared" si="64"/>
        <v>0</v>
      </c>
      <c r="BY930" s="344"/>
      <c r="BZ930" s="347"/>
      <c r="CA930" s="347"/>
    </row>
    <row r="931" spans="1:79" ht="15" hidden="1" customHeight="1" x14ac:dyDescent="0.25">
      <c r="A931" s="313"/>
      <c r="B931" s="340"/>
      <c r="C931" s="423" t="s">
        <v>1099</v>
      </c>
      <c r="D931" s="350"/>
      <c r="E931" s="350"/>
      <c r="F931" s="350"/>
      <c r="G931" s="350"/>
      <c r="H931" s="350"/>
      <c r="I931" s="350"/>
      <c r="J931" s="350"/>
      <c r="K931" s="350"/>
      <c r="L931" s="386"/>
      <c r="M931" s="386"/>
      <c r="N931" s="386"/>
      <c r="O931" s="386"/>
      <c r="P931" s="386"/>
      <c r="Q931" s="386"/>
      <c r="R931" s="386"/>
      <c r="S931" s="386"/>
      <c r="T931" s="386"/>
      <c r="U931" s="389"/>
      <c r="V931" s="389"/>
      <c r="W931" s="1318">
        <v>0</v>
      </c>
      <c r="X931" s="1318"/>
      <c r="Y931" s="1318"/>
      <c r="Z931" s="1318"/>
      <c r="AA931" s="1318"/>
      <c r="AB931" s="1318"/>
      <c r="AC931" s="355"/>
      <c r="AD931" s="1318">
        <v>0</v>
      </c>
      <c r="AE931" s="1318"/>
      <c r="AF931" s="1318"/>
      <c r="AG931" s="1318"/>
      <c r="AH931" s="1318"/>
      <c r="AI931" s="1318"/>
      <c r="AJ931" s="344"/>
      <c r="AK931" s="345"/>
      <c r="AL931" s="340"/>
      <c r="AM931" s="423" t="s">
        <v>1099</v>
      </c>
      <c r="AN931" s="350"/>
      <c r="AO931" s="350"/>
      <c r="AP931" s="350"/>
      <c r="AQ931" s="350"/>
      <c r="AR931" s="350"/>
      <c r="AS931" s="350"/>
      <c r="AT931" s="350"/>
      <c r="AU931" s="350"/>
      <c r="AV931" s="386"/>
      <c r="AW931" s="386"/>
      <c r="AX931" s="386"/>
      <c r="AY931" s="386"/>
      <c r="AZ931" s="386"/>
      <c r="BA931" s="386"/>
      <c r="BB931" s="386"/>
      <c r="BC931" s="386"/>
      <c r="BD931" s="386"/>
      <c r="BE931" s="389"/>
      <c r="BF931" s="389"/>
      <c r="BG931" s="1318">
        <f>W931</f>
        <v>0</v>
      </c>
      <c r="BH931" s="1318"/>
      <c r="BI931" s="1318"/>
      <c r="BJ931" s="1318"/>
      <c r="BK931" s="1318"/>
      <c r="BL931" s="1318"/>
      <c r="BM931" s="355"/>
      <c r="BN931" s="1318">
        <f>AD931</f>
        <v>0</v>
      </c>
      <c r="BO931" s="1318"/>
      <c r="BP931" s="1318"/>
      <c r="BQ931" s="1318"/>
      <c r="BR931" s="1318"/>
      <c r="BS931" s="1318"/>
      <c r="BT931" s="352"/>
      <c r="BU931" s="353"/>
      <c r="BV931" s="310"/>
      <c r="BW931" s="310"/>
      <c r="BX931" s="291">
        <f t="shared" si="64"/>
        <v>0</v>
      </c>
      <c r="BY931" s="344"/>
      <c r="BZ931" s="347"/>
      <c r="CA931" s="347"/>
    </row>
    <row r="932" spans="1:79" ht="15" hidden="1" customHeight="1" x14ac:dyDescent="0.25">
      <c r="A932" s="313"/>
      <c r="B932" s="340"/>
      <c r="C932" s="342" t="s">
        <v>1099</v>
      </c>
      <c r="D932" s="350"/>
      <c r="E932" s="350"/>
      <c r="F932" s="350"/>
      <c r="G932" s="350"/>
      <c r="H932" s="350"/>
      <c r="I932" s="350"/>
      <c r="J932" s="350"/>
      <c r="K932" s="350"/>
      <c r="L932" s="386"/>
      <c r="M932" s="386"/>
      <c r="N932" s="386"/>
      <c r="O932" s="386"/>
      <c r="P932" s="386"/>
      <c r="Q932" s="386"/>
      <c r="R932" s="386"/>
      <c r="S932" s="386"/>
      <c r="T932" s="386"/>
      <c r="U932" s="389"/>
      <c r="V932" s="389"/>
      <c r="W932" s="1318">
        <v>0</v>
      </c>
      <c r="X932" s="1318"/>
      <c r="Y932" s="1318"/>
      <c r="Z932" s="1318"/>
      <c r="AA932" s="1318"/>
      <c r="AB932" s="1318"/>
      <c r="AC932" s="355"/>
      <c r="AD932" s="1318">
        <v>0</v>
      </c>
      <c r="AE932" s="1318"/>
      <c r="AF932" s="1318"/>
      <c r="AG932" s="1318"/>
      <c r="AH932" s="1318"/>
      <c r="AI932" s="1318"/>
      <c r="AJ932" s="344"/>
      <c r="AK932" s="345"/>
      <c r="AL932" s="340"/>
      <c r="AM932" s="342" t="s">
        <v>1099</v>
      </c>
      <c r="AN932" s="350"/>
      <c r="AO932" s="350"/>
      <c r="AP932" s="350"/>
      <c r="AQ932" s="350"/>
      <c r="AR932" s="350"/>
      <c r="AS932" s="350"/>
      <c r="AT932" s="350"/>
      <c r="AU932" s="350"/>
      <c r="AV932" s="386"/>
      <c r="AW932" s="386"/>
      <c r="AX932" s="386"/>
      <c r="AY932" s="386"/>
      <c r="AZ932" s="386"/>
      <c r="BA932" s="386"/>
      <c r="BB932" s="386"/>
      <c r="BC932" s="386"/>
      <c r="BD932" s="386"/>
      <c r="BE932" s="389"/>
      <c r="BF932" s="389"/>
      <c r="BG932" s="1318">
        <f>W932</f>
        <v>0</v>
      </c>
      <c r="BH932" s="1318"/>
      <c r="BI932" s="1318"/>
      <c r="BJ932" s="1318"/>
      <c r="BK932" s="1318"/>
      <c r="BL932" s="1318"/>
      <c r="BM932" s="355"/>
      <c r="BN932" s="1318">
        <f>AD932</f>
        <v>0</v>
      </c>
      <c r="BO932" s="1318"/>
      <c r="BP932" s="1318"/>
      <c r="BQ932" s="1318"/>
      <c r="BR932" s="1318"/>
      <c r="BS932" s="1318"/>
      <c r="BT932" s="352"/>
      <c r="BU932" s="353"/>
      <c r="BV932" s="310"/>
      <c r="BW932" s="310"/>
      <c r="BX932" s="291">
        <f t="shared" si="64"/>
        <v>0</v>
      </c>
      <c r="BY932" s="344"/>
      <c r="BZ932" s="347"/>
      <c r="CA932" s="347"/>
    </row>
    <row r="933" spans="1:79" ht="15" hidden="1" customHeight="1" x14ac:dyDescent="0.25">
      <c r="A933" s="313"/>
      <c r="B933" s="340"/>
      <c r="C933" s="342"/>
      <c r="D933" s="350"/>
      <c r="E933" s="350"/>
      <c r="F933" s="350"/>
      <c r="G933" s="350"/>
      <c r="H933" s="350"/>
      <c r="I933" s="350"/>
      <c r="J933" s="350"/>
      <c r="K933" s="350"/>
      <c r="L933" s="386"/>
      <c r="M933" s="386"/>
      <c r="N933" s="386"/>
      <c r="O933" s="386"/>
      <c r="P933" s="386"/>
      <c r="Q933" s="386"/>
      <c r="R933" s="386"/>
      <c r="S933" s="386"/>
      <c r="T933" s="386"/>
      <c r="U933" s="389"/>
      <c r="V933" s="389"/>
      <c r="W933" s="1318"/>
      <c r="X933" s="1318"/>
      <c r="Y933" s="1318"/>
      <c r="Z933" s="1318"/>
      <c r="AA933" s="1318"/>
      <c r="AB933" s="1318"/>
      <c r="AC933" s="355"/>
      <c r="AD933" s="1318"/>
      <c r="AE933" s="1318"/>
      <c r="AF933" s="1318"/>
      <c r="AG933" s="1318"/>
      <c r="AH933" s="1318"/>
      <c r="AI933" s="1318"/>
      <c r="AJ933" s="344"/>
      <c r="AK933" s="345"/>
      <c r="AL933" s="340"/>
      <c r="AM933" s="342"/>
      <c r="AN933" s="350"/>
      <c r="AO933" s="350"/>
      <c r="AP933" s="350"/>
      <c r="AQ933" s="350"/>
      <c r="AR933" s="350"/>
      <c r="AS933" s="350"/>
      <c r="AT933" s="350"/>
      <c r="AU933" s="350"/>
      <c r="AV933" s="386"/>
      <c r="AW933" s="386"/>
      <c r="AX933" s="386"/>
      <c r="AY933" s="386"/>
      <c r="AZ933" s="386"/>
      <c r="BA933" s="386"/>
      <c r="BB933" s="386"/>
      <c r="BC933" s="386"/>
      <c r="BD933" s="386"/>
      <c r="BE933" s="389"/>
      <c r="BF933" s="389"/>
      <c r="BG933" s="1318"/>
      <c r="BH933" s="1318"/>
      <c r="BI933" s="1318"/>
      <c r="BJ933" s="1318"/>
      <c r="BK933" s="1318"/>
      <c r="BL933" s="1318"/>
      <c r="BM933" s="355"/>
      <c r="BN933" s="1318"/>
      <c r="BO933" s="1318"/>
      <c r="BP933" s="1318"/>
      <c r="BQ933" s="1318"/>
      <c r="BR933" s="1318"/>
      <c r="BS933" s="1318"/>
      <c r="BT933" s="352"/>
      <c r="BU933" s="353"/>
      <c r="BV933" s="310"/>
      <c r="BW933" s="310"/>
      <c r="BX933" s="291">
        <f>IF(ISNONTEXT($C933),0,SUM(D933:AI933)-SUM(AN933:BS933))</f>
        <v>0</v>
      </c>
      <c r="BY933" s="344"/>
      <c r="BZ933" s="347"/>
      <c r="CA933" s="347"/>
    </row>
    <row r="934" spans="1:79" ht="15" hidden="1" customHeight="1" thickBot="1" x14ac:dyDescent="0.3">
      <c r="A934" s="313"/>
      <c r="B934" s="340"/>
      <c r="C934" s="360" t="s">
        <v>752</v>
      </c>
      <c r="D934" s="392"/>
      <c r="E934" s="392"/>
      <c r="F934" s="392"/>
      <c r="G934" s="392"/>
      <c r="H934" s="392"/>
      <c r="I934" s="392"/>
      <c r="J934" s="392"/>
      <c r="K934" s="392"/>
      <c r="L934" s="392"/>
      <c r="M934" s="392"/>
      <c r="N934" s="392"/>
      <c r="O934" s="392"/>
      <c r="P934" s="392"/>
      <c r="Q934" s="392"/>
      <c r="R934" s="392"/>
      <c r="S934" s="392"/>
      <c r="T934" s="392"/>
      <c r="U934" s="392"/>
      <c r="V934" s="392"/>
      <c r="W934" s="1359">
        <f>SUBTOTAL(109,W930:AB932)</f>
        <v>0</v>
      </c>
      <c r="X934" s="1359"/>
      <c r="Y934" s="1359"/>
      <c r="Z934" s="1359"/>
      <c r="AA934" s="1359"/>
      <c r="AB934" s="1359"/>
      <c r="AC934" s="343"/>
      <c r="AD934" s="1359">
        <f>SUBTOTAL(109,AD930:AI932)</f>
        <v>0</v>
      </c>
      <c r="AE934" s="1359"/>
      <c r="AF934" s="1359"/>
      <c r="AG934" s="1359"/>
      <c r="AH934" s="1359"/>
      <c r="AI934" s="1359"/>
      <c r="AJ934" s="344"/>
      <c r="AK934" s="345"/>
      <c r="AL934" s="340"/>
      <c r="AM934" s="360" t="s">
        <v>752</v>
      </c>
      <c r="AN934" s="392"/>
      <c r="AO934" s="392"/>
      <c r="AP934" s="392"/>
      <c r="AQ934" s="392"/>
      <c r="AR934" s="392"/>
      <c r="AS934" s="392"/>
      <c r="AT934" s="392"/>
      <c r="AU934" s="392"/>
      <c r="AV934" s="392"/>
      <c r="AW934" s="392"/>
      <c r="AX934" s="392"/>
      <c r="AY934" s="392"/>
      <c r="AZ934" s="392"/>
      <c r="BA934" s="392"/>
      <c r="BB934" s="392"/>
      <c r="BC934" s="392"/>
      <c r="BD934" s="392"/>
      <c r="BE934" s="392"/>
      <c r="BF934" s="392"/>
      <c r="BG934" s="1359">
        <f>SUBTOTAL(109,BG924:BL932)</f>
        <v>0</v>
      </c>
      <c r="BH934" s="1359"/>
      <c r="BI934" s="1359"/>
      <c r="BJ934" s="1359"/>
      <c r="BK934" s="1359"/>
      <c r="BL934" s="1359"/>
      <c r="BM934" s="343"/>
      <c r="BN934" s="1359">
        <f>SUBTOTAL(109,BN924:BS932)</f>
        <v>0</v>
      </c>
      <c r="BO934" s="1359"/>
      <c r="BP934" s="1359"/>
      <c r="BQ934" s="1359"/>
      <c r="BR934" s="1359"/>
      <c r="BS934" s="1359"/>
      <c r="BT934" s="356"/>
      <c r="BU934" s="357"/>
      <c r="BV934" s="310">
        <f>W934-KN_CT155</f>
        <v>0</v>
      </c>
      <c r="BW934" s="310">
        <f>AD934-KT_CT155</f>
        <v>0</v>
      </c>
      <c r="BX934" s="291">
        <f>IF(ISNONTEXT($C934),0,SUM(D934:AI934)-SUM(AN934:BS934))</f>
        <v>0</v>
      </c>
      <c r="BY934" s="344"/>
      <c r="BZ934" s="347"/>
      <c r="CA934" s="347"/>
    </row>
    <row r="935" spans="1:79" ht="15" hidden="1" customHeight="1" thickTop="1" x14ac:dyDescent="0.25">
      <c r="A935" s="313"/>
      <c r="B935" s="340"/>
      <c r="C935" s="342"/>
      <c r="D935" s="350"/>
      <c r="E935" s="350"/>
      <c r="F935" s="350"/>
      <c r="G935" s="350"/>
      <c r="H935" s="350"/>
      <c r="I935" s="350"/>
      <c r="J935" s="350"/>
      <c r="K935" s="350"/>
      <c r="L935" s="386"/>
      <c r="M935" s="386"/>
      <c r="N935" s="386"/>
      <c r="O935" s="386"/>
      <c r="P935" s="386"/>
      <c r="Q935" s="386"/>
      <c r="R935" s="386"/>
      <c r="S935" s="386"/>
      <c r="T935" s="386"/>
      <c r="U935" s="389"/>
      <c r="V935" s="389"/>
      <c r="W935" s="1318"/>
      <c r="X935" s="1318"/>
      <c r="Y935" s="1318"/>
      <c r="Z935" s="1318"/>
      <c r="AA935" s="1318"/>
      <c r="AB935" s="1318"/>
      <c r="AC935" s="355"/>
      <c r="AD935" s="1318"/>
      <c r="AE935" s="1318"/>
      <c r="AF935" s="1318"/>
      <c r="AG935" s="1318"/>
      <c r="AH935" s="1318"/>
      <c r="AI935" s="1318"/>
      <c r="AJ935" s="344"/>
      <c r="AK935" s="345"/>
      <c r="AL935" s="340"/>
      <c r="AM935" s="342"/>
      <c r="AN935" s="350"/>
      <c r="AO935" s="350"/>
      <c r="AP935" s="350"/>
      <c r="AQ935" s="350"/>
      <c r="AR935" s="350"/>
      <c r="AS935" s="350"/>
      <c r="AT935" s="350"/>
      <c r="AU935" s="350"/>
      <c r="AV935" s="386"/>
      <c r="AW935" s="386"/>
      <c r="AX935" s="386"/>
      <c r="AY935" s="386"/>
      <c r="AZ935" s="386"/>
      <c r="BA935" s="386"/>
      <c r="BB935" s="386"/>
      <c r="BC935" s="386"/>
      <c r="BD935" s="386"/>
      <c r="BE935" s="389"/>
      <c r="BF935" s="389"/>
      <c r="BG935" s="1318"/>
      <c r="BH935" s="1318"/>
      <c r="BI935" s="1318"/>
      <c r="BJ935" s="1318"/>
      <c r="BK935" s="1318"/>
      <c r="BL935" s="1318"/>
      <c r="BM935" s="355"/>
      <c r="BN935" s="1318"/>
      <c r="BO935" s="1318"/>
      <c r="BP935" s="1318"/>
      <c r="BQ935" s="1318"/>
      <c r="BR935" s="1318"/>
      <c r="BS935" s="1318"/>
      <c r="BT935" s="352"/>
      <c r="BU935" s="353"/>
      <c r="BV935" s="310"/>
      <c r="BW935" s="310"/>
      <c r="BX935" s="291">
        <f>IF(ISNONTEXT($C935),0,SUM(D935:AI935)-SUM(AN935:BS935))</f>
        <v>0</v>
      </c>
      <c r="BY935" s="344"/>
      <c r="BZ935" s="347"/>
      <c r="CA935" s="347"/>
    </row>
    <row r="936" spans="1:79" ht="15" hidden="1" customHeight="1" x14ac:dyDescent="0.25">
      <c r="A936" s="313"/>
      <c r="B936" s="340"/>
      <c r="C936" s="471" t="s">
        <v>1100</v>
      </c>
      <c r="D936" s="392"/>
      <c r="E936" s="392"/>
      <c r="F936" s="392"/>
      <c r="G936" s="392"/>
      <c r="H936" s="392"/>
      <c r="I936" s="392"/>
      <c r="J936" s="392"/>
      <c r="K936" s="392"/>
      <c r="L936" s="381"/>
      <c r="M936" s="381"/>
      <c r="N936" s="381"/>
      <c r="O936" s="381"/>
      <c r="P936" s="381"/>
      <c r="Q936" s="386"/>
      <c r="R936" s="381"/>
      <c r="S936" s="381"/>
      <c r="T936" s="381"/>
      <c r="U936" s="381"/>
      <c r="V936" s="381"/>
      <c r="W936" s="1330"/>
      <c r="X936" s="1330"/>
      <c r="Y936" s="1330"/>
      <c r="Z936" s="1330"/>
      <c r="AA936" s="1330"/>
      <c r="AB936" s="1330"/>
      <c r="AC936" s="382"/>
      <c r="AD936" s="1330"/>
      <c r="AE936" s="1330"/>
      <c r="AF936" s="1330"/>
      <c r="AG936" s="1330"/>
      <c r="AH936" s="1330"/>
      <c r="AI936" s="1330"/>
      <c r="AJ936" s="344"/>
      <c r="AK936" s="345"/>
      <c r="AL936" s="340"/>
      <c r="AM936" s="471"/>
      <c r="AN936" s="392"/>
      <c r="AO936" s="392"/>
      <c r="AP936" s="392"/>
      <c r="AQ936" s="392"/>
      <c r="AR936" s="392"/>
      <c r="AS936" s="392"/>
      <c r="AT936" s="392"/>
      <c r="AU936" s="392"/>
      <c r="AV936" s="381"/>
      <c r="AW936" s="381"/>
      <c r="AX936" s="381"/>
      <c r="AY936" s="381"/>
      <c r="AZ936" s="381"/>
      <c r="BA936" s="386"/>
      <c r="BB936" s="381"/>
      <c r="BC936" s="381"/>
      <c r="BD936" s="381"/>
      <c r="BE936" s="381"/>
      <c r="BF936" s="381"/>
      <c r="BG936" s="1330"/>
      <c r="BH936" s="1330"/>
      <c r="BI936" s="1330"/>
      <c r="BJ936" s="1330"/>
      <c r="BK936" s="1330"/>
      <c r="BL936" s="1330"/>
      <c r="BM936" s="382"/>
      <c r="BN936" s="1330"/>
      <c r="BO936" s="1330"/>
      <c r="BP936" s="1330"/>
      <c r="BQ936" s="1330"/>
      <c r="BR936" s="1330"/>
      <c r="BS936" s="1330"/>
      <c r="BT936" s="352"/>
      <c r="BU936" s="353"/>
      <c r="BV936" s="310"/>
      <c r="BW936" s="310"/>
      <c r="BX936" s="291">
        <f t="shared" si="64"/>
        <v>0</v>
      </c>
      <c r="BY936" s="344"/>
      <c r="BZ936" s="347"/>
      <c r="CA936" s="347"/>
    </row>
    <row r="937" spans="1:79" ht="15" hidden="1" customHeight="1" x14ac:dyDescent="0.25">
      <c r="A937" s="313"/>
      <c r="B937" s="340"/>
      <c r="C937" s="392" t="s">
        <v>1099</v>
      </c>
      <c r="D937" s="392"/>
      <c r="E937" s="392"/>
      <c r="F937" s="392"/>
      <c r="G937" s="392"/>
      <c r="H937" s="392"/>
      <c r="I937" s="392"/>
      <c r="J937" s="392"/>
      <c r="K937" s="392"/>
      <c r="L937" s="381"/>
      <c r="M937" s="381"/>
      <c r="N937" s="381"/>
      <c r="O937" s="381"/>
      <c r="P937" s="381"/>
      <c r="Q937" s="386"/>
      <c r="R937" s="381"/>
      <c r="S937" s="381"/>
      <c r="T937" s="381"/>
      <c r="U937" s="381"/>
      <c r="V937" s="381"/>
      <c r="W937" s="1318">
        <v>0</v>
      </c>
      <c r="X937" s="1318"/>
      <c r="Y937" s="1318"/>
      <c r="Z937" s="1318"/>
      <c r="AA937" s="1318"/>
      <c r="AB937" s="1318"/>
      <c r="AC937" s="381"/>
      <c r="AD937" s="1318">
        <v>0</v>
      </c>
      <c r="AE937" s="1318"/>
      <c r="AF937" s="1318"/>
      <c r="AG937" s="1318"/>
      <c r="AH937" s="1318"/>
      <c r="AI937" s="1318"/>
      <c r="AJ937" s="344"/>
      <c r="AK937" s="345"/>
      <c r="AL937" s="340"/>
      <c r="AM937" s="392" t="s">
        <v>1099</v>
      </c>
      <c r="AN937" s="392"/>
      <c r="AO937" s="392"/>
      <c r="AP937" s="392"/>
      <c r="AQ937" s="392"/>
      <c r="AR937" s="392"/>
      <c r="AS937" s="392"/>
      <c r="AT937" s="392"/>
      <c r="AU937" s="392"/>
      <c r="AV937" s="381"/>
      <c r="AW937" s="381"/>
      <c r="AX937" s="381"/>
      <c r="AY937" s="381"/>
      <c r="AZ937" s="381"/>
      <c r="BA937" s="386"/>
      <c r="BB937" s="381"/>
      <c r="BC937" s="381"/>
      <c r="BD937" s="381"/>
      <c r="BE937" s="381"/>
      <c r="BF937" s="381"/>
      <c r="BG937" s="1318">
        <f>W937</f>
        <v>0</v>
      </c>
      <c r="BH937" s="1318"/>
      <c r="BI937" s="1318"/>
      <c r="BJ937" s="1318"/>
      <c r="BK937" s="1318"/>
      <c r="BL937" s="1318"/>
      <c r="BM937" s="381"/>
      <c r="BN937" s="1318">
        <f>AD937</f>
        <v>0</v>
      </c>
      <c r="BO937" s="1318"/>
      <c r="BP937" s="1318"/>
      <c r="BQ937" s="1318"/>
      <c r="BR937" s="1318"/>
      <c r="BS937" s="1318"/>
      <c r="BT937" s="352"/>
      <c r="BU937" s="353"/>
      <c r="BV937" s="310"/>
      <c r="BW937" s="310"/>
      <c r="BX937" s="291">
        <f t="shared" si="64"/>
        <v>0</v>
      </c>
      <c r="BY937" s="344"/>
      <c r="BZ937" s="347"/>
      <c r="CA937" s="347"/>
    </row>
    <row r="938" spans="1:79" ht="15" hidden="1" customHeight="1" x14ac:dyDescent="0.25">
      <c r="A938" s="313"/>
      <c r="B938" s="340"/>
      <c r="C938" s="392" t="s">
        <v>1099</v>
      </c>
      <c r="D938" s="392"/>
      <c r="E938" s="392"/>
      <c r="F938" s="392"/>
      <c r="G938" s="392"/>
      <c r="H938" s="392"/>
      <c r="I938" s="392"/>
      <c r="J938" s="392"/>
      <c r="K938" s="392"/>
      <c r="L938" s="381"/>
      <c r="M938" s="381"/>
      <c r="N938" s="381"/>
      <c r="O938" s="381"/>
      <c r="P938" s="381"/>
      <c r="Q938" s="386"/>
      <c r="R938" s="381"/>
      <c r="S938" s="381"/>
      <c r="T938" s="381"/>
      <c r="U938" s="381"/>
      <c r="V938" s="381"/>
      <c r="W938" s="1318">
        <v>0</v>
      </c>
      <c r="X938" s="1318"/>
      <c r="Y938" s="1318"/>
      <c r="Z938" s="1318"/>
      <c r="AA938" s="1318"/>
      <c r="AB938" s="1318"/>
      <c r="AC938" s="381"/>
      <c r="AD938" s="1318">
        <v>0</v>
      </c>
      <c r="AE938" s="1318"/>
      <c r="AF938" s="1318"/>
      <c r="AG938" s="1318"/>
      <c r="AH938" s="1318"/>
      <c r="AI938" s="1318"/>
      <c r="AJ938" s="344"/>
      <c r="AK938" s="345"/>
      <c r="AL938" s="340"/>
      <c r="AM938" s="392" t="s">
        <v>1099</v>
      </c>
      <c r="AN938" s="392"/>
      <c r="AO938" s="392"/>
      <c r="AP938" s="392"/>
      <c r="AQ938" s="392"/>
      <c r="AR938" s="392"/>
      <c r="AS938" s="392"/>
      <c r="AT938" s="392"/>
      <c r="AU938" s="392"/>
      <c r="AV938" s="381"/>
      <c r="AW938" s="381"/>
      <c r="AX938" s="381"/>
      <c r="AY938" s="381"/>
      <c r="AZ938" s="381"/>
      <c r="BA938" s="386"/>
      <c r="BB938" s="381"/>
      <c r="BC938" s="381"/>
      <c r="BD938" s="381"/>
      <c r="BE938" s="381"/>
      <c r="BF938" s="381"/>
      <c r="BG938" s="1318">
        <f>W938</f>
        <v>0</v>
      </c>
      <c r="BH938" s="1318"/>
      <c r="BI938" s="1318"/>
      <c r="BJ938" s="1318"/>
      <c r="BK938" s="1318"/>
      <c r="BL938" s="1318"/>
      <c r="BM938" s="381"/>
      <c r="BN938" s="1318">
        <f>AD938</f>
        <v>0</v>
      </c>
      <c r="BO938" s="1318"/>
      <c r="BP938" s="1318"/>
      <c r="BQ938" s="1318"/>
      <c r="BR938" s="1318"/>
      <c r="BS938" s="1318"/>
      <c r="BT938" s="352"/>
      <c r="BU938" s="353"/>
      <c r="BV938" s="310"/>
      <c r="BW938" s="310"/>
      <c r="BX938" s="291">
        <f t="shared" si="64"/>
        <v>0</v>
      </c>
      <c r="BY938" s="344"/>
      <c r="BZ938" s="347"/>
      <c r="CA938" s="347"/>
    </row>
    <row r="939" spans="1:79" ht="15" hidden="1" customHeight="1" x14ac:dyDescent="0.25">
      <c r="A939" s="313"/>
      <c r="B939" s="340"/>
      <c r="C939" s="342"/>
      <c r="D939" s="350"/>
      <c r="E939" s="350"/>
      <c r="F939" s="350"/>
      <c r="G939" s="350"/>
      <c r="H939" s="350"/>
      <c r="I939" s="350"/>
      <c r="J939" s="350"/>
      <c r="K939" s="350"/>
      <c r="L939" s="386"/>
      <c r="M939" s="386"/>
      <c r="N939" s="386"/>
      <c r="O939" s="386"/>
      <c r="P939" s="386"/>
      <c r="Q939" s="386"/>
      <c r="R939" s="386"/>
      <c r="S939" s="386"/>
      <c r="T939" s="386"/>
      <c r="U939" s="389"/>
      <c r="V939" s="389"/>
      <c r="W939" s="1318"/>
      <c r="X939" s="1318"/>
      <c r="Y939" s="1318"/>
      <c r="Z939" s="1318"/>
      <c r="AA939" s="1318"/>
      <c r="AB939" s="1318"/>
      <c r="AC939" s="355"/>
      <c r="AD939" s="1318"/>
      <c r="AE939" s="1318"/>
      <c r="AF939" s="1318"/>
      <c r="AG939" s="1318"/>
      <c r="AH939" s="1318"/>
      <c r="AI939" s="1318"/>
      <c r="AJ939" s="344"/>
      <c r="AK939" s="345"/>
      <c r="AL939" s="340"/>
      <c r="AM939" s="342"/>
      <c r="AN939" s="350"/>
      <c r="AO939" s="350"/>
      <c r="AP939" s="350"/>
      <c r="AQ939" s="350"/>
      <c r="AR939" s="350"/>
      <c r="AS939" s="350"/>
      <c r="AT939" s="350"/>
      <c r="AU939" s="350"/>
      <c r="AV939" s="386"/>
      <c r="AW939" s="386"/>
      <c r="AX939" s="386"/>
      <c r="AY939" s="386"/>
      <c r="AZ939" s="386"/>
      <c r="BA939" s="386"/>
      <c r="BB939" s="386"/>
      <c r="BC939" s="386"/>
      <c r="BD939" s="386"/>
      <c r="BE939" s="389"/>
      <c r="BF939" s="389"/>
      <c r="BG939" s="1318"/>
      <c r="BH939" s="1318"/>
      <c r="BI939" s="1318"/>
      <c r="BJ939" s="1318"/>
      <c r="BK939" s="1318"/>
      <c r="BL939" s="1318"/>
      <c r="BM939" s="355"/>
      <c r="BN939" s="1318"/>
      <c r="BO939" s="1318"/>
      <c r="BP939" s="1318"/>
      <c r="BQ939" s="1318"/>
      <c r="BR939" s="1318"/>
      <c r="BS939" s="1318"/>
      <c r="BT939" s="352"/>
      <c r="BU939" s="353"/>
      <c r="BV939" s="310"/>
      <c r="BW939" s="310"/>
      <c r="BX939" s="291">
        <f>IF(ISNONTEXT($C939),0,SUM(D939:AI939)-SUM(AN939:BS939))</f>
        <v>0</v>
      </c>
      <c r="BY939" s="344"/>
      <c r="BZ939" s="347"/>
      <c r="CA939" s="347"/>
    </row>
    <row r="940" spans="1:79" ht="15" hidden="1" customHeight="1" thickBot="1" x14ac:dyDescent="0.3">
      <c r="A940" s="313"/>
      <c r="B940" s="340"/>
      <c r="C940" s="360" t="s">
        <v>752</v>
      </c>
      <c r="D940" s="392"/>
      <c r="E940" s="392"/>
      <c r="F940" s="392"/>
      <c r="G940" s="392"/>
      <c r="H940" s="392"/>
      <c r="I940" s="392"/>
      <c r="J940" s="392"/>
      <c r="K940" s="392"/>
      <c r="L940" s="392"/>
      <c r="M940" s="392"/>
      <c r="N940" s="392"/>
      <c r="O940" s="392"/>
      <c r="P940" s="392"/>
      <c r="Q940" s="392"/>
      <c r="R940" s="392"/>
      <c r="S940" s="392"/>
      <c r="T940" s="392"/>
      <c r="U940" s="392"/>
      <c r="V940" s="392"/>
      <c r="W940" s="1359">
        <f>SUBTOTAL(109,W936:AB938)</f>
        <v>0</v>
      </c>
      <c r="X940" s="1359"/>
      <c r="Y940" s="1359"/>
      <c r="Z940" s="1359"/>
      <c r="AA940" s="1359"/>
      <c r="AB940" s="1359"/>
      <c r="AC940" s="343"/>
      <c r="AD940" s="1359">
        <f>SUBTOTAL(109,AD936:AI938)</f>
        <v>0</v>
      </c>
      <c r="AE940" s="1359"/>
      <c r="AF940" s="1359"/>
      <c r="AG940" s="1359"/>
      <c r="AH940" s="1359"/>
      <c r="AI940" s="1359"/>
      <c r="AJ940" s="344"/>
      <c r="AK940" s="345"/>
      <c r="AL940" s="340"/>
      <c r="AM940" s="360" t="s">
        <v>752</v>
      </c>
      <c r="AN940" s="392"/>
      <c r="AO940" s="392"/>
      <c r="AP940" s="392"/>
      <c r="AQ940" s="392"/>
      <c r="AR940" s="392"/>
      <c r="AS940" s="392"/>
      <c r="AT940" s="392"/>
      <c r="AU940" s="392"/>
      <c r="AV940" s="392"/>
      <c r="AW940" s="392"/>
      <c r="AX940" s="392"/>
      <c r="AY940" s="392"/>
      <c r="AZ940" s="392"/>
      <c r="BA940" s="392"/>
      <c r="BB940" s="392"/>
      <c r="BC940" s="392"/>
      <c r="BD940" s="392"/>
      <c r="BE940" s="392"/>
      <c r="BF940" s="392"/>
      <c r="BG940" s="1359">
        <f>SUBTOTAL(109,BG930:BL938)</f>
        <v>0</v>
      </c>
      <c r="BH940" s="1359"/>
      <c r="BI940" s="1359"/>
      <c r="BJ940" s="1359"/>
      <c r="BK940" s="1359"/>
      <c r="BL940" s="1359"/>
      <c r="BM940" s="343"/>
      <c r="BN940" s="1359">
        <f>SUBTOTAL(109,BN930:BS938)</f>
        <v>0</v>
      </c>
      <c r="BO940" s="1359"/>
      <c r="BP940" s="1359"/>
      <c r="BQ940" s="1359"/>
      <c r="BR940" s="1359"/>
      <c r="BS940" s="1359"/>
      <c r="BT940" s="356"/>
      <c r="BU940" s="357"/>
      <c r="BV940" s="310">
        <f>W940-KN_CT268</f>
        <v>0</v>
      </c>
      <c r="BW940" s="310">
        <f>AD940-KT_CT268</f>
        <v>0</v>
      </c>
      <c r="BX940" s="291">
        <f t="shared" si="64"/>
        <v>0</v>
      </c>
      <c r="BY940" s="344"/>
      <c r="BZ940" s="347"/>
      <c r="CA940" s="347"/>
    </row>
    <row r="941" spans="1:79" ht="2.1" hidden="1" customHeight="1" thickTop="1" x14ac:dyDescent="0.25">
      <c r="A941" s="313"/>
      <c r="B941" s="340"/>
      <c r="C941" s="340"/>
      <c r="D941" s="340"/>
      <c r="E941" s="340"/>
      <c r="F941" s="340"/>
      <c r="G941" s="340"/>
      <c r="H941" s="340"/>
      <c r="I941" s="340"/>
      <c r="J941" s="340"/>
      <c r="K941" s="340"/>
      <c r="L941" s="340"/>
      <c r="M941" s="340"/>
      <c r="N941" s="340"/>
      <c r="O941" s="340"/>
      <c r="P941" s="340"/>
      <c r="Q941" s="340"/>
      <c r="R941" s="340"/>
      <c r="S941" s="340"/>
      <c r="T941" s="340"/>
      <c r="U941" s="342"/>
      <c r="V941" s="342"/>
      <c r="W941" s="368"/>
      <c r="X941" s="368"/>
      <c r="Y941" s="368"/>
      <c r="Z941" s="368"/>
      <c r="AA941" s="368"/>
      <c r="AB941" s="368"/>
      <c r="AC941" s="343"/>
      <c r="AD941" s="368"/>
      <c r="AE941" s="368"/>
      <c r="AF941" s="368"/>
      <c r="AG941" s="368"/>
      <c r="AH941" s="368"/>
      <c r="AI941" s="368"/>
      <c r="AJ941" s="344"/>
      <c r="AK941" s="345"/>
      <c r="AL941" s="340"/>
      <c r="AM941" s="340"/>
      <c r="AN941" s="340"/>
      <c r="AO941" s="340"/>
      <c r="AP941" s="340"/>
      <c r="AQ941" s="340"/>
      <c r="AR941" s="340"/>
      <c r="AS941" s="340"/>
      <c r="AT941" s="340"/>
      <c r="AU941" s="340"/>
      <c r="AV941" s="340"/>
      <c r="AW941" s="340"/>
      <c r="AX941" s="340"/>
      <c r="AY941" s="340"/>
      <c r="AZ941" s="340"/>
      <c r="BA941" s="340"/>
      <c r="BB941" s="340"/>
      <c r="BC941" s="340"/>
      <c r="BD941" s="340"/>
      <c r="BE941" s="342"/>
      <c r="BF941" s="342"/>
      <c r="BG941" s="361"/>
      <c r="BH941" s="361"/>
      <c r="BI941" s="361"/>
      <c r="BJ941" s="361"/>
      <c r="BK941" s="361"/>
      <c r="BL941" s="361"/>
      <c r="BM941" s="342"/>
      <c r="BN941" s="361"/>
      <c r="BO941" s="361"/>
      <c r="BP941" s="361"/>
      <c r="BQ941" s="361"/>
      <c r="BR941" s="361"/>
      <c r="BS941" s="361"/>
      <c r="BT941" s="361"/>
      <c r="BU941" s="362"/>
      <c r="BV941" s="310"/>
      <c r="BW941" s="310"/>
      <c r="BX941" s="291">
        <f t="shared" si="64"/>
        <v>0</v>
      </c>
      <c r="BY941" s="344"/>
      <c r="BZ941" s="347"/>
      <c r="CA941" s="347"/>
    </row>
    <row r="942" spans="1:79" ht="12.95" customHeight="1" thickTop="1" x14ac:dyDescent="0.25">
      <c r="A942" s="313"/>
      <c r="B942" s="340"/>
      <c r="C942" s="392"/>
      <c r="D942" s="392"/>
      <c r="E942" s="392"/>
      <c r="F942" s="392"/>
      <c r="G942" s="392"/>
      <c r="H942" s="392"/>
      <c r="I942" s="392"/>
      <c r="J942" s="392"/>
      <c r="K942" s="392"/>
      <c r="L942" s="392"/>
      <c r="M942" s="392"/>
      <c r="N942" s="392"/>
      <c r="O942" s="392"/>
      <c r="P942" s="392"/>
      <c r="Q942" s="392"/>
      <c r="R942" s="392"/>
      <c r="S942" s="392"/>
      <c r="T942" s="392"/>
      <c r="U942" s="392"/>
      <c r="V942" s="392"/>
      <c r="W942" s="393"/>
      <c r="X942" s="393"/>
      <c r="Y942" s="393"/>
      <c r="Z942" s="393"/>
      <c r="AA942" s="393"/>
      <c r="AB942" s="393"/>
      <c r="AC942" s="343"/>
      <c r="AD942" s="343"/>
      <c r="AE942" s="343"/>
      <c r="AF942" s="343"/>
      <c r="AG942" s="343"/>
      <c r="AH942" s="343"/>
      <c r="AI942" s="343"/>
      <c r="AJ942" s="344"/>
      <c r="AK942" s="345"/>
      <c r="AL942" s="340"/>
      <c r="AM942" s="392"/>
      <c r="AN942" s="392"/>
      <c r="AO942" s="392"/>
      <c r="AP942" s="392"/>
      <c r="AQ942" s="392"/>
      <c r="AR942" s="392"/>
      <c r="AS942" s="392"/>
      <c r="AT942" s="392"/>
      <c r="AU942" s="392"/>
      <c r="AV942" s="392"/>
      <c r="AW942" s="392"/>
      <c r="AX942" s="392"/>
      <c r="AY942" s="392"/>
      <c r="AZ942" s="392"/>
      <c r="BA942" s="392"/>
      <c r="BB942" s="392"/>
      <c r="BC942" s="392"/>
      <c r="BD942" s="392"/>
      <c r="BE942" s="392"/>
      <c r="BF942" s="392"/>
      <c r="BG942" s="392"/>
      <c r="BH942" s="392"/>
      <c r="BI942" s="392"/>
      <c r="BJ942" s="392"/>
      <c r="BK942" s="392"/>
      <c r="BL942" s="392"/>
      <c r="BM942" s="342"/>
      <c r="BN942" s="356"/>
      <c r="BO942" s="356"/>
      <c r="BP942" s="356"/>
      <c r="BQ942" s="356"/>
      <c r="BR942" s="356"/>
      <c r="BS942" s="356"/>
      <c r="BT942" s="356"/>
      <c r="BU942" s="357"/>
      <c r="BV942" s="310"/>
      <c r="BW942" s="310"/>
      <c r="BX942" s="291">
        <f t="shared" si="64"/>
        <v>0</v>
      </c>
      <c r="BY942" s="344"/>
      <c r="BZ942" s="347"/>
      <c r="CA942" s="347"/>
    </row>
    <row r="943" spans="1:79" ht="15" customHeight="1" x14ac:dyDescent="0.25">
      <c r="A943" s="313">
        <f>STT</f>
        <v>15</v>
      </c>
      <c r="B943" s="340" t="s">
        <v>345</v>
      </c>
      <c r="C943" s="471" t="s">
        <v>1101</v>
      </c>
      <c r="D943" s="392"/>
      <c r="E943" s="392"/>
      <c r="F943" s="392"/>
      <c r="G943" s="392"/>
      <c r="H943" s="392"/>
      <c r="I943" s="392"/>
      <c r="J943" s="392"/>
      <c r="K943" s="392"/>
      <c r="L943" s="392"/>
      <c r="M943" s="392"/>
      <c r="N943" s="392"/>
      <c r="O943" s="392"/>
      <c r="P943" s="392"/>
      <c r="Q943" s="392"/>
      <c r="R943" s="392"/>
      <c r="S943" s="392"/>
      <c r="T943" s="392"/>
      <c r="U943" s="392"/>
      <c r="V943" s="392"/>
      <c r="W943" s="393"/>
      <c r="X943" s="393"/>
      <c r="Y943" s="393"/>
      <c r="Z943" s="393"/>
      <c r="AA943" s="393"/>
      <c r="AB943" s="393"/>
      <c r="AC943" s="343"/>
      <c r="AD943" s="343"/>
      <c r="AE943" s="343"/>
      <c r="AF943" s="343"/>
      <c r="AG943" s="343"/>
      <c r="AH943" s="343"/>
      <c r="AI943" s="343"/>
      <c r="AJ943" s="344"/>
      <c r="AK943" s="345">
        <f>A943</f>
        <v>15</v>
      </c>
      <c r="AL943" s="340" t="s">
        <v>345</v>
      </c>
      <c r="AM943" s="471" t="s">
        <v>1102</v>
      </c>
      <c r="AN943" s="392"/>
      <c r="AO943" s="392"/>
      <c r="AP943" s="392"/>
      <c r="AQ943" s="392"/>
      <c r="AR943" s="392"/>
      <c r="AS943" s="392"/>
      <c r="AT943" s="392"/>
      <c r="AU943" s="392"/>
      <c r="AV943" s="392"/>
      <c r="AW943" s="392"/>
      <c r="AX943" s="392"/>
      <c r="AY943" s="392"/>
      <c r="AZ943" s="392"/>
      <c r="BA943" s="392"/>
      <c r="BB943" s="392"/>
      <c r="BC943" s="392"/>
      <c r="BD943" s="392"/>
      <c r="BE943" s="392"/>
      <c r="BF943" s="392"/>
      <c r="BG943" s="392"/>
      <c r="BH943" s="392"/>
      <c r="BI943" s="392"/>
      <c r="BJ943" s="392"/>
      <c r="BK943" s="392"/>
      <c r="BL943" s="392"/>
      <c r="BM943" s="342"/>
      <c r="BN943" s="356"/>
      <c r="BO943" s="356"/>
      <c r="BP943" s="356"/>
      <c r="BQ943" s="356"/>
      <c r="BR943" s="356"/>
      <c r="BS943" s="356"/>
      <c r="BT943" s="356"/>
      <c r="BU943" s="346">
        <f>SUBTOTAL(103,A943)</f>
        <v>1</v>
      </c>
      <c r="BV943" s="310"/>
      <c r="BW943" s="310"/>
      <c r="BX943" s="291">
        <f t="shared" si="64"/>
        <v>0</v>
      </c>
      <c r="BY943" s="344"/>
      <c r="BZ943" s="347"/>
      <c r="CA943" s="347"/>
    </row>
    <row r="944" spans="1:79" ht="15" customHeight="1" x14ac:dyDescent="0.25">
      <c r="A944" s="313"/>
      <c r="B944" s="340"/>
      <c r="C944" s="407"/>
      <c r="D944" s="407"/>
      <c r="E944" s="407"/>
      <c r="F944" s="407"/>
      <c r="G944" s="407"/>
      <c r="H944" s="407"/>
      <c r="I944" s="407"/>
      <c r="J944" s="407"/>
      <c r="K944" s="407"/>
      <c r="L944" s="407"/>
      <c r="M944" s="407"/>
      <c r="N944" s="407"/>
      <c r="O944" s="407"/>
      <c r="P944" s="407"/>
      <c r="Q944" s="407"/>
      <c r="R944" s="407"/>
      <c r="S944" s="407"/>
      <c r="T944" s="407"/>
      <c r="U944" s="407"/>
      <c r="V944" s="407"/>
      <c r="W944" s="371"/>
      <c r="X944" s="371"/>
      <c r="Y944" s="371"/>
      <c r="Z944" s="371"/>
      <c r="AA944" s="371"/>
      <c r="AB944" s="371"/>
      <c r="AC944" s="351"/>
      <c r="AD944" s="371"/>
      <c r="AE944" s="371"/>
      <c r="AF944" s="371"/>
      <c r="AG944" s="371"/>
      <c r="AH944" s="371"/>
      <c r="AI944" s="371"/>
      <c r="AJ944" s="344"/>
      <c r="AK944" s="345"/>
      <c r="AL944" s="340"/>
      <c r="AM944" s="407"/>
      <c r="AN944" s="407"/>
      <c r="AO944" s="407"/>
      <c r="AP944" s="407"/>
      <c r="AQ944" s="407"/>
      <c r="AR944" s="407"/>
      <c r="AS944" s="407"/>
      <c r="AT944" s="407"/>
      <c r="AU944" s="407"/>
      <c r="AV944" s="407"/>
      <c r="AW944" s="407"/>
      <c r="AX944" s="407"/>
      <c r="AY944" s="407"/>
      <c r="AZ944" s="407"/>
      <c r="BA944" s="407"/>
      <c r="BB944" s="407"/>
      <c r="BC944" s="407"/>
      <c r="BD944" s="407"/>
      <c r="BE944" s="407"/>
      <c r="BF944" s="407"/>
      <c r="BG944" s="371"/>
      <c r="BH944" s="371"/>
      <c r="BI944" s="371"/>
      <c r="BJ944" s="371"/>
      <c r="BK944" s="371"/>
      <c r="BL944" s="371"/>
      <c r="BM944" s="351"/>
      <c r="BN944" s="371"/>
      <c r="BO944" s="371"/>
      <c r="BP944" s="371"/>
      <c r="BQ944" s="371"/>
      <c r="BR944" s="371"/>
      <c r="BS944" s="371"/>
      <c r="BT944" s="352"/>
      <c r="BU944" s="353"/>
      <c r="BV944" s="310"/>
      <c r="BW944" s="310"/>
      <c r="BX944" s="291">
        <f t="shared" si="64"/>
        <v>0</v>
      </c>
      <c r="BY944" s="344"/>
      <c r="BZ944" s="347"/>
      <c r="CA944" s="347"/>
    </row>
    <row r="945" spans="1:84" ht="15" customHeight="1" x14ac:dyDescent="0.25">
      <c r="A945" s="313"/>
      <c r="B945" s="340"/>
      <c r="C945" s="390" t="s">
        <v>1103</v>
      </c>
      <c r="D945" s="407"/>
      <c r="E945" s="407"/>
      <c r="F945" s="407"/>
      <c r="G945" s="407"/>
      <c r="H945" s="407"/>
      <c r="I945" s="407"/>
      <c r="J945" s="407"/>
      <c r="K945" s="407"/>
      <c r="L945" s="407"/>
      <c r="M945" s="407"/>
      <c r="N945" s="407"/>
      <c r="O945" s="407"/>
      <c r="P945" s="407"/>
      <c r="Q945" s="407"/>
      <c r="R945" s="407"/>
      <c r="S945" s="407"/>
      <c r="T945" s="407"/>
      <c r="U945" s="407"/>
      <c r="V945" s="407"/>
      <c r="W945" s="371"/>
      <c r="X945" s="371"/>
      <c r="Y945" s="371"/>
      <c r="Z945" s="371"/>
      <c r="AA945" s="371"/>
      <c r="AB945" s="371"/>
      <c r="AC945" s="351"/>
      <c r="AD945" s="371"/>
      <c r="AE945" s="371"/>
      <c r="AF945" s="371"/>
      <c r="AG945" s="371"/>
      <c r="AH945" s="371"/>
      <c r="AI945" s="371"/>
      <c r="AJ945" s="344"/>
      <c r="AK945" s="345"/>
      <c r="AL945" s="340"/>
      <c r="AM945" s="390" t="s">
        <v>1103</v>
      </c>
      <c r="AN945" s="407"/>
      <c r="AO945" s="407"/>
      <c r="AP945" s="407"/>
      <c r="AQ945" s="407"/>
      <c r="AR945" s="407"/>
      <c r="AS945" s="407"/>
      <c r="AT945" s="407"/>
      <c r="AU945" s="407"/>
      <c r="AV945" s="407"/>
      <c r="AW945" s="407"/>
      <c r="AX945" s="407"/>
      <c r="AY945" s="407"/>
      <c r="AZ945" s="407"/>
      <c r="BA945" s="407"/>
      <c r="BB945" s="407"/>
      <c r="BC945" s="407"/>
      <c r="BD945" s="407"/>
      <c r="BE945" s="407"/>
      <c r="BF945" s="407"/>
      <c r="BG945" s="371"/>
      <c r="BH945" s="371"/>
      <c r="BI945" s="371"/>
      <c r="BJ945" s="371"/>
      <c r="BK945" s="371"/>
      <c r="BL945" s="371"/>
      <c r="BM945" s="351"/>
      <c r="BN945" s="371"/>
      <c r="BO945" s="371"/>
      <c r="BP945" s="371"/>
      <c r="BQ945" s="371"/>
      <c r="BR945" s="371"/>
      <c r="BS945" s="371"/>
      <c r="BT945" s="352"/>
      <c r="BU945" s="353"/>
      <c r="BV945" s="310"/>
      <c r="BW945" s="310"/>
      <c r="BX945" s="291">
        <f t="shared" si="64"/>
        <v>0</v>
      </c>
      <c r="BY945" s="344"/>
      <c r="BZ945" s="347"/>
      <c r="CA945" s="347"/>
    </row>
    <row r="946" spans="1:84" ht="15" hidden="1" customHeight="1" x14ac:dyDescent="0.25">
      <c r="A946" s="313"/>
      <c r="B946" s="340"/>
      <c r="C946" s="407"/>
      <c r="D946" s="407"/>
      <c r="E946" s="407"/>
      <c r="F946" s="407"/>
      <c r="G946" s="407"/>
      <c r="H946" s="407"/>
      <c r="I946" s="407"/>
      <c r="J946" s="407"/>
      <c r="K946" s="407"/>
      <c r="L946" s="407"/>
      <c r="M946" s="407"/>
      <c r="N946" s="407"/>
      <c r="O946" s="407"/>
      <c r="P946" s="407"/>
      <c r="Q946" s="407"/>
      <c r="R946" s="407"/>
      <c r="S946" s="407"/>
      <c r="T946" s="407"/>
      <c r="U946" s="407"/>
      <c r="V946" s="407"/>
      <c r="W946" s="355"/>
      <c r="X946" s="355"/>
      <c r="Y946" s="355"/>
      <c r="Z946" s="355"/>
      <c r="AA946" s="355"/>
      <c r="AB946" s="355"/>
      <c r="AC946" s="355"/>
      <c r="AD946" s="355"/>
      <c r="AE946" s="355"/>
      <c r="AF946" s="355"/>
      <c r="AG946" s="355"/>
      <c r="AH946" s="355"/>
      <c r="AI946" s="355"/>
      <c r="AJ946" s="344"/>
      <c r="AK946" s="345"/>
      <c r="AL946" s="340"/>
      <c r="AM946" s="407"/>
      <c r="AN946" s="407"/>
      <c r="AO946" s="407"/>
      <c r="AP946" s="407"/>
      <c r="AQ946" s="407"/>
      <c r="AR946" s="407"/>
      <c r="AS946" s="407"/>
      <c r="AT946" s="407"/>
      <c r="AU946" s="407"/>
      <c r="AV946" s="407"/>
      <c r="AW946" s="407"/>
      <c r="AX946" s="407"/>
      <c r="AY946" s="407"/>
      <c r="AZ946" s="407"/>
      <c r="BA946" s="407"/>
      <c r="BB946" s="407"/>
      <c r="BC946" s="407"/>
      <c r="BD946" s="407"/>
      <c r="BE946" s="407"/>
      <c r="BF946" s="407"/>
      <c r="BG946" s="355"/>
      <c r="BH946" s="355"/>
      <c r="BI946" s="355"/>
      <c r="BJ946" s="355"/>
      <c r="BK946" s="355"/>
      <c r="BL946" s="355"/>
      <c r="BM946" s="355"/>
      <c r="BN946" s="355"/>
      <c r="BO946" s="355"/>
      <c r="BP946" s="355"/>
      <c r="BQ946" s="355"/>
      <c r="BR946" s="355"/>
      <c r="BS946" s="355"/>
      <c r="BT946" s="352"/>
      <c r="BU946" s="353"/>
      <c r="BV946" s="310"/>
      <c r="BW946" s="310"/>
      <c r="BX946" s="291">
        <f t="shared" si="64"/>
        <v>0</v>
      </c>
      <c r="BY946" s="344"/>
      <c r="BZ946" s="347"/>
      <c r="CA946" s="347"/>
    </row>
    <row r="947" spans="1:84" s="554" customFormat="1" ht="15" hidden="1" customHeight="1" x14ac:dyDescent="0.25">
      <c r="A947" s="311"/>
      <c r="B947" s="311"/>
      <c r="C947" s="552" t="s">
        <v>1104</v>
      </c>
      <c r="D947" s="553"/>
      <c r="E947" s="553"/>
      <c r="F947" s="553"/>
      <c r="G947" s="553"/>
      <c r="H947" s="553"/>
      <c r="I947" s="553"/>
      <c r="J947" s="553"/>
      <c r="K947" s="553"/>
      <c r="L947" s="553"/>
      <c r="M947" s="553"/>
      <c r="N947" s="553"/>
      <c r="O947" s="553"/>
      <c r="P947" s="553"/>
      <c r="Q947" s="553"/>
      <c r="R947" s="553"/>
      <c r="S947" s="553"/>
      <c r="T947" s="553"/>
      <c r="U947" s="553"/>
      <c r="V947" s="553"/>
      <c r="W947" s="357"/>
      <c r="X947" s="357"/>
      <c r="Y947" s="357"/>
      <c r="Z947" s="357"/>
      <c r="AA947" s="357"/>
      <c r="AB947" s="357"/>
      <c r="AC947" s="357"/>
      <c r="AD947" s="357"/>
      <c r="AE947" s="357"/>
      <c r="AF947" s="357"/>
      <c r="AG947" s="357"/>
      <c r="AH947" s="357"/>
      <c r="AI947" s="357"/>
      <c r="AJ947" s="544"/>
      <c r="AK947" s="311"/>
      <c r="AL947" s="311"/>
      <c r="AM947" s="552" t="s">
        <v>1105</v>
      </c>
      <c r="AN947" s="553"/>
      <c r="AO947" s="553"/>
      <c r="AP947" s="553"/>
      <c r="AQ947" s="553"/>
      <c r="AR947" s="553"/>
      <c r="AS947" s="553"/>
      <c r="AT947" s="553"/>
      <c r="AU947" s="553"/>
      <c r="AV947" s="553"/>
      <c r="AW947" s="553"/>
      <c r="AX947" s="553"/>
      <c r="AY947" s="553"/>
      <c r="AZ947" s="553"/>
      <c r="BA947" s="553"/>
      <c r="BB947" s="553"/>
      <c r="BC947" s="553"/>
      <c r="BD947" s="553"/>
      <c r="BE947" s="553"/>
      <c r="BF947" s="553"/>
      <c r="BG947" s="357"/>
      <c r="BH947" s="357"/>
      <c r="BI947" s="357"/>
      <c r="BJ947" s="357"/>
      <c r="BK947" s="357"/>
      <c r="BL947" s="357"/>
      <c r="BM947" s="357"/>
      <c r="BN947" s="357"/>
      <c r="BO947" s="357"/>
      <c r="BP947" s="357"/>
      <c r="BQ947" s="357"/>
      <c r="BR947" s="357"/>
      <c r="BS947" s="357"/>
      <c r="BT947" s="353"/>
      <c r="BU947" s="353"/>
      <c r="BV947" s="310"/>
      <c r="BW947" s="310"/>
      <c r="BX947" s="291">
        <f t="shared" si="64"/>
        <v>0</v>
      </c>
      <c r="BY947" s="544"/>
      <c r="BZ947" s="347"/>
      <c r="CA947" s="347"/>
      <c r="CB947" s="348"/>
      <c r="CC947" s="348"/>
      <c r="CD947" s="348"/>
      <c r="CE947" s="348"/>
      <c r="CF947" s="348"/>
    </row>
    <row r="948" spans="1:84" s="554" customFormat="1" ht="69.95" hidden="1" customHeight="1" x14ac:dyDescent="0.25">
      <c r="A948" s="311"/>
      <c r="B948" s="311"/>
      <c r="C948" s="1484" t="s">
        <v>1106</v>
      </c>
      <c r="D948" s="1484"/>
      <c r="E948" s="1484"/>
      <c r="F948" s="1484"/>
      <c r="G948" s="1484"/>
      <c r="H948" s="1484"/>
      <c r="I948" s="1484"/>
      <c r="J948" s="1484"/>
      <c r="K948" s="1484"/>
      <c r="L948" s="1484"/>
      <c r="M948" s="1484"/>
      <c r="N948" s="1484"/>
      <c r="O948" s="1484"/>
      <c r="P948" s="1484"/>
      <c r="Q948" s="1484"/>
      <c r="R948" s="1484"/>
      <c r="S948" s="1484"/>
      <c r="T948" s="1484"/>
      <c r="U948" s="1484"/>
      <c r="V948" s="1484"/>
      <c r="W948" s="1484"/>
      <c r="X948" s="1484"/>
      <c r="Y948" s="1484"/>
      <c r="Z948" s="1484"/>
      <c r="AA948" s="1484"/>
      <c r="AB948" s="1484"/>
      <c r="AC948" s="1484"/>
      <c r="AD948" s="1484"/>
      <c r="AE948" s="1484"/>
      <c r="AF948" s="1484"/>
      <c r="AG948" s="1484"/>
      <c r="AH948" s="1484"/>
      <c r="AI948" s="1484"/>
      <c r="AJ948" s="544"/>
      <c r="AK948" s="311"/>
      <c r="AL948" s="311"/>
      <c r="AM948" s="1484" t="s">
        <v>1107</v>
      </c>
      <c r="AN948" s="1484"/>
      <c r="AO948" s="1484"/>
      <c r="AP948" s="1484"/>
      <c r="AQ948" s="1484"/>
      <c r="AR948" s="1484"/>
      <c r="AS948" s="1484"/>
      <c r="AT948" s="1484"/>
      <c r="AU948" s="1484"/>
      <c r="AV948" s="1484"/>
      <c r="AW948" s="1484"/>
      <c r="AX948" s="1484"/>
      <c r="AY948" s="1484"/>
      <c r="AZ948" s="1484"/>
      <c r="BA948" s="1484"/>
      <c r="BB948" s="1484"/>
      <c r="BC948" s="1484"/>
      <c r="BD948" s="1484"/>
      <c r="BE948" s="1484"/>
      <c r="BF948" s="1484"/>
      <c r="BG948" s="1484"/>
      <c r="BH948" s="1484"/>
      <c r="BI948" s="1484"/>
      <c r="BJ948" s="1484"/>
      <c r="BK948" s="1484"/>
      <c r="BL948" s="1484"/>
      <c r="BM948" s="1484"/>
      <c r="BN948" s="1484"/>
      <c r="BO948" s="1484"/>
      <c r="BP948" s="1484"/>
      <c r="BQ948" s="1484"/>
      <c r="BR948" s="1484"/>
      <c r="BS948" s="1484"/>
      <c r="BT948" s="353"/>
      <c r="BU948" s="353"/>
      <c r="BV948" s="310"/>
      <c r="BW948" s="310"/>
      <c r="BX948" s="291">
        <f t="shared" si="64"/>
        <v>0</v>
      </c>
      <c r="BY948" s="544"/>
      <c r="BZ948" s="347"/>
      <c r="CA948" s="347"/>
      <c r="CB948" s="348"/>
      <c r="CC948" s="348"/>
      <c r="CD948" s="348"/>
      <c r="CE948" s="348"/>
      <c r="CF948" s="348"/>
    </row>
    <row r="949" spans="1:84" s="554" customFormat="1" ht="15" customHeight="1" x14ac:dyDescent="0.25">
      <c r="A949" s="311"/>
      <c r="B949" s="311"/>
      <c r="C949" s="553"/>
      <c r="D949" s="553"/>
      <c r="E949" s="553"/>
      <c r="F949" s="553"/>
      <c r="G949" s="553"/>
      <c r="H949" s="553"/>
      <c r="I949" s="553"/>
      <c r="J949" s="553"/>
      <c r="K949" s="553"/>
      <c r="L949" s="553"/>
      <c r="M949" s="553"/>
      <c r="N949" s="553"/>
      <c r="O949" s="553"/>
      <c r="P949" s="553"/>
      <c r="Q949" s="553"/>
      <c r="R949" s="553"/>
      <c r="S949" s="553"/>
      <c r="T949" s="553"/>
      <c r="U949" s="553"/>
      <c r="V949" s="553"/>
      <c r="W949" s="357"/>
      <c r="X949" s="357"/>
      <c r="Y949" s="357"/>
      <c r="Z949" s="357"/>
      <c r="AA949" s="357"/>
      <c r="AB949" s="357"/>
      <c r="AC949" s="357"/>
      <c r="AD949" s="357"/>
      <c r="AE949" s="357"/>
      <c r="AF949" s="357"/>
      <c r="AG949" s="357"/>
      <c r="AH949" s="357"/>
      <c r="AI949" s="357"/>
      <c r="AJ949" s="544"/>
      <c r="AK949" s="311"/>
      <c r="AL949" s="311"/>
      <c r="AM949" s="553"/>
      <c r="AN949" s="553"/>
      <c r="AO949" s="553"/>
      <c r="AP949" s="553"/>
      <c r="AQ949" s="553"/>
      <c r="AR949" s="553"/>
      <c r="AS949" s="553"/>
      <c r="AT949" s="553"/>
      <c r="AU949" s="553"/>
      <c r="AV949" s="553"/>
      <c r="AW949" s="553"/>
      <c r="AX949" s="553"/>
      <c r="AY949" s="553"/>
      <c r="AZ949" s="553"/>
      <c r="BA949" s="553"/>
      <c r="BB949" s="553"/>
      <c r="BC949" s="553"/>
      <c r="BD949" s="553"/>
      <c r="BE949" s="553"/>
      <c r="BF949" s="553"/>
      <c r="BG949" s="357"/>
      <c r="BH949" s="357"/>
      <c r="BI949" s="357"/>
      <c r="BJ949" s="357"/>
      <c r="BK949" s="357"/>
      <c r="BL949" s="357"/>
      <c r="BM949" s="357"/>
      <c r="BN949" s="357"/>
      <c r="BO949" s="357"/>
      <c r="BP949" s="357"/>
      <c r="BQ949" s="357"/>
      <c r="BR949" s="357"/>
      <c r="BS949" s="357"/>
      <c r="BT949" s="353"/>
      <c r="BU949" s="353"/>
      <c r="BV949" s="310"/>
      <c r="BW949" s="310"/>
      <c r="BX949" s="291">
        <f t="shared" si="64"/>
        <v>0</v>
      </c>
      <c r="BY949" s="544"/>
      <c r="BZ949" s="347"/>
      <c r="CA949" s="347"/>
      <c r="CB949" s="348"/>
      <c r="CC949" s="348"/>
      <c r="CD949" s="348"/>
      <c r="CE949" s="348"/>
      <c r="CF949" s="348"/>
    </row>
    <row r="950" spans="1:84" s="554" customFormat="1" ht="27.95" hidden="1" customHeight="1" x14ac:dyDescent="0.25">
      <c r="A950" s="311"/>
      <c r="B950" s="311"/>
      <c r="C950" s="1487" t="s">
        <v>1108</v>
      </c>
      <c r="D950" s="1487"/>
      <c r="E950" s="1487"/>
      <c r="F950" s="1487"/>
      <c r="G950" s="1487"/>
      <c r="H950" s="1487"/>
      <c r="I950" s="1487"/>
      <c r="J950" s="1487"/>
      <c r="K950" s="1487"/>
      <c r="L950" s="1487"/>
      <c r="M950" s="1487"/>
      <c r="N950" s="1487"/>
      <c r="O950" s="1487"/>
      <c r="P950" s="1487"/>
      <c r="Q950" s="1487"/>
      <c r="R950" s="1487"/>
      <c r="S950" s="1487"/>
      <c r="T950" s="1487"/>
      <c r="U950" s="1487"/>
      <c r="V950" s="1487"/>
      <c r="W950" s="1487"/>
      <c r="X950" s="1487"/>
      <c r="Y950" s="1487"/>
      <c r="Z950" s="1487"/>
      <c r="AA950" s="1487"/>
      <c r="AB950" s="1487"/>
      <c r="AC950" s="1487"/>
      <c r="AD950" s="1487"/>
      <c r="AE950" s="1487"/>
      <c r="AF950" s="1487"/>
      <c r="AG950" s="1487"/>
      <c r="AH950" s="1487"/>
      <c r="AI950" s="1487"/>
      <c r="AJ950" s="544"/>
      <c r="AK950" s="311"/>
      <c r="AL950" s="311"/>
      <c r="AM950" s="1487" t="s">
        <v>1109</v>
      </c>
      <c r="AN950" s="1487"/>
      <c r="AO950" s="1487"/>
      <c r="AP950" s="1487"/>
      <c r="AQ950" s="1487"/>
      <c r="AR950" s="1487"/>
      <c r="AS950" s="1487"/>
      <c r="AT950" s="1487"/>
      <c r="AU950" s="1487"/>
      <c r="AV950" s="1487"/>
      <c r="AW950" s="1487"/>
      <c r="AX950" s="1487"/>
      <c r="AY950" s="1487"/>
      <c r="AZ950" s="1487"/>
      <c r="BA950" s="1487"/>
      <c r="BB950" s="1487"/>
      <c r="BC950" s="1487"/>
      <c r="BD950" s="1487"/>
      <c r="BE950" s="1487"/>
      <c r="BF950" s="1487"/>
      <c r="BG950" s="1487"/>
      <c r="BH950" s="1487"/>
      <c r="BI950" s="1487"/>
      <c r="BJ950" s="1487"/>
      <c r="BK950" s="1487"/>
      <c r="BL950" s="1487"/>
      <c r="BM950" s="1487"/>
      <c r="BN950" s="1487"/>
      <c r="BO950" s="1487"/>
      <c r="BP950" s="1487"/>
      <c r="BQ950" s="1487"/>
      <c r="BR950" s="1487"/>
      <c r="BS950" s="1487"/>
      <c r="BT950" s="353"/>
      <c r="BU950" s="353"/>
      <c r="BV950" s="310"/>
      <c r="BW950" s="310"/>
      <c r="BX950" s="291">
        <f t="shared" si="64"/>
        <v>0</v>
      </c>
      <c r="BY950" s="544"/>
      <c r="BZ950" s="347"/>
      <c r="CA950" s="347"/>
      <c r="CB950" s="348"/>
      <c r="CC950" s="348"/>
      <c r="CD950" s="348"/>
      <c r="CE950" s="348"/>
      <c r="CF950" s="348"/>
    </row>
    <row r="951" spans="1:84" s="565" customFormat="1" ht="42" hidden="1" customHeight="1" x14ac:dyDescent="0.2">
      <c r="A951" s="555"/>
      <c r="B951" s="555"/>
      <c r="C951" s="556"/>
      <c r="D951" s="556"/>
      <c r="E951" s="556"/>
      <c r="F951" s="556"/>
      <c r="G951" s="556"/>
      <c r="H951" s="556"/>
      <c r="I951" s="557"/>
      <c r="J951" s="556"/>
      <c r="K951" s="556"/>
      <c r="L951" s="556"/>
      <c r="M951" s="1495" t="s">
        <v>1110</v>
      </c>
      <c r="N951" s="1495"/>
      <c r="O951" s="558"/>
      <c r="P951" s="1495" t="s">
        <v>1111</v>
      </c>
      <c r="Q951" s="1495"/>
      <c r="R951" s="558"/>
      <c r="S951" s="1495" t="s">
        <v>1112</v>
      </c>
      <c r="T951" s="1495"/>
      <c r="U951" s="1495"/>
      <c r="V951" s="556"/>
      <c r="W951" s="1314" t="str">
        <f>Ky_Nay1_V</f>
        <v>31/12/2017</v>
      </c>
      <c r="X951" s="1314"/>
      <c r="Y951" s="1314"/>
      <c r="Z951" s="1314"/>
      <c r="AA951" s="1314"/>
      <c r="AB951" s="1314"/>
      <c r="AC951" s="559"/>
      <c r="AD951" s="1314" t="str">
        <f>Ky_Truoc1_V</f>
        <v>01/01/2017</v>
      </c>
      <c r="AE951" s="1314"/>
      <c r="AF951" s="1314"/>
      <c r="AG951" s="1314"/>
      <c r="AH951" s="1314"/>
      <c r="AI951" s="1314"/>
      <c r="AJ951" s="560"/>
      <c r="AK951" s="555"/>
      <c r="AL951" s="555"/>
      <c r="AM951" s="556"/>
      <c r="AN951" s="556"/>
      <c r="AO951" s="556"/>
      <c r="AP951" s="556"/>
      <c r="AQ951" s="556"/>
      <c r="AR951" s="556"/>
      <c r="AS951" s="557"/>
      <c r="AT951" s="556"/>
      <c r="AU951" s="556"/>
      <c r="AV951" s="1495" t="s">
        <v>1113</v>
      </c>
      <c r="AW951" s="1495"/>
      <c r="AX951" s="1495"/>
      <c r="AY951" s="558"/>
      <c r="AZ951" s="1495" t="s">
        <v>1114</v>
      </c>
      <c r="BA951" s="1495"/>
      <c r="BB951" s="558"/>
      <c r="BC951" s="1495" t="s">
        <v>1115</v>
      </c>
      <c r="BD951" s="1495"/>
      <c r="BE951" s="1495"/>
      <c r="BF951" s="556"/>
      <c r="BG951" s="1314" t="str">
        <f>Ky_Nay1_E</f>
        <v>31/12/2017</v>
      </c>
      <c r="BH951" s="1314"/>
      <c r="BI951" s="1314"/>
      <c r="BJ951" s="1314"/>
      <c r="BK951" s="1314"/>
      <c r="BL951" s="1314"/>
      <c r="BM951" s="559"/>
      <c r="BN951" s="1314" t="str">
        <f>Ky_Truoc1_E</f>
        <v>01/01/2017</v>
      </c>
      <c r="BO951" s="1314"/>
      <c r="BP951" s="1314"/>
      <c r="BQ951" s="1314"/>
      <c r="BR951" s="1314"/>
      <c r="BS951" s="1314"/>
      <c r="BT951" s="561"/>
      <c r="BU951" s="561"/>
      <c r="BV951" s="310"/>
      <c r="BW951" s="310"/>
      <c r="BX951" s="562">
        <f t="shared" si="64"/>
        <v>0</v>
      </c>
      <c r="BY951" s="560"/>
      <c r="BZ951" s="563"/>
      <c r="CA951" s="563"/>
      <c r="CB951" s="564"/>
      <c r="CC951" s="564"/>
      <c r="CD951" s="564"/>
      <c r="CE951" s="564"/>
      <c r="CF951" s="564"/>
    </row>
    <row r="952" spans="1:84" s="554" customFormat="1" ht="15" hidden="1" customHeight="1" x14ac:dyDescent="0.25">
      <c r="A952" s="311"/>
      <c r="B952" s="311"/>
      <c r="C952" s="553"/>
      <c r="D952" s="553"/>
      <c r="E952" s="553"/>
      <c r="F952" s="553"/>
      <c r="G952" s="553"/>
      <c r="H952" s="553"/>
      <c r="I952" s="553"/>
      <c r="J952" s="553"/>
      <c r="K952" s="553"/>
      <c r="L952" s="553"/>
      <c r="M952" s="553"/>
      <c r="N952" s="553"/>
      <c r="O952" s="553"/>
      <c r="P952" s="1493" t="s">
        <v>1116</v>
      </c>
      <c r="Q952" s="1494"/>
      <c r="R952" s="553"/>
      <c r="S952" s="553"/>
      <c r="T952" s="553"/>
      <c r="U952" s="553"/>
      <c r="V952" s="553"/>
      <c r="W952" s="1327" t="str">
        <f>Don_Vi_Tinh_V</f>
        <v>VND</v>
      </c>
      <c r="X952" s="1327"/>
      <c r="Y952" s="1327"/>
      <c r="Z952" s="1327"/>
      <c r="AA952" s="1327"/>
      <c r="AB952" s="1327"/>
      <c r="AC952" s="351"/>
      <c r="AD952" s="1327" t="str">
        <f>Don_Vi_Tinh_V</f>
        <v>VND</v>
      </c>
      <c r="AE952" s="1327"/>
      <c r="AF952" s="1327"/>
      <c r="AG952" s="1327"/>
      <c r="AH952" s="1327"/>
      <c r="AI952" s="1327"/>
      <c r="AJ952" s="346"/>
      <c r="AK952" s="311"/>
      <c r="AL952" s="311"/>
      <c r="AM952" s="553"/>
      <c r="AN952" s="553"/>
      <c r="AO952" s="553"/>
      <c r="AP952" s="553"/>
      <c r="AQ952" s="553"/>
      <c r="AR952" s="553"/>
      <c r="AS952" s="553"/>
      <c r="AT952" s="553"/>
      <c r="AU952" s="553"/>
      <c r="AV952" s="553"/>
      <c r="AW952" s="553"/>
      <c r="AX952" s="553"/>
      <c r="AY952" s="553"/>
      <c r="AZ952" s="1493" t="s">
        <v>1116</v>
      </c>
      <c r="BA952" s="1494"/>
      <c r="BB952" s="553"/>
      <c r="BC952" s="553"/>
      <c r="BD952" s="553"/>
      <c r="BE952" s="553"/>
      <c r="BF952" s="553"/>
      <c r="BG952" s="1327" t="str">
        <f>Don_Vi_Tinh_E</f>
        <v>VND</v>
      </c>
      <c r="BH952" s="1327"/>
      <c r="BI952" s="1327"/>
      <c r="BJ952" s="1327"/>
      <c r="BK952" s="1327"/>
      <c r="BL952" s="1327"/>
      <c r="BM952" s="351"/>
      <c r="BN952" s="1327" t="str">
        <f>Don_Vi_Tinh_E</f>
        <v>VND</v>
      </c>
      <c r="BO952" s="1327"/>
      <c r="BP952" s="1327"/>
      <c r="BQ952" s="1327"/>
      <c r="BR952" s="1327"/>
      <c r="BS952" s="1327"/>
      <c r="BT952" s="353"/>
      <c r="BU952" s="353"/>
      <c r="BV952" s="310"/>
      <c r="BW952" s="310"/>
      <c r="BX952" s="291">
        <f t="shared" si="64"/>
        <v>0</v>
      </c>
      <c r="BY952" s="544"/>
      <c r="BZ952" s="347"/>
      <c r="CA952" s="347"/>
      <c r="CB952" s="348"/>
      <c r="CC952" s="348"/>
      <c r="CD952" s="348"/>
      <c r="CE952" s="348"/>
      <c r="CF952" s="348"/>
    </row>
    <row r="953" spans="1:84" s="554" customFormat="1" ht="15" hidden="1" customHeight="1" x14ac:dyDescent="0.25">
      <c r="A953" s="311"/>
      <c r="B953" s="311"/>
      <c r="C953" s="566"/>
      <c r="D953" s="553"/>
      <c r="E953" s="553"/>
      <c r="F953" s="553"/>
      <c r="G953" s="553"/>
      <c r="H953" s="553"/>
      <c r="I953" s="553"/>
      <c r="J953" s="553"/>
      <c r="K953" s="553"/>
      <c r="L953" s="553"/>
      <c r="M953" s="567"/>
      <c r="N953" s="567"/>
      <c r="O953" s="567"/>
      <c r="P953" s="567"/>
      <c r="Q953" s="553"/>
      <c r="R953" s="553"/>
      <c r="S953" s="553"/>
      <c r="T953" s="553"/>
      <c r="U953" s="553"/>
      <c r="V953" s="553"/>
      <c r="W953" s="357"/>
      <c r="X953" s="357"/>
      <c r="Y953" s="357"/>
      <c r="Z953" s="357"/>
      <c r="AA953" s="357"/>
      <c r="AB953" s="357"/>
      <c r="AC953" s="357"/>
      <c r="AD953" s="357"/>
      <c r="AE953" s="357"/>
      <c r="AF953" s="357"/>
      <c r="AG953" s="357"/>
      <c r="AH953" s="357"/>
      <c r="AI953" s="357"/>
      <c r="AJ953" s="544"/>
      <c r="AK953" s="311"/>
      <c r="AL953" s="311"/>
      <c r="AM953" s="566"/>
      <c r="AN953" s="553"/>
      <c r="AO953" s="553"/>
      <c r="AP953" s="553"/>
      <c r="AQ953" s="553"/>
      <c r="AR953" s="553"/>
      <c r="AS953" s="553"/>
      <c r="AT953" s="553"/>
      <c r="AU953" s="553"/>
      <c r="AV953" s="553"/>
      <c r="AW953" s="567"/>
      <c r="AX953" s="567"/>
      <c r="AY953" s="567"/>
      <c r="AZ953" s="567"/>
      <c r="BA953" s="553"/>
      <c r="BB953" s="553"/>
      <c r="BC953" s="553"/>
      <c r="BD953" s="553"/>
      <c r="BE953" s="553"/>
      <c r="BF953" s="553"/>
      <c r="BG953" s="357"/>
      <c r="BH953" s="357"/>
      <c r="BI953" s="357"/>
      <c r="BJ953" s="357"/>
      <c r="BK953" s="357"/>
      <c r="BL953" s="357"/>
      <c r="BM953" s="357"/>
      <c r="BN953" s="357"/>
      <c r="BO953" s="357"/>
      <c r="BP953" s="357"/>
      <c r="BQ953" s="357"/>
      <c r="BR953" s="357"/>
      <c r="BS953" s="357"/>
      <c r="BT953" s="353"/>
      <c r="BU953" s="353"/>
      <c r="BV953" s="310"/>
      <c r="BW953" s="310"/>
      <c r="BX953" s="291">
        <f t="shared" si="64"/>
        <v>0</v>
      </c>
      <c r="BY953" s="544"/>
      <c r="BZ953" s="347"/>
      <c r="CA953" s="347"/>
      <c r="CB953" s="348"/>
      <c r="CC953" s="348"/>
      <c r="CD953" s="348"/>
      <c r="CE953" s="348"/>
      <c r="CF953" s="348"/>
    </row>
    <row r="954" spans="1:84" s="554" customFormat="1" ht="15" hidden="1" customHeight="1" x14ac:dyDescent="0.25">
      <c r="A954" s="311"/>
      <c r="B954" s="311"/>
      <c r="C954" s="566" t="s">
        <v>1117</v>
      </c>
      <c r="D954" s="553"/>
      <c r="E954" s="553"/>
      <c r="F954" s="553"/>
      <c r="G954" s="553"/>
      <c r="H954" s="553"/>
      <c r="I954" s="553"/>
      <c r="J954" s="553"/>
      <c r="K954" s="553"/>
      <c r="L954" s="553"/>
      <c r="M954" s="1489" t="s">
        <v>1118</v>
      </c>
      <c r="N954" s="1489"/>
      <c r="O954" s="567"/>
      <c r="P954" s="1490">
        <v>10</v>
      </c>
      <c r="Q954" s="1490"/>
      <c r="R954" s="553"/>
      <c r="S954" s="1489" t="s">
        <v>1119</v>
      </c>
      <c r="T954" s="1489"/>
      <c r="U954" s="1489"/>
      <c r="V954" s="553"/>
      <c r="W954" s="1318"/>
      <c r="X954" s="1318"/>
      <c r="Y954" s="1318"/>
      <c r="Z954" s="1318"/>
      <c r="AA954" s="1318"/>
      <c r="AB954" s="1318"/>
      <c r="AC954" s="381"/>
      <c r="AD954" s="1318"/>
      <c r="AE954" s="1318"/>
      <c r="AF954" s="1318"/>
      <c r="AG954" s="1318"/>
      <c r="AH954" s="1318"/>
      <c r="AI954" s="1318"/>
      <c r="AJ954" s="544"/>
      <c r="AK954" s="311"/>
      <c r="AL954" s="311"/>
      <c r="AM954" s="566" t="s">
        <v>1120</v>
      </c>
      <c r="AN954" s="553"/>
      <c r="AO954" s="553"/>
      <c r="AP954" s="553"/>
      <c r="AQ954" s="553"/>
      <c r="AR954" s="553"/>
      <c r="AS954" s="553"/>
      <c r="AT954" s="553"/>
      <c r="AU954" s="553"/>
      <c r="AV954" s="1489" t="s">
        <v>1118</v>
      </c>
      <c r="AW954" s="1489"/>
      <c r="AX954" s="1489"/>
      <c r="AY954" s="567"/>
      <c r="AZ954" s="1490">
        <v>10</v>
      </c>
      <c r="BA954" s="1490"/>
      <c r="BB954" s="553"/>
      <c r="BC954" s="1492" t="s">
        <v>1121</v>
      </c>
      <c r="BD954" s="1492"/>
      <c r="BE954" s="1492"/>
      <c r="BF954" s="553"/>
      <c r="BG954" s="1318"/>
      <c r="BH954" s="1318"/>
      <c r="BI954" s="1318"/>
      <c r="BJ954" s="1318"/>
      <c r="BK954" s="1318"/>
      <c r="BL954" s="1318"/>
      <c r="BM954" s="381"/>
      <c r="BN954" s="1318"/>
      <c r="BO954" s="1318"/>
      <c r="BP954" s="1318"/>
      <c r="BQ954" s="1318"/>
      <c r="BR954" s="1318"/>
      <c r="BS954" s="1318"/>
      <c r="BT954" s="353"/>
      <c r="BU954" s="353"/>
      <c r="BV954" s="310"/>
      <c r="BW954" s="310"/>
      <c r="BX954" s="291">
        <f t="shared" si="64"/>
        <v>0</v>
      </c>
      <c r="BY954" s="544"/>
      <c r="BZ954" s="347"/>
      <c r="CA954" s="347"/>
      <c r="CB954" s="348"/>
      <c r="CC954" s="348"/>
      <c r="CD954" s="348"/>
      <c r="CE954" s="348"/>
      <c r="CF954" s="348"/>
    </row>
    <row r="955" spans="1:84" s="554" customFormat="1" ht="15" hidden="1" customHeight="1" x14ac:dyDescent="0.25">
      <c r="A955" s="311"/>
      <c r="B955" s="311"/>
      <c r="C955" s="566" t="s">
        <v>1122</v>
      </c>
      <c r="D955" s="553"/>
      <c r="E955" s="553"/>
      <c r="F955" s="553"/>
      <c r="G955" s="553"/>
      <c r="H955" s="553"/>
      <c r="I955" s="553"/>
      <c r="J955" s="553"/>
      <c r="K955" s="553"/>
      <c r="L955" s="553"/>
      <c r="M955" s="1489" t="s">
        <v>1118</v>
      </c>
      <c r="N955" s="1489"/>
      <c r="O955" s="567"/>
      <c r="P955" s="1490">
        <v>11</v>
      </c>
      <c r="Q955" s="1490"/>
      <c r="R955" s="553"/>
      <c r="S955" s="1489" t="s">
        <v>1119</v>
      </c>
      <c r="T955" s="1489"/>
      <c r="U955" s="1489"/>
      <c r="V955" s="553"/>
      <c r="W955" s="1318"/>
      <c r="X955" s="1318"/>
      <c r="Y955" s="1318"/>
      <c r="Z955" s="1318"/>
      <c r="AA955" s="1318"/>
      <c r="AB955" s="1318"/>
      <c r="AC955" s="381"/>
      <c r="AD955" s="1318"/>
      <c r="AE955" s="1318"/>
      <c r="AF955" s="1318"/>
      <c r="AG955" s="1318"/>
      <c r="AH955" s="1318"/>
      <c r="AI955" s="1318"/>
      <c r="AJ955" s="544"/>
      <c r="AK955" s="311"/>
      <c r="AL955" s="311"/>
      <c r="AM955" s="566" t="s">
        <v>1123</v>
      </c>
      <c r="AN955" s="553"/>
      <c r="AO955" s="553"/>
      <c r="AP955" s="553"/>
      <c r="AQ955" s="553"/>
      <c r="AR955" s="553"/>
      <c r="AS955" s="553"/>
      <c r="AT955" s="553"/>
      <c r="AU955" s="553"/>
      <c r="AV955" s="1489" t="s">
        <v>1118</v>
      </c>
      <c r="AW955" s="1489"/>
      <c r="AX955" s="1489"/>
      <c r="AY955" s="567"/>
      <c r="AZ955" s="1490">
        <v>11</v>
      </c>
      <c r="BA955" s="1490"/>
      <c r="BB955" s="553"/>
      <c r="BC955" s="1492" t="s">
        <v>1121</v>
      </c>
      <c r="BD955" s="1492"/>
      <c r="BE955" s="1492"/>
      <c r="BF955" s="553"/>
      <c r="BG955" s="1318"/>
      <c r="BH955" s="1318"/>
      <c r="BI955" s="1318"/>
      <c r="BJ955" s="1318"/>
      <c r="BK955" s="1318"/>
      <c r="BL955" s="1318"/>
      <c r="BM955" s="381"/>
      <c r="BN955" s="1318"/>
      <c r="BO955" s="1318"/>
      <c r="BP955" s="1318"/>
      <c r="BQ955" s="1318"/>
      <c r="BR955" s="1318"/>
      <c r="BS955" s="1318"/>
      <c r="BT955" s="353"/>
      <c r="BU955" s="353"/>
      <c r="BV955" s="310"/>
      <c r="BW955" s="310"/>
      <c r="BX955" s="291">
        <f t="shared" si="64"/>
        <v>0</v>
      </c>
      <c r="BY955" s="544"/>
      <c r="BZ955" s="347"/>
      <c r="CA955" s="347"/>
      <c r="CB955" s="348"/>
      <c r="CC955" s="348"/>
      <c r="CD955" s="348"/>
      <c r="CE955" s="348"/>
      <c r="CF955" s="348"/>
    </row>
    <row r="956" spans="1:84" s="554" customFormat="1" ht="15" hidden="1" customHeight="1" x14ac:dyDescent="0.25">
      <c r="A956" s="311"/>
      <c r="B956" s="311"/>
      <c r="C956" s="553"/>
      <c r="D956" s="553"/>
      <c r="E956" s="553"/>
      <c r="F956" s="553"/>
      <c r="G956" s="553"/>
      <c r="H956" s="553"/>
      <c r="I956" s="553"/>
      <c r="J956" s="553"/>
      <c r="K956" s="553"/>
      <c r="L956" s="553"/>
      <c r="M956" s="553"/>
      <c r="N956" s="553"/>
      <c r="O956" s="553"/>
      <c r="P956" s="553"/>
      <c r="Q956" s="553"/>
      <c r="R956" s="553"/>
      <c r="S956" s="553"/>
      <c r="T956" s="553"/>
      <c r="U956" s="553"/>
      <c r="V956" s="553"/>
      <c r="W956" s="357"/>
      <c r="X956" s="357"/>
      <c r="Y956" s="357"/>
      <c r="Z956" s="357"/>
      <c r="AA956" s="357"/>
      <c r="AB956" s="357"/>
      <c r="AC956" s="357"/>
      <c r="AD956" s="357"/>
      <c r="AE956" s="357"/>
      <c r="AF956" s="357"/>
      <c r="AG956" s="357"/>
      <c r="AH956" s="357"/>
      <c r="AI956" s="357"/>
      <c r="AJ956" s="544"/>
      <c r="AK956" s="311"/>
      <c r="AL956" s="311"/>
      <c r="AM956" s="553"/>
      <c r="AN956" s="553"/>
      <c r="AO956" s="553"/>
      <c r="AP956" s="553"/>
      <c r="AQ956" s="553"/>
      <c r="AR956" s="553"/>
      <c r="AS956" s="553"/>
      <c r="AT956" s="553"/>
      <c r="AU956" s="553"/>
      <c r="AV956" s="553"/>
      <c r="AW956" s="553"/>
      <c r="AX956" s="553"/>
      <c r="AY956" s="553"/>
      <c r="AZ956" s="553"/>
      <c r="BA956" s="553"/>
      <c r="BB956" s="553"/>
      <c r="BC956" s="553"/>
      <c r="BD956" s="553"/>
      <c r="BE956" s="553"/>
      <c r="BF956" s="553"/>
      <c r="BG956" s="357"/>
      <c r="BH956" s="357"/>
      <c r="BI956" s="357"/>
      <c r="BJ956" s="357"/>
      <c r="BK956" s="357"/>
      <c r="BL956" s="357"/>
      <c r="BM956" s="357"/>
      <c r="BN956" s="357"/>
      <c r="BO956" s="357"/>
      <c r="BP956" s="357"/>
      <c r="BQ956" s="357"/>
      <c r="BR956" s="357"/>
      <c r="BS956" s="357"/>
      <c r="BT956" s="353"/>
      <c r="BU956" s="353"/>
      <c r="BV956" s="310"/>
      <c r="BW956" s="310"/>
      <c r="BX956" s="291">
        <f t="shared" si="64"/>
        <v>0</v>
      </c>
      <c r="BY956" s="544"/>
      <c r="BZ956" s="347"/>
      <c r="CA956" s="347"/>
      <c r="CB956" s="348"/>
      <c r="CC956" s="348"/>
      <c r="CD956" s="348"/>
      <c r="CE956" s="348"/>
      <c r="CF956" s="348"/>
    </row>
    <row r="957" spans="1:84" s="554" customFormat="1" ht="15" hidden="1" customHeight="1" thickBot="1" x14ac:dyDescent="0.3">
      <c r="A957" s="311"/>
      <c r="B957" s="311"/>
      <c r="C957" s="360" t="s">
        <v>752</v>
      </c>
      <c r="D957" s="553"/>
      <c r="E957" s="553"/>
      <c r="F957" s="553"/>
      <c r="G957" s="553"/>
      <c r="H957" s="553"/>
      <c r="I957" s="553"/>
      <c r="J957" s="553"/>
      <c r="K957" s="553"/>
      <c r="L957" s="553"/>
      <c r="M957" s="553"/>
      <c r="N957" s="553"/>
      <c r="O957" s="553"/>
      <c r="P957" s="553"/>
      <c r="Q957" s="553"/>
      <c r="R957" s="553"/>
      <c r="S957" s="553"/>
      <c r="T957" s="553"/>
      <c r="U957" s="553"/>
      <c r="V957" s="553"/>
      <c r="W957" s="1359">
        <f>SUBTOTAL(109,W954:AB955)</f>
        <v>0</v>
      </c>
      <c r="X957" s="1359"/>
      <c r="Y957" s="1359"/>
      <c r="Z957" s="1359"/>
      <c r="AA957" s="1359"/>
      <c r="AB957" s="1359"/>
      <c r="AC957" s="343"/>
      <c r="AD957" s="1359">
        <f>SUBTOTAL(109,AD954:AI955)</f>
        <v>0</v>
      </c>
      <c r="AE957" s="1359"/>
      <c r="AF957" s="1359"/>
      <c r="AG957" s="1359"/>
      <c r="AH957" s="1359"/>
      <c r="AI957" s="1359"/>
      <c r="AJ957" s="544"/>
      <c r="AK957" s="311"/>
      <c r="AL957" s="311"/>
      <c r="AM957" s="360" t="s">
        <v>752</v>
      </c>
      <c r="AN957" s="553"/>
      <c r="AO957" s="553"/>
      <c r="AP957" s="553"/>
      <c r="AQ957" s="553"/>
      <c r="AR957" s="553"/>
      <c r="AS957" s="553"/>
      <c r="AT957" s="553"/>
      <c r="AU957" s="553"/>
      <c r="AV957" s="553"/>
      <c r="AW957" s="553"/>
      <c r="AX957" s="553"/>
      <c r="AY957" s="553"/>
      <c r="AZ957" s="553"/>
      <c r="BA957" s="553"/>
      <c r="BB957" s="553"/>
      <c r="BC957" s="553"/>
      <c r="BD957" s="553"/>
      <c r="BE957" s="553"/>
      <c r="BF957" s="553"/>
      <c r="BG957" s="1359">
        <f>SUBTOTAL(109,BG954:BL955)</f>
        <v>0</v>
      </c>
      <c r="BH957" s="1359"/>
      <c r="BI957" s="1359"/>
      <c r="BJ957" s="1359"/>
      <c r="BK957" s="1359"/>
      <c r="BL957" s="1359"/>
      <c r="BM957" s="343"/>
      <c r="BN957" s="1359">
        <f>SUBTOTAL(109,BN954:BS955)</f>
        <v>0</v>
      </c>
      <c r="BO957" s="1359"/>
      <c r="BP957" s="1359"/>
      <c r="BQ957" s="1359"/>
      <c r="BR957" s="1359"/>
      <c r="BS957" s="1359"/>
      <c r="BT957" s="353"/>
      <c r="BU957" s="353"/>
      <c r="BV957" s="310">
        <f>W957-[1]TM_VAY!AG13</f>
        <v>-500000000</v>
      </c>
      <c r="BW957" s="310">
        <f>AD957-[1]TM_VAY!E13</f>
        <v>-1500000000</v>
      </c>
      <c r="BX957" s="291">
        <f t="shared" si="64"/>
        <v>0</v>
      </c>
      <c r="BY957" s="544"/>
      <c r="BZ957" s="347"/>
      <c r="CA957" s="347"/>
      <c r="CB957" s="348"/>
      <c r="CC957" s="348"/>
      <c r="CD957" s="348"/>
      <c r="CE957" s="348"/>
      <c r="CF957" s="348"/>
    </row>
    <row r="958" spans="1:84" s="554" customFormat="1" ht="15" hidden="1" customHeight="1" thickTop="1" x14ac:dyDescent="0.25">
      <c r="A958" s="311"/>
      <c r="B958" s="311"/>
      <c r="C958" s="553"/>
      <c r="D958" s="553"/>
      <c r="E958" s="553"/>
      <c r="F958" s="553"/>
      <c r="G958" s="553"/>
      <c r="H958" s="553"/>
      <c r="I958" s="553"/>
      <c r="J958" s="553"/>
      <c r="K958" s="553"/>
      <c r="L958" s="553"/>
      <c r="M958" s="553"/>
      <c r="N958" s="553"/>
      <c r="O958" s="553"/>
      <c r="P958" s="553"/>
      <c r="Q958" s="553"/>
      <c r="R958" s="553"/>
      <c r="S958" s="553"/>
      <c r="T958" s="553"/>
      <c r="U958" s="553"/>
      <c r="V958" s="553"/>
      <c r="W958" s="357"/>
      <c r="X958" s="357"/>
      <c r="Y958" s="357"/>
      <c r="Z958" s="357"/>
      <c r="AA958" s="357"/>
      <c r="AB958" s="357"/>
      <c r="AC958" s="357"/>
      <c r="AD958" s="357"/>
      <c r="AE958" s="357"/>
      <c r="AF958" s="357"/>
      <c r="AG958" s="357"/>
      <c r="AH958" s="357"/>
      <c r="AI958" s="357"/>
      <c r="AJ958" s="544"/>
      <c r="AK958" s="311"/>
      <c r="AL958" s="311"/>
      <c r="AM958" s="553"/>
      <c r="AN958" s="553"/>
      <c r="AO958" s="553"/>
      <c r="AP958" s="553"/>
      <c r="AQ958" s="553"/>
      <c r="AR958" s="553"/>
      <c r="AS958" s="553"/>
      <c r="AT958" s="553"/>
      <c r="AU958" s="553"/>
      <c r="AV958" s="553"/>
      <c r="AW958" s="553"/>
      <c r="AX958" s="553"/>
      <c r="AY958" s="553"/>
      <c r="AZ958" s="553"/>
      <c r="BA958" s="553"/>
      <c r="BB958" s="553"/>
      <c r="BC958" s="553"/>
      <c r="BD958" s="553"/>
      <c r="BE958" s="553"/>
      <c r="BF958" s="553"/>
      <c r="BG958" s="357"/>
      <c r="BH958" s="357"/>
      <c r="BI958" s="357"/>
      <c r="BJ958" s="357"/>
      <c r="BK958" s="357"/>
      <c r="BL958" s="357"/>
      <c r="BM958" s="357"/>
      <c r="BN958" s="357"/>
      <c r="BO958" s="357"/>
      <c r="BP958" s="357"/>
      <c r="BQ958" s="357"/>
      <c r="BR958" s="357"/>
      <c r="BS958" s="357"/>
      <c r="BT958" s="353"/>
      <c r="BU958" s="353"/>
      <c r="BV958" s="310"/>
      <c r="BW958" s="310"/>
      <c r="BX958" s="291">
        <f t="shared" si="64"/>
        <v>0</v>
      </c>
      <c r="BY958" s="544"/>
      <c r="BZ958" s="347"/>
      <c r="CA958" s="347"/>
      <c r="CB958" s="348"/>
      <c r="CC958" s="348"/>
      <c r="CD958" s="348"/>
      <c r="CE958" s="348"/>
      <c r="CF958" s="348"/>
    </row>
    <row r="959" spans="1:84" s="554" customFormat="1" ht="69.95" hidden="1" customHeight="1" x14ac:dyDescent="0.25">
      <c r="A959" s="311"/>
      <c r="B959" s="311"/>
      <c r="C959" s="1486" t="s">
        <v>1124</v>
      </c>
      <c r="D959" s="1487"/>
      <c r="E959" s="1487"/>
      <c r="F959" s="1487"/>
      <c r="G959" s="1487"/>
      <c r="H959" s="1487"/>
      <c r="I959" s="1487"/>
      <c r="J959" s="1487"/>
      <c r="K959" s="1487"/>
      <c r="L959" s="1487"/>
      <c r="M959" s="1487"/>
      <c r="N959" s="1487"/>
      <c r="O959" s="1487"/>
      <c r="P959" s="1487"/>
      <c r="Q959" s="1487"/>
      <c r="R959" s="1487"/>
      <c r="S959" s="1487"/>
      <c r="T959" s="1487"/>
      <c r="U959" s="1487"/>
      <c r="V959" s="1487"/>
      <c r="W959" s="1487"/>
      <c r="X959" s="1487"/>
      <c r="Y959" s="1487"/>
      <c r="Z959" s="1487"/>
      <c r="AA959" s="1487"/>
      <c r="AB959" s="1487"/>
      <c r="AC959" s="1487"/>
      <c r="AD959" s="1487"/>
      <c r="AE959" s="1487"/>
      <c r="AF959" s="1487"/>
      <c r="AG959" s="1487"/>
      <c r="AH959" s="1487"/>
      <c r="AI959" s="1487"/>
      <c r="AJ959" s="544"/>
      <c r="AK959" s="311"/>
      <c r="AL959" s="311"/>
      <c r="AM959" s="1486" t="s">
        <v>1125</v>
      </c>
      <c r="AN959" s="1487"/>
      <c r="AO959" s="1487"/>
      <c r="AP959" s="1487"/>
      <c r="AQ959" s="1487"/>
      <c r="AR959" s="1487"/>
      <c r="AS959" s="1487"/>
      <c r="AT959" s="1487"/>
      <c r="AU959" s="1487"/>
      <c r="AV959" s="1487"/>
      <c r="AW959" s="1487"/>
      <c r="AX959" s="1487"/>
      <c r="AY959" s="1487"/>
      <c r="AZ959" s="1487"/>
      <c r="BA959" s="1487"/>
      <c r="BB959" s="1487"/>
      <c r="BC959" s="1487"/>
      <c r="BD959" s="1487"/>
      <c r="BE959" s="1487"/>
      <c r="BF959" s="1487"/>
      <c r="BG959" s="1487"/>
      <c r="BH959" s="1487"/>
      <c r="BI959" s="1487"/>
      <c r="BJ959" s="1487"/>
      <c r="BK959" s="1487"/>
      <c r="BL959" s="1487"/>
      <c r="BM959" s="1487"/>
      <c r="BN959" s="1487"/>
      <c r="BO959" s="1487"/>
      <c r="BP959" s="1487"/>
      <c r="BQ959" s="1487"/>
      <c r="BR959" s="1487"/>
      <c r="BS959" s="1487"/>
      <c r="BT959" s="353"/>
      <c r="BU959" s="353"/>
      <c r="BV959" s="310"/>
      <c r="BW959" s="310"/>
      <c r="BX959" s="291">
        <f t="shared" si="64"/>
        <v>0</v>
      </c>
      <c r="BY959" s="544"/>
      <c r="BZ959" s="347"/>
      <c r="CA959" s="347"/>
      <c r="CB959" s="348"/>
      <c r="CC959" s="348"/>
      <c r="CD959" s="348"/>
      <c r="CE959" s="348"/>
      <c r="CF959" s="348"/>
    </row>
    <row r="960" spans="1:84" s="554" customFormat="1" ht="15" hidden="1" customHeight="1" x14ac:dyDescent="0.25">
      <c r="A960" s="311"/>
      <c r="B960" s="311"/>
      <c r="C960" s="553"/>
      <c r="D960" s="553"/>
      <c r="E960" s="553"/>
      <c r="F960" s="553"/>
      <c r="G960" s="553"/>
      <c r="H960" s="553"/>
      <c r="I960" s="553"/>
      <c r="J960" s="553"/>
      <c r="K960" s="553"/>
      <c r="L960" s="553"/>
      <c r="M960" s="553"/>
      <c r="N960" s="553"/>
      <c r="O960" s="553"/>
      <c r="P960" s="553"/>
      <c r="Q960" s="553"/>
      <c r="R960" s="553"/>
      <c r="S960" s="553"/>
      <c r="T960" s="553"/>
      <c r="U960" s="553"/>
      <c r="V960" s="553"/>
      <c r="W960" s="357"/>
      <c r="X960" s="357"/>
      <c r="Y960" s="357"/>
      <c r="Z960" s="357"/>
      <c r="AA960" s="357"/>
      <c r="AB960" s="357"/>
      <c r="AC960" s="357"/>
      <c r="AD960" s="357"/>
      <c r="AE960" s="357"/>
      <c r="AF960" s="357"/>
      <c r="AG960" s="357"/>
      <c r="AH960" s="357"/>
      <c r="AI960" s="357"/>
      <c r="AJ960" s="544"/>
      <c r="AK960" s="311"/>
      <c r="AL960" s="311"/>
      <c r="AM960" s="553"/>
      <c r="AN960" s="553"/>
      <c r="AO960" s="553"/>
      <c r="AP960" s="553"/>
      <c r="AQ960" s="553"/>
      <c r="AR960" s="553"/>
      <c r="AS960" s="553"/>
      <c r="AT960" s="553"/>
      <c r="AU960" s="553"/>
      <c r="AV960" s="553"/>
      <c r="AW960" s="553"/>
      <c r="AX960" s="553"/>
      <c r="AY960" s="553"/>
      <c r="AZ960" s="553"/>
      <c r="BA960" s="553"/>
      <c r="BB960" s="553"/>
      <c r="BC960" s="553"/>
      <c r="BD960" s="553"/>
      <c r="BE960" s="553"/>
      <c r="BF960" s="553"/>
      <c r="BG960" s="357"/>
      <c r="BH960" s="357"/>
      <c r="BI960" s="357"/>
      <c r="BJ960" s="357"/>
      <c r="BK960" s="357"/>
      <c r="BL960" s="357"/>
      <c r="BM960" s="357"/>
      <c r="BN960" s="357"/>
      <c r="BO960" s="357"/>
      <c r="BP960" s="357"/>
      <c r="BQ960" s="357"/>
      <c r="BR960" s="357"/>
      <c r="BS960" s="357"/>
      <c r="BT960" s="353"/>
      <c r="BU960" s="353"/>
      <c r="BV960" s="310"/>
      <c r="BW960" s="310"/>
      <c r="BX960" s="291">
        <f t="shared" si="64"/>
        <v>0</v>
      </c>
      <c r="BY960" s="544"/>
      <c r="BZ960" s="347"/>
      <c r="CA960" s="347"/>
      <c r="CB960" s="348"/>
      <c r="CC960" s="348"/>
      <c r="CD960" s="348"/>
      <c r="CE960" s="348"/>
      <c r="CF960" s="348"/>
    </row>
    <row r="961" spans="1:84" s="554" customFormat="1" ht="15" hidden="1" customHeight="1" x14ac:dyDescent="0.25">
      <c r="A961" s="311"/>
      <c r="B961" s="311"/>
      <c r="C961" s="552" t="s">
        <v>1126</v>
      </c>
      <c r="D961" s="553"/>
      <c r="E961" s="553"/>
      <c r="F961" s="553"/>
      <c r="G961" s="553"/>
      <c r="H961" s="553"/>
      <c r="I961" s="553"/>
      <c r="J961" s="553"/>
      <c r="K961" s="553"/>
      <c r="L961" s="553"/>
      <c r="M961" s="553"/>
      <c r="N961" s="553"/>
      <c r="O961" s="553"/>
      <c r="P961" s="553"/>
      <c r="Q961" s="553"/>
      <c r="R961" s="553"/>
      <c r="S961" s="553"/>
      <c r="T961" s="553"/>
      <c r="U961" s="553"/>
      <c r="V961" s="553"/>
      <c r="W961" s="357"/>
      <c r="X961" s="357"/>
      <c r="Y961" s="357"/>
      <c r="Z961" s="357"/>
      <c r="AA961" s="357"/>
      <c r="AB961" s="357"/>
      <c r="AC961" s="357"/>
      <c r="AD961" s="357"/>
      <c r="AE961" s="357"/>
      <c r="AF961" s="357"/>
      <c r="AG961" s="357"/>
      <c r="AH961" s="357"/>
      <c r="AI961" s="357"/>
      <c r="AJ961" s="544"/>
      <c r="AK961" s="311"/>
      <c r="AL961" s="311"/>
      <c r="AM961" s="553" t="s">
        <v>1127</v>
      </c>
      <c r="AN961" s="553"/>
      <c r="AO961" s="553"/>
      <c r="AP961" s="553"/>
      <c r="AQ961" s="553"/>
      <c r="AR961" s="553"/>
      <c r="AS961" s="553"/>
      <c r="AT961" s="553"/>
      <c r="AU961" s="553"/>
      <c r="AV961" s="553"/>
      <c r="AW961" s="553"/>
      <c r="AX961" s="553"/>
      <c r="AY961" s="553"/>
      <c r="AZ961" s="553"/>
      <c r="BA961" s="553"/>
      <c r="BB961" s="553"/>
      <c r="BC961" s="553"/>
      <c r="BD961" s="553"/>
      <c r="BE961" s="553"/>
      <c r="BF961" s="553"/>
      <c r="BG961" s="357"/>
      <c r="BH961" s="357"/>
      <c r="BI961" s="357"/>
      <c r="BJ961" s="357"/>
      <c r="BK961" s="357"/>
      <c r="BL961" s="357"/>
      <c r="BM961" s="357"/>
      <c r="BN961" s="357"/>
      <c r="BO961" s="357"/>
      <c r="BP961" s="357"/>
      <c r="BQ961" s="357"/>
      <c r="BR961" s="357"/>
      <c r="BS961" s="357"/>
      <c r="BT961" s="353"/>
      <c r="BU961" s="353"/>
      <c r="BV961" s="310"/>
      <c r="BW961" s="310"/>
      <c r="BX961" s="291">
        <f t="shared" si="64"/>
        <v>0</v>
      </c>
      <c r="BY961" s="544"/>
      <c r="BZ961" s="347"/>
      <c r="CA961" s="347"/>
      <c r="CB961" s="348"/>
      <c r="CC961" s="348"/>
      <c r="CD961" s="348"/>
      <c r="CE961" s="348"/>
      <c r="CF961" s="348"/>
    </row>
    <row r="962" spans="1:84" s="554" customFormat="1" ht="69.95" hidden="1" customHeight="1" x14ac:dyDescent="0.25">
      <c r="A962" s="311"/>
      <c r="B962" s="311"/>
      <c r="C962" s="1484" t="s">
        <v>1128</v>
      </c>
      <c r="D962" s="1484"/>
      <c r="E962" s="1484"/>
      <c r="F962" s="1484"/>
      <c r="G962" s="1484"/>
      <c r="H962" s="1484"/>
      <c r="I962" s="1484"/>
      <c r="J962" s="1484"/>
      <c r="K962" s="1484"/>
      <c r="L962" s="1484"/>
      <c r="M962" s="1484"/>
      <c r="N962" s="1484"/>
      <c r="O962" s="1484"/>
      <c r="P962" s="1484"/>
      <c r="Q962" s="1484"/>
      <c r="R962" s="1484"/>
      <c r="S962" s="1484"/>
      <c r="T962" s="1484"/>
      <c r="U962" s="1484"/>
      <c r="V962" s="1484"/>
      <c r="W962" s="1484"/>
      <c r="X962" s="1484"/>
      <c r="Y962" s="1484"/>
      <c r="Z962" s="1484"/>
      <c r="AA962" s="1484"/>
      <c r="AB962" s="1484"/>
      <c r="AC962" s="1484"/>
      <c r="AD962" s="1484"/>
      <c r="AE962" s="1484"/>
      <c r="AF962" s="1484"/>
      <c r="AG962" s="1484"/>
      <c r="AH962" s="1484"/>
      <c r="AI962" s="1484"/>
      <c r="AJ962" s="544"/>
      <c r="AK962" s="311"/>
      <c r="AL962" s="311"/>
      <c r="AM962" s="1484" t="s">
        <v>1129</v>
      </c>
      <c r="AN962" s="1484"/>
      <c r="AO962" s="1484"/>
      <c r="AP962" s="1484"/>
      <c r="AQ962" s="1484"/>
      <c r="AR962" s="1484"/>
      <c r="AS962" s="1484"/>
      <c r="AT962" s="1484"/>
      <c r="AU962" s="1484"/>
      <c r="AV962" s="1484"/>
      <c r="AW962" s="1484"/>
      <c r="AX962" s="1484"/>
      <c r="AY962" s="1484"/>
      <c r="AZ962" s="1484"/>
      <c r="BA962" s="1484"/>
      <c r="BB962" s="1484"/>
      <c r="BC962" s="1484"/>
      <c r="BD962" s="1484"/>
      <c r="BE962" s="1484"/>
      <c r="BF962" s="1484"/>
      <c r="BG962" s="1484"/>
      <c r="BH962" s="1484"/>
      <c r="BI962" s="1484"/>
      <c r="BJ962" s="1484"/>
      <c r="BK962" s="1484"/>
      <c r="BL962" s="1484"/>
      <c r="BM962" s="1484"/>
      <c r="BN962" s="1484"/>
      <c r="BO962" s="1484"/>
      <c r="BP962" s="1484"/>
      <c r="BQ962" s="1484"/>
      <c r="BR962" s="1484"/>
      <c r="BS962" s="1484"/>
      <c r="BT962" s="353"/>
      <c r="BU962" s="353"/>
      <c r="BV962" s="310"/>
      <c r="BW962" s="310"/>
      <c r="BX962" s="291">
        <f t="shared" si="64"/>
        <v>0</v>
      </c>
      <c r="BY962" s="544"/>
      <c r="BZ962" s="347"/>
      <c r="CA962" s="347"/>
      <c r="CB962" s="348"/>
      <c r="CC962" s="348"/>
      <c r="CD962" s="348"/>
      <c r="CE962" s="348"/>
      <c r="CF962" s="348"/>
    </row>
    <row r="963" spans="1:84" s="554" customFormat="1" ht="15" hidden="1" customHeight="1" x14ac:dyDescent="0.25">
      <c r="A963" s="311"/>
      <c r="B963" s="311"/>
      <c r="C963" s="553"/>
      <c r="D963" s="553"/>
      <c r="E963" s="553"/>
      <c r="F963" s="553"/>
      <c r="G963" s="553"/>
      <c r="H963" s="553"/>
      <c r="I963" s="553"/>
      <c r="J963" s="553"/>
      <c r="K963" s="553"/>
      <c r="L963" s="553"/>
      <c r="M963" s="553"/>
      <c r="N963" s="553"/>
      <c r="O963" s="553"/>
      <c r="P963" s="553"/>
      <c r="Q963" s="553"/>
      <c r="R963" s="553"/>
      <c r="S963" s="553"/>
      <c r="T963" s="553"/>
      <c r="U963" s="553"/>
      <c r="V963" s="553"/>
      <c r="W963" s="357"/>
      <c r="X963" s="357"/>
      <c r="Y963" s="357"/>
      <c r="Z963" s="357"/>
      <c r="AA963" s="357"/>
      <c r="AB963" s="357"/>
      <c r="AC963" s="357"/>
      <c r="AD963" s="357"/>
      <c r="AE963" s="357"/>
      <c r="AF963" s="357"/>
      <c r="AG963" s="357"/>
      <c r="AH963" s="357"/>
      <c r="AI963" s="357"/>
      <c r="AJ963" s="544"/>
      <c r="AK963" s="311"/>
      <c r="AL963" s="311"/>
      <c r="AM963" s="553"/>
      <c r="AN963" s="553"/>
      <c r="AO963" s="553"/>
      <c r="AP963" s="553"/>
      <c r="AQ963" s="553"/>
      <c r="AR963" s="553"/>
      <c r="AS963" s="553"/>
      <c r="AT963" s="553"/>
      <c r="AU963" s="553"/>
      <c r="AV963" s="553"/>
      <c r="AW963" s="553"/>
      <c r="AX963" s="553"/>
      <c r="AY963" s="553"/>
      <c r="AZ963" s="553"/>
      <c r="BA963" s="553"/>
      <c r="BB963" s="553"/>
      <c r="BC963" s="553"/>
      <c r="BD963" s="553"/>
      <c r="BE963" s="553"/>
      <c r="BF963" s="553"/>
      <c r="BG963" s="357"/>
      <c r="BH963" s="357"/>
      <c r="BI963" s="357"/>
      <c r="BJ963" s="357"/>
      <c r="BK963" s="357"/>
      <c r="BL963" s="357"/>
      <c r="BM963" s="357"/>
      <c r="BN963" s="357"/>
      <c r="BO963" s="357"/>
      <c r="BP963" s="357"/>
      <c r="BQ963" s="357"/>
      <c r="BR963" s="357"/>
      <c r="BS963" s="357"/>
      <c r="BT963" s="353"/>
      <c r="BU963" s="353"/>
      <c r="BV963" s="310"/>
      <c r="BW963" s="310"/>
      <c r="BX963" s="291">
        <f t="shared" si="64"/>
        <v>0</v>
      </c>
      <c r="BY963" s="544"/>
      <c r="BZ963" s="347"/>
      <c r="CA963" s="347"/>
      <c r="CB963" s="348"/>
      <c r="CC963" s="348"/>
      <c r="CD963" s="348"/>
      <c r="CE963" s="348"/>
      <c r="CF963" s="348"/>
    </row>
    <row r="964" spans="1:84" s="554" customFormat="1" ht="15" hidden="1" customHeight="1" x14ac:dyDescent="0.25">
      <c r="A964" s="311"/>
      <c r="B964" s="311"/>
      <c r="C964" s="553" t="s">
        <v>1130</v>
      </c>
      <c r="D964" s="553"/>
      <c r="E964" s="553"/>
      <c r="F964" s="553"/>
      <c r="G964" s="553"/>
      <c r="H964" s="553"/>
      <c r="I964" s="553"/>
      <c r="J964" s="553"/>
      <c r="K964" s="553"/>
      <c r="L964" s="553"/>
      <c r="M964" s="553"/>
      <c r="N964" s="553"/>
      <c r="O964" s="553"/>
      <c r="P964" s="553"/>
      <c r="Q964" s="553"/>
      <c r="R964" s="553"/>
      <c r="S964" s="553"/>
      <c r="T964" s="553"/>
      <c r="U964" s="553"/>
      <c r="V964" s="553"/>
      <c r="W964" s="357"/>
      <c r="X964" s="357"/>
      <c r="Y964" s="357"/>
      <c r="Z964" s="357"/>
      <c r="AA964" s="357"/>
      <c r="AB964" s="357"/>
      <c r="AC964" s="357"/>
      <c r="AD964" s="357"/>
      <c r="AE964" s="357"/>
      <c r="AF964" s="357"/>
      <c r="AG964" s="357"/>
      <c r="AH964" s="357"/>
      <c r="AI964" s="357"/>
      <c r="AJ964" s="544"/>
      <c r="AK964" s="311"/>
      <c r="AL964" s="311"/>
      <c r="AM964" s="553" t="s">
        <v>1131</v>
      </c>
      <c r="AN964" s="553"/>
      <c r="AO964" s="553"/>
      <c r="AP964" s="553"/>
      <c r="AQ964" s="553"/>
      <c r="AR964" s="553"/>
      <c r="AS964" s="553"/>
      <c r="AT964" s="553"/>
      <c r="AU964" s="553"/>
      <c r="AV964" s="553"/>
      <c r="AW964" s="553"/>
      <c r="AX964" s="553"/>
      <c r="AY964" s="553"/>
      <c r="AZ964" s="553"/>
      <c r="BA964" s="553"/>
      <c r="BB964" s="553"/>
      <c r="BC964" s="553"/>
      <c r="BD964" s="553"/>
      <c r="BE964" s="553"/>
      <c r="BF964" s="553"/>
      <c r="BG964" s="357"/>
      <c r="BH964" s="357"/>
      <c r="BI964" s="357"/>
      <c r="BJ964" s="357"/>
      <c r="BK964" s="357"/>
      <c r="BL964" s="357"/>
      <c r="BM964" s="357"/>
      <c r="BN964" s="357"/>
      <c r="BO964" s="357"/>
      <c r="BP964" s="357"/>
      <c r="BQ964" s="357"/>
      <c r="BR964" s="357"/>
      <c r="BS964" s="357"/>
      <c r="BT964" s="353"/>
      <c r="BU964" s="353"/>
      <c r="BV964" s="310"/>
      <c r="BW964" s="310"/>
      <c r="BX964" s="291">
        <f t="shared" si="64"/>
        <v>0</v>
      </c>
      <c r="BY964" s="544"/>
      <c r="BZ964" s="347"/>
      <c r="CA964" s="347"/>
      <c r="CB964" s="348"/>
      <c r="CC964" s="348"/>
      <c r="CD964" s="348"/>
      <c r="CE964" s="348"/>
      <c r="CF964" s="348"/>
    </row>
    <row r="965" spans="1:84" s="554" customFormat="1" ht="42" hidden="1" customHeight="1" x14ac:dyDescent="0.2">
      <c r="A965" s="311"/>
      <c r="B965" s="311"/>
      <c r="C965" s="556"/>
      <c r="D965" s="556"/>
      <c r="E965" s="556"/>
      <c r="F965" s="556"/>
      <c r="G965" s="556"/>
      <c r="H965" s="556"/>
      <c r="I965" s="557"/>
      <c r="J965" s="1495" t="s">
        <v>1110</v>
      </c>
      <c r="K965" s="1495"/>
      <c r="L965" s="556"/>
      <c r="M965" s="1495" t="s">
        <v>1111</v>
      </c>
      <c r="N965" s="1495"/>
      <c r="O965" s="558"/>
      <c r="P965" s="1495" t="s">
        <v>1132</v>
      </c>
      <c r="Q965" s="1495"/>
      <c r="R965" s="558"/>
      <c r="S965" s="1495" t="s">
        <v>1112</v>
      </c>
      <c r="T965" s="1495"/>
      <c r="U965" s="1495"/>
      <c r="V965" s="556"/>
      <c r="W965" s="1314" t="str">
        <f>Ky_Nay1_V</f>
        <v>31/12/2017</v>
      </c>
      <c r="X965" s="1314"/>
      <c r="Y965" s="1314"/>
      <c r="Z965" s="1314"/>
      <c r="AA965" s="1314"/>
      <c r="AB965" s="1314"/>
      <c r="AC965" s="559"/>
      <c r="AD965" s="1314" t="str">
        <f>Ky_Truoc1_V</f>
        <v>01/01/2017</v>
      </c>
      <c r="AE965" s="1314"/>
      <c r="AF965" s="1314"/>
      <c r="AG965" s="1314"/>
      <c r="AH965" s="1314"/>
      <c r="AI965" s="1314"/>
      <c r="AJ965" s="544"/>
      <c r="AK965" s="311"/>
      <c r="AL965" s="311"/>
      <c r="AM965" s="556"/>
      <c r="AN965" s="556"/>
      <c r="AO965" s="556"/>
      <c r="AP965" s="556"/>
      <c r="AQ965" s="556"/>
      <c r="AR965" s="556"/>
      <c r="AS965" s="557"/>
      <c r="AT965" s="1495" t="s">
        <v>1113</v>
      </c>
      <c r="AU965" s="1495"/>
      <c r="AV965" s="556"/>
      <c r="AW965" s="1495" t="s">
        <v>1114</v>
      </c>
      <c r="AX965" s="1495"/>
      <c r="AY965" s="558"/>
      <c r="AZ965" s="1495" t="s">
        <v>1133</v>
      </c>
      <c r="BA965" s="1495"/>
      <c r="BB965" s="558"/>
      <c r="BC965" s="1495" t="s">
        <v>1115</v>
      </c>
      <c r="BD965" s="1495"/>
      <c r="BE965" s="1495"/>
      <c r="BF965" s="556"/>
      <c r="BG965" s="1314" t="str">
        <f>Ky_Nay1_E</f>
        <v>31/12/2017</v>
      </c>
      <c r="BH965" s="1314"/>
      <c r="BI965" s="1314"/>
      <c r="BJ965" s="1314"/>
      <c r="BK965" s="1314"/>
      <c r="BL965" s="1314"/>
      <c r="BM965" s="559"/>
      <c r="BN965" s="1314" t="str">
        <f>Ky_Truoc1_E</f>
        <v>01/01/2017</v>
      </c>
      <c r="BO965" s="1314"/>
      <c r="BP965" s="1314"/>
      <c r="BQ965" s="1314"/>
      <c r="BR965" s="1314"/>
      <c r="BS965" s="1314"/>
      <c r="BT965" s="353"/>
      <c r="BU965" s="353"/>
      <c r="BV965" s="310"/>
      <c r="BW965" s="310"/>
      <c r="BX965" s="291">
        <f t="shared" si="64"/>
        <v>0</v>
      </c>
      <c r="BY965" s="544"/>
      <c r="BZ965" s="347"/>
      <c r="CA965" s="347"/>
      <c r="CB965" s="348"/>
      <c r="CC965" s="348"/>
      <c r="CD965" s="348"/>
      <c r="CE965" s="348"/>
      <c r="CF965" s="348"/>
    </row>
    <row r="966" spans="1:84" s="554" customFormat="1" ht="15" hidden="1" customHeight="1" x14ac:dyDescent="0.25">
      <c r="A966" s="311"/>
      <c r="B966" s="311"/>
      <c r="C966" s="553"/>
      <c r="D966" s="553"/>
      <c r="E966" s="553"/>
      <c r="F966" s="553"/>
      <c r="G966" s="553"/>
      <c r="H966" s="553"/>
      <c r="I966" s="553"/>
      <c r="J966" s="553"/>
      <c r="K966" s="553"/>
      <c r="L966" s="553"/>
      <c r="M966" s="1493" t="s">
        <v>1116</v>
      </c>
      <c r="N966" s="1494"/>
      <c r="O966" s="553"/>
      <c r="P966" s="568"/>
      <c r="Q966" s="569"/>
      <c r="R966" s="553"/>
      <c r="S966" s="553"/>
      <c r="T966" s="553"/>
      <c r="U966" s="553"/>
      <c r="V966" s="553"/>
      <c r="W966" s="1327" t="str">
        <f>Don_Vi_Tinh_V</f>
        <v>VND</v>
      </c>
      <c r="X966" s="1327"/>
      <c r="Y966" s="1327"/>
      <c r="Z966" s="1327"/>
      <c r="AA966" s="1327"/>
      <c r="AB966" s="1327"/>
      <c r="AC966" s="351"/>
      <c r="AD966" s="1327" t="str">
        <f>Don_Vi_Tinh_V</f>
        <v>VND</v>
      </c>
      <c r="AE966" s="1327"/>
      <c r="AF966" s="1327"/>
      <c r="AG966" s="1327"/>
      <c r="AH966" s="1327"/>
      <c r="AI966" s="1327"/>
      <c r="AJ966" s="544"/>
      <c r="AK966" s="311"/>
      <c r="AL966" s="311"/>
      <c r="AM966" s="553"/>
      <c r="AN966" s="553"/>
      <c r="AO966" s="553"/>
      <c r="AP966" s="553"/>
      <c r="AQ966" s="553"/>
      <c r="AR966" s="553"/>
      <c r="AS966" s="553"/>
      <c r="AT966" s="553"/>
      <c r="AU966" s="553"/>
      <c r="AV966" s="553"/>
      <c r="AW966" s="1493" t="s">
        <v>1116</v>
      </c>
      <c r="AX966" s="1494"/>
      <c r="AY966" s="553"/>
      <c r="AZ966" s="568"/>
      <c r="BA966" s="569"/>
      <c r="BB966" s="553"/>
      <c r="BC966" s="553"/>
      <c r="BD966" s="553"/>
      <c r="BE966" s="553"/>
      <c r="BF966" s="553"/>
      <c r="BG966" s="1327" t="str">
        <f>Don_Vi_Tinh_E</f>
        <v>VND</v>
      </c>
      <c r="BH966" s="1327"/>
      <c r="BI966" s="1327"/>
      <c r="BJ966" s="1327"/>
      <c r="BK966" s="1327"/>
      <c r="BL966" s="1327"/>
      <c r="BM966" s="351"/>
      <c r="BN966" s="1327" t="str">
        <f>Don_Vi_Tinh_E</f>
        <v>VND</v>
      </c>
      <c r="BO966" s="1327"/>
      <c r="BP966" s="1327"/>
      <c r="BQ966" s="1327"/>
      <c r="BR966" s="1327"/>
      <c r="BS966" s="1327"/>
      <c r="BT966" s="353"/>
      <c r="BU966" s="353"/>
      <c r="BV966" s="310"/>
      <c r="BW966" s="310"/>
      <c r="BX966" s="291">
        <f t="shared" si="64"/>
        <v>0</v>
      </c>
      <c r="BY966" s="544"/>
      <c r="BZ966" s="347"/>
      <c r="CA966" s="347"/>
      <c r="CB966" s="348"/>
      <c r="CC966" s="348"/>
      <c r="CD966" s="348"/>
      <c r="CE966" s="348"/>
      <c r="CF966" s="348"/>
    </row>
    <row r="967" spans="1:84" s="554" customFormat="1" ht="15" hidden="1" customHeight="1" x14ac:dyDescent="0.25">
      <c r="A967" s="311"/>
      <c r="B967" s="311"/>
      <c r="C967" s="566"/>
      <c r="D967" s="553"/>
      <c r="E967" s="553"/>
      <c r="F967" s="553"/>
      <c r="G967" s="553"/>
      <c r="H967" s="553"/>
      <c r="I967" s="553"/>
      <c r="J967" s="567"/>
      <c r="K967" s="567"/>
      <c r="L967" s="553"/>
      <c r="M967" s="567"/>
      <c r="N967" s="553"/>
      <c r="O967" s="567"/>
      <c r="P967" s="567"/>
      <c r="Q967" s="553"/>
      <c r="R967" s="553"/>
      <c r="S967" s="553"/>
      <c r="T967" s="553"/>
      <c r="U967" s="553"/>
      <c r="V967" s="553"/>
      <c r="W967" s="357"/>
      <c r="X967" s="357"/>
      <c r="Y967" s="357"/>
      <c r="Z967" s="357"/>
      <c r="AA967" s="357"/>
      <c r="AB967" s="357"/>
      <c r="AC967" s="357"/>
      <c r="AD967" s="357"/>
      <c r="AE967" s="357"/>
      <c r="AF967" s="357"/>
      <c r="AG967" s="357"/>
      <c r="AH967" s="357"/>
      <c r="AI967" s="357"/>
      <c r="AJ967" s="544"/>
      <c r="AK967" s="311"/>
      <c r="AL967" s="311"/>
      <c r="AM967" s="566"/>
      <c r="AN967" s="553"/>
      <c r="AO967" s="553"/>
      <c r="AP967" s="553"/>
      <c r="AQ967" s="553"/>
      <c r="AR967" s="553"/>
      <c r="AS967" s="553"/>
      <c r="AT967" s="567"/>
      <c r="AU967" s="567"/>
      <c r="AV967" s="553"/>
      <c r="AW967" s="567"/>
      <c r="AX967" s="553"/>
      <c r="AY967" s="567"/>
      <c r="AZ967" s="567"/>
      <c r="BA967" s="553"/>
      <c r="BB967" s="553"/>
      <c r="BC967" s="553"/>
      <c r="BD967" s="553"/>
      <c r="BE967" s="553"/>
      <c r="BF967" s="553"/>
      <c r="BG967" s="357"/>
      <c r="BH967" s="357"/>
      <c r="BI967" s="357"/>
      <c r="BJ967" s="357"/>
      <c r="BK967" s="357"/>
      <c r="BL967" s="357"/>
      <c r="BM967" s="357"/>
      <c r="BN967" s="357"/>
      <c r="BO967" s="357"/>
      <c r="BP967" s="357"/>
      <c r="BQ967" s="357"/>
      <c r="BR967" s="357"/>
      <c r="BS967" s="357"/>
      <c r="BT967" s="353"/>
      <c r="BU967" s="353"/>
      <c r="BV967" s="310"/>
      <c r="BW967" s="310"/>
      <c r="BX967" s="291">
        <f t="shared" si="64"/>
        <v>0</v>
      </c>
      <c r="BY967" s="544"/>
      <c r="BZ967" s="347"/>
      <c r="CA967" s="347"/>
      <c r="CB967" s="348"/>
      <c r="CC967" s="348"/>
      <c r="CD967" s="348"/>
      <c r="CE967" s="348"/>
      <c r="CF967" s="348"/>
    </row>
    <row r="968" spans="1:84" s="554" customFormat="1" ht="15" hidden="1" customHeight="1" x14ac:dyDescent="0.25">
      <c r="A968" s="311"/>
      <c r="B968" s="311"/>
      <c r="C968" s="566" t="s">
        <v>1117</v>
      </c>
      <c r="D968" s="553"/>
      <c r="E968" s="553"/>
      <c r="F968" s="553"/>
      <c r="G968" s="553"/>
      <c r="H968" s="553"/>
      <c r="I968" s="553"/>
      <c r="J968" s="1489" t="s">
        <v>1118</v>
      </c>
      <c r="K968" s="1489"/>
      <c r="L968" s="553"/>
      <c r="M968" s="1490">
        <v>10</v>
      </c>
      <c r="N968" s="1490"/>
      <c r="O968" s="567"/>
      <c r="P968" s="1491">
        <v>2014</v>
      </c>
      <c r="Q968" s="1491"/>
      <c r="R968" s="553"/>
      <c r="S968" s="1489" t="s">
        <v>1119</v>
      </c>
      <c r="T968" s="1489"/>
      <c r="U968" s="1489"/>
      <c r="V968" s="553"/>
      <c r="W968" s="1318"/>
      <c r="X968" s="1318"/>
      <c r="Y968" s="1318"/>
      <c r="Z968" s="1318"/>
      <c r="AA968" s="1318"/>
      <c r="AB968" s="1318"/>
      <c r="AC968" s="381"/>
      <c r="AD968" s="1318"/>
      <c r="AE968" s="1318"/>
      <c r="AF968" s="1318"/>
      <c r="AG968" s="1318"/>
      <c r="AH968" s="1318"/>
      <c r="AI968" s="1318"/>
      <c r="AJ968" s="544"/>
      <c r="AK968" s="311"/>
      <c r="AL968" s="311"/>
      <c r="AM968" s="566" t="s">
        <v>1117</v>
      </c>
      <c r="AN968" s="553"/>
      <c r="AO968" s="553"/>
      <c r="AP968" s="553"/>
      <c r="AQ968" s="553"/>
      <c r="AR968" s="553"/>
      <c r="AS968" s="553"/>
      <c r="AT968" s="1489" t="s">
        <v>1118</v>
      </c>
      <c r="AU968" s="1489"/>
      <c r="AV968" s="553"/>
      <c r="AW968" s="1490">
        <v>10</v>
      </c>
      <c r="AX968" s="1490"/>
      <c r="AY968" s="567"/>
      <c r="AZ968" s="1491">
        <v>2014</v>
      </c>
      <c r="BA968" s="1491"/>
      <c r="BB968" s="553"/>
      <c r="BC968" s="1492" t="s">
        <v>1121</v>
      </c>
      <c r="BD968" s="1492"/>
      <c r="BE968" s="1492"/>
      <c r="BF968" s="553"/>
      <c r="BG968" s="1318"/>
      <c r="BH968" s="1318"/>
      <c r="BI968" s="1318"/>
      <c r="BJ968" s="1318"/>
      <c r="BK968" s="1318"/>
      <c r="BL968" s="1318"/>
      <c r="BM968" s="381"/>
      <c r="BN968" s="1318"/>
      <c r="BO968" s="1318"/>
      <c r="BP968" s="1318"/>
      <c r="BQ968" s="1318"/>
      <c r="BR968" s="1318"/>
      <c r="BS968" s="1318"/>
      <c r="BT968" s="353"/>
      <c r="BU968" s="353"/>
      <c r="BV968" s="310"/>
      <c r="BW968" s="310"/>
      <c r="BX968" s="291">
        <f t="shared" si="64"/>
        <v>0</v>
      </c>
      <c r="BY968" s="544"/>
      <c r="BZ968" s="347"/>
      <c r="CA968" s="347"/>
      <c r="CB968" s="348"/>
      <c r="CC968" s="348"/>
      <c r="CD968" s="348"/>
      <c r="CE968" s="348"/>
      <c r="CF968" s="348"/>
    </row>
    <row r="969" spans="1:84" s="554" customFormat="1" ht="15" hidden="1" customHeight="1" x14ac:dyDescent="0.25">
      <c r="A969" s="311"/>
      <c r="B969" s="311"/>
      <c r="C969" s="566" t="s">
        <v>1122</v>
      </c>
      <c r="D969" s="553"/>
      <c r="E969" s="553"/>
      <c r="F969" s="553"/>
      <c r="G969" s="553"/>
      <c r="H969" s="553"/>
      <c r="I969" s="553"/>
      <c r="J969" s="1489" t="s">
        <v>1118</v>
      </c>
      <c r="K969" s="1489"/>
      <c r="L969" s="553"/>
      <c r="M969" s="1490">
        <v>11</v>
      </c>
      <c r="N969" s="1490"/>
      <c r="O969" s="567"/>
      <c r="P969" s="1491">
        <v>2014</v>
      </c>
      <c r="Q969" s="1491"/>
      <c r="R969" s="553"/>
      <c r="S969" s="1489" t="s">
        <v>1119</v>
      </c>
      <c r="T969" s="1489"/>
      <c r="U969" s="1489"/>
      <c r="V969" s="553"/>
      <c r="W969" s="1318"/>
      <c r="X969" s="1318"/>
      <c r="Y969" s="1318"/>
      <c r="Z969" s="1318"/>
      <c r="AA969" s="1318"/>
      <c r="AB969" s="1318"/>
      <c r="AC969" s="381"/>
      <c r="AD969" s="1318"/>
      <c r="AE969" s="1318"/>
      <c r="AF969" s="1318"/>
      <c r="AG969" s="1318"/>
      <c r="AH969" s="1318"/>
      <c r="AI969" s="1318"/>
      <c r="AJ969" s="544"/>
      <c r="AK969" s="311"/>
      <c r="AL969" s="311"/>
      <c r="AM969" s="566" t="s">
        <v>1122</v>
      </c>
      <c r="AN969" s="553"/>
      <c r="AO969" s="553"/>
      <c r="AP969" s="553"/>
      <c r="AQ969" s="553"/>
      <c r="AR969" s="553"/>
      <c r="AS969" s="553"/>
      <c r="AT969" s="1489" t="s">
        <v>1118</v>
      </c>
      <c r="AU969" s="1489"/>
      <c r="AV969" s="553"/>
      <c r="AW969" s="1490">
        <v>11</v>
      </c>
      <c r="AX969" s="1490"/>
      <c r="AY969" s="567"/>
      <c r="AZ969" s="1491">
        <v>2014</v>
      </c>
      <c r="BA969" s="1491"/>
      <c r="BB969" s="553"/>
      <c r="BC969" s="1492" t="s">
        <v>1121</v>
      </c>
      <c r="BD969" s="1492"/>
      <c r="BE969" s="1492"/>
      <c r="BF969" s="553"/>
      <c r="BG969" s="1318"/>
      <c r="BH969" s="1318"/>
      <c r="BI969" s="1318"/>
      <c r="BJ969" s="1318"/>
      <c r="BK969" s="1318"/>
      <c r="BL969" s="1318"/>
      <c r="BM969" s="381"/>
      <c r="BN969" s="1318"/>
      <c r="BO969" s="1318"/>
      <c r="BP969" s="1318"/>
      <c r="BQ969" s="1318"/>
      <c r="BR969" s="1318"/>
      <c r="BS969" s="1318"/>
      <c r="BT969" s="353"/>
      <c r="BU969" s="353"/>
      <c r="BV969" s="310"/>
      <c r="BW969" s="310"/>
      <c r="BX969" s="291">
        <f t="shared" si="64"/>
        <v>0</v>
      </c>
      <c r="BY969" s="544"/>
      <c r="BZ969" s="347"/>
      <c r="CA969" s="347"/>
      <c r="CB969" s="348"/>
      <c r="CC969" s="348"/>
      <c r="CD969" s="348"/>
      <c r="CE969" s="348"/>
      <c r="CF969" s="348"/>
    </row>
    <row r="970" spans="1:84" s="554" customFormat="1" ht="15" hidden="1" customHeight="1" x14ac:dyDescent="0.25">
      <c r="A970" s="311"/>
      <c r="B970" s="311"/>
      <c r="C970" s="553"/>
      <c r="D970" s="553"/>
      <c r="E970" s="553"/>
      <c r="F970" s="553"/>
      <c r="G970" s="553"/>
      <c r="H970" s="553"/>
      <c r="I970" s="553"/>
      <c r="J970" s="553"/>
      <c r="K970" s="553"/>
      <c r="L970" s="553"/>
      <c r="M970" s="553"/>
      <c r="N970" s="553"/>
      <c r="O970" s="553"/>
      <c r="P970" s="553"/>
      <c r="Q970" s="553"/>
      <c r="R970" s="553"/>
      <c r="S970" s="553"/>
      <c r="T970" s="553"/>
      <c r="U970" s="553"/>
      <c r="V970" s="553"/>
      <c r="W970" s="357"/>
      <c r="X970" s="357"/>
      <c r="Y970" s="357"/>
      <c r="Z970" s="357"/>
      <c r="AA970" s="357"/>
      <c r="AB970" s="357"/>
      <c r="AC970" s="357"/>
      <c r="AD970" s="357"/>
      <c r="AE970" s="357"/>
      <c r="AF970" s="357"/>
      <c r="AG970" s="357"/>
      <c r="AH970" s="357"/>
      <c r="AI970" s="357"/>
      <c r="AJ970" s="544"/>
      <c r="AK970" s="311"/>
      <c r="AL970" s="311"/>
      <c r="AM970" s="553"/>
      <c r="AN970" s="553"/>
      <c r="AO970" s="553"/>
      <c r="AP970" s="553"/>
      <c r="AQ970" s="553"/>
      <c r="AR970" s="553"/>
      <c r="AS970" s="553"/>
      <c r="AT970" s="553"/>
      <c r="AU970" s="553"/>
      <c r="AV970" s="553"/>
      <c r="AW970" s="553"/>
      <c r="AX970" s="553"/>
      <c r="AY970" s="553"/>
      <c r="AZ970" s="553"/>
      <c r="BA970" s="553"/>
      <c r="BB970" s="553"/>
      <c r="BC970" s="553"/>
      <c r="BD970" s="553"/>
      <c r="BE970" s="553"/>
      <c r="BF970" s="553"/>
      <c r="BG970" s="357"/>
      <c r="BH970" s="357"/>
      <c r="BI970" s="357"/>
      <c r="BJ970" s="357"/>
      <c r="BK970" s="357"/>
      <c r="BL970" s="357"/>
      <c r="BM970" s="357"/>
      <c r="BN970" s="357"/>
      <c r="BO970" s="357"/>
      <c r="BP970" s="357"/>
      <c r="BQ970" s="357"/>
      <c r="BR970" s="357"/>
      <c r="BS970" s="357"/>
      <c r="BT970" s="353"/>
      <c r="BU970" s="353"/>
      <c r="BV970" s="310"/>
      <c r="BW970" s="310"/>
      <c r="BX970" s="291">
        <f t="shared" si="64"/>
        <v>0</v>
      </c>
      <c r="BY970" s="544"/>
      <c r="BZ970" s="347"/>
      <c r="CA970" s="347"/>
      <c r="CB970" s="348"/>
      <c r="CC970" s="348"/>
      <c r="CD970" s="348"/>
      <c r="CE970" s="348"/>
      <c r="CF970" s="348"/>
    </row>
    <row r="971" spans="1:84" s="554" customFormat="1" ht="15" hidden="1" customHeight="1" x14ac:dyDescent="0.25">
      <c r="A971" s="311"/>
      <c r="B971" s="311"/>
      <c r="C971" s="360" t="s">
        <v>752</v>
      </c>
      <c r="D971" s="553"/>
      <c r="E971" s="553"/>
      <c r="F971" s="553"/>
      <c r="G971" s="553"/>
      <c r="H971" s="553"/>
      <c r="I971" s="553"/>
      <c r="J971" s="553"/>
      <c r="K971" s="553"/>
      <c r="L971" s="553"/>
      <c r="M971" s="553"/>
      <c r="N971" s="553"/>
      <c r="O971" s="553"/>
      <c r="P971" s="553"/>
      <c r="Q971" s="553"/>
      <c r="R971" s="553"/>
      <c r="S971" s="553"/>
      <c r="T971" s="553"/>
      <c r="U971" s="553"/>
      <c r="V971" s="553"/>
      <c r="W971" s="1488">
        <f>SUBTOTAL(109,W968:AB969)</f>
        <v>0</v>
      </c>
      <c r="X971" s="1488"/>
      <c r="Y971" s="1488"/>
      <c r="Z971" s="1488"/>
      <c r="AA971" s="1488"/>
      <c r="AB971" s="1488"/>
      <c r="AC971" s="343"/>
      <c r="AD971" s="1488">
        <f>SUBTOTAL(109,AD968:AI969)</f>
        <v>0</v>
      </c>
      <c r="AE971" s="1488"/>
      <c r="AF971" s="1488"/>
      <c r="AG971" s="1488"/>
      <c r="AH971" s="1488"/>
      <c r="AI971" s="1488"/>
      <c r="AJ971" s="544"/>
      <c r="AK971" s="311"/>
      <c r="AL971" s="311"/>
      <c r="AM971" s="360" t="s">
        <v>752</v>
      </c>
      <c r="AN971" s="553"/>
      <c r="AO971" s="553"/>
      <c r="AP971" s="553"/>
      <c r="AQ971" s="553"/>
      <c r="AR971" s="553"/>
      <c r="AS971" s="553"/>
      <c r="AT971" s="553"/>
      <c r="AU971" s="553"/>
      <c r="AV971" s="553"/>
      <c r="AW971" s="553"/>
      <c r="AX971" s="553"/>
      <c r="AY971" s="553"/>
      <c r="AZ971" s="553"/>
      <c r="BA971" s="553"/>
      <c r="BB971" s="553"/>
      <c r="BC971" s="553"/>
      <c r="BD971" s="553"/>
      <c r="BE971" s="553"/>
      <c r="BF971" s="553"/>
      <c r="BG971" s="1488">
        <f>SUBTOTAL(109,BG968:BL969)</f>
        <v>0</v>
      </c>
      <c r="BH971" s="1488"/>
      <c r="BI971" s="1488"/>
      <c r="BJ971" s="1488"/>
      <c r="BK971" s="1488"/>
      <c r="BL971" s="1488"/>
      <c r="BM971" s="343"/>
      <c r="BN971" s="1488">
        <f>SUBTOTAL(109,BN968:BS969)</f>
        <v>0</v>
      </c>
      <c r="BO971" s="1488"/>
      <c r="BP971" s="1488"/>
      <c r="BQ971" s="1488"/>
      <c r="BR971" s="1488"/>
      <c r="BS971" s="1488"/>
      <c r="BT971" s="353"/>
      <c r="BU971" s="353"/>
      <c r="BV971" s="310">
        <f>W971+W957-KN_CT320-KN_CT338</f>
        <v>-1074476402</v>
      </c>
      <c r="BW971" s="310">
        <f>AD957+AD971-KT_CT320-KT_CT338</f>
        <v>-2627000000</v>
      </c>
      <c r="BX971" s="291">
        <f t="shared" si="64"/>
        <v>0</v>
      </c>
      <c r="BY971" s="544"/>
      <c r="BZ971" s="347"/>
      <c r="CA971" s="347"/>
      <c r="CB971" s="348"/>
      <c r="CC971" s="348"/>
      <c r="CD971" s="348"/>
      <c r="CE971" s="348"/>
      <c r="CF971" s="348"/>
    </row>
    <row r="972" spans="1:84" s="554" customFormat="1" ht="15" hidden="1" customHeight="1" x14ac:dyDescent="0.25">
      <c r="A972" s="311"/>
      <c r="B972" s="311"/>
      <c r="C972" s="553"/>
      <c r="D972" s="553"/>
      <c r="E972" s="553"/>
      <c r="F972" s="553"/>
      <c r="G972" s="553"/>
      <c r="H972" s="553"/>
      <c r="I972" s="553"/>
      <c r="J972" s="553"/>
      <c r="K972" s="553"/>
      <c r="L972" s="553"/>
      <c r="M972" s="553"/>
      <c r="N972" s="553"/>
      <c r="O972" s="553"/>
      <c r="P972" s="553"/>
      <c r="Q972" s="553"/>
      <c r="R972" s="553"/>
      <c r="S972" s="553"/>
      <c r="T972" s="553"/>
      <c r="U972" s="553"/>
      <c r="V972" s="553"/>
      <c r="W972" s="357"/>
      <c r="X972" s="357"/>
      <c r="Y972" s="357"/>
      <c r="Z972" s="357"/>
      <c r="AA972" s="357"/>
      <c r="AB972" s="357"/>
      <c r="AC972" s="357"/>
      <c r="AD972" s="357"/>
      <c r="AE972" s="357"/>
      <c r="AF972" s="357"/>
      <c r="AG972" s="357"/>
      <c r="AH972" s="357"/>
      <c r="AI972" s="357"/>
      <c r="AJ972" s="544"/>
      <c r="AK972" s="311"/>
      <c r="AL972" s="311"/>
      <c r="AM972" s="553"/>
      <c r="AN972" s="553"/>
      <c r="AO972" s="553"/>
      <c r="AP972" s="553"/>
      <c r="AQ972" s="553"/>
      <c r="AR972" s="553"/>
      <c r="AS972" s="553"/>
      <c r="AT972" s="553"/>
      <c r="AU972" s="553"/>
      <c r="AV972" s="553"/>
      <c r="AW972" s="553"/>
      <c r="AX972" s="553"/>
      <c r="AY972" s="553"/>
      <c r="AZ972" s="553"/>
      <c r="BA972" s="553"/>
      <c r="BB972" s="553"/>
      <c r="BC972" s="553"/>
      <c r="BD972" s="553"/>
      <c r="BE972" s="553"/>
      <c r="BF972" s="553"/>
      <c r="BG972" s="357"/>
      <c r="BH972" s="357"/>
      <c r="BI972" s="357"/>
      <c r="BJ972" s="357"/>
      <c r="BK972" s="357"/>
      <c r="BL972" s="357"/>
      <c r="BM972" s="357"/>
      <c r="BN972" s="357"/>
      <c r="BO972" s="357"/>
      <c r="BP972" s="357"/>
      <c r="BQ972" s="357"/>
      <c r="BR972" s="357"/>
      <c r="BS972" s="357"/>
      <c r="BT972" s="353"/>
      <c r="BU972" s="353"/>
      <c r="BV972" s="310"/>
      <c r="BW972" s="310"/>
      <c r="BX972" s="291">
        <f t="shared" si="64"/>
        <v>0</v>
      </c>
      <c r="BY972" s="544"/>
      <c r="BZ972" s="347"/>
      <c r="CA972" s="347"/>
      <c r="CB972" s="348"/>
      <c r="CC972" s="348"/>
      <c r="CD972" s="348"/>
      <c r="CE972" s="348"/>
      <c r="CF972" s="348"/>
    </row>
    <row r="973" spans="1:84" s="554" customFormat="1" ht="15" hidden="1" customHeight="1" x14ac:dyDescent="0.25">
      <c r="A973" s="311"/>
      <c r="B973" s="311"/>
      <c r="C973" s="553" t="s">
        <v>1134</v>
      </c>
      <c r="D973" s="553"/>
      <c r="E973" s="553"/>
      <c r="F973" s="553"/>
      <c r="G973" s="553"/>
      <c r="H973" s="553"/>
      <c r="I973" s="553"/>
      <c r="J973" s="553"/>
      <c r="K973" s="553"/>
      <c r="L973" s="553"/>
      <c r="M973" s="553"/>
      <c r="N973" s="553"/>
      <c r="O973" s="553"/>
      <c r="P973" s="553"/>
      <c r="Q973" s="553"/>
      <c r="R973" s="553"/>
      <c r="S973" s="553"/>
      <c r="T973" s="553"/>
      <c r="U973" s="553"/>
      <c r="V973" s="553"/>
      <c r="W973" s="1318">
        <v>0</v>
      </c>
      <c r="X973" s="1318"/>
      <c r="Y973" s="1318"/>
      <c r="Z973" s="1318"/>
      <c r="AA973" s="1318"/>
      <c r="AB973" s="1318"/>
      <c r="AC973" s="381"/>
      <c r="AD973" s="1318"/>
      <c r="AE973" s="1318"/>
      <c r="AF973" s="1318"/>
      <c r="AG973" s="1318"/>
      <c r="AH973" s="1318"/>
      <c r="AI973" s="1318"/>
      <c r="AJ973" s="544"/>
      <c r="AK973" s="311"/>
      <c r="AL973" s="311"/>
      <c r="AM973" s="553" t="s">
        <v>1135</v>
      </c>
      <c r="AN973" s="553"/>
      <c r="AO973" s="553"/>
      <c r="AP973" s="553"/>
      <c r="AQ973" s="553"/>
      <c r="AR973" s="553"/>
      <c r="AS973" s="553"/>
      <c r="AT973" s="553"/>
      <c r="AU973" s="553"/>
      <c r="AV973" s="553"/>
      <c r="AW973" s="553"/>
      <c r="AX973" s="553"/>
      <c r="AY973" s="553"/>
      <c r="AZ973" s="553"/>
      <c r="BA973" s="553"/>
      <c r="BB973" s="553"/>
      <c r="BC973" s="553"/>
      <c r="BD973" s="553"/>
      <c r="BE973" s="553"/>
      <c r="BF973" s="553"/>
      <c r="BG973" s="1318">
        <v>0</v>
      </c>
      <c r="BH973" s="1318"/>
      <c r="BI973" s="1318"/>
      <c r="BJ973" s="1318"/>
      <c r="BK973" s="1318"/>
      <c r="BL973" s="1318"/>
      <c r="BM973" s="381"/>
      <c r="BN973" s="1318"/>
      <c r="BO973" s="1318"/>
      <c r="BP973" s="1318"/>
      <c r="BQ973" s="1318"/>
      <c r="BR973" s="1318"/>
      <c r="BS973" s="1318"/>
      <c r="BT973" s="353"/>
      <c r="BU973" s="353"/>
      <c r="BV973" s="310"/>
      <c r="BW973" s="310"/>
      <c r="BX973" s="291">
        <f t="shared" si="64"/>
        <v>0</v>
      </c>
      <c r="BY973" s="544"/>
      <c r="BZ973" s="347"/>
      <c r="CA973" s="347"/>
      <c r="CB973" s="348"/>
      <c r="CC973" s="348"/>
      <c r="CD973" s="348"/>
      <c r="CE973" s="348"/>
      <c r="CF973" s="348"/>
    </row>
    <row r="974" spans="1:84" s="554" customFormat="1" ht="15" hidden="1" customHeight="1" x14ac:dyDescent="0.25">
      <c r="A974" s="311"/>
      <c r="B974" s="311"/>
      <c r="C974" s="553"/>
      <c r="D974" s="553"/>
      <c r="E974" s="553"/>
      <c r="F974" s="553"/>
      <c r="G974" s="553"/>
      <c r="H974" s="553"/>
      <c r="I974" s="553"/>
      <c r="J974" s="553"/>
      <c r="K974" s="553"/>
      <c r="L974" s="553"/>
      <c r="M974" s="553"/>
      <c r="N974" s="553"/>
      <c r="O974" s="553"/>
      <c r="P974" s="553"/>
      <c r="Q974" s="553"/>
      <c r="R974" s="553"/>
      <c r="S974" s="553"/>
      <c r="T974" s="553"/>
      <c r="U974" s="553"/>
      <c r="V974" s="553"/>
      <c r="W974" s="357"/>
      <c r="X974" s="357"/>
      <c r="Y974" s="357"/>
      <c r="Z974" s="357"/>
      <c r="AA974" s="357"/>
      <c r="AB974" s="357"/>
      <c r="AC974" s="357"/>
      <c r="AD974" s="357"/>
      <c r="AE974" s="357"/>
      <c r="AF974" s="357"/>
      <c r="AG974" s="357"/>
      <c r="AH974" s="357"/>
      <c r="AI974" s="357"/>
      <c r="AJ974" s="544"/>
      <c r="AK974" s="311"/>
      <c r="AL974" s="311"/>
      <c r="AM974" s="553"/>
      <c r="AN974" s="553"/>
      <c r="AO974" s="553"/>
      <c r="AP974" s="553"/>
      <c r="AQ974" s="553"/>
      <c r="AR974" s="553"/>
      <c r="AS974" s="553"/>
      <c r="AT974" s="553"/>
      <c r="AU974" s="553"/>
      <c r="AV974" s="553"/>
      <c r="AW974" s="553"/>
      <c r="AX974" s="553"/>
      <c r="AY974" s="553"/>
      <c r="AZ974" s="553"/>
      <c r="BA974" s="553"/>
      <c r="BB974" s="553"/>
      <c r="BC974" s="553"/>
      <c r="BD974" s="553"/>
      <c r="BE974" s="553"/>
      <c r="BF974" s="553"/>
      <c r="BG974" s="357"/>
      <c r="BH974" s="357"/>
      <c r="BI974" s="357"/>
      <c r="BJ974" s="357"/>
      <c r="BK974" s="357"/>
      <c r="BL974" s="357"/>
      <c r="BM974" s="357"/>
      <c r="BN974" s="357"/>
      <c r="BO974" s="357"/>
      <c r="BP974" s="357"/>
      <c r="BQ974" s="357"/>
      <c r="BR974" s="357"/>
      <c r="BS974" s="357"/>
      <c r="BT974" s="353"/>
      <c r="BU974" s="353"/>
      <c r="BV974" s="310"/>
      <c r="BW974" s="310"/>
      <c r="BX974" s="291">
        <f t="shared" si="64"/>
        <v>0</v>
      </c>
      <c r="BY974" s="544"/>
      <c r="BZ974" s="347"/>
      <c r="CA974" s="347"/>
      <c r="CB974" s="348"/>
      <c r="CC974" s="348"/>
      <c r="CD974" s="348"/>
      <c r="CE974" s="348"/>
      <c r="CF974" s="348"/>
    </row>
    <row r="975" spans="1:84" s="571" customFormat="1" ht="15" hidden="1" customHeight="1" thickBot="1" x14ac:dyDescent="0.3">
      <c r="A975" s="311"/>
      <c r="B975" s="311"/>
      <c r="C975" s="552" t="s">
        <v>1136</v>
      </c>
      <c r="D975" s="552"/>
      <c r="E975" s="552"/>
      <c r="F975" s="552"/>
      <c r="G975" s="552"/>
      <c r="H975" s="552"/>
      <c r="I975" s="552"/>
      <c r="J975" s="552"/>
      <c r="K975" s="552"/>
      <c r="L975" s="552"/>
      <c r="M975" s="552"/>
      <c r="N975" s="552"/>
      <c r="O975" s="552"/>
      <c r="P975" s="552"/>
      <c r="Q975" s="552"/>
      <c r="R975" s="552"/>
      <c r="S975" s="552"/>
      <c r="T975" s="552"/>
      <c r="U975" s="552"/>
      <c r="V975" s="552"/>
      <c r="W975" s="1359">
        <f>SUBTOTAL(109,W971:AB973)</f>
        <v>0</v>
      </c>
      <c r="X975" s="1359"/>
      <c r="Y975" s="1359"/>
      <c r="Z975" s="1359"/>
      <c r="AA975" s="1359"/>
      <c r="AB975" s="1359"/>
      <c r="AC975" s="368"/>
      <c r="AD975" s="1359">
        <f>SUBTOTAL(109,AD971:AI973)</f>
        <v>0</v>
      </c>
      <c r="AE975" s="1359"/>
      <c r="AF975" s="1359"/>
      <c r="AG975" s="1359"/>
      <c r="AH975" s="1359"/>
      <c r="AI975" s="1359"/>
      <c r="AJ975" s="570"/>
      <c r="AK975" s="311"/>
      <c r="AL975" s="311"/>
      <c r="AM975" s="552" t="s">
        <v>1137</v>
      </c>
      <c r="AN975" s="552"/>
      <c r="AO975" s="552"/>
      <c r="AP975" s="552"/>
      <c r="AQ975" s="552"/>
      <c r="AR975" s="552"/>
      <c r="AS975" s="552"/>
      <c r="AT975" s="552"/>
      <c r="AU975" s="552"/>
      <c r="AV975" s="552"/>
      <c r="AW975" s="552"/>
      <c r="AX975" s="552"/>
      <c r="AY975" s="552"/>
      <c r="AZ975" s="552"/>
      <c r="BA975" s="552"/>
      <c r="BB975" s="552"/>
      <c r="BC975" s="552"/>
      <c r="BD975" s="552"/>
      <c r="BE975" s="552"/>
      <c r="BF975" s="552"/>
      <c r="BG975" s="1359">
        <f>SUBTOTAL(109,BG971:BL973)</f>
        <v>0</v>
      </c>
      <c r="BH975" s="1359"/>
      <c r="BI975" s="1359"/>
      <c r="BJ975" s="1359"/>
      <c r="BK975" s="1359"/>
      <c r="BL975" s="1359"/>
      <c r="BM975" s="368"/>
      <c r="BN975" s="1359">
        <f>SUBTOTAL(109,BN971:BS973)</f>
        <v>0</v>
      </c>
      <c r="BO975" s="1359"/>
      <c r="BP975" s="1359"/>
      <c r="BQ975" s="1359"/>
      <c r="BR975" s="1359"/>
      <c r="BS975" s="1359"/>
      <c r="BT975" s="470"/>
      <c r="BU975" s="470"/>
      <c r="BV975" s="310">
        <f>W975-KN_CT338</f>
        <v>0</v>
      </c>
      <c r="BW975" s="310">
        <f>AD975-KT_CT338</f>
        <v>0</v>
      </c>
      <c r="BX975" s="426">
        <f t="shared" si="64"/>
        <v>0</v>
      </c>
      <c r="BY975" s="570"/>
      <c r="BZ975" s="383"/>
      <c r="CA975" s="383"/>
      <c r="CB975" s="384"/>
      <c r="CC975" s="384"/>
      <c r="CD975" s="384"/>
      <c r="CE975" s="384"/>
      <c r="CF975" s="384"/>
    </row>
    <row r="976" spans="1:84" s="554" customFormat="1" ht="15" hidden="1" customHeight="1" thickTop="1" x14ac:dyDescent="0.25">
      <c r="A976" s="311"/>
      <c r="B976" s="311"/>
      <c r="C976" s="553"/>
      <c r="D976" s="553"/>
      <c r="E976" s="553"/>
      <c r="F976" s="553"/>
      <c r="G976" s="553"/>
      <c r="H976" s="553"/>
      <c r="I976" s="553"/>
      <c r="J976" s="553"/>
      <c r="K976" s="553"/>
      <c r="L976" s="553"/>
      <c r="M976" s="553"/>
      <c r="N976" s="553"/>
      <c r="O976" s="553"/>
      <c r="P976" s="553"/>
      <c r="Q976" s="553"/>
      <c r="R976" s="553"/>
      <c r="S976" s="553"/>
      <c r="T976" s="553"/>
      <c r="U976" s="553"/>
      <c r="V976" s="553"/>
      <c r="W976" s="357"/>
      <c r="X976" s="357"/>
      <c r="Y976" s="357"/>
      <c r="Z976" s="357"/>
      <c r="AA976" s="357"/>
      <c r="AB976" s="357"/>
      <c r="AC976" s="357"/>
      <c r="AD976" s="357"/>
      <c r="AE976" s="357"/>
      <c r="AF976" s="357"/>
      <c r="AG976" s="357"/>
      <c r="AH976" s="357"/>
      <c r="AI976" s="357"/>
      <c r="AJ976" s="544"/>
      <c r="AK976" s="311"/>
      <c r="AL976" s="311"/>
      <c r="AM976" s="553"/>
      <c r="AN976" s="553"/>
      <c r="AO976" s="553"/>
      <c r="AP976" s="553"/>
      <c r="AQ976" s="553"/>
      <c r="AR976" s="553"/>
      <c r="AS976" s="553"/>
      <c r="AT976" s="553"/>
      <c r="AU976" s="553"/>
      <c r="AV976" s="553"/>
      <c r="AW976" s="553"/>
      <c r="AX976" s="553"/>
      <c r="AY976" s="553"/>
      <c r="AZ976" s="553"/>
      <c r="BA976" s="553"/>
      <c r="BB976" s="553"/>
      <c r="BC976" s="553"/>
      <c r="BD976" s="553"/>
      <c r="BE976" s="553"/>
      <c r="BF976" s="553"/>
      <c r="BG976" s="357"/>
      <c r="BH976" s="357"/>
      <c r="BI976" s="357"/>
      <c r="BJ976" s="357"/>
      <c r="BK976" s="357"/>
      <c r="BL976" s="357"/>
      <c r="BM976" s="357"/>
      <c r="BN976" s="357"/>
      <c r="BO976" s="357"/>
      <c r="BP976" s="357"/>
      <c r="BQ976" s="357"/>
      <c r="BR976" s="357"/>
      <c r="BS976" s="357"/>
      <c r="BT976" s="353"/>
      <c r="BU976" s="353"/>
      <c r="BV976" s="310"/>
      <c r="BW976" s="310"/>
      <c r="BX976" s="291">
        <f t="shared" si="64"/>
        <v>0</v>
      </c>
      <c r="BY976" s="544"/>
      <c r="BZ976" s="347"/>
      <c r="CA976" s="347"/>
      <c r="CB976" s="348"/>
      <c r="CC976" s="348"/>
      <c r="CD976" s="348"/>
      <c r="CE976" s="348"/>
      <c r="CF976" s="348"/>
    </row>
    <row r="977" spans="1:84" s="554" customFormat="1" ht="69.95" hidden="1" customHeight="1" x14ac:dyDescent="0.25">
      <c r="A977" s="311"/>
      <c r="B977" s="311"/>
      <c r="C977" s="1486" t="s">
        <v>1138</v>
      </c>
      <c r="D977" s="1487"/>
      <c r="E977" s="1487"/>
      <c r="F977" s="1487"/>
      <c r="G977" s="1487"/>
      <c r="H977" s="1487"/>
      <c r="I977" s="1487"/>
      <c r="J977" s="1487"/>
      <c r="K977" s="1487"/>
      <c r="L977" s="1487"/>
      <c r="M977" s="1487"/>
      <c r="N977" s="1487"/>
      <c r="O977" s="1487"/>
      <c r="P977" s="1487"/>
      <c r="Q977" s="1487"/>
      <c r="R977" s="1487"/>
      <c r="S977" s="1487"/>
      <c r="T977" s="1487"/>
      <c r="U977" s="1487"/>
      <c r="V977" s="1487"/>
      <c r="W977" s="1487"/>
      <c r="X977" s="1487"/>
      <c r="Y977" s="1487"/>
      <c r="Z977" s="1487"/>
      <c r="AA977" s="1487"/>
      <c r="AB977" s="1487"/>
      <c r="AC977" s="1487"/>
      <c r="AD977" s="1487"/>
      <c r="AE977" s="1487"/>
      <c r="AF977" s="1487"/>
      <c r="AG977" s="1487"/>
      <c r="AH977" s="1487"/>
      <c r="AI977" s="1487"/>
      <c r="AJ977" s="544"/>
      <c r="AK977" s="311"/>
      <c r="AL977" s="311"/>
      <c r="AM977" s="1486" t="s">
        <v>1139</v>
      </c>
      <c r="AN977" s="1487"/>
      <c r="AO977" s="1487"/>
      <c r="AP977" s="1487"/>
      <c r="AQ977" s="1487"/>
      <c r="AR977" s="1487"/>
      <c r="AS977" s="1487"/>
      <c r="AT977" s="1487"/>
      <c r="AU977" s="1487"/>
      <c r="AV977" s="1487"/>
      <c r="AW977" s="1487"/>
      <c r="AX977" s="1487"/>
      <c r="AY977" s="1487"/>
      <c r="AZ977" s="1487"/>
      <c r="BA977" s="1487"/>
      <c r="BB977" s="1487"/>
      <c r="BC977" s="1487"/>
      <c r="BD977" s="1487"/>
      <c r="BE977" s="1487"/>
      <c r="BF977" s="1487"/>
      <c r="BG977" s="1487"/>
      <c r="BH977" s="1487"/>
      <c r="BI977" s="1487"/>
      <c r="BJ977" s="1487"/>
      <c r="BK977" s="1487"/>
      <c r="BL977" s="1487"/>
      <c r="BM977" s="1487"/>
      <c r="BN977" s="1487"/>
      <c r="BO977" s="1487"/>
      <c r="BP977" s="1487"/>
      <c r="BQ977" s="1487"/>
      <c r="BR977" s="1487"/>
      <c r="BS977" s="1487"/>
      <c r="BT977" s="353"/>
      <c r="BU977" s="353"/>
      <c r="BV977" s="310"/>
      <c r="BW977" s="310"/>
      <c r="BX977" s="291">
        <f t="shared" si="64"/>
        <v>0</v>
      </c>
      <c r="BY977" s="544"/>
      <c r="BZ977" s="347"/>
      <c r="CA977" s="347"/>
      <c r="CB977" s="348"/>
      <c r="CC977" s="348"/>
      <c r="CD977" s="348"/>
      <c r="CE977" s="348"/>
      <c r="CF977" s="348"/>
    </row>
    <row r="978" spans="1:84" s="554" customFormat="1" ht="15" hidden="1" customHeight="1" x14ac:dyDescent="0.25">
      <c r="A978" s="311"/>
      <c r="B978" s="311"/>
      <c r="C978" s="553"/>
      <c r="D978" s="553"/>
      <c r="E978" s="553"/>
      <c r="F978" s="553"/>
      <c r="G978" s="553"/>
      <c r="H978" s="553"/>
      <c r="I978" s="553"/>
      <c r="J978" s="553"/>
      <c r="K978" s="553"/>
      <c r="L978" s="553"/>
      <c r="M978" s="553"/>
      <c r="N978" s="553"/>
      <c r="O978" s="553"/>
      <c r="P978" s="553"/>
      <c r="Q978" s="553"/>
      <c r="R978" s="553"/>
      <c r="S978" s="553"/>
      <c r="T978" s="553"/>
      <c r="U978" s="553"/>
      <c r="V978" s="553"/>
      <c r="W978" s="357"/>
      <c r="X978" s="357"/>
      <c r="Y978" s="357"/>
      <c r="Z978" s="357"/>
      <c r="AA978" s="357"/>
      <c r="AB978" s="357"/>
      <c r="AC978" s="357"/>
      <c r="AD978" s="357"/>
      <c r="AE978" s="357"/>
      <c r="AF978" s="357"/>
      <c r="AG978" s="357"/>
      <c r="AH978" s="357"/>
      <c r="AI978" s="357"/>
      <c r="AJ978" s="544"/>
      <c r="AK978" s="311"/>
      <c r="AL978" s="311"/>
      <c r="AM978" s="553"/>
      <c r="AN978" s="553"/>
      <c r="AO978" s="553"/>
      <c r="AP978" s="553"/>
      <c r="AQ978" s="553"/>
      <c r="AR978" s="553"/>
      <c r="AS978" s="553"/>
      <c r="AT978" s="553"/>
      <c r="AU978" s="553"/>
      <c r="AV978" s="553"/>
      <c r="AW978" s="553"/>
      <c r="AX978" s="553"/>
      <c r="AY978" s="553"/>
      <c r="AZ978" s="553"/>
      <c r="BA978" s="553"/>
      <c r="BB978" s="553"/>
      <c r="BC978" s="553"/>
      <c r="BD978" s="553"/>
      <c r="BE978" s="553"/>
      <c r="BF978" s="553"/>
      <c r="BG978" s="357"/>
      <c r="BH978" s="357"/>
      <c r="BI978" s="357"/>
      <c r="BJ978" s="357"/>
      <c r="BK978" s="357"/>
      <c r="BL978" s="357"/>
      <c r="BM978" s="357"/>
      <c r="BN978" s="357"/>
      <c r="BO978" s="357"/>
      <c r="BP978" s="357"/>
      <c r="BQ978" s="357"/>
      <c r="BR978" s="357"/>
      <c r="BS978" s="357"/>
      <c r="BT978" s="353"/>
      <c r="BU978" s="353"/>
      <c r="BV978" s="310"/>
      <c r="BW978" s="310"/>
      <c r="BX978" s="291">
        <f t="shared" si="64"/>
        <v>0</v>
      </c>
      <c r="BY978" s="544"/>
      <c r="BZ978" s="347"/>
      <c r="CA978" s="347"/>
      <c r="CB978" s="348"/>
      <c r="CC978" s="348"/>
      <c r="CD978" s="348"/>
      <c r="CE978" s="348"/>
      <c r="CF978" s="348"/>
    </row>
    <row r="979" spans="1:84" s="554" customFormat="1" ht="15" hidden="1" customHeight="1" x14ac:dyDescent="0.25">
      <c r="A979" s="311"/>
      <c r="B979" s="311"/>
      <c r="C979" s="552" t="s">
        <v>1140</v>
      </c>
      <c r="D979" s="553"/>
      <c r="E979" s="553"/>
      <c r="F979" s="553"/>
      <c r="G979" s="553"/>
      <c r="H979" s="553"/>
      <c r="I979" s="553"/>
      <c r="J979" s="553"/>
      <c r="K979" s="553"/>
      <c r="L979" s="553"/>
      <c r="M979" s="553"/>
      <c r="N979" s="553"/>
      <c r="O979" s="553"/>
      <c r="P979" s="553"/>
      <c r="Q979" s="553"/>
      <c r="R979" s="553"/>
      <c r="S979" s="553"/>
      <c r="T979" s="553"/>
      <c r="U979" s="553"/>
      <c r="V979" s="553"/>
      <c r="W979" s="357"/>
      <c r="X979" s="357"/>
      <c r="Y979" s="357"/>
      <c r="Z979" s="357"/>
      <c r="AA979" s="357"/>
      <c r="AB979" s="357"/>
      <c r="AC979" s="357"/>
      <c r="AD979" s="357"/>
      <c r="AE979" s="357"/>
      <c r="AF979" s="357"/>
      <c r="AG979" s="357"/>
      <c r="AH979" s="357"/>
      <c r="AI979" s="357"/>
      <c r="AJ979" s="544"/>
      <c r="AK979" s="311"/>
      <c r="AL979" s="311"/>
      <c r="AM979" s="553" t="s">
        <v>1141</v>
      </c>
      <c r="AN979" s="553"/>
      <c r="AO979" s="553"/>
      <c r="AP979" s="553"/>
      <c r="AQ979" s="553"/>
      <c r="AR979" s="553"/>
      <c r="AS979" s="553"/>
      <c r="AT979" s="553"/>
      <c r="AU979" s="553"/>
      <c r="AV979" s="553"/>
      <c r="AW979" s="553"/>
      <c r="AX979" s="553"/>
      <c r="AY979" s="553"/>
      <c r="AZ979" s="553"/>
      <c r="BA979" s="553"/>
      <c r="BB979" s="553"/>
      <c r="BC979" s="553"/>
      <c r="BD979" s="553"/>
      <c r="BE979" s="553"/>
      <c r="BF979" s="553"/>
      <c r="BG979" s="357"/>
      <c r="BH979" s="357"/>
      <c r="BI979" s="357"/>
      <c r="BJ979" s="357"/>
      <c r="BK979" s="357"/>
      <c r="BL979" s="357"/>
      <c r="BM979" s="357"/>
      <c r="BN979" s="357"/>
      <c r="BO979" s="357"/>
      <c r="BP979" s="357"/>
      <c r="BQ979" s="357"/>
      <c r="BR979" s="357"/>
      <c r="BS979" s="357"/>
      <c r="BT979" s="353"/>
      <c r="BU979" s="353"/>
      <c r="BV979" s="310"/>
      <c r="BW979" s="310"/>
      <c r="BX979" s="291">
        <f t="shared" si="64"/>
        <v>0</v>
      </c>
      <c r="BY979" s="544"/>
      <c r="BZ979" s="347"/>
      <c r="CA979" s="347"/>
      <c r="CB979" s="348"/>
      <c r="CC979" s="348"/>
      <c r="CD979" s="348"/>
      <c r="CE979" s="348"/>
      <c r="CF979" s="348"/>
    </row>
    <row r="980" spans="1:84" s="554" customFormat="1" ht="27.95" hidden="1" customHeight="1" x14ac:dyDescent="0.25">
      <c r="A980" s="311"/>
      <c r="B980" s="311"/>
      <c r="C980" s="1484" t="s">
        <v>1142</v>
      </c>
      <c r="D980" s="1484"/>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4"/>
      <c r="AF980" s="1484"/>
      <c r="AG980" s="1484"/>
      <c r="AH980" s="1484"/>
      <c r="AI980" s="1484"/>
      <c r="AJ980" s="544"/>
      <c r="AK980" s="311"/>
      <c r="AL980" s="311"/>
      <c r="AM980" s="1484" t="s">
        <v>1143</v>
      </c>
      <c r="AN980" s="1484"/>
      <c r="AO980" s="1484"/>
      <c r="AP980" s="1484"/>
      <c r="AQ980" s="1484"/>
      <c r="AR980" s="1484"/>
      <c r="AS980" s="1484"/>
      <c r="AT980" s="1484"/>
      <c r="AU980" s="1484"/>
      <c r="AV980" s="1484"/>
      <c r="AW980" s="1484"/>
      <c r="AX980" s="1484"/>
      <c r="AY980" s="1484"/>
      <c r="AZ980" s="1484"/>
      <c r="BA980" s="1484"/>
      <c r="BB980" s="1484"/>
      <c r="BC980" s="1484"/>
      <c r="BD980" s="1484"/>
      <c r="BE980" s="1484"/>
      <c r="BF980" s="1484"/>
      <c r="BG980" s="1484"/>
      <c r="BH980" s="1484"/>
      <c r="BI980" s="1484"/>
      <c r="BJ980" s="1484"/>
      <c r="BK980" s="1484"/>
      <c r="BL980" s="1484"/>
      <c r="BM980" s="1484"/>
      <c r="BN980" s="1484"/>
      <c r="BO980" s="1484"/>
      <c r="BP980" s="1484"/>
      <c r="BQ980" s="1484"/>
      <c r="BR980" s="1484"/>
      <c r="BS980" s="1484"/>
      <c r="BT980" s="353"/>
      <c r="BU980" s="353"/>
      <c r="BV980" s="310"/>
      <c r="BW980" s="310"/>
      <c r="BX980" s="291">
        <f t="shared" si="64"/>
        <v>0</v>
      </c>
      <c r="BY980" s="544"/>
      <c r="BZ980" s="347"/>
      <c r="CA980" s="347"/>
      <c r="CB980" s="348"/>
      <c r="CC980" s="348"/>
      <c r="CD980" s="348"/>
      <c r="CE980" s="348"/>
      <c r="CF980" s="348"/>
    </row>
    <row r="981" spans="1:84" s="554" customFormat="1" ht="15" hidden="1" customHeight="1" x14ac:dyDescent="0.25">
      <c r="A981" s="311"/>
      <c r="B981" s="311"/>
      <c r="C981" s="1485" t="s">
        <v>1144</v>
      </c>
      <c r="D981" s="1485"/>
      <c r="E981" s="1485"/>
      <c r="F981" s="1485"/>
      <c r="G981" s="1485"/>
      <c r="H981" s="1485"/>
      <c r="I981" s="1485"/>
      <c r="J981" s="1485"/>
      <c r="K981" s="1485"/>
      <c r="L981" s="1485"/>
      <c r="M981" s="1485"/>
      <c r="N981" s="1485"/>
      <c r="O981" s="1485"/>
      <c r="P981" s="1485"/>
      <c r="Q981" s="1485"/>
      <c r="R981" s="1485"/>
      <c r="S981" s="1485"/>
      <c r="T981" s="1485"/>
      <c r="U981" s="1485"/>
      <c r="V981" s="1485"/>
      <c r="W981" s="1485"/>
      <c r="X981" s="1485"/>
      <c r="Y981" s="1485"/>
      <c r="Z981" s="1485"/>
      <c r="AA981" s="1485"/>
      <c r="AB981" s="1485"/>
      <c r="AC981" s="1485"/>
      <c r="AD981" s="1485"/>
      <c r="AE981" s="1485"/>
      <c r="AF981" s="1485"/>
      <c r="AG981" s="1485"/>
      <c r="AH981" s="1485"/>
      <c r="AI981" s="1485"/>
      <c r="AJ981" s="544"/>
      <c r="AK981" s="311"/>
      <c r="AL981" s="311"/>
      <c r="AM981" s="1485" t="s">
        <v>1144</v>
      </c>
      <c r="AN981" s="1485"/>
      <c r="AO981" s="1485"/>
      <c r="AP981" s="1485"/>
      <c r="AQ981" s="1485"/>
      <c r="AR981" s="1485"/>
      <c r="AS981" s="1485"/>
      <c r="AT981" s="1485"/>
      <c r="AU981" s="1485"/>
      <c r="AV981" s="1485"/>
      <c r="AW981" s="1485"/>
      <c r="AX981" s="1485"/>
      <c r="AY981" s="1485"/>
      <c r="AZ981" s="1485"/>
      <c r="BA981" s="1485"/>
      <c r="BB981" s="1485"/>
      <c r="BC981" s="1485"/>
      <c r="BD981" s="1485"/>
      <c r="BE981" s="1485"/>
      <c r="BF981" s="1485"/>
      <c r="BG981" s="1485"/>
      <c r="BH981" s="1485"/>
      <c r="BI981" s="1485"/>
      <c r="BJ981" s="1485"/>
      <c r="BK981" s="1485"/>
      <c r="BL981" s="1485"/>
      <c r="BM981" s="1485"/>
      <c r="BN981" s="1485"/>
      <c r="BO981" s="1485"/>
      <c r="BP981" s="1485"/>
      <c r="BQ981" s="1485"/>
      <c r="BR981" s="1485"/>
      <c r="BS981" s="1485"/>
      <c r="BT981" s="353"/>
      <c r="BU981" s="353"/>
      <c r="BV981" s="310"/>
      <c r="BW981" s="310"/>
      <c r="BX981" s="291">
        <f t="shared" si="64"/>
        <v>0</v>
      </c>
      <c r="BY981" s="544"/>
      <c r="BZ981" s="347"/>
      <c r="CA981" s="347"/>
      <c r="CB981" s="348"/>
      <c r="CC981" s="348"/>
      <c r="CD981" s="348"/>
      <c r="CE981" s="348"/>
      <c r="CF981" s="348"/>
    </row>
    <row r="982" spans="1:84" s="554" customFormat="1" ht="15" hidden="1" customHeight="1" x14ac:dyDescent="0.25">
      <c r="A982" s="311"/>
      <c r="B982" s="311"/>
      <c r="C982" s="553"/>
      <c r="D982" s="553"/>
      <c r="E982" s="553"/>
      <c r="F982" s="553"/>
      <c r="G982" s="553"/>
      <c r="H982" s="553"/>
      <c r="I982" s="553"/>
      <c r="J982" s="553"/>
      <c r="K982" s="553"/>
      <c r="L982" s="553"/>
      <c r="M982" s="553"/>
      <c r="N982" s="553"/>
      <c r="O982" s="553"/>
      <c r="P982" s="553"/>
      <c r="Q982" s="553"/>
      <c r="R982" s="553"/>
      <c r="S982" s="553"/>
      <c r="T982" s="553"/>
      <c r="U982" s="553"/>
      <c r="V982" s="553"/>
      <c r="W982" s="357"/>
      <c r="X982" s="357"/>
      <c r="Y982" s="357"/>
      <c r="Z982" s="357"/>
      <c r="AA982" s="357"/>
      <c r="AB982" s="357"/>
      <c r="AC982" s="357"/>
      <c r="AD982" s="357"/>
      <c r="AE982" s="357"/>
      <c r="AF982" s="357"/>
      <c r="AG982" s="357"/>
      <c r="AH982" s="357"/>
      <c r="AI982" s="357"/>
      <c r="AJ982" s="544"/>
      <c r="AK982" s="311"/>
      <c r="AL982" s="311"/>
      <c r="AM982" s="553"/>
      <c r="AN982" s="553"/>
      <c r="AO982" s="553"/>
      <c r="AP982" s="553"/>
      <c r="AQ982" s="553"/>
      <c r="AR982" s="553"/>
      <c r="AS982" s="553"/>
      <c r="AT982" s="553"/>
      <c r="AU982" s="553"/>
      <c r="AV982" s="553"/>
      <c r="AW982" s="553"/>
      <c r="AX982" s="553"/>
      <c r="AY982" s="553"/>
      <c r="AZ982" s="553"/>
      <c r="BA982" s="553"/>
      <c r="BB982" s="553"/>
      <c r="BC982" s="553"/>
      <c r="BD982" s="553"/>
      <c r="BE982" s="553"/>
      <c r="BF982" s="553"/>
      <c r="BG982" s="357"/>
      <c r="BH982" s="357"/>
      <c r="BI982" s="357"/>
      <c r="BJ982" s="357"/>
      <c r="BK982" s="357"/>
      <c r="BL982" s="357"/>
      <c r="BM982" s="357"/>
      <c r="BN982" s="357"/>
      <c r="BO982" s="357"/>
      <c r="BP982" s="357"/>
      <c r="BQ982" s="357"/>
      <c r="BR982" s="357"/>
      <c r="BS982" s="357"/>
      <c r="BT982" s="353"/>
      <c r="BU982" s="353"/>
      <c r="BV982" s="310"/>
      <c r="BW982" s="310"/>
      <c r="BX982" s="291">
        <f t="shared" si="64"/>
        <v>0</v>
      </c>
      <c r="BY982" s="544"/>
      <c r="BZ982" s="347"/>
      <c r="CA982" s="347"/>
      <c r="CB982" s="348"/>
      <c r="CC982" s="348"/>
      <c r="CD982" s="348"/>
      <c r="CE982" s="348"/>
      <c r="CF982" s="348"/>
    </row>
    <row r="983" spans="1:84" s="554" customFormat="1" ht="15" hidden="1" customHeight="1" x14ac:dyDescent="0.25">
      <c r="A983" s="311"/>
      <c r="B983" s="311"/>
      <c r="C983" s="552" t="s">
        <v>1145</v>
      </c>
      <c r="D983" s="553"/>
      <c r="E983" s="553"/>
      <c r="F983" s="553"/>
      <c r="G983" s="553"/>
      <c r="H983" s="553"/>
      <c r="I983" s="553"/>
      <c r="J983" s="553"/>
      <c r="K983" s="553"/>
      <c r="L983" s="553"/>
      <c r="M983" s="553"/>
      <c r="N983" s="553"/>
      <c r="O983" s="553"/>
      <c r="P983" s="553"/>
      <c r="Q983" s="553"/>
      <c r="R983" s="553"/>
      <c r="S983" s="553"/>
      <c r="T983" s="553"/>
      <c r="U983" s="553"/>
      <c r="V983" s="553"/>
      <c r="W983" s="357"/>
      <c r="X983" s="357"/>
      <c r="Y983" s="357"/>
      <c r="Z983" s="357"/>
      <c r="AA983" s="357"/>
      <c r="AB983" s="357"/>
      <c r="AC983" s="357"/>
      <c r="AD983" s="357"/>
      <c r="AE983" s="357"/>
      <c r="AF983" s="357"/>
      <c r="AG983" s="357"/>
      <c r="AH983" s="357"/>
      <c r="AI983" s="357"/>
      <c r="AJ983" s="544"/>
      <c r="AK983" s="311"/>
      <c r="AL983" s="311"/>
      <c r="AM983" s="552" t="s">
        <v>1146</v>
      </c>
      <c r="AN983" s="553"/>
      <c r="AO983" s="553"/>
      <c r="AP983" s="553"/>
      <c r="AQ983" s="553"/>
      <c r="AR983" s="553"/>
      <c r="AS983" s="553"/>
      <c r="AT983" s="553"/>
      <c r="AU983" s="553"/>
      <c r="AV983" s="553"/>
      <c r="AW983" s="553"/>
      <c r="AX983" s="553"/>
      <c r="AY983" s="553"/>
      <c r="AZ983" s="553"/>
      <c r="BA983" s="553"/>
      <c r="BB983" s="553"/>
      <c r="BC983" s="553"/>
      <c r="BD983" s="553"/>
      <c r="BE983" s="553"/>
      <c r="BF983" s="553"/>
      <c r="BG983" s="357"/>
      <c r="BH983" s="357"/>
      <c r="BI983" s="357"/>
      <c r="BJ983" s="357"/>
      <c r="BK983" s="357"/>
      <c r="BL983" s="357"/>
      <c r="BM983" s="357"/>
      <c r="BN983" s="357"/>
      <c r="BO983" s="357"/>
      <c r="BP983" s="357"/>
      <c r="BQ983" s="357"/>
      <c r="BR983" s="357"/>
      <c r="BS983" s="357"/>
      <c r="BT983" s="353"/>
      <c r="BU983" s="353"/>
      <c r="BV983" s="310"/>
      <c r="BW983" s="310"/>
      <c r="BX983" s="291">
        <f t="shared" si="64"/>
        <v>0</v>
      </c>
      <c r="BY983" s="544"/>
      <c r="BZ983" s="347"/>
      <c r="CA983" s="347"/>
      <c r="CB983" s="348"/>
      <c r="CC983" s="348"/>
      <c r="CD983" s="348"/>
      <c r="CE983" s="348"/>
      <c r="CF983" s="348"/>
    </row>
    <row r="984" spans="1:84" ht="15" hidden="1" customHeight="1" x14ac:dyDescent="0.25">
      <c r="A984" s="313"/>
      <c r="B984" s="340"/>
      <c r="C984" s="407"/>
      <c r="D984" s="407"/>
      <c r="E984" s="407"/>
      <c r="F984" s="407"/>
      <c r="G984" s="407"/>
      <c r="H984" s="407"/>
      <c r="I984" s="407"/>
      <c r="J984" s="407"/>
      <c r="K984" s="1476" t="str">
        <f>Ky_Nay1_V</f>
        <v>31/12/2017</v>
      </c>
      <c r="L984" s="1476"/>
      <c r="M984" s="1476"/>
      <c r="N984" s="1476"/>
      <c r="O984" s="1476"/>
      <c r="P984" s="1476"/>
      <c r="Q984" s="1476"/>
      <c r="R984" s="1476"/>
      <c r="S984" s="1476"/>
      <c r="T984" s="1476"/>
      <c r="U984" s="1476"/>
      <c r="V984" s="1476"/>
      <c r="W984" s="371"/>
      <c r="X984" s="1476" t="str">
        <f>Ky_Truoc1_V</f>
        <v>01/01/2017</v>
      </c>
      <c r="Y984" s="1476"/>
      <c r="Z984" s="1476"/>
      <c r="AA984" s="1476"/>
      <c r="AB984" s="1476"/>
      <c r="AC984" s="1476"/>
      <c r="AD984" s="1476"/>
      <c r="AE984" s="1476"/>
      <c r="AF984" s="1476"/>
      <c r="AG984" s="1476"/>
      <c r="AH984" s="1476"/>
      <c r="AI984" s="1476"/>
      <c r="AJ984" s="344"/>
      <c r="AK984" s="345"/>
      <c r="AL984" s="340"/>
      <c r="AM984" s="407"/>
      <c r="AN984" s="407"/>
      <c r="AO984" s="407"/>
      <c r="AP984" s="407"/>
      <c r="AQ984" s="407"/>
      <c r="AR984" s="407"/>
      <c r="AS984" s="407"/>
      <c r="AT984" s="407"/>
      <c r="AU984" s="1476" t="str">
        <f>Ky_Nay1_E</f>
        <v>31/12/2017</v>
      </c>
      <c r="AV984" s="1476"/>
      <c r="AW984" s="1476"/>
      <c r="AX984" s="1476"/>
      <c r="AY984" s="1476"/>
      <c r="AZ984" s="1476"/>
      <c r="BA984" s="1476"/>
      <c r="BB984" s="1476"/>
      <c r="BC984" s="1476"/>
      <c r="BD984" s="1476"/>
      <c r="BE984" s="1476"/>
      <c r="BF984" s="1476"/>
      <c r="BG984" s="371"/>
      <c r="BH984" s="1476" t="str">
        <f>Ky_Truoc1_E</f>
        <v>01/01/2017</v>
      </c>
      <c r="BI984" s="1476"/>
      <c r="BJ984" s="1476"/>
      <c r="BK984" s="1476"/>
      <c r="BL984" s="1476"/>
      <c r="BM984" s="1476"/>
      <c r="BN984" s="1476"/>
      <c r="BO984" s="1476"/>
      <c r="BP984" s="1476"/>
      <c r="BQ984" s="1476"/>
      <c r="BR984" s="1476"/>
      <c r="BS984" s="1476"/>
      <c r="BT984" s="352"/>
      <c r="BU984" s="353"/>
      <c r="BV984" s="310"/>
      <c r="BW984" s="310"/>
      <c r="BX984" s="291">
        <f t="shared" ref="BX984:BX1062" si="65">IF(ISNONTEXT($C984),0,SUM(D984:AI984)-SUM(AN984:BS984))</f>
        <v>0</v>
      </c>
      <c r="BY984" s="344"/>
      <c r="BZ984" s="347"/>
      <c r="CA984" s="347"/>
    </row>
    <row r="985" spans="1:84" ht="15" hidden="1" customHeight="1" x14ac:dyDescent="0.25">
      <c r="A985" s="313"/>
      <c r="B985" s="340"/>
      <c r="C985" s="407"/>
      <c r="D985" s="407"/>
      <c r="E985" s="407"/>
      <c r="F985" s="407"/>
      <c r="G985" s="407"/>
      <c r="H985" s="407"/>
      <c r="I985" s="407"/>
      <c r="J985" s="407"/>
      <c r="K985" s="1483" t="s">
        <v>1147</v>
      </c>
      <c r="L985" s="1483"/>
      <c r="M985" s="1483"/>
      <c r="N985" s="1483"/>
      <c r="O985" s="1483"/>
      <c r="P985" s="1483"/>
      <c r="Q985" s="460"/>
      <c r="R985" s="1477" t="s">
        <v>1148</v>
      </c>
      <c r="S985" s="1477"/>
      <c r="T985" s="1477"/>
      <c r="U985" s="1477"/>
      <c r="V985" s="1477"/>
      <c r="W985" s="461"/>
      <c r="X985" s="1483" t="s">
        <v>1147</v>
      </c>
      <c r="Y985" s="1483"/>
      <c r="Z985" s="1483"/>
      <c r="AA985" s="1483"/>
      <c r="AB985" s="1483"/>
      <c r="AC985" s="1483"/>
      <c r="AD985" s="371"/>
      <c r="AE985" s="1477" t="s">
        <v>1148</v>
      </c>
      <c r="AF985" s="1477"/>
      <c r="AG985" s="1477"/>
      <c r="AH985" s="1477"/>
      <c r="AI985" s="1477"/>
      <c r="AJ985" s="344"/>
      <c r="AK985" s="345"/>
      <c r="AL985" s="340"/>
      <c r="AM985" s="407"/>
      <c r="AN985" s="407"/>
      <c r="AO985" s="407"/>
      <c r="AP985" s="407"/>
      <c r="AQ985" s="407"/>
      <c r="AR985" s="407"/>
      <c r="AS985" s="407"/>
      <c r="AT985" s="407"/>
      <c r="AU985" s="1483" t="s">
        <v>1149</v>
      </c>
      <c r="AV985" s="1483"/>
      <c r="AW985" s="1483"/>
      <c r="AX985" s="1483"/>
      <c r="AY985" s="1483"/>
      <c r="AZ985" s="1483"/>
      <c r="BA985" s="460"/>
      <c r="BB985" s="1477" t="s">
        <v>1150</v>
      </c>
      <c r="BC985" s="1477"/>
      <c r="BD985" s="1477"/>
      <c r="BE985" s="1477"/>
      <c r="BF985" s="1477"/>
      <c r="BG985" s="461"/>
      <c r="BH985" s="1483" t="s">
        <v>1149</v>
      </c>
      <c r="BI985" s="1483"/>
      <c r="BJ985" s="1483"/>
      <c r="BK985" s="1483"/>
      <c r="BL985" s="1483"/>
      <c r="BM985" s="1483"/>
      <c r="BN985" s="371"/>
      <c r="BO985" s="1477" t="s">
        <v>1150</v>
      </c>
      <c r="BP985" s="1477"/>
      <c r="BQ985" s="1477"/>
      <c r="BR985" s="1477"/>
      <c r="BS985" s="1477"/>
      <c r="BT985" s="352"/>
      <c r="BU985" s="353"/>
      <c r="BV985" s="310"/>
      <c r="BW985" s="310"/>
      <c r="BX985" s="291">
        <f t="shared" si="65"/>
        <v>0</v>
      </c>
      <c r="BY985" s="344"/>
      <c r="BZ985" s="347"/>
      <c r="CA985" s="347"/>
    </row>
    <row r="986" spans="1:84" ht="15" hidden="1" customHeight="1" x14ac:dyDescent="0.25">
      <c r="A986" s="313"/>
      <c r="B986" s="340"/>
      <c r="C986" s="407"/>
      <c r="D986" s="407"/>
      <c r="E986" s="407"/>
      <c r="F986" s="407"/>
      <c r="G986" s="407"/>
      <c r="H986" s="407"/>
      <c r="I986" s="407"/>
      <c r="J986" s="407"/>
      <c r="K986" s="1401" t="str">
        <f>Don_Vi_Tinh_V</f>
        <v>VND</v>
      </c>
      <c r="L986" s="1401"/>
      <c r="M986" s="1401"/>
      <c r="N986" s="1401"/>
      <c r="O986" s="1401"/>
      <c r="P986" s="1401"/>
      <c r="Q986" s="371"/>
      <c r="R986" s="1401" t="str">
        <f>Don_Vi_Tinh_V</f>
        <v>VND</v>
      </c>
      <c r="S986" s="1401"/>
      <c r="T986" s="1401"/>
      <c r="U986" s="1401"/>
      <c r="V986" s="1401"/>
      <c r="W986" s="371"/>
      <c r="X986" s="1401" t="str">
        <f>Don_Vi_Tinh_V</f>
        <v>VND</v>
      </c>
      <c r="Y986" s="1401"/>
      <c r="Z986" s="1401"/>
      <c r="AA986" s="1401"/>
      <c r="AB986" s="1401"/>
      <c r="AC986" s="1401"/>
      <c r="AD986" s="372"/>
      <c r="AE986" s="1401" t="str">
        <f>Don_Vi_Tinh_V</f>
        <v>VND</v>
      </c>
      <c r="AF986" s="1401"/>
      <c r="AG986" s="1401"/>
      <c r="AH986" s="1401"/>
      <c r="AI986" s="1401"/>
      <c r="AJ986" s="344"/>
      <c r="AK986" s="345"/>
      <c r="AL986" s="340"/>
      <c r="AM986" s="407"/>
      <c r="AN986" s="407"/>
      <c r="AO986" s="407"/>
      <c r="AP986" s="407"/>
      <c r="AQ986" s="407"/>
      <c r="AR986" s="407"/>
      <c r="AS986" s="407"/>
      <c r="AT986" s="407"/>
      <c r="AU986" s="1401" t="str">
        <f>Don_Vi_Tinh_E</f>
        <v>VND</v>
      </c>
      <c r="AV986" s="1401"/>
      <c r="AW986" s="1401"/>
      <c r="AX986" s="1401"/>
      <c r="AY986" s="1401"/>
      <c r="AZ986" s="1401"/>
      <c r="BA986" s="371"/>
      <c r="BB986" s="1401" t="str">
        <f>Don_Vi_Tinh_E</f>
        <v>VND</v>
      </c>
      <c r="BC986" s="1401"/>
      <c r="BD986" s="1401"/>
      <c r="BE986" s="1401"/>
      <c r="BF986" s="1401"/>
      <c r="BG986" s="371"/>
      <c r="BH986" s="1401" t="str">
        <f>Don_Vi_Tinh_E</f>
        <v>VND</v>
      </c>
      <c r="BI986" s="1401"/>
      <c r="BJ986" s="1401"/>
      <c r="BK986" s="1401"/>
      <c r="BL986" s="1401"/>
      <c r="BM986" s="1401"/>
      <c r="BN986" s="371"/>
      <c r="BO986" s="1401" t="str">
        <f>Don_Vi_Tinh_E</f>
        <v>VND</v>
      </c>
      <c r="BP986" s="1401"/>
      <c r="BQ986" s="1401"/>
      <c r="BR986" s="1401"/>
      <c r="BS986" s="1401"/>
      <c r="BT986" s="352"/>
      <c r="BU986" s="353"/>
      <c r="BV986" s="310"/>
      <c r="BW986" s="310"/>
      <c r="BX986" s="291">
        <f t="shared" si="65"/>
        <v>0</v>
      </c>
      <c r="BY986" s="344"/>
      <c r="BZ986" s="347"/>
      <c r="CA986" s="347"/>
    </row>
    <row r="987" spans="1:84" ht="15" hidden="1" customHeight="1" x14ac:dyDescent="0.25">
      <c r="A987" s="313"/>
      <c r="B987" s="340"/>
      <c r="C987" s="407"/>
      <c r="D987" s="407"/>
      <c r="E987" s="407"/>
      <c r="F987" s="407"/>
      <c r="G987" s="407"/>
      <c r="H987" s="407"/>
      <c r="I987" s="407"/>
      <c r="J987" s="407"/>
      <c r="K987" s="355"/>
      <c r="L987" s="355"/>
      <c r="M987" s="355"/>
      <c r="N987" s="355"/>
      <c r="O987" s="355"/>
      <c r="P987" s="373"/>
      <c r="Q987" s="355"/>
      <c r="R987" s="355"/>
      <c r="S987" s="355"/>
      <c r="T987" s="355"/>
      <c r="U987" s="355"/>
      <c r="V987" s="355"/>
      <c r="W987" s="355"/>
      <c r="X987" s="355"/>
      <c r="Y987" s="355"/>
      <c r="Z987" s="355"/>
      <c r="AA987" s="355"/>
      <c r="AB987" s="355"/>
      <c r="AC987" s="355"/>
      <c r="AD987" s="355"/>
      <c r="AE987" s="355"/>
      <c r="AF987" s="355"/>
      <c r="AG987" s="355"/>
      <c r="AH987" s="355"/>
      <c r="AI987" s="355"/>
      <c r="AJ987" s="344"/>
      <c r="AK987" s="345"/>
      <c r="AL987" s="340"/>
      <c r="AM987" s="407"/>
      <c r="AN987" s="407"/>
      <c r="AO987" s="407"/>
      <c r="AP987" s="407"/>
      <c r="AQ987" s="407"/>
      <c r="AR987" s="407"/>
      <c r="AS987" s="407"/>
      <c r="AT987" s="407"/>
      <c r="AU987" s="355"/>
      <c r="AV987" s="355"/>
      <c r="AW987" s="355"/>
      <c r="AX987" s="355"/>
      <c r="AY987" s="355"/>
      <c r="AZ987" s="373"/>
      <c r="BA987" s="355"/>
      <c r="BB987" s="355"/>
      <c r="BC987" s="355"/>
      <c r="BD987" s="355"/>
      <c r="BE987" s="355"/>
      <c r="BF987" s="355"/>
      <c r="BG987" s="355"/>
      <c r="BH987" s="355"/>
      <c r="BI987" s="355"/>
      <c r="BJ987" s="355"/>
      <c r="BK987" s="355"/>
      <c r="BL987" s="355"/>
      <c r="BM987" s="355"/>
      <c r="BN987" s="355"/>
      <c r="BO987" s="355"/>
      <c r="BP987" s="355"/>
      <c r="BQ987" s="355"/>
      <c r="BR987" s="355"/>
      <c r="BS987" s="355"/>
      <c r="BT987" s="352"/>
      <c r="BU987" s="353"/>
      <c r="BV987" s="310"/>
      <c r="BW987" s="310"/>
      <c r="BX987" s="291">
        <f t="shared" si="65"/>
        <v>0</v>
      </c>
      <c r="BY987" s="344"/>
      <c r="BZ987" s="347"/>
      <c r="CA987" s="347"/>
    </row>
    <row r="988" spans="1:84" s="423" customFormat="1" ht="15" hidden="1" customHeight="1" x14ac:dyDescent="0.25">
      <c r="A988" s="313"/>
      <c r="B988" s="340"/>
      <c r="C988" s="407" t="s">
        <v>561</v>
      </c>
      <c r="D988" s="407"/>
      <c r="E988" s="407"/>
      <c r="F988" s="407"/>
      <c r="G988" s="407"/>
      <c r="H988" s="407"/>
      <c r="I988" s="407"/>
      <c r="J988" s="407"/>
      <c r="K988" s="1474"/>
      <c r="L988" s="1474"/>
      <c r="M988" s="1474"/>
      <c r="N988" s="1474"/>
      <c r="O988" s="1474"/>
      <c r="P988" s="1474"/>
      <c r="Q988" s="433"/>
      <c r="R988" s="1474"/>
      <c r="S988" s="1474"/>
      <c r="T988" s="1474"/>
      <c r="U988" s="1474"/>
      <c r="V988" s="1474"/>
      <c r="W988" s="433"/>
      <c r="X988" s="1474"/>
      <c r="Y988" s="1474"/>
      <c r="Z988" s="1474"/>
      <c r="AA988" s="1474"/>
      <c r="AB988" s="1474"/>
      <c r="AC988" s="1474"/>
      <c r="AD988" s="355"/>
      <c r="AE988" s="1474"/>
      <c r="AF988" s="1474"/>
      <c r="AG988" s="1474"/>
      <c r="AH988" s="1474"/>
      <c r="AI988" s="1474"/>
      <c r="AJ988" s="342"/>
      <c r="AK988" s="345"/>
      <c r="AL988" s="340"/>
      <c r="AM988" s="407" t="s">
        <v>1151</v>
      </c>
      <c r="AN988" s="407"/>
      <c r="AO988" s="407"/>
      <c r="AP988" s="407"/>
      <c r="AQ988" s="407"/>
      <c r="AR988" s="407"/>
      <c r="AS988" s="407"/>
      <c r="AT988" s="407"/>
      <c r="AU988" s="1474">
        <f>K988</f>
        <v>0</v>
      </c>
      <c r="AV988" s="1474"/>
      <c r="AW988" s="1474"/>
      <c r="AX988" s="1474"/>
      <c r="AY988" s="1474"/>
      <c r="AZ988" s="1474"/>
      <c r="BA988" s="433"/>
      <c r="BB988" s="1474">
        <f>R988</f>
        <v>0</v>
      </c>
      <c r="BC988" s="1474"/>
      <c r="BD988" s="1474"/>
      <c r="BE988" s="1474"/>
      <c r="BF988" s="1474"/>
      <c r="BG988" s="433"/>
      <c r="BH988" s="1474">
        <f>X988</f>
        <v>0</v>
      </c>
      <c r="BI988" s="1474"/>
      <c r="BJ988" s="1474"/>
      <c r="BK988" s="1474"/>
      <c r="BL988" s="1474"/>
      <c r="BM988" s="1474"/>
      <c r="BN988" s="355"/>
      <c r="BO988" s="1474">
        <f>AE988</f>
        <v>0</v>
      </c>
      <c r="BP988" s="1474"/>
      <c r="BQ988" s="1474"/>
      <c r="BR988" s="1474"/>
      <c r="BS988" s="1474"/>
      <c r="BT988" s="352"/>
      <c r="BU988" s="353"/>
      <c r="BV988" s="310"/>
      <c r="BW988" s="310"/>
      <c r="BX988" s="300">
        <f t="shared" si="65"/>
        <v>0</v>
      </c>
      <c r="BY988" s="342"/>
      <c r="BZ988" s="438"/>
      <c r="CA988" s="438"/>
      <c r="CB988" s="439"/>
      <c r="CC988" s="439"/>
      <c r="CD988" s="439"/>
      <c r="CE988" s="439"/>
      <c r="CF988" s="439"/>
    </row>
    <row r="989" spans="1:84" s="423" customFormat="1" ht="15" hidden="1" customHeight="1" x14ac:dyDescent="0.25">
      <c r="A989" s="313"/>
      <c r="B989" s="340"/>
      <c r="C989" s="407" t="s">
        <v>1152</v>
      </c>
      <c r="D989" s="407"/>
      <c r="E989" s="407"/>
      <c r="F989" s="407"/>
      <c r="G989" s="407"/>
      <c r="H989" s="407"/>
      <c r="I989" s="407"/>
      <c r="J989" s="407"/>
      <c r="K989" s="1474"/>
      <c r="L989" s="1474"/>
      <c r="M989" s="1474"/>
      <c r="N989" s="1474"/>
      <c r="O989" s="1474"/>
      <c r="P989" s="1474"/>
      <c r="Q989" s="433"/>
      <c r="R989" s="1474"/>
      <c r="S989" s="1474"/>
      <c r="T989" s="1474"/>
      <c r="U989" s="1474"/>
      <c r="V989" s="1474"/>
      <c r="W989" s="433"/>
      <c r="X989" s="1474"/>
      <c r="Y989" s="1474"/>
      <c r="Z989" s="1474"/>
      <c r="AA989" s="1474"/>
      <c r="AB989" s="1474"/>
      <c r="AC989" s="1474"/>
      <c r="AD989" s="355"/>
      <c r="AE989" s="1474"/>
      <c r="AF989" s="1474"/>
      <c r="AG989" s="1474"/>
      <c r="AH989" s="1474"/>
      <c r="AI989" s="1474"/>
      <c r="AJ989" s="342"/>
      <c r="AK989" s="345"/>
      <c r="AL989" s="340"/>
      <c r="AM989" s="407" t="s">
        <v>1153</v>
      </c>
      <c r="AN989" s="407"/>
      <c r="AO989" s="407"/>
      <c r="AP989" s="407"/>
      <c r="AQ989" s="407"/>
      <c r="AR989" s="407"/>
      <c r="AS989" s="407"/>
      <c r="AT989" s="407"/>
      <c r="AU989" s="1474">
        <f>K989</f>
        <v>0</v>
      </c>
      <c r="AV989" s="1474"/>
      <c r="AW989" s="1474"/>
      <c r="AX989" s="1474"/>
      <c r="AY989" s="1474"/>
      <c r="AZ989" s="1474"/>
      <c r="BA989" s="433"/>
      <c r="BB989" s="1474">
        <f>R989</f>
        <v>0</v>
      </c>
      <c r="BC989" s="1474"/>
      <c r="BD989" s="1474"/>
      <c r="BE989" s="1474"/>
      <c r="BF989" s="1474"/>
      <c r="BG989" s="433"/>
      <c r="BH989" s="1474">
        <f>X989</f>
        <v>0</v>
      </c>
      <c r="BI989" s="1474"/>
      <c r="BJ989" s="1474"/>
      <c r="BK989" s="1474"/>
      <c r="BL989" s="1474"/>
      <c r="BM989" s="1474"/>
      <c r="BN989" s="355"/>
      <c r="BO989" s="1474">
        <f>AE989</f>
        <v>0</v>
      </c>
      <c r="BP989" s="1474"/>
      <c r="BQ989" s="1474"/>
      <c r="BR989" s="1474"/>
      <c r="BS989" s="1474"/>
      <c r="BT989" s="352"/>
      <c r="BU989" s="353"/>
      <c r="BV989" s="310"/>
      <c r="BW989" s="310"/>
      <c r="BX989" s="300">
        <f t="shared" si="65"/>
        <v>0</v>
      </c>
      <c r="BY989" s="342"/>
      <c r="BZ989" s="438"/>
      <c r="CA989" s="438"/>
      <c r="CB989" s="439"/>
      <c r="CC989" s="439"/>
      <c r="CD989" s="439"/>
      <c r="CE989" s="439"/>
      <c r="CF989" s="439"/>
    </row>
    <row r="990" spans="1:84" ht="15" hidden="1" customHeight="1" x14ac:dyDescent="0.25">
      <c r="A990" s="313"/>
      <c r="B990" s="340"/>
      <c r="C990" s="407"/>
      <c r="D990" s="407"/>
      <c r="E990" s="407"/>
      <c r="F990" s="407"/>
      <c r="G990" s="407"/>
      <c r="H990" s="407"/>
      <c r="I990" s="407"/>
      <c r="J990" s="407"/>
      <c r="K990" s="433"/>
      <c r="L990" s="433"/>
      <c r="M990" s="433"/>
      <c r="N990" s="433"/>
      <c r="O990" s="433"/>
      <c r="P990" s="464"/>
      <c r="Q990" s="433"/>
      <c r="R990" s="433"/>
      <c r="S990" s="433"/>
      <c r="T990" s="433"/>
      <c r="U990" s="433"/>
      <c r="V990" s="433"/>
      <c r="W990" s="433"/>
      <c r="X990" s="433"/>
      <c r="Y990" s="433"/>
      <c r="Z990" s="433"/>
      <c r="AA990" s="433"/>
      <c r="AB990" s="433"/>
      <c r="AC990" s="433"/>
      <c r="AD990" s="464"/>
      <c r="AE990" s="433"/>
      <c r="AF990" s="433"/>
      <c r="AG990" s="433"/>
      <c r="AH990" s="433"/>
      <c r="AI990" s="433"/>
      <c r="AJ990" s="344"/>
      <c r="AK990" s="345"/>
      <c r="AL990" s="340"/>
      <c r="AM990" s="407"/>
      <c r="AN990" s="407"/>
      <c r="AO990" s="407"/>
      <c r="AP990" s="407"/>
      <c r="AQ990" s="407"/>
      <c r="AR990" s="407"/>
      <c r="AS990" s="407"/>
      <c r="AT990" s="407"/>
      <c r="AU990" s="433"/>
      <c r="AV990" s="433"/>
      <c r="AW990" s="433"/>
      <c r="AX990" s="433"/>
      <c r="AY990" s="433"/>
      <c r="AZ990" s="464"/>
      <c r="BA990" s="433"/>
      <c r="BB990" s="433"/>
      <c r="BC990" s="433"/>
      <c r="BD990" s="433"/>
      <c r="BE990" s="433"/>
      <c r="BF990" s="433"/>
      <c r="BG990" s="433"/>
      <c r="BH990" s="433"/>
      <c r="BI990" s="433"/>
      <c r="BJ990" s="433"/>
      <c r="BK990" s="433"/>
      <c r="BL990" s="433"/>
      <c r="BM990" s="433"/>
      <c r="BN990" s="464"/>
      <c r="BO990" s="433"/>
      <c r="BP990" s="433"/>
      <c r="BQ990" s="433"/>
      <c r="BR990" s="433"/>
      <c r="BS990" s="433"/>
      <c r="BT990" s="352"/>
      <c r="BU990" s="353"/>
      <c r="BV990" s="310"/>
      <c r="BW990" s="310"/>
      <c r="BX990" s="291">
        <f t="shared" si="65"/>
        <v>0</v>
      </c>
      <c r="BY990" s="344"/>
      <c r="BZ990" s="347"/>
      <c r="CA990" s="347"/>
    </row>
    <row r="991" spans="1:84" ht="15" hidden="1" customHeight="1" thickBot="1" x14ac:dyDescent="0.3">
      <c r="A991" s="313"/>
      <c r="B991" s="340"/>
      <c r="C991" s="360" t="s">
        <v>752</v>
      </c>
      <c r="D991" s="407"/>
      <c r="E991" s="407"/>
      <c r="F991" s="407"/>
      <c r="G991" s="407"/>
      <c r="H991" s="407"/>
      <c r="I991" s="407"/>
      <c r="J991" s="407"/>
      <c r="K991" s="1359">
        <f>SUBTOTAL(109,K988:P989)</f>
        <v>0</v>
      </c>
      <c r="L991" s="1359"/>
      <c r="M991" s="1359"/>
      <c r="N991" s="1359"/>
      <c r="O991" s="1359"/>
      <c r="P991" s="1359"/>
      <c r="Q991" s="465"/>
      <c r="R991" s="1475">
        <f>SUBTOTAL(109,R988:V989)</f>
        <v>0</v>
      </c>
      <c r="S991" s="1475"/>
      <c r="T991" s="1475"/>
      <c r="U991" s="1475"/>
      <c r="V991" s="1475"/>
      <c r="W991" s="465"/>
      <c r="X991" s="1359">
        <f>SUBTOTAL(109,X988:AC989)</f>
        <v>0</v>
      </c>
      <c r="Y991" s="1359"/>
      <c r="Z991" s="1359"/>
      <c r="AA991" s="1359"/>
      <c r="AB991" s="1359"/>
      <c r="AC991" s="1359"/>
      <c r="AD991" s="355"/>
      <c r="AE991" s="1475">
        <f>SUBTOTAL(109,AE988:AI989)</f>
        <v>0</v>
      </c>
      <c r="AF991" s="1475"/>
      <c r="AG991" s="1475"/>
      <c r="AH991" s="1475"/>
      <c r="AI991" s="1475"/>
      <c r="AJ991" s="344"/>
      <c r="AK991" s="345"/>
      <c r="AL991" s="340"/>
      <c r="AM991" s="360" t="s">
        <v>752</v>
      </c>
      <c r="AN991" s="407"/>
      <c r="AO991" s="407"/>
      <c r="AP991" s="407"/>
      <c r="AQ991" s="407"/>
      <c r="AR991" s="407"/>
      <c r="AS991" s="407"/>
      <c r="AT991" s="407"/>
      <c r="AU991" s="1359">
        <f>SUBTOTAL(109,AU988:AY989)</f>
        <v>0</v>
      </c>
      <c r="AV991" s="1359"/>
      <c r="AW991" s="1359"/>
      <c r="AX991" s="1359"/>
      <c r="AY991" s="1359"/>
      <c r="AZ991" s="1359"/>
      <c r="BA991" s="465"/>
      <c r="BB991" s="1475">
        <f>SUBTOTAL(109,BB988:BF989)</f>
        <v>0</v>
      </c>
      <c r="BC991" s="1475"/>
      <c r="BD991" s="1475"/>
      <c r="BE991" s="1475"/>
      <c r="BF991" s="1475"/>
      <c r="BG991" s="465"/>
      <c r="BH991" s="1359">
        <f>SUBTOTAL(109,BH988:BL989)</f>
        <v>0</v>
      </c>
      <c r="BI991" s="1359"/>
      <c r="BJ991" s="1359"/>
      <c r="BK991" s="1359"/>
      <c r="BL991" s="1359"/>
      <c r="BM991" s="1359"/>
      <c r="BN991" s="355"/>
      <c r="BO991" s="1475">
        <f>SUBTOTAL(109,BO988:BS989)</f>
        <v>0</v>
      </c>
      <c r="BP991" s="1475"/>
      <c r="BQ991" s="1475"/>
      <c r="BR991" s="1475"/>
      <c r="BS991" s="1475"/>
      <c r="BT991" s="352"/>
      <c r="BU991" s="353"/>
      <c r="BV991" s="310"/>
      <c r="BW991" s="310"/>
      <c r="BX991" s="291">
        <f t="shared" si="65"/>
        <v>0</v>
      </c>
      <c r="BY991" s="344"/>
      <c r="BZ991" s="347"/>
      <c r="CA991" s="347"/>
    </row>
    <row r="992" spans="1:84" ht="15" hidden="1" customHeight="1" thickTop="1" x14ac:dyDescent="0.25">
      <c r="A992" s="313"/>
      <c r="B992" s="340"/>
      <c r="C992" s="572" t="s">
        <v>1154</v>
      </c>
      <c r="D992" s="407"/>
      <c r="E992" s="407"/>
      <c r="F992" s="407"/>
      <c r="G992" s="407"/>
      <c r="H992" s="407"/>
      <c r="I992" s="407"/>
      <c r="J992" s="407"/>
      <c r="K992" s="407"/>
      <c r="L992" s="407"/>
      <c r="M992" s="465"/>
      <c r="N992" s="465"/>
      <c r="O992" s="465"/>
      <c r="P992" s="465"/>
      <c r="Q992" s="465"/>
      <c r="R992" s="465"/>
      <c r="S992" s="465"/>
      <c r="T992" s="465"/>
      <c r="U992" s="465"/>
      <c r="V992" s="465"/>
      <c r="W992" s="465"/>
      <c r="X992" s="465"/>
      <c r="Y992" s="465"/>
      <c r="Z992" s="465"/>
      <c r="AA992" s="465"/>
      <c r="AB992" s="465"/>
      <c r="AC992" s="465"/>
      <c r="AD992" s="363"/>
      <c r="AE992" s="465"/>
      <c r="AF992" s="465"/>
      <c r="AG992" s="465"/>
      <c r="AH992" s="465"/>
      <c r="AI992" s="465"/>
      <c r="AJ992" s="344"/>
      <c r="AK992" s="345"/>
      <c r="AL992" s="340"/>
      <c r="AM992" s="572" t="s">
        <v>1154</v>
      </c>
      <c r="AN992" s="407"/>
      <c r="AO992" s="407"/>
      <c r="AP992" s="407"/>
      <c r="AQ992" s="407"/>
      <c r="AR992" s="407"/>
      <c r="AS992" s="407"/>
      <c r="AT992" s="407"/>
      <c r="AU992" s="407"/>
      <c r="AV992" s="407"/>
      <c r="AW992" s="465"/>
      <c r="AX992" s="465"/>
      <c r="AY992" s="465"/>
      <c r="AZ992" s="465"/>
      <c r="BA992" s="465"/>
      <c r="BB992" s="465"/>
      <c r="BC992" s="465"/>
      <c r="BD992" s="465"/>
      <c r="BE992" s="465"/>
      <c r="BF992" s="465"/>
      <c r="BG992" s="465"/>
      <c r="BH992" s="465"/>
      <c r="BI992" s="465"/>
      <c r="BJ992" s="465"/>
      <c r="BK992" s="465"/>
      <c r="BL992" s="465"/>
      <c r="BM992" s="465"/>
      <c r="BN992" s="363"/>
      <c r="BO992" s="465"/>
      <c r="BP992" s="465"/>
      <c r="BQ992" s="465"/>
      <c r="BR992" s="465"/>
      <c r="BS992" s="465"/>
      <c r="BT992" s="352"/>
      <c r="BU992" s="353"/>
      <c r="BV992" s="310"/>
      <c r="BW992" s="310"/>
      <c r="BX992" s="291">
        <f t="shared" si="65"/>
        <v>0</v>
      </c>
      <c r="BY992" s="344"/>
      <c r="BZ992" s="347"/>
      <c r="CA992" s="347"/>
    </row>
    <row r="993" spans="1:84" ht="15" hidden="1" customHeight="1" x14ac:dyDescent="0.25">
      <c r="A993" s="313"/>
      <c r="B993" s="340"/>
      <c r="C993" s="407"/>
      <c r="D993" s="407"/>
      <c r="E993" s="407"/>
      <c r="F993" s="407"/>
      <c r="G993" s="407"/>
      <c r="H993" s="407"/>
      <c r="I993" s="407"/>
      <c r="J993" s="407"/>
      <c r="K993" s="407"/>
      <c r="L993" s="407"/>
      <c r="M993" s="433"/>
      <c r="N993" s="433"/>
      <c r="O993" s="433"/>
      <c r="P993" s="433"/>
      <c r="Q993" s="433"/>
      <c r="R993" s="465"/>
      <c r="S993" s="433"/>
      <c r="T993" s="433"/>
      <c r="U993" s="433"/>
      <c r="V993" s="433"/>
      <c r="W993" s="433"/>
      <c r="X993" s="465"/>
      <c r="Y993" s="433"/>
      <c r="Z993" s="433"/>
      <c r="AA993" s="433"/>
      <c r="AB993" s="433"/>
      <c r="AC993" s="433"/>
      <c r="AD993" s="363"/>
      <c r="AE993" s="433"/>
      <c r="AF993" s="433"/>
      <c r="AG993" s="433"/>
      <c r="AH993" s="433"/>
      <c r="AI993" s="433"/>
      <c r="AJ993" s="344"/>
      <c r="AK993" s="345"/>
      <c r="AL993" s="340"/>
      <c r="AM993" s="407"/>
      <c r="AN993" s="407"/>
      <c r="AO993" s="407"/>
      <c r="AP993" s="407"/>
      <c r="AQ993" s="407"/>
      <c r="AR993" s="407"/>
      <c r="AS993" s="407"/>
      <c r="AT993" s="407"/>
      <c r="AU993" s="407"/>
      <c r="AV993" s="407"/>
      <c r="AW993" s="433"/>
      <c r="AX993" s="433"/>
      <c r="AY993" s="433"/>
      <c r="AZ993" s="433"/>
      <c r="BA993" s="433"/>
      <c r="BB993" s="465"/>
      <c r="BC993" s="433"/>
      <c r="BD993" s="433"/>
      <c r="BE993" s="433"/>
      <c r="BF993" s="433"/>
      <c r="BG993" s="433"/>
      <c r="BH993" s="465"/>
      <c r="BI993" s="433"/>
      <c r="BJ993" s="433"/>
      <c r="BK993" s="433"/>
      <c r="BL993" s="433"/>
      <c r="BM993" s="433"/>
      <c r="BN993" s="363"/>
      <c r="BO993" s="433"/>
      <c r="BP993" s="433"/>
      <c r="BQ993" s="433"/>
      <c r="BR993" s="433"/>
      <c r="BS993" s="433"/>
      <c r="BT993" s="352"/>
      <c r="BU993" s="353"/>
      <c r="BV993" s="310"/>
      <c r="BW993" s="310"/>
      <c r="BX993" s="291">
        <f t="shared" si="65"/>
        <v>0</v>
      </c>
      <c r="BY993" s="344"/>
      <c r="BZ993" s="347"/>
      <c r="CA993" s="347"/>
    </row>
    <row r="994" spans="1:84" ht="15" hidden="1" customHeight="1" x14ac:dyDescent="0.25">
      <c r="A994" s="313"/>
      <c r="B994" s="340"/>
      <c r="C994" s="532" t="s">
        <v>1155</v>
      </c>
      <c r="D994" s="407"/>
      <c r="E994" s="407"/>
      <c r="F994" s="407"/>
      <c r="G994" s="407"/>
      <c r="H994" s="407"/>
      <c r="I994" s="407"/>
      <c r="J994" s="407"/>
      <c r="K994" s="407"/>
      <c r="L994" s="407"/>
      <c r="M994" s="433"/>
      <c r="N994" s="433"/>
      <c r="O994" s="433"/>
      <c r="P994" s="433"/>
      <c r="Q994" s="433"/>
      <c r="R994" s="465"/>
      <c r="S994" s="433"/>
      <c r="T994" s="433"/>
      <c r="U994" s="433"/>
      <c r="V994" s="433"/>
      <c r="W994" s="433"/>
      <c r="X994" s="465"/>
      <c r="Y994" s="433"/>
      <c r="Z994" s="433"/>
      <c r="AA994" s="433"/>
      <c r="AB994" s="433"/>
      <c r="AC994" s="433"/>
      <c r="AD994" s="363"/>
      <c r="AE994" s="433"/>
      <c r="AF994" s="433"/>
      <c r="AG994" s="433"/>
      <c r="AH994" s="433"/>
      <c r="AI994" s="433"/>
      <c r="AJ994" s="344"/>
      <c r="AK994" s="345"/>
      <c r="AL994" s="340"/>
      <c r="AM994" s="532" t="s">
        <v>1156</v>
      </c>
      <c r="AN994" s="407"/>
      <c r="AO994" s="407"/>
      <c r="AP994" s="407"/>
      <c r="AQ994" s="407"/>
      <c r="AR994" s="407"/>
      <c r="AS994" s="407"/>
      <c r="AT994" s="407"/>
      <c r="AU994" s="407"/>
      <c r="AV994" s="407"/>
      <c r="AW994" s="433"/>
      <c r="AX994" s="433"/>
      <c r="AY994" s="433"/>
      <c r="AZ994" s="433"/>
      <c r="BA994" s="433"/>
      <c r="BB994" s="465"/>
      <c r="BC994" s="433"/>
      <c r="BD994" s="433"/>
      <c r="BE994" s="433"/>
      <c r="BF994" s="433"/>
      <c r="BG994" s="433"/>
      <c r="BH994" s="465"/>
      <c r="BI994" s="433"/>
      <c r="BJ994" s="433"/>
      <c r="BK994" s="433"/>
      <c r="BL994" s="433"/>
      <c r="BM994" s="433"/>
      <c r="BN994" s="363"/>
      <c r="BO994" s="433"/>
      <c r="BP994" s="433"/>
      <c r="BQ994" s="433"/>
      <c r="BR994" s="433"/>
      <c r="BS994" s="433"/>
      <c r="BT994" s="352"/>
      <c r="BU994" s="353"/>
      <c r="BV994" s="310"/>
      <c r="BW994" s="310"/>
      <c r="BX994" s="291">
        <f t="shared" si="65"/>
        <v>0</v>
      </c>
      <c r="BY994" s="344"/>
      <c r="BZ994" s="347"/>
      <c r="CA994" s="347"/>
    </row>
    <row r="995" spans="1:84" ht="15" hidden="1" customHeight="1" x14ac:dyDescent="0.25">
      <c r="A995" s="313"/>
      <c r="B995" s="340"/>
      <c r="C995" s="548" t="s">
        <v>1157</v>
      </c>
      <c r="D995" s="407"/>
      <c r="E995" s="407"/>
      <c r="F995" s="407"/>
      <c r="G995" s="407"/>
      <c r="H995" s="407"/>
      <c r="I995" s="407"/>
      <c r="J995" s="407"/>
      <c r="K995" s="407"/>
      <c r="L995" s="407"/>
      <c r="M995" s="433"/>
      <c r="N995" s="433"/>
      <c r="O995" s="433"/>
      <c r="P995" s="433"/>
      <c r="Q995" s="433"/>
      <c r="R995" s="464"/>
      <c r="S995" s="433"/>
      <c r="T995" s="433"/>
      <c r="U995" s="433"/>
      <c r="V995" s="433"/>
      <c r="W995" s="433"/>
      <c r="X995" s="464"/>
      <c r="Y995" s="433"/>
      <c r="Z995" s="433"/>
      <c r="AA995" s="433"/>
      <c r="AB995" s="433"/>
      <c r="AC995" s="433"/>
      <c r="AD995" s="464"/>
      <c r="AE995" s="433"/>
      <c r="AF995" s="433"/>
      <c r="AG995" s="433"/>
      <c r="AH995" s="433"/>
      <c r="AI995" s="433"/>
      <c r="AJ995" s="344"/>
      <c r="AK995" s="345"/>
      <c r="AL995" s="340"/>
      <c r="AM995" s="548" t="s">
        <v>1157</v>
      </c>
      <c r="AN995" s="407"/>
      <c r="AO995" s="407"/>
      <c r="AP995" s="407"/>
      <c r="AQ995" s="407"/>
      <c r="AR995" s="407"/>
      <c r="AS995" s="407"/>
      <c r="AT995" s="407"/>
      <c r="AU995" s="407"/>
      <c r="AV995" s="407"/>
      <c r="AW995" s="433"/>
      <c r="AX995" s="433"/>
      <c r="AY995" s="433"/>
      <c r="AZ995" s="433"/>
      <c r="BA995" s="433"/>
      <c r="BB995" s="464"/>
      <c r="BC995" s="433"/>
      <c r="BD995" s="433"/>
      <c r="BE995" s="433"/>
      <c r="BF995" s="433"/>
      <c r="BG995" s="433"/>
      <c r="BH995" s="464"/>
      <c r="BI995" s="433"/>
      <c r="BJ995" s="433"/>
      <c r="BK995" s="433"/>
      <c r="BL995" s="433"/>
      <c r="BM995" s="433"/>
      <c r="BN995" s="464"/>
      <c r="BO995" s="433"/>
      <c r="BP995" s="433"/>
      <c r="BQ995" s="433"/>
      <c r="BR995" s="433"/>
      <c r="BS995" s="433"/>
      <c r="BT995" s="352"/>
      <c r="BU995" s="353"/>
      <c r="BV995" s="310"/>
      <c r="BW995" s="310"/>
      <c r="BX995" s="291">
        <f t="shared" si="65"/>
        <v>0</v>
      </c>
      <c r="BY995" s="344"/>
      <c r="BZ995" s="347"/>
      <c r="CA995" s="347"/>
    </row>
    <row r="996" spans="1:84" ht="2.1" hidden="1" customHeight="1" x14ac:dyDescent="0.25">
      <c r="A996" s="313"/>
      <c r="B996" s="340"/>
      <c r="C996" s="407"/>
      <c r="D996" s="407"/>
      <c r="E996" s="407"/>
      <c r="F996" s="407"/>
      <c r="G996" s="407"/>
      <c r="H996" s="407"/>
      <c r="I996" s="407"/>
      <c r="J996" s="407"/>
      <c r="K996" s="407"/>
      <c r="L996" s="407"/>
      <c r="M996" s="407"/>
      <c r="N996" s="407"/>
      <c r="O996" s="407"/>
      <c r="P996" s="407"/>
      <c r="Q996" s="407"/>
      <c r="R996" s="407"/>
      <c r="S996" s="407"/>
      <c r="T996" s="407"/>
      <c r="U996" s="407"/>
      <c r="V996" s="407"/>
      <c r="W996" s="355"/>
      <c r="X996" s="355"/>
      <c r="Y996" s="355"/>
      <c r="Z996" s="355"/>
      <c r="AA996" s="355"/>
      <c r="AB996" s="355"/>
      <c r="AC996" s="355"/>
      <c r="AD996" s="355"/>
      <c r="AE996" s="355"/>
      <c r="AF996" s="355"/>
      <c r="AG996" s="355"/>
      <c r="AH996" s="355"/>
      <c r="AI996" s="355"/>
      <c r="AJ996" s="344"/>
      <c r="AK996" s="345"/>
      <c r="AL996" s="340"/>
      <c r="AM996" s="407"/>
      <c r="AN996" s="407"/>
      <c r="AO996" s="407"/>
      <c r="AP996" s="407"/>
      <c r="AQ996" s="407"/>
      <c r="AR996" s="407"/>
      <c r="AS996" s="407"/>
      <c r="AT996" s="407"/>
      <c r="AU996" s="407"/>
      <c r="AV996" s="407"/>
      <c r="AW996" s="407"/>
      <c r="AX996" s="407"/>
      <c r="AY996" s="407"/>
      <c r="AZ996" s="407"/>
      <c r="BA996" s="407"/>
      <c r="BB996" s="407"/>
      <c r="BC996" s="407"/>
      <c r="BD996" s="407"/>
      <c r="BE996" s="407"/>
      <c r="BF996" s="407"/>
      <c r="BG996" s="355"/>
      <c r="BH996" s="355"/>
      <c r="BI996" s="355"/>
      <c r="BJ996" s="355"/>
      <c r="BK996" s="355"/>
      <c r="BL996" s="355"/>
      <c r="BM996" s="355"/>
      <c r="BN996" s="355"/>
      <c r="BO996" s="355"/>
      <c r="BP996" s="355"/>
      <c r="BQ996" s="355"/>
      <c r="BR996" s="355"/>
      <c r="BS996" s="355"/>
      <c r="BT996" s="352"/>
      <c r="BU996" s="353"/>
      <c r="BV996" s="310"/>
      <c r="BW996" s="310"/>
      <c r="BX996" s="291">
        <f t="shared" si="65"/>
        <v>0</v>
      </c>
      <c r="BY996" s="344"/>
      <c r="BZ996" s="347"/>
      <c r="CA996" s="347"/>
    </row>
    <row r="997" spans="1:84" ht="12.95" customHeight="1" x14ac:dyDescent="0.25">
      <c r="A997" s="313"/>
      <c r="B997" s="340"/>
      <c r="C997" s="373"/>
      <c r="D997" s="373"/>
      <c r="E997" s="373"/>
      <c r="F997" s="373"/>
      <c r="G997" s="373"/>
      <c r="H997" s="373"/>
      <c r="I997" s="373"/>
      <c r="J997" s="373"/>
      <c r="K997" s="373"/>
      <c r="L997" s="373"/>
      <c r="M997" s="373"/>
      <c r="N997" s="373"/>
      <c r="O997" s="373"/>
      <c r="P997" s="373"/>
      <c r="Q997" s="373"/>
      <c r="R997" s="373"/>
      <c r="S997" s="373"/>
      <c r="T997" s="373"/>
      <c r="U997" s="389"/>
      <c r="V997" s="389"/>
      <c r="W997" s="363"/>
      <c r="X997" s="363"/>
      <c r="Y997" s="363"/>
      <c r="Z997" s="363"/>
      <c r="AA997" s="363"/>
      <c r="AB997" s="363"/>
      <c r="AC997" s="355"/>
      <c r="AD997" s="363"/>
      <c r="AE997" s="363"/>
      <c r="AF997" s="363"/>
      <c r="AG997" s="363"/>
      <c r="AH997" s="363"/>
      <c r="AI997" s="363"/>
      <c r="AJ997" s="344"/>
      <c r="AK997" s="345"/>
      <c r="AL997" s="340"/>
      <c r="AM997" s="373"/>
      <c r="AN997" s="373"/>
      <c r="AO997" s="373"/>
      <c r="AP997" s="373"/>
      <c r="AQ997" s="373"/>
      <c r="AR997" s="373"/>
      <c r="AS997" s="373"/>
      <c r="AT997" s="373"/>
      <c r="AU997" s="373"/>
      <c r="AV997" s="373"/>
      <c r="AW997" s="373"/>
      <c r="AX997" s="373"/>
      <c r="AY997" s="373"/>
      <c r="AZ997" s="373"/>
      <c r="BA997" s="373"/>
      <c r="BB997" s="373"/>
      <c r="BC997" s="373"/>
      <c r="BD997" s="373"/>
      <c r="BE997" s="389"/>
      <c r="BF997" s="389"/>
      <c r="BG997" s="363"/>
      <c r="BH997" s="363"/>
      <c r="BI997" s="363"/>
      <c r="BJ997" s="363"/>
      <c r="BK997" s="363"/>
      <c r="BL997" s="363"/>
      <c r="BM997" s="363"/>
      <c r="BN997" s="363"/>
      <c r="BO997" s="363"/>
      <c r="BP997" s="363"/>
      <c r="BQ997" s="363"/>
      <c r="BR997" s="363"/>
      <c r="BS997" s="363"/>
      <c r="BT997" s="356"/>
      <c r="BU997" s="357"/>
      <c r="BV997" s="310"/>
      <c r="BW997" s="310"/>
      <c r="BX997" s="291">
        <f t="shared" si="65"/>
        <v>0</v>
      </c>
      <c r="BY997" s="344"/>
      <c r="BZ997" s="347"/>
      <c r="CA997" s="347"/>
    </row>
    <row r="998" spans="1:84" ht="15" customHeight="1" x14ac:dyDescent="0.25">
      <c r="A998" s="313">
        <v>16</v>
      </c>
      <c r="B998" s="340" t="s">
        <v>345</v>
      </c>
      <c r="C998" s="471" t="s">
        <v>1158</v>
      </c>
      <c r="D998" s="373"/>
      <c r="E998" s="373"/>
      <c r="F998" s="373"/>
      <c r="G998" s="373"/>
      <c r="H998" s="373"/>
      <c r="I998" s="373"/>
      <c r="J998" s="373"/>
      <c r="K998" s="373"/>
      <c r="L998" s="373"/>
      <c r="M998" s="373"/>
      <c r="N998" s="373"/>
      <c r="O998" s="373"/>
      <c r="P998" s="373"/>
      <c r="Q998" s="373"/>
      <c r="R998" s="373"/>
      <c r="S998" s="373"/>
      <c r="T998" s="373"/>
      <c r="U998" s="389"/>
      <c r="V998" s="389"/>
      <c r="W998" s="355"/>
      <c r="X998" s="355"/>
      <c r="Y998" s="355"/>
      <c r="Z998" s="355"/>
      <c r="AA998" s="355"/>
      <c r="AB998" s="355"/>
      <c r="AC998" s="355"/>
      <c r="AD998" s="355"/>
      <c r="AE998" s="355"/>
      <c r="AF998" s="355"/>
      <c r="AG998" s="355"/>
      <c r="AH998" s="355"/>
      <c r="AI998" s="355"/>
      <c r="AJ998" s="344"/>
      <c r="AK998" s="345">
        <f>A998</f>
        <v>16</v>
      </c>
      <c r="AL998" s="340" t="s">
        <v>345</v>
      </c>
      <c r="AM998" s="373" t="s">
        <v>1159</v>
      </c>
      <c r="AN998" s="373"/>
      <c r="AO998" s="373"/>
      <c r="AP998" s="373"/>
      <c r="AQ998" s="373"/>
      <c r="AR998" s="373"/>
      <c r="AS998" s="373"/>
      <c r="AT998" s="373"/>
      <c r="AU998" s="373"/>
      <c r="AV998" s="373"/>
      <c r="AW998" s="373"/>
      <c r="AX998" s="373"/>
      <c r="AY998" s="373"/>
      <c r="AZ998" s="373"/>
      <c r="BA998" s="373"/>
      <c r="BB998" s="373"/>
      <c r="BC998" s="373"/>
      <c r="BD998" s="373"/>
      <c r="BE998" s="389"/>
      <c r="BF998" s="389"/>
      <c r="BG998" s="355"/>
      <c r="BH998" s="355"/>
      <c r="BI998" s="355"/>
      <c r="BJ998" s="355"/>
      <c r="BK998" s="355"/>
      <c r="BL998" s="355"/>
      <c r="BM998" s="355"/>
      <c r="BN998" s="355"/>
      <c r="BO998" s="355"/>
      <c r="BP998" s="355"/>
      <c r="BQ998" s="355"/>
      <c r="BR998" s="355"/>
      <c r="BS998" s="355"/>
      <c r="BT998" s="359"/>
      <c r="BU998" s="346">
        <f>SUBTOTAL(103,A998)</f>
        <v>1</v>
      </c>
      <c r="BV998" s="310"/>
      <c r="BW998" s="310"/>
      <c r="BX998" s="291">
        <f t="shared" si="65"/>
        <v>0</v>
      </c>
      <c r="BY998" s="344"/>
      <c r="BZ998" s="347"/>
      <c r="CA998" s="347"/>
    </row>
    <row r="999" spans="1:84" ht="12.95" customHeight="1" x14ac:dyDescent="0.25">
      <c r="A999" s="313"/>
      <c r="B999" s="340"/>
      <c r="C999" s="548"/>
      <c r="D999" s="373"/>
      <c r="E999" s="373"/>
      <c r="F999" s="373"/>
      <c r="G999" s="373"/>
      <c r="H999" s="373"/>
      <c r="I999" s="373"/>
      <c r="J999" s="373"/>
      <c r="K999" s="373"/>
      <c r="L999" s="373"/>
      <c r="M999" s="373"/>
      <c r="N999" s="373"/>
      <c r="O999" s="373"/>
      <c r="P999" s="373"/>
      <c r="Q999" s="373"/>
      <c r="R999" s="373"/>
      <c r="S999" s="373"/>
      <c r="T999" s="373"/>
      <c r="U999" s="389"/>
      <c r="V999" s="389"/>
      <c r="W999" s="355"/>
      <c r="X999" s="355"/>
      <c r="Y999" s="355"/>
      <c r="Z999" s="355"/>
      <c r="AA999" s="355"/>
      <c r="AB999" s="355"/>
      <c r="AC999" s="355"/>
      <c r="AD999" s="355"/>
      <c r="AE999" s="355"/>
      <c r="AF999" s="355"/>
      <c r="AG999" s="355"/>
      <c r="AH999" s="355"/>
      <c r="AI999" s="355"/>
      <c r="AJ999" s="344"/>
      <c r="AK999" s="345"/>
      <c r="AL999" s="340"/>
      <c r="AM999" s="548"/>
      <c r="AN999" s="373"/>
      <c r="AO999" s="373"/>
      <c r="AP999" s="373"/>
      <c r="AQ999" s="373"/>
      <c r="AR999" s="373"/>
      <c r="AS999" s="373"/>
      <c r="AT999" s="373"/>
      <c r="AU999" s="373"/>
      <c r="AV999" s="373"/>
      <c r="AW999" s="373"/>
      <c r="AX999" s="373"/>
      <c r="AY999" s="373"/>
      <c r="AZ999" s="373"/>
      <c r="BA999" s="373"/>
      <c r="BB999" s="373"/>
      <c r="BC999" s="373"/>
      <c r="BD999" s="373"/>
      <c r="BE999" s="389"/>
      <c r="BF999" s="389"/>
      <c r="BG999" s="355"/>
      <c r="BH999" s="355"/>
      <c r="BI999" s="355"/>
      <c r="BJ999" s="355"/>
      <c r="BK999" s="355"/>
      <c r="BL999" s="355"/>
      <c r="BM999" s="355"/>
      <c r="BN999" s="355"/>
      <c r="BO999" s="355"/>
      <c r="BP999" s="355"/>
      <c r="BQ999" s="355"/>
      <c r="BR999" s="355"/>
      <c r="BS999" s="355"/>
      <c r="BT999" s="359"/>
      <c r="BU999" s="346"/>
      <c r="BV999" s="310"/>
      <c r="BW999" s="310"/>
      <c r="BX999" s="291"/>
      <c r="BY999" s="344"/>
      <c r="BZ999" s="347"/>
      <c r="CA999" s="347"/>
    </row>
    <row r="1000" spans="1:84" ht="15" customHeight="1" x14ac:dyDescent="0.25">
      <c r="A1000" s="313"/>
      <c r="B1000" s="340"/>
      <c r="C1000" s="392"/>
      <c r="D1000" s="392"/>
      <c r="E1000" s="392"/>
      <c r="F1000" s="392"/>
      <c r="G1000" s="392"/>
      <c r="H1000" s="392"/>
      <c r="I1000" s="392"/>
      <c r="J1000" s="392"/>
      <c r="K1000" s="392"/>
      <c r="L1000" s="371"/>
      <c r="M1000" s="1476" t="str">
        <f>Ky_Nay1_V</f>
        <v>31/12/2017</v>
      </c>
      <c r="N1000" s="1476"/>
      <c r="O1000" s="1476"/>
      <c r="P1000" s="1476"/>
      <c r="Q1000" s="1476"/>
      <c r="R1000" s="1476"/>
      <c r="S1000" s="1476"/>
      <c r="T1000" s="1476"/>
      <c r="U1000" s="1476"/>
      <c r="V1000" s="1476"/>
      <c r="W1000" s="1476"/>
      <c r="X1000" s="370"/>
      <c r="Y1000" s="1476" t="str">
        <f>Ky_Truoc1_V</f>
        <v>01/01/2017</v>
      </c>
      <c r="Z1000" s="1476"/>
      <c r="AA1000" s="1476"/>
      <c r="AB1000" s="1476"/>
      <c r="AC1000" s="1476"/>
      <c r="AD1000" s="1476"/>
      <c r="AE1000" s="1476"/>
      <c r="AF1000" s="1476"/>
      <c r="AG1000" s="1476"/>
      <c r="AH1000" s="1476"/>
      <c r="AI1000" s="1476"/>
      <c r="AJ1000" s="344"/>
      <c r="AK1000" s="345"/>
      <c r="AL1000" s="340"/>
      <c r="AM1000" s="392"/>
      <c r="AN1000" s="392"/>
      <c r="AO1000" s="392"/>
      <c r="AP1000" s="392"/>
      <c r="AQ1000" s="392"/>
      <c r="AR1000" s="392"/>
      <c r="AS1000" s="392"/>
      <c r="AT1000" s="392"/>
      <c r="AU1000" s="392"/>
      <c r="AV1000" s="371"/>
      <c r="AW1000" s="1476" t="str">
        <f>Ky_Nay1_E</f>
        <v>31/12/2017</v>
      </c>
      <c r="AX1000" s="1476"/>
      <c r="AY1000" s="1476"/>
      <c r="AZ1000" s="1476"/>
      <c r="BA1000" s="1476"/>
      <c r="BB1000" s="1476"/>
      <c r="BC1000" s="1476"/>
      <c r="BD1000" s="1476"/>
      <c r="BE1000" s="1476"/>
      <c r="BF1000" s="1476"/>
      <c r="BG1000" s="1476"/>
      <c r="BH1000" s="370"/>
      <c r="BI1000" s="1476" t="str">
        <f>Ky_Truoc1_E</f>
        <v>01/01/2017</v>
      </c>
      <c r="BJ1000" s="1476"/>
      <c r="BK1000" s="1476"/>
      <c r="BL1000" s="1476"/>
      <c r="BM1000" s="1476"/>
      <c r="BN1000" s="1476"/>
      <c r="BO1000" s="1476"/>
      <c r="BP1000" s="1476"/>
      <c r="BQ1000" s="1476"/>
      <c r="BR1000" s="1476"/>
      <c r="BS1000" s="1476"/>
      <c r="BT1000" s="359"/>
      <c r="BU1000" s="346"/>
      <c r="BV1000" s="310"/>
      <c r="BW1000" s="310"/>
      <c r="BX1000" s="291">
        <f t="shared" si="65"/>
        <v>0</v>
      </c>
      <c r="BY1000" s="344"/>
      <c r="BZ1000" s="347"/>
      <c r="CA1000" s="347"/>
    </row>
    <row r="1001" spans="1:84" ht="27.95" customHeight="1" x14ac:dyDescent="0.25">
      <c r="A1001" s="313"/>
      <c r="B1001" s="340"/>
      <c r="C1001" s="392"/>
      <c r="D1001" s="392"/>
      <c r="E1001" s="392"/>
      <c r="F1001" s="392"/>
      <c r="G1001" s="392"/>
      <c r="H1001" s="392"/>
      <c r="I1001" s="392"/>
      <c r="J1001" s="392"/>
      <c r="K1001" s="392"/>
      <c r="L1001" s="378"/>
      <c r="M1001" s="1327" t="s">
        <v>840</v>
      </c>
      <c r="N1001" s="1327"/>
      <c r="O1001" s="1327"/>
      <c r="P1001" s="1327"/>
      <c r="Q1001" s="1327"/>
      <c r="R1001" s="371"/>
      <c r="S1001" s="1477" t="s">
        <v>1160</v>
      </c>
      <c r="T1001" s="1477"/>
      <c r="U1001" s="1477"/>
      <c r="V1001" s="1477"/>
      <c r="W1001" s="1477"/>
      <c r="X1001" s="371"/>
      <c r="Y1001" s="1327" t="s">
        <v>840</v>
      </c>
      <c r="Z1001" s="1327"/>
      <c r="AA1001" s="1327"/>
      <c r="AB1001" s="1327"/>
      <c r="AC1001" s="1327"/>
      <c r="AD1001" s="372"/>
      <c r="AE1001" s="1477" t="s">
        <v>1160</v>
      </c>
      <c r="AF1001" s="1477"/>
      <c r="AG1001" s="1477"/>
      <c r="AH1001" s="1477"/>
      <c r="AI1001" s="1477"/>
      <c r="AJ1001" s="344"/>
      <c r="AK1001" s="345"/>
      <c r="AL1001" s="340"/>
      <c r="AM1001" s="392"/>
      <c r="AN1001" s="392"/>
      <c r="AO1001" s="392"/>
      <c r="AP1001" s="392"/>
      <c r="AQ1001" s="392"/>
      <c r="AR1001" s="392"/>
      <c r="AS1001" s="392"/>
      <c r="AT1001" s="392"/>
      <c r="AU1001" s="392"/>
      <c r="AV1001" s="378"/>
      <c r="AW1001" s="1482" t="s">
        <v>1161</v>
      </c>
      <c r="AX1001" s="1327"/>
      <c r="AY1001" s="1327"/>
      <c r="AZ1001" s="1327"/>
      <c r="BA1001" s="1327"/>
      <c r="BB1001" s="371"/>
      <c r="BC1001" s="1477" t="s">
        <v>1162</v>
      </c>
      <c r="BD1001" s="1477"/>
      <c r="BE1001" s="1477"/>
      <c r="BF1001" s="1477"/>
      <c r="BG1001" s="1477"/>
      <c r="BH1001" s="371"/>
      <c r="BI1001" s="1482" t="s">
        <v>1161</v>
      </c>
      <c r="BJ1001" s="1327"/>
      <c r="BK1001" s="1327"/>
      <c r="BL1001" s="1327"/>
      <c r="BM1001" s="1327"/>
      <c r="BN1001" s="371"/>
      <c r="BO1001" s="1477" t="s">
        <v>1162</v>
      </c>
      <c r="BP1001" s="1477"/>
      <c r="BQ1001" s="1477"/>
      <c r="BR1001" s="1477"/>
      <c r="BS1001" s="1477"/>
      <c r="BT1001" s="359"/>
      <c r="BU1001" s="346"/>
      <c r="BV1001" s="310"/>
      <c r="BW1001" s="310"/>
      <c r="BX1001" s="291">
        <f t="shared" si="65"/>
        <v>0</v>
      </c>
      <c r="BY1001" s="344"/>
      <c r="BZ1001" s="347"/>
      <c r="CA1001" s="347"/>
    </row>
    <row r="1002" spans="1:84" ht="15" customHeight="1" x14ac:dyDescent="0.25">
      <c r="A1002" s="313"/>
      <c r="B1002" s="340"/>
      <c r="C1002" s="392"/>
      <c r="D1002" s="392"/>
      <c r="E1002" s="392"/>
      <c r="F1002" s="392"/>
      <c r="G1002" s="392"/>
      <c r="H1002" s="392"/>
      <c r="I1002" s="392"/>
      <c r="J1002" s="392"/>
      <c r="K1002" s="392"/>
      <c r="L1002" s="378"/>
      <c r="M1002" s="1401" t="str">
        <f>Don_Vi_Tinh_V</f>
        <v>VND</v>
      </c>
      <c r="N1002" s="1401"/>
      <c r="O1002" s="1401"/>
      <c r="P1002" s="1401"/>
      <c r="Q1002" s="1401"/>
      <c r="R1002" s="371"/>
      <c r="S1002" s="1401" t="str">
        <f>Don_Vi_Tinh_V</f>
        <v>VND</v>
      </c>
      <c r="T1002" s="1401"/>
      <c r="U1002" s="1401"/>
      <c r="V1002" s="1401"/>
      <c r="W1002" s="1401"/>
      <c r="X1002" s="371"/>
      <c r="Y1002" s="1401" t="str">
        <f>Don_Vi_Tinh_V</f>
        <v>VND</v>
      </c>
      <c r="Z1002" s="1401"/>
      <c r="AA1002" s="1401"/>
      <c r="AB1002" s="1401"/>
      <c r="AC1002" s="1401"/>
      <c r="AD1002" s="372"/>
      <c r="AE1002" s="1401" t="str">
        <f>Don_Vi_Tinh_V</f>
        <v>VND</v>
      </c>
      <c r="AF1002" s="1401"/>
      <c r="AG1002" s="1401"/>
      <c r="AH1002" s="1401"/>
      <c r="AI1002" s="1401"/>
      <c r="AJ1002" s="344"/>
      <c r="AK1002" s="345"/>
      <c r="AL1002" s="340"/>
      <c r="AM1002" s="392"/>
      <c r="AN1002" s="392"/>
      <c r="AO1002" s="392"/>
      <c r="AP1002" s="392"/>
      <c r="AQ1002" s="392"/>
      <c r="AR1002" s="392"/>
      <c r="AS1002" s="392"/>
      <c r="AT1002" s="392"/>
      <c r="AU1002" s="392"/>
      <c r="AV1002" s="378"/>
      <c r="AW1002" s="1401" t="str">
        <f>Don_Vi_Tinh_E</f>
        <v>VND</v>
      </c>
      <c r="AX1002" s="1401"/>
      <c r="AY1002" s="1401"/>
      <c r="AZ1002" s="1401"/>
      <c r="BA1002" s="1401"/>
      <c r="BB1002" s="371"/>
      <c r="BC1002" s="1401" t="str">
        <f>Don_Vi_Tinh_E</f>
        <v>VND</v>
      </c>
      <c r="BD1002" s="1401"/>
      <c r="BE1002" s="1401"/>
      <c r="BF1002" s="1401"/>
      <c r="BG1002" s="1401"/>
      <c r="BH1002" s="371"/>
      <c r="BI1002" s="1401" t="str">
        <f>Don_Vi_Tinh_E</f>
        <v>VND</v>
      </c>
      <c r="BJ1002" s="1401"/>
      <c r="BK1002" s="1401"/>
      <c r="BL1002" s="1401"/>
      <c r="BM1002" s="1401"/>
      <c r="BN1002" s="372"/>
      <c r="BO1002" s="1401" t="str">
        <f>Don_Vi_Tinh_E</f>
        <v>VND</v>
      </c>
      <c r="BP1002" s="1401"/>
      <c r="BQ1002" s="1401"/>
      <c r="BR1002" s="1401"/>
      <c r="BS1002" s="1401"/>
      <c r="BT1002" s="359"/>
      <c r="BU1002" s="346"/>
      <c r="BV1002" s="310"/>
      <c r="BW1002" s="310"/>
      <c r="BX1002" s="291">
        <f t="shared" si="65"/>
        <v>0</v>
      </c>
      <c r="BY1002" s="344"/>
      <c r="BZ1002" s="347"/>
      <c r="CA1002" s="347"/>
    </row>
    <row r="1003" spans="1:84" ht="12.95" customHeight="1" x14ac:dyDescent="0.25">
      <c r="A1003" s="313"/>
      <c r="B1003" s="340"/>
      <c r="C1003" s="573"/>
      <c r="D1003" s="340"/>
      <c r="E1003" s="340"/>
      <c r="F1003" s="340"/>
      <c r="G1003" s="340"/>
      <c r="H1003" s="340"/>
      <c r="I1003" s="340"/>
      <c r="J1003" s="340"/>
      <c r="K1003" s="340"/>
      <c r="L1003" s="386"/>
      <c r="M1003" s="355"/>
      <c r="N1003" s="355"/>
      <c r="O1003" s="355"/>
      <c r="P1003" s="355"/>
      <c r="Q1003" s="355"/>
      <c r="R1003" s="373"/>
      <c r="S1003" s="355"/>
      <c r="T1003" s="355"/>
      <c r="U1003" s="355"/>
      <c r="V1003" s="355"/>
      <c r="W1003" s="355"/>
      <c r="X1003" s="355"/>
      <c r="Y1003" s="355"/>
      <c r="Z1003" s="355"/>
      <c r="AA1003" s="355"/>
      <c r="AB1003" s="355"/>
      <c r="AC1003" s="355"/>
      <c r="AD1003" s="355"/>
      <c r="AE1003" s="355"/>
      <c r="AF1003" s="355"/>
      <c r="AG1003" s="355"/>
      <c r="AH1003" s="355"/>
      <c r="AI1003" s="355"/>
      <c r="AJ1003" s="344"/>
      <c r="AK1003" s="345"/>
      <c r="AL1003" s="340"/>
      <c r="AM1003" s="573"/>
      <c r="AN1003" s="340"/>
      <c r="AO1003" s="340"/>
      <c r="AP1003" s="340"/>
      <c r="AQ1003" s="340"/>
      <c r="AR1003" s="340"/>
      <c r="AS1003" s="340"/>
      <c r="AT1003" s="340"/>
      <c r="AU1003" s="340"/>
      <c r="AV1003" s="386"/>
      <c r="AW1003" s="355"/>
      <c r="AX1003" s="355"/>
      <c r="AY1003" s="355"/>
      <c r="AZ1003" s="355"/>
      <c r="BA1003" s="355"/>
      <c r="BB1003" s="373"/>
      <c r="BC1003" s="355"/>
      <c r="BD1003" s="355"/>
      <c r="BE1003" s="355"/>
      <c r="BF1003" s="355"/>
      <c r="BG1003" s="355"/>
      <c r="BH1003" s="355"/>
      <c r="BI1003" s="355"/>
      <c r="BJ1003" s="355"/>
      <c r="BK1003" s="355"/>
      <c r="BL1003" s="355"/>
      <c r="BM1003" s="355"/>
      <c r="BN1003" s="355"/>
      <c r="BO1003" s="355"/>
      <c r="BP1003" s="355"/>
      <c r="BQ1003" s="355"/>
      <c r="BR1003" s="355"/>
      <c r="BS1003" s="355"/>
      <c r="BT1003" s="361"/>
      <c r="BU1003" s="362"/>
      <c r="BV1003" s="310"/>
      <c r="BW1003" s="310"/>
      <c r="BX1003" s="291">
        <f t="shared" si="65"/>
        <v>0</v>
      </c>
      <c r="BY1003" s="344"/>
      <c r="BZ1003" s="347"/>
      <c r="CA1003" s="347"/>
    </row>
    <row r="1004" spans="1:84" s="385" customFormat="1" ht="15" customHeight="1" x14ac:dyDescent="0.25">
      <c r="A1004" s="313"/>
      <c r="B1004" s="340"/>
      <c r="C1004" s="341" t="s">
        <v>1163</v>
      </c>
      <c r="D1004" s="574"/>
      <c r="E1004" s="574"/>
      <c r="F1004" s="574"/>
      <c r="G1004" s="574"/>
      <c r="H1004" s="574"/>
      <c r="I1004" s="574"/>
      <c r="J1004" s="574"/>
      <c r="K1004" s="574"/>
      <c r="L1004" s="382"/>
      <c r="M1004" s="465"/>
      <c r="N1004" s="465"/>
      <c r="O1004" s="465"/>
      <c r="P1004" s="465"/>
      <c r="Q1004" s="465"/>
      <c r="R1004" s="575"/>
      <c r="S1004" s="465"/>
      <c r="T1004" s="465"/>
      <c r="U1004" s="465"/>
      <c r="V1004" s="465"/>
      <c r="W1004" s="465"/>
      <c r="X1004" s="363"/>
      <c r="Y1004" s="465"/>
      <c r="Z1004" s="465"/>
      <c r="AA1004" s="465"/>
      <c r="AB1004" s="465"/>
      <c r="AC1004" s="465"/>
      <c r="AD1004" s="363"/>
      <c r="AE1004" s="465"/>
      <c r="AF1004" s="465"/>
      <c r="AG1004" s="465"/>
      <c r="AH1004" s="465"/>
      <c r="AI1004" s="465"/>
      <c r="AJ1004" s="374"/>
      <c r="AK1004" s="345"/>
      <c r="AL1004" s="340"/>
      <c r="AM1004" s="341" t="s">
        <v>1164</v>
      </c>
      <c r="AN1004" s="340"/>
      <c r="AO1004" s="340"/>
      <c r="AP1004" s="340"/>
      <c r="AQ1004" s="340"/>
      <c r="AR1004" s="340"/>
      <c r="AS1004" s="340"/>
      <c r="AT1004" s="340"/>
      <c r="AU1004" s="340"/>
      <c r="AV1004" s="382"/>
      <c r="AW1004" s="465"/>
      <c r="AX1004" s="465"/>
      <c r="AY1004" s="465"/>
      <c r="AZ1004" s="465"/>
      <c r="BA1004" s="465"/>
      <c r="BB1004" s="575"/>
      <c r="BC1004" s="465"/>
      <c r="BD1004" s="465"/>
      <c r="BE1004" s="465"/>
      <c r="BF1004" s="465"/>
      <c r="BG1004" s="465"/>
      <c r="BH1004" s="363"/>
      <c r="BI1004" s="465"/>
      <c r="BJ1004" s="465"/>
      <c r="BK1004" s="465"/>
      <c r="BL1004" s="465"/>
      <c r="BM1004" s="465"/>
      <c r="BN1004" s="363"/>
      <c r="BO1004" s="465"/>
      <c r="BP1004" s="465"/>
      <c r="BQ1004" s="465"/>
      <c r="BR1004" s="465"/>
      <c r="BS1004" s="465"/>
      <c r="BT1004" s="361"/>
      <c r="BU1004" s="362"/>
      <c r="BV1004" s="310"/>
      <c r="BW1004" s="310"/>
      <c r="BX1004" s="291">
        <f t="shared" si="65"/>
        <v>0</v>
      </c>
      <c r="BY1004" s="374"/>
      <c r="BZ1004" s="383"/>
      <c r="CA1004" s="383"/>
      <c r="CB1004" s="384"/>
      <c r="CC1004" s="384"/>
      <c r="CD1004" s="384"/>
      <c r="CE1004" s="384"/>
      <c r="CF1004" s="384"/>
    </row>
    <row r="1005" spans="1:84" ht="15" customHeight="1" x14ac:dyDescent="0.25">
      <c r="A1005" s="313"/>
      <c r="B1005" s="340"/>
      <c r="C1005" s="576" t="s">
        <v>1165</v>
      </c>
      <c r="D1005" s="340"/>
      <c r="E1005" s="340"/>
      <c r="F1005" s="340"/>
      <c r="G1005" s="340"/>
      <c r="H1005" s="340"/>
      <c r="I1005" s="340"/>
      <c r="J1005" s="340"/>
      <c r="K1005" s="340"/>
      <c r="L1005" s="381"/>
      <c r="M1005" s="1474">
        <f>81553542+[1]Dieu_chinh!N28</f>
        <v>373592320</v>
      </c>
      <c r="N1005" s="1474"/>
      <c r="O1005" s="1474"/>
      <c r="P1005" s="1474"/>
      <c r="Q1005" s="1474"/>
      <c r="R1005" s="433"/>
      <c r="S1005" s="1474">
        <f t="shared" ref="S1005:S1012" si="66">M1005</f>
        <v>373592320</v>
      </c>
      <c r="T1005" s="1474"/>
      <c r="U1005" s="1474"/>
      <c r="V1005" s="1474"/>
      <c r="W1005" s="1474"/>
      <c r="X1005" s="433"/>
      <c r="Y1005" s="1474">
        <v>845723542</v>
      </c>
      <c r="Z1005" s="1474"/>
      <c r="AA1005" s="1474"/>
      <c r="AB1005" s="1474"/>
      <c r="AC1005" s="1474"/>
      <c r="AD1005" s="355"/>
      <c r="AE1005" s="1474">
        <f t="shared" ref="AE1005:AE1012" si="67">Y1005</f>
        <v>845723542</v>
      </c>
      <c r="AF1005" s="1474"/>
      <c r="AG1005" s="1474"/>
      <c r="AH1005" s="1474"/>
      <c r="AI1005" s="1474"/>
      <c r="AJ1005" s="344"/>
      <c r="AK1005" s="345"/>
      <c r="AL1005" s="340"/>
      <c r="AM1005" s="576" t="s">
        <v>823</v>
      </c>
      <c r="AN1005" s="340"/>
      <c r="AO1005" s="340"/>
      <c r="AP1005" s="340"/>
      <c r="AQ1005" s="340"/>
      <c r="AR1005" s="340"/>
      <c r="AS1005" s="340"/>
      <c r="AT1005" s="340"/>
      <c r="AU1005" s="340"/>
      <c r="AV1005" s="381"/>
      <c r="AW1005" s="1474">
        <f>M1005</f>
        <v>373592320</v>
      </c>
      <c r="AX1005" s="1474"/>
      <c r="AY1005" s="1474"/>
      <c r="AZ1005" s="1474"/>
      <c r="BA1005" s="1474"/>
      <c r="BB1005" s="433"/>
      <c r="BC1005" s="1474">
        <f>S1005</f>
        <v>373592320</v>
      </c>
      <c r="BD1005" s="1474"/>
      <c r="BE1005" s="1474"/>
      <c r="BF1005" s="1474"/>
      <c r="BG1005" s="1474"/>
      <c r="BH1005" s="433"/>
      <c r="BI1005" s="1474">
        <f>Y1005</f>
        <v>845723542</v>
      </c>
      <c r="BJ1005" s="1474"/>
      <c r="BK1005" s="1474"/>
      <c r="BL1005" s="1474"/>
      <c r="BM1005" s="1474"/>
      <c r="BN1005" s="355"/>
      <c r="BO1005" s="1474">
        <f>AE1005</f>
        <v>845723542</v>
      </c>
      <c r="BP1005" s="1474"/>
      <c r="BQ1005" s="1474"/>
      <c r="BR1005" s="1474"/>
      <c r="BS1005" s="1474"/>
      <c r="BT1005" s="356"/>
      <c r="BU1005" s="357"/>
      <c r="BV1005" s="310"/>
      <c r="BW1005" s="310"/>
      <c r="BX1005" s="291">
        <f t="shared" si="65"/>
        <v>0</v>
      </c>
      <c r="BY1005" s="344"/>
      <c r="BZ1005" s="347">
        <f>SUM(CA1005:CB1005)</f>
        <v>81553542</v>
      </c>
      <c r="CA1005" s="347">
        <v>81553542</v>
      </c>
    </row>
    <row r="1006" spans="1:84" ht="29.1" customHeight="1" x14ac:dyDescent="0.25">
      <c r="A1006" s="313"/>
      <c r="B1006" s="340"/>
      <c r="C1006" s="1481" t="s">
        <v>1166</v>
      </c>
      <c r="D1006" s="1481"/>
      <c r="E1006" s="1481"/>
      <c r="F1006" s="1481"/>
      <c r="G1006" s="1481"/>
      <c r="H1006" s="1481"/>
      <c r="I1006" s="1481"/>
      <c r="J1006" s="1481"/>
      <c r="K1006" s="1481"/>
      <c r="L1006" s="1481"/>
      <c r="M1006" s="1474">
        <v>34256000</v>
      </c>
      <c r="N1006" s="1474"/>
      <c r="O1006" s="1474"/>
      <c r="P1006" s="1474"/>
      <c r="Q1006" s="1474"/>
      <c r="R1006" s="433"/>
      <c r="S1006" s="1474">
        <f t="shared" si="66"/>
        <v>34256000</v>
      </c>
      <c r="T1006" s="1474"/>
      <c r="U1006" s="1474"/>
      <c r="V1006" s="1474"/>
      <c r="W1006" s="1474"/>
      <c r="X1006" s="433"/>
      <c r="Y1006" s="1474">
        <v>164761780</v>
      </c>
      <c r="Z1006" s="1474"/>
      <c r="AA1006" s="1474"/>
      <c r="AB1006" s="1474"/>
      <c r="AC1006" s="1474"/>
      <c r="AD1006" s="355"/>
      <c r="AE1006" s="1474">
        <f t="shared" si="67"/>
        <v>164761780</v>
      </c>
      <c r="AF1006" s="1474"/>
      <c r="AG1006" s="1474"/>
      <c r="AH1006" s="1474"/>
      <c r="AI1006" s="1474"/>
      <c r="AJ1006" s="344"/>
      <c r="AK1006" s="345"/>
      <c r="AL1006" s="340"/>
      <c r="AM1006" s="392" t="s">
        <v>1099</v>
      </c>
      <c r="AN1006" s="392"/>
      <c r="AO1006" s="392"/>
      <c r="AP1006" s="392"/>
      <c r="AQ1006" s="392"/>
      <c r="AR1006" s="392"/>
      <c r="AS1006" s="392"/>
      <c r="AT1006" s="392"/>
      <c r="AU1006" s="392"/>
      <c r="AV1006" s="381"/>
      <c r="AW1006" s="1474">
        <f t="shared" ref="AW1006:AW1011" si="68">M1006</f>
        <v>34256000</v>
      </c>
      <c r="AX1006" s="1474"/>
      <c r="AY1006" s="1474"/>
      <c r="AZ1006" s="1474"/>
      <c r="BA1006" s="1474"/>
      <c r="BB1006" s="433"/>
      <c r="BC1006" s="1474">
        <f t="shared" ref="BC1006:BC1011" si="69">S1006</f>
        <v>34256000</v>
      </c>
      <c r="BD1006" s="1474"/>
      <c r="BE1006" s="1474"/>
      <c r="BF1006" s="1474"/>
      <c r="BG1006" s="1474"/>
      <c r="BH1006" s="433"/>
      <c r="BI1006" s="1474">
        <f t="shared" ref="BI1006:BI1011" si="70">Y1006</f>
        <v>164761780</v>
      </c>
      <c r="BJ1006" s="1474"/>
      <c r="BK1006" s="1474"/>
      <c r="BL1006" s="1474"/>
      <c r="BM1006" s="1474"/>
      <c r="BN1006" s="355"/>
      <c r="BO1006" s="1474">
        <f t="shared" ref="BO1006:BO1011" si="71">AE1006</f>
        <v>164761780</v>
      </c>
      <c r="BP1006" s="1474"/>
      <c r="BQ1006" s="1474"/>
      <c r="BR1006" s="1474"/>
      <c r="BS1006" s="1474"/>
      <c r="BT1006" s="356"/>
      <c r="BU1006" s="357"/>
      <c r="BV1006" s="310"/>
      <c r="BW1006" s="310"/>
      <c r="BX1006" s="291">
        <f t="shared" si="65"/>
        <v>0</v>
      </c>
      <c r="BY1006" s="344"/>
      <c r="BZ1006" s="347">
        <f t="shared" ref="BZ1006:BZ1012" si="72">SUM(CA1006:CB1006)</f>
        <v>34256000</v>
      </c>
      <c r="CA1006" s="347">
        <v>34256000</v>
      </c>
    </row>
    <row r="1007" spans="1:84" ht="29.1" customHeight="1" x14ac:dyDescent="0.25">
      <c r="A1007" s="313"/>
      <c r="B1007" s="340"/>
      <c r="C1007" s="1480" t="s">
        <v>1167</v>
      </c>
      <c r="D1007" s="1480"/>
      <c r="E1007" s="1480"/>
      <c r="F1007" s="1480"/>
      <c r="G1007" s="1480"/>
      <c r="H1007" s="1480"/>
      <c r="I1007" s="1480"/>
      <c r="J1007" s="1480"/>
      <c r="K1007" s="1480"/>
      <c r="L1007" s="1480"/>
      <c r="M1007" s="1474">
        <v>416943274</v>
      </c>
      <c r="N1007" s="1474"/>
      <c r="O1007" s="1474"/>
      <c r="P1007" s="1474"/>
      <c r="Q1007" s="1474"/>
      <c r="R1007" s="433"/>
      <c r="S1007" s="1474">
        <f t="shared" si="66"/>
        <v>416943274</v>
      </c>
      <c r="T1007" s="1474"/>
      <c r="U1007" s="1474"/>
      <c r="V1007" s="1474"/>
      <c r="W1007" s="1474"/>
      <c r="X1007" s="433"/>
      <c r="Y1007" s="1474">
        <v>161964639</v>
      </c>
      <c r="Z1007" s="1474"/>
      <c r="AA1007" s="1474"/>
      <c r="AB1007" s="1474"/>
      <c r="AC1007" s="1474"/>
      <c r="AD1007" s="355"/>
      <c r="AE1007" s="1474">
        <f t="shared" si="67"/>
        <v>161964639</v>
      </c>
      <c r="AF1007" s="1474"/>
      <c r="AG1007" s="1474"/>
      <c r="AH1007" s="1474"/>
      <c r="AI1007" s="1474"/>
      <c r="AJ1007" s="344"/>
      <c r="AK1007" s="345"/>
      <c r="AL1007" s="340"/>
      <c r="AM1007" s="392" t="s">
        <v>1099</v>
      </c>
      <c r="AN1007" s="392"/>
      <c r="AO1007" s="392"/>
      <c r="AP1007" s="392"/>
      <c r="AQ1007" s="392"/>
      <c r="AR1007" s="392"/>
      <c r="AS1007" s="392"/>
      <c r="AT1007" s="392"/>
      <c r="AU1007" s="392"/>
      <c r="AV1007" s="381"/>
      <c r="AW1007" s="1474">
        <f t="shared" si="68"/>
        <v>416943274</v>
      </c>
      <c r="AX1007" s="1474"/>
      <c r="AY1007" s="1474"/>
      <c r="AZ1007" s="1474"/>
      <c r="BA1007" s="1474"/>
      <c r="BB1007" s="433"/>
      <c r="BC1007" s="1474">
        <f t="shared" si="69"/>
        <v>416943274</v>
      </c>
      <c r="BD1007" s="1474"/>
      <c r="BE1007" s="1474"/>
      <c r="BF1007" s="1474"/>
      <c r="BG1007" s="1474"/>
      <c r="BH1007" s="433"/>
      <c r="BI1007" s="1474">
        <f t="shared" si="70"/>
        <v>161964639</v>
      </c>
      <c r="BJ1007" s="1474"/>
      <c r="BK1007" s="1474"/>
      <c r="BL1007" s="1474"/>
      <c r="BM1007" s="1474"/>
      <c r="BN1007" s="355"/>
      <c r="BO1007" s="1474">
        <f t="shared" si="71"/>
        <v>161964639</v>
      </c>
      <c r="BP1007" s="1474"/>
      <c r="BQ1007" s="1474"/>
      <c r="BR1007" s="1474"/>
      <c r="BS1007" s="1474"/>
      <c r="BT1007" s="356"/>
      <c r="BU1007" s="357"/>
      <c r="BV1007" s="310"/>
      <c r="BW1007" s="310"/>
      <c r="BX1007" s="291">
        <f t="shared" si="65"/>
        <v>0</v>
      </c>
      <c r="BY1007" s="344"/>
      <c r="BZ1007" s="347">
        <f t="shared" si="72"/>
        <v>416943274</v>
      </c>
      <c r="CA1007" s="347">
        <v>416943274</v>
      </c>
    </row>
    <row r="1008" spans="1:84" ht="29.1" customHeight="1" x14ac:dyDescent="0.25">
      <c r="A1008" s="313"/>
      <c r="B1008" s="340"/>
      <c r="C1008" s="1480" t="s">
        <v>1168</v>
      </c>
      <c r="D1008" s="1480"/>
      <c r="E1008" s="1480"/>
      <c r="F1008" s="1480"/>
      <c r="G1008" s="1480"/>
      <c r="H1008" s="1480"/>
      <c r="I1008" s="1480"/>
      <c r="J1008" s="1480"/>
      <c r="K1008" s="1480"/>
      <c r="L1008" s="1480"/>
      <c r="M1008" s="1474">
        <v>92484150</v>
      </c>
      <c r="N1008" s="1474"/>
      <c r="O1008" s="1474"/>
      <c r="P1008" s="1474"/>
      <c r="Q1008" s="1474"/>
      <c r="R1008" s="433"/>
      <c r="S1008" s="1474">
        <f t="shared" si="66"/>
        <v>92484150</v>
      </c>
      <c r="T1008" s="1474"/>
      <c r="U1008" s="1474"/>
      <c r="V1008" s="1474"/>
      <c r="W1008" s="1474"/>
      <c r="X1008" s="433"/>
      <c r="Y1008" s="1474">
        <v>92484150</v>
      </c>
      <c r="Z1008" s="1474"/>
      <c r="AA1008" s="1474"/>
      <c r="AB1008" s="1474"/>
      <c r="AC1008" s="1474"/>
      <c r="AD1008" s="355"/>
      <c r="AE1008" s="1474">
        <f t="shared" si="67"/>
        <v>92484150</v>
      </c>
      <c r="AF1008" s="1474"/>
      <c r="AG1008" s="1474"/>
      <c r="AH1008" s="1474"/>
      <c r="AI1008" s="1474"/>
      <c r="AJ1008" s="344"/>
      <c r="AK1008" s="345"/>
      <c r="AL1008" s="340"/>
      <c r="AM1008" s="392" t="s">
        <v>1099</v>
      </c>
      <c r="AN1008" s="392"/>
      <c r="AO1008" s="392"/>
      <c r="AP1008" s="392"/>
      <c r="AQ1008" s="392"/>
      <c r="AR1008" s="392"/>
      <c r="AS1008" s="392"/>
      <c r="AT1008" s="392"/>
      <c r="AU1008" s="392"/>
      <c r="AV1008" s="381"/>
      <c r="AW1008" s="1474">
        <f t="shared" si="68"/>
        <v>92484150</v>
      </c>
      <c r="AX1008" s="1474"/>
      <c r="AY1008" s="1474"/>
      <c r="AZ1008" s="1474"/>
      <c r="BA1008" s="1474"/>
      <c r="BB1008" s="433"/>
      <c r="BC1008" s="1474">
        <f t="shared" si="69"/>
        <v>92484150</v>
      </c>
      <c r="BD1008" s="1474"/>
      <c r="BE1008" s="1474"/>
      <c r="BF1008" s="1474"/>
      <c r="BG1008" s="1474"/>
      <c r="BH1008" s="433"/>
      <c r="BI1008" s="1474">
        <f t="shared" si="70"/>
        <v>92484150</v>
      </c>
      <c r="BJ1008" s="1474"/>
      <c r="BK1008" s="1474"/>
      <c r="BL1008" s="1474"/>
      <c r="BM1008" s="1474"/>
      <c r="BN1008" s="355"/>
      <c r="BO1008" s="1474">
        <f t="shared" si="71"/>
        <v>92484150</v>
      </c>
      <c r="BP1008" s="1474"/>
      <c r="BQ1008" s="1474"/>
      <c r="BR1008" s="1474"/>
      <c r="BS1008" s="1474"/>
      <c r="BT1008" s="356"/>
      <c r="BU1008" s="357"/>
      <c r="BV1008" s="310"/>
      <c r="BW1008" s="310"/>
      <c r="BX1008" s="291">
        <f t="shared" si="65"/>
        <v>0</v>
      </c>
      <c r="BY1008" s="344"/>
      <c r="BZ1008" s="347">
        <f t="shared" si="72"/>
        <v>92484150</v>
      </c>
      <c r="CA1008" s="347">
        <v>92484150</v>
      </c>
    </row>
    <row r="1009" spans="1:84" ht="29.1" hidden="1" customHeight="1" x14ac:dyDescent="0.25">
      <c r="A1009" s="313"/>
      <c r="B1009" s="340"/>
      <c r="C1009" s="1480" t="s">
        <v>1169</v>
      </c>
      <c r="D1009" s="1480"/>
      <c r="E1009" s="1480"/>
      <c r="F1009" s="1480"/>
      <c r="G1009" s="1480"/>
      <c r="H1009" s="1480"/>
      <c r="I1009" s="1480"/>
      <c r="J1009" s="1480"/>
      <c r="K1009" s="1480"/>
      <c r="L1009" s="1480"/>
      <c r="M1009" s="1474">
        <v>0</v>
      </c>
      <c r="N1009" s="1474"/>
      <c r="O1009" s="1474"/>
      <c r="P1009" s="1474"/>
      <c r="Q1009" s="1474"/>
      <c r="R1009" s="433"/>
      <c r="S1009" s="1474">
        <f t="shared" si="66"/>
        <v>0</v>
      </c>
      <c r="T1009" s="1474"/>
      <c r="U1009" s="1474"/>
      <c r="V1009" s="1474"/>
      <c r="W1009" s="1474"/>
      <c r="X1009" s="433"/>
      <c r="Y1009" s="1474">
        <v>0</v>
      </c>
      <c r="Z1009" s="1474"/>
      <c r="AA1009" s="1474"/>
      <c r="AB1009" s="1474"/>
      <c r="AC1009" s="1474"/>
      <c r="AD1009" s="355"/>
      <c r="AE1009" s="1474">
        <f t="shared" si="67"/>
        <v>0</v>
      </c>
      <c r="AF1009" s="1474"/>
      <c r="AG1009" s="1474"/>
      <c r="AH1009" s="1474"/>
      <c r="AI1009" s="1474"/>
      <c r="AJ1009" s="344"/>
      <c r="AK1009" s="345"/>
      <c r="AL1009" s="340"/>
      <c r="AM1009" s="392" t="s">
        <v>1099</v>
      </c>
      <c r="AN1009" s="392"/>
      <c r="AO1009" s="392"/>
      <c r="AP1009" s="392"/>
      <c r="AQ1009" s="392"/>
      <c r="AR1009" s="392"/>
      <c r="AS1009" s="392"/>
      <c r="AT1009" s="392"/>
      <c r="AU1009" s="392"/>
      <c r="AV1009" s="381"/>
      <c r="AW1009" s="1474">
        <f t="shared" si="68"/>
        <v>0</v>
      </c>
      <c r="AX1009" s="1474"/>
      <c r="AY1009" s="1474"/>
      <c r="AZ1009" s="1474"/>
      <c r="BA1009" s="1474"/>
      <c r="BB1009" s="433"/>
      <c r="BC1009" s="1474">
        <f t="shared" si="69"/>
        <v>0</v>
      </c>
      <c r="BD1009" s="1474"/>
      <c r="BE1009" s="1474"/>
      <c r="BF1009" s="1474"/>
      <c r="BG1009" s="1474"/>
      <c r="BH1009" s="433"/>
      <c r="BI1009" s="1474">
        <f t="shared" si="70"/>
        <v>0</v>
      </c>
      <c r="BJ1009" s="1474"/>
      <c r="BK1009" s="1474"/>
      <c r="BL1009" s="1474"/>
      <c r="BM1009" s="1474"/>
      <c r="BN1009" s="355"/>
      <c r="BO1009" s="1474">
        <f t="shared" si="71"/>
        <v>0</v>
      </c>
      <c r="BP1009" s="1474"/>
      <c r="BQ1009" s="1474"/>
      <c r="BR1009" s="1474"/>
      <c r="BS1009" s="1474"/>
      <c r="BT1009" s="356"/>
      <c r="BU1009" s="357"/>
      <c r="BV1009" s="310"/>
      <c r="BW1009" s="310"/>
      <c r="BX1009" s="291">
        <f t="shared" si="65"/>
        <v>0</v>
      </c>
      <c r="BY1009" s="344"/>
      <c r="BZ1009" s="347">
        <f t="shared" si="72"/>
        <v>0</v>
      </c>
      <c r="CA1009" s="347"/>
    </row>
    <row r="1010" spans="1:84" s="592" customFormat="1" ht="15" customHeight="1" x14ac:dyDescent="0.25">
      <c r="A1010" s="577"/>
      <c r="B1010" s="578"/>
      <c r="C1010" s="579" t="s">
        <v>1170</v>
      </c>
      <c r="D1010" s="580"/>
      <c r="E1010" s="580"/>
      <c r="F1010" s="580"/>
      <c r="G1010" s="580"/>
      <c r="H1010" s="580"/>
      <c r="I1010" s="580"/>
      <c r="J1010" s="580"/>
      <c r="K1010" s="580"/>
      <c r="L1010" s="581"/>
      <c r="M1010" s="1479">
        <v>551978892</v>
      </c>
      <c r="N1010" s="1479"/>
      <c r="O1010" s="1479"/>
      <c r="P1010" s="1479"/>
      <c r="Q1010" s="1479"/>
      <c r="R1010" s="582"/>
      <c r="S1010" s="1474">
        <f t="shared" si="66"/>
        <v>551978892</v>
      </c>
      <c r="T1010" s="1474"/>
      <c r="U1010" s="1474"/>
      <c r="V1010" s="1474"/>
      <c r="W1010" s="1474"/>
      <c r="X1010" s="582"/>
      <c r="Y1010" s="1479">
        <v>0</v>
      </c>
      <c r="Z1010" s="1479"/>
      <c r="AA1010" s="1479"/>
      <c r="AB1010" s="1479"/>
      <c r="AC1010" s="1479"/>
      <c r="AD1010" s="583"/>
      <c r="AE1010" s="1474">
        <f t="shared" si="67"/>
        <v>0</v>
      </c>
      <c r="AF1010" s="1474"/>
      <c r="AG1010" s="1474"/>
      <c r="AH1010" s="1474"/>
      <c r="AI1010" s="1474"/>
      <c r="AJ1010" s="584"/>
      <c r="AK1010" s="585"/>
      <c r="AL1010" s="578"/>
      <c r="AM1010" s="580" t="s">
        <v>1099</v>
      </c>
      <c r="AN1010" s="580"/>
      <c r="AO1010" s="580"/>
      <c r="AP1010" s="580"/>
      <c r="AQ1010" s="580"/>
      <c r="AR1010" s="580"/>
      <c r="AS1010" s="580"/>
      <c r="AT1010" s="580"/>
      <c r="AU1010" s="580"/>
      <c r="AV1010" s="581"/>
      <c r="AW1010" s="1479">
        <f t="shared" si="68"/>
        <v>551978892</v>
      </c>
      <c r="AX1010" s="1479"/>
      <c r="AY1010" s="1479"/>
      <c r="AZ1010" s="1479"/>
      <c r="BA1010" s="1479"/>
      <c r="BB1010" s="582"/>
      <c r="BC1010" s="1479">
        <f t="shared" si="69"/>
        <v>551978892</v>
      </c>
      <c r="BD1010" s="1479"/>
      <c r="BE1010" s="1479"/>
      <c r="BF1010" s="1479"/>
      <c r="BG1010" s="1479"/>
      <c r="BH1010" s="582"/>
      <c r="BI1010" s="1479">
        <f t="shared" si="70"/>
        <v>0</v>
      </c>
      <c r="BJ1010" s="1479"/>
      <c r="BK1010" s="1479"/>
      <c r="BL1010" s="1479"/>
      <c r="BM1010" s="1479"/>
      <c r="BN1010" s="583"/>
      <c r="BO1010" s="1479">
        <f t="shared" si="71"/>
        <v>0</v>
      </c>
      <c r="BP1010" s="1479"/>
      <c r="BQ1010" s="1479"/>
      <c r="BR1010" s="1479"/>
      <c r="BS1010" s="1479"/>
      <c r="BT1010" s="586"/>
      <c r="BU1010" s="587"/>
      <c r="BV1010" s="588"/>
      <c r="BW1010" s="588"/>
      <c r="BX1010" s="589">
        <f t="shared" si="65"/>
        <v>0</v>
      </c>
      <c r="BY1010" s="584"/>
      <c r="BZ1010" s="347">
        <f t="shared" si="72"/>
        <v>551978892</v>
      </c>
      <c r="CA1010" s="590"/>
      <c r="CB1010" s="591">
        <v>551978892</v>
      </c>
      <c r="CC1010" s="591"/>
      <c r="CD1010" s="591"/>
      <c r="CE1010" s="591"/>
      <c r="CF1010" s="591"/>
    </row>
    <row r="1011" spans="1:84" s="592" customFormat="1" ht="15" customHeight="1" x14ac:dyDescent="0.25">
      <c r="A1011" s="577"/>
      <c r="B1011" s="578"/>
      <c r="C1011" s="579" t="s">
        <v>1171</v>
      </c>
      <c r="D1011" s="580"/>
      <c r="E1011" s="580"/>
      <c r="F1011" s="580"/>
      <c r="G1011" s="580"/>
      <c r="H1011" s="580"/>
      <c r="I1011" s="580"/>
      <c r="J1011" s="580"/>
      <c r="K1011" s="580"/>
      <c r="L1011" s="581"/>
      <c r="M1011" s="1479">
        <v>1800000000</v>
      </c>
      <c r="N1011" s="1479"/>
      <c r="O1011" s="1479"/>
      <c r="P1011" s="1479"/>
      <c r="Q1011" s="1479"/>
      <c r="R1011" s="582"/>
      <c r="S1011" s="1474">
        <f t="shared" si="66"/>
        <v>1800000000</v>
      </c>
      <c r="T1011" s="1474"/>
      <c r="U1011" s="1474"/>
      <c r="V1011" s="1474"/>
      <c r="W1011" s="1474"/>
      <c r="X1011" s="582"/>
      <c r="Y1011" s="1479">
        <v>0</v>
      </c>
      <c r="Z1011" s="1479"/>
      <c r="AA1011" s="1479"/>
      <c r="AB1011" s="1479"/>
      <c r="AC1011" s="1479"/>
      <c r="AD1011" s="583"/>
      <c r="AE1011" s="1474">
        <f t="shared" si="67"/>
        <v>0</v>
      </c>
      <c r="AF1011" s="1474"/>
      <c r="AG1011" s="1474"/>
      <c r="AH1011" s="1474"/>
      <c r="AI1011" s="1474"/>
      <c r="AJ1011" s="584"/>
      <c r="AK1011" s="585"/>
      <c r="AL1011" s="578"/>
      <c r="AM1011" s="580" t="s">
        <v>1099</v>
      </c>
      <c r="AN1011" s="580"/>
      <c r="AO1011" s="580"/>
      <c r="AP1011" s="580"/>
      <c r="AQ1011" s="580"/>
      <c r="AR1011" s="580"/>
      <c r="AS1011" s="580"/>
      <c r="AT1011" s="580"/>
      <c r="AU1011" s="580"/>
      <c r="AV1011" s="581"/>
      <c r="AW1011" s="1479">
        <f t="shared" si="68"/>
        <v>1800000000</v>
      </c>
      <c r="AX1011" s="1479"/>
      <c r="AY1011" s="1479"/>
      <c r="AZ1011" s="1479"/>
      <c r="BA1011" s="1479"/>
      <c r="BB1011" s="582"/>
      <c r="BC1011" s="1479">
        <f t="shared" si="69"/>
        <v>1800000000</v>
      </c>
      <c r="BD1011" s="1479"/>
      <c r="BE1011" s="1479"/>
      <c r="BF1011" s="1479"/>
      <c r="BG1011" s="1479"/>
      <c r="BH1011" s="582"/>
      <c r="BI1011" s="1479">
        <f t="shared" si="70"/>
        <v>0</v>
      </c>
      <c r="BJ1011" s="1479"/>
      <c r="BK1011" s="1479"/>
      <c r="BL1011" s="1479"/>
      <c r="BM1011" s="1479"/>
      <c r="BN1011" s="583"/>
      <c r="BO1011" s="1479">
        <f t="shared" si="71"/>
        <v>0</v>
      </c>
      <c r="BP1011" s="1479"/>
      <c r="BQ1011" s="1479"/>
      <c r="BR1011" s="1479"/>
      <c r="BS1011" s="1479"/>
      <c r="BT1011" s="586"/>
      <c r="BU1011" s="587"/>
      <c r="BV1011" s="588"/>
      <c r="BW1011" s="588"/>
      <c r="BX1011" s="589">
        <f t="shared" si="65"/>
        <v>0</v>
      </c>
      <c r="BY1011" s="584"/>
      <c r="BZ1011" s="347">
        <f t="shared" si="72"/>
        <v>1800000000</v>
      </c>
      <c r="CA1011" s="590"/>
      <c r="CB1011" s="591">
        <v>1800000000</v>
      </c>
      <c r="CC1011" s="591"/>
      <c r="CD1011" s="591"/>
      <c r="CE1011" s="591"/>
      <c r="CF1011" s="591"/>
    </row>
    <row r="1012" spans="1:84" s="592" customFormat="1" ht="29.1" customHeight="1" x14ac:dyDescent="0.25">
      <c r="A1012" s="577"/>
      <c r="B1012" s="578"/>
      <c r="C1012" s="1480" t="s">
        <v>1169</v>
      </c>
      <c r="D1012" s="1480"/>
      <c r="E1012" s="1480"/>
      <c r="F1012" s="1480"/>
      <c r="G1012" s="1480"/>
      <c r="H1012" s="1480"/>
      <c r="I1012" s="1480"/>
      <c r="J1012" s="1480"/>
      <c r="K1012" s="1480"/>
      <c r="L1012" s="1480"/>
      <c r="M1012" s="1479">
        <f>283498985+2*12100000</f>
        <v>307698985</v>
      </c>
      <c r="N1012" s="1479"/>
      <c r="O1012" s="1479"/>
      <c r="P1012" s="1479"/>
      <c r="Q1012" s="1479"/>
      <c r="R1012" s="582"/>
      <c r="S1012" s="1474">
        <f t="shared" si="66"/>
        <v>307698985</v>
      </c>
      <c r="T1012" s="1474"/>
      <c r="U1012" s="1474"/>
      <c r="V1012" s="1474"/>
      <c r="W1012" s="1474"/>
      <c r="X1012" s="582"/>
      <c r="Y1012" s="1474">
        <v>270985897</v>
      </c>
      <c r="Z1012" s="1474"/>
      <c r="AA1012" s="1474"/>
      <c r="AB1012" s="1474"/>
      <c r="AC1012" s="1474"/>
      <c r="AD1012" s="583"/>
      <c r="AE1012" s="1474">
        <f t="shared" si="67"/>
        <v>270985897</v>
      </c>
      <c r="AF1012" s="1474"/>
      <c r="AG1012" s="1474"/>
      <c r="AH1012" s="1474"/>
      <c r="AI1012" s="1474"/>
      <c r="AJ1012" s="584"/>
      <c r="AK1012" s="585"/>
      <c r="AL1012" s="578"/>
      <c r="AM1012" s="580" t="s">
        <v>1099</v>
      </c>
      <c r="AN1012" s="580"/>
      <c r="AO1012" s="580"/>
      <c r="AP1012" s="580"/>
      <c r="AQ1012" s="580"/>
      <c r="AR1012" s="580"/>
      <c r="AS1012" s="580"/>
      <c r="AT1012" s="580"/>
      <c r="AU1012" s="580"/>
      <c r="AV1012" s="581"/>
      <c r="AW1012" s="1479">
        <f>M1012</f>
        <v>307698985</v>
      </c>
      <c r="AX1012" s="1479"/>
      <c r="AY1012" s="1479"/>
      <c r="AZ1012" s="1479"/>
      <c r="BA1012" s="1479"/>
      <c r="BB1012" s="582"/>
      <c r="BC1012" s="1479">
        <f>S1012</f>
        <v>307698985</v>
      </c>
      <c r="BD1012" s="1479"/>
      <c r="BE1012" s="1479"/>
      <c r="BF1012" s="1479"/>
      <c r="BG1012" s="1479"/>
      <c r="BH1012" s="582"/>
      <c r="BI1012" s="1479">
        <f>Y1012</f>
        <v>270985897</v>
      </c>
      <c r="BJ1012" s="1479"/>
      <c r="BK1012" s="1479"/>
      <c r="BL1012" s="1479"/>
      <c r="BM1012" s="1479"/>
      <c r="BN1012" s="583"/>
      <c r="BO1012" s="1479">
        <f>AE1012</f>
        <v>270985897</v>
      </c>
      <c r="BP1012" s="1479"/>
      <c r="BQ1012" s="1479"/>
      <c r="BR1012" s="1479"/>
      <c r="BS1012" s="1479"/>
      <c r="BT1012" s="586"/>
      <c r="BU1012" s="587"/>
      <c r="BV1012" s="588"/>
      <c r="BW1012" s="588"/>
      <c r="BX1012" s="589">
        <f t="shared" si="65"/>
        <v>0</v>
      </c>
      <c r="BY1012" s="584"/>
      <c r="BZ1012" s="347">
        <f t="shared" si="72"/>
        <v>283498985</v>
      </c>
      <c r="CA1012" s="590">
        <v>240730066</v>
      </c>
      <c r="CB1012" s="591">
        <v>42768919</v>
      </c>
      <c r="CC1012" s="591"/>
      <c r="CD1012" s="591"/>
      <c r="CE1012" s="591"/>
      <c r="CF1012" s="591"/>
    </row>
    <row r="1013" spans="1:84" ht="12.95" customHeight="1" x14ac:dyDescent="0.25">
      <c r="A1013" s="313"/>
      <c r="B1013" s="340"/>
      <c r="C1013" s="392"/>
      <c r="D1013" s="392"/>
      <c r="E1013" s="392"/>
      <c r="F1013" s="392"/>
      <c r="G1013" s="392"/>
      <c r="H1013" s="392"/>
      <c r="I1013" s="392"/>
      <c r="J1013" s="392"/>
      <c r="K1013" s="392"/>
      <c r="L1013" s="381"/>
      <c r="M1013" s="1474"/>
      <c r="N1013" s="1474"/>
      <c r="O1013" s="1474"/>
      <c r="P1013" s="1474"/>
      <c r="Q1013" s="1474"/>
      <c r="R1013" s="433"/>
      <c r="S1013" s="1474"/>
      <c r="T1013" s="1474"/>
      <c r="U1013" s="1474"/>
      <c r="V1013" s="1474"/>
      <c r="W1013" s="1474"/>
      <c r="X1013" s="433"/>
      <c r="Y1013" s="1474"/>
      <c r="Z1013" s="1474"/>
      <c r="AA1013" s="1474"/>
      <c r="AB1013" s="1474"/>
      <c r="AC1013" s="1474"/>
      <c r="AD1013" s="355"/>
      <c r="AE1013" s="1474"/>
      <c r="AF1013" s="1474"/>
      <c r="AG1013" s="1474"/>
      <c r="AH1013" s="1474"/>
      <c r="AI1013" s="1474"/>
      <c r="AJ1013" s="344"/>
      <c r="AK1013" s="345"/>
      <c r="AL1013" s="340"/>
      <c r="AM1013" s="392"/>
      <c r="AN1013" s="392"/>
      <c r="AO1013" s="392"/>
      <c r="AP1013" s="392"/>
      <c r="AQ1013" s="392"/>
      <c r="AR1013" s="392"/>
      <c r="AS1013" s="392"/>
      <c r="AT1013" s="392"/>
      <c r="AU1013" s="392"/>
      <c r="AV1013" s="381"/>
      <c r="AW1013" s="1474"/>
      <c r="AX1013" s="1474"/>
      <c r="AY1013" s="1474"/>
      <c r="AZ1013" s="1474"/>
      <c r="BA1013" s="1474"/>
      <c r="BB1013" s="433"/>
      <c r="BC1013" s="1474"/>
      <c r="BD1013" s="1474"/>
      <c r="BE1013" s="1474"/>
      <c r="BF1013" s="1474"/>
      <c r="BG1013" s="1474"/>
      <c r="BH1013" s="433"/>
      <c r="BI1013" s="1474"/>
      <c r="BJ1013" s="1474"/>
      <c r="BK1013" s="1474"/>
      <c r="BL1013" s="1474"/>
      <c r="BM1013" s="1474"/>
      <c r="BN1013" s="355"/>
      <c r="BO1013" s="1474"/>
      <c r="BP1013" s="1474"/>
      <c r="BQ1013" s="1474"/>
      <c r="BR1013" s="1474"/>
      <c r="BS1013" s="1474"/>
      <c r="BT1013" s="356"/>
      <c r="BU1013" s="357"/>
      <c r="BV1013" s="310"/>
      <c r="BW1013" s="310"/>
      <c r="BX1013" s="291">
        <f>IF(ISNONTEXT($C1013),0,SUM(D1013:AI1013)-SUM(AN1013:BS1013))</f>
        <v>0</v>
      </c>
      <c r="BY1013" s="344"/>
      <c r="BZ1013" s="347"/>
      <c r="CA1013" s="347"/>
    </row>
    <row r="1014" spans="1:84" s="385" customFormat="1" ht="15" customHeight="1" thickBot="1" x14ac:dyDescent="0.3">
      <c r="A1014" s="313"/>
      <c r="B1014" s="340"/>
      <c r="C1014" s="360" t="s">
        <v>752</v>
      </c>
      <c r="D1014" s="471"/>
      <c r="E1014" s="471"/>
      <c r="F1014" s="471"/>
      <c r="G1014" s="471"/>
      <c r="H1014" s="471"/>
      <c r="I1014" s="471"/>
      <c r="J1014" s="471"/>
      <c r="K1014" s="471"/>
      <c r="L1014" s="382"/>
      <c r="M1014" s="1475">
        <f>SUBTOTAL(109,M1005:Q1012)</f>
        <v>3576953621</v>
      </c>
      <c r="N1014" s="1475"/>
      <c r="O1014" s="1475"/>
      <c r="P1014" s="1475"/>
      <c r="Q1014" s="1475"/>
      <c r="R1014" s="465"/>
      <c r="S1014" s="1475">
        <f>SUBTOTAL(109,S1005:W1012)</f>
        <v>3576953621</v>
      </c>
      <c r="T1014" s="1475"/>
      <c r="U1014" s="1475"/>
      <c r="V1014" s="1475"/>
      <c r="W1014" s="1475"/>
      <c r="X1014" s="465"/>
      <c r="Y1014" s="1475">
        <f>SUBTOTAL(109,Y1005:AC1012)</f>
        <v>1535920008</v>
      </c>
      <c r="Z1014" s="1475"/>
      <c r="AA1014" s="1475"/>
      <c r="AB1014" s="1475"/>
      <c r="AC1014" s="1475"/>
      <c r="AD1014" s="363"/>
      <c r="AE1014" s="1475">
        <f>SUBTOTAL(109,AE1005:AI1012)</f>
        <v>1535920008</v>
      </c>
      <c r="AF1014" s="1475"/>
      <c r="AG1014" s="1475"/>
      <c r="AH1014" s="1475"/>
      <c r="AI1014" s="1475"/>
      <c r="AJ1014" s="374"/>
      <c r="AK1014" s="345"/>
      <c r="AL1014" s="340"/>
      <c r="AM1014" s="360" t="s">
        <v>752</v>
      </c>
      <c r="AN1014" s="471"/>
      <c r="AO1014" s="471"/>
      <c r="AP1014" s="471"/>
      <c r="AQ1014" s="471"/>
      <c r="AR1014" s="471"/>
      <c r="AS1014" s="471"/>
      <c r="AT1014" s="471"/>
      <c r="AU1014" s="471"/>
      <c r="AV1014" s="382"/>
      <c r="AW1014" s="1475">
        <f>SUBTOTAL(109,AW1005:BA1012)</f>
        <v>3576953621</v>
      </c>
      <c r="AX1014" s="1475"/>
      <c r="AY1014" s="1475"/>
      <c r="AZ1014" s="1475"/>
      <c r="BA1014" s="1475"/>
      <c r="BB1014" s="465"/>
      <c r="BC1014" s="1475">
        <f>SUBTOTAL(109,BC1005:BG1012)</f>
        <v>3576953621</v>
      </c>
      <c r="BD1014" s="1475"/>
      <c r="BE1014" s="1475"/>
      <c r="BF1014" s="1475"/>
      <c r="BG1014" s="1475"/>
      <c r="BH1014" s="465"/>
      <c r="BI1014" s="1475">
        <f>SUBTOTAL(109,BI1005:BM1012)</f>
        <v>1535920008</v>
      </c>
      <c r="BJ1014" s="1475"/>
      <c r="BK1014" s="1475"/>
      <c r="BL1014" s="1475"/>
      <c r="BM1014" s="1475"/>
      <c r="BN1014" s="363"/>
      <c r="BO1014" s="1475">
        <f>SUBTOTAL(109,BO1005:BS1012)</f>
        <v>1535920008</v>
      </c>
      <c r="BP1014" s="1475"/>
      <c r="BQ1014" s="1475"/>
      <c r="BR1014" s="1475"/>
      <c r="BS1014" s="1475"/>
      <c r="BT1014" s="361"/>
      <c r="BU1014" s="362"/>
      <c r="BV1014" s="310">
        <f>M1014-KN_CT311-KN_CT331</f>
        <v>0</v>
      </c>
      <c r="BW1014" s="310">
        <f>Y1014-KT_CT311-KT_CT331</f>
        <v>0</v>
      </c>
      <c r="BX1014" s="291">
        <f t="shared" si="65"/>
        <v>0</v>
      </c>
      <c r="BY1014" s="374"/>
      <c r="BZ1014" s="383"/>
      <c r="CA1014" s="383"/>
      <c r="CB1014" s="384"/>
      <c r="CC1014" s="384"/>
      <c r="CD1014" s="384"/>
      <c r="CE1014" s="384"/>
      <c r="CF1014" s="384"/>
    </row>
    <row r="1015" spans="1:84" ht="15" hidden="1" customHeight="1" thickTop="1" x14ac:dyDescent="0.25">
      <c r="A1015" s="313"/>
      <c r="B1015" s="340"/>
      <c r="C1015" s="456"/>
      <c r="D1015" s="392"/>
      <c r="E1015" s="392"/>
      <c r="F1015" s="392"/>
      <c r="G1015" s="392"/>
      <c r="H1015" s="392"/>
      <c r="I1015" s="392"/>
      <c r="J1015" s="392"/>
      <c r="K1015" s="392"/>
      <c r="L1015" s="381"/>
      <c r="M1015" s="1474"/>
      <c r="N1015" s="1474"/>
      <c r="O1015" s="1474"/>
      <c r="P1015" s="1474"/>
      <c r="Q1015" s="1474"/>
      <c r="R1015" s="465"/>
      <c r="S1015" s="1474"/>
      <c r="T1015" s="1474"/>
      <c r="U1015" s="1474"/>
      <c r="V1015" s="1474"/>
      <c r="W1015" s="1474"/>
      <c r="X1015" s="465"/>
      <c r="Y1015" s="1474"/>
      <c r="Z1015" s="1474"/>
      <c r="AA1015" s="1474"/>
      <c r="AB1015" s="1474"/>
      <c r="AC1015" s="1474"/>
      <c r="AD1015" s="363"/>
      <c r="AE1015" s="1474"/>
      <c r="AF1015" s="1474"/>
      <c r="AG1015" s="1474"/>
      <c r="AH1015" s="1474"/>
      <c r="AI1015" s="1474"/>
      <c r="AJ1015" s="344"/>
      <c r="AK1015" s="345"/>
      <c r="AL1015" s="340"/>
      <c r="AM1015" s="456"/>
      <c r="AN1015" s="392"/>
      <c r="AO1015" s="392"/>
      <c r="AP1015" s="392"/>
      <c r="AQ1015" s="392"/>
      <c r="AR1015" s="392"/>
      <c r="AS1015" s="392"/>
      <c r="AT1015" s="392"/>
      <c r="AU1015" s="392"/>
      <c r="AV1015" s="381"/>
      <c r="AW1015" s="1474"/>
      <c r="AX1015" s="1474"/>
      <c r="AY1015" s="1474"/>
      <c r="AZ1015" s="1474"/>
      <c r="BA1015" s="1474"/>
      <c r="BB1015" s="465"/>
      <c r="BC1015" s="1474"/>
      <c r="BD1015" s="1474"/>
      <c r="BE1015" s="1474"/>
      <c r="BF1015" s="1474"/>
      <c r="BG1015" s="1474"/>
      <c r="BH1015" s="465"/>
      <c r="BI1015" s="1474"/>
      <c r="BJ1015" s="1474"/>
      <c r="BK1015" s="1474"/>
      <c r="BL1015" s="1474"/>
      <c r="BM1015" s="1474"/>
      <c r="BN1015" s="363"/>
      <c r="BO1015" s="1474"/>
      <c r="BP1015" s="1474"/>
      <c r="BQ1015" s="1474"/>
      <c r="BR1015" s="1474"/>
      <c r="BS1015" s="1474"/>
      <c r="BT1015" s="356"/>
      <c r="BU1015" s="357"/>
      <c r="BV1015" s="310"/>
      <c r="BW1015" s="310"/>
      <c r="BX1015" s="291">
        <f t="shared" si="65"/>
        <v>0</v>
      </c>
      <c r="BY1015" s="344"/>
      <c r="BZ1015" s="347"/>
      <c r="CA1015" s="347"/>
    </row>
    <row r="1016" spans="1:84" s="385" customFormat="1" ht="15" hidden="1" customHeight="1" x14ac:dyDescent="0.25">
      <c r="A1016" s="313"/>
      <c r="B1016" s="340"/>
      <c r="C1016" s="593" t="s">
        <v>1172</v>
      </c>
      <c r="D1016" s="594"/>
      <c r="E1016" s="594"/>
      <c r="F1016" s="594"/>
      <c r="G1016" s="594"/>
      <c r="H1016" s="594"/>
      <c r="I1016" s="594"/>
      <c r="J1016" s="594"/>
      <c r="K1016" s="594"/>
      <c r="L1016" s="382"/>
      <c r="M1016" s="465"/>
      <c r="N1016" s="465"/>
      <c r="O1016" s="465"/>
      <c r="P1016" s="465"/>
      <c r="Q1016" s="465"/>
      <c r="R1016" s="465"/>
      <c r="S1016" s="465"/>
      <c r="T1016" s="465"/>
      <c r="U1016" s="465"/>
      <c r="V1016" s="465"/>
      <c r="W1016" s="465"/>
      <c r="X1016" s="465"/>
      <c r="Y1016" s="465"/>
      <c r="Z1016" s="465"/>
      <c r="AA1016" s="465"/>
      <c r="AB1016" s="465"/>
      <c r="AC1016" s="465"/>
      <c r="AD1016" s="363"/>
      <c r="AE1016" s="465"/>
      <c r="AF1016" s="465"/>
      <c r="AG1016" s="465"/>
      <c r="AH1016" s="465"/>
      <c r="AI1016" s="465"/>
      <c r="AJ1016" s="374"/>
      <c r="AK1016" s="345"/>
      <c r="AL1016" s="340"/>
      <c r="AM1016" s="593" t="s">
        <v>1173</v>
      </c>
      <c r="AN1016" s="471"/>
      <c r="AO1016" s="471"/>
      <c r="AP1016" s="471"/>
      <c r="AQ1016" s="471"/>
      <c r="AR1016" s="471"/>
      <c r="AS1016" s="471"/>
      <c r="AT1016" s="471"/>
      <c r="AU1016" s="471"/>
      <c r="AV1016" s="382"/>
      <c r="AW1016" s="465"/>
      <c r="AX1016" s="465"/>
      <c r="AY1016" s="465"/>
      <c r="AZ1016" s="465"/>
      <c r="BA1016" s="465"/>
      <c r="BB1016" s="465"/>
      <c r="BC1016" s="465"/>
      <c r="BD1016" s="465"/>
      <c r="BE1016" s="465"/>
      <c r="BF1016" s="465"/>
      <c r="BG1016" s="465"/>
      <c r="BH1016" s="465"/>
      <c r="BI1016" s="465"/>
      <c r="BJ1016" s="465"/>
      <c r="BK1016" s="465"/>
      <c r="BL1016" s="465"/>
      <c r="BM1016" s="465"/>
      <c r="BN1016" s="363"/>
      <c r="BO1016" s="465"/>
      <c r="BP1016" s="465"/>
      <c r="BQ1016" s="465"/>
      <c r="BR1016" s="465"/>
      <c r="BS1016" s="465"/>
      <c r="BT1016" s="361"/>
      <c r="BU1016" s="362"/>
      <c r="BV1016" s="425"/>
      <c r="BW1016" s="425"/>
      <c r="BX1016" s="426">
        <f t="shared" si="65"/>
        <v>0</v>
      </c>
      <c r="BY1016" s="374"/>
      <c r="BZ1016" s="383"/>
      <c r="CA1016" s="383"/>
      <c r="CB1016" s="384"/>
      <c r="CC1016" s="384"/>
      <c r="CD1016" s="384"/>
      <c r="CE1016" s="384"/>
      <c r="CF1016" s="384"/>
    </row>
    <row r="1017" spans="1:84" ht="15" hidden="1" customHeight="1" x14ac:dyDescent="0.25">
      <c r="A1017" s="313"/>
      <c r="B1017" s="340"/>
      <c r="C1017" s="456" t="s">
        <v>1174</v>
      </c>
      <c r="D1017" s="392"/>
      <c r="E1017" s="392"/>
      <c r="F1017" s="392"/>
      <c r="G1017" s="392"/>
      <c r="H1017" s="392"/>
      <c r="I1017" s="392"/>
      <c r="J1017" s="392"/>
      <c r="K1017" s="392"/>
      <c r="L1017" s="381"/>
      <c r="M1017" s="1474">
        <f>KN_CT311</f>
        <v>3576953621</v>
      </c>
      <c r="N1017" s="1474"/>
      <c r="O1017" s="1474"/>
      <c r="P1017" s="1474"/>
      <c r="Q1017" s="1474"/>
      <c r="R1017" s="465"/>
      <c r="S1017" s="1474">
        <v>0</v>
      </c>
      <c r="T1017" s="1474"/>
      <c r="U1017" s="1474"/>
      <c r="V1017" s="1474"/>
      <c r="W1017" s="1474"/>
      <c r="X1017" s="465"/>
      <c r="Y1017" s="1474">
        <f>KT_CT311</f>
        <v>1535920008</v>
      </c>
      <c r="Z1017" s="1474"/>
      <c r="AA1017" s="1474"/>
      <c r="AB1017" s="1474"/>
      <c r="AC1017" s="1474"/>
      <c r="AD1017" s="363"/>
      <c r="AE1017" s="1474">
        <v>0</v>
      </c>
      <c r="AF1017" s="1474"/>
      <c r="AG1017" s="1474"/>
      <c r="AH1017" s="1474"/>
      <c r="AI1017" s="1474"/>
      <c r="AJ1017" s="344"/>
      <c r="AK1017" s="345"/>
      <c r="AL1017" s="340"/>
      <c r="AM1017" s="456" t="s">
        <v>1175</v>
      </c>
      <c r="AN1017" s="392"/>
      <c r="AO1017" s="392"/>
      <c r="AP1017" s="392"/>
      <c r="AQ1017" s="392"/>
      <c r="AR1017" s="392"/>
      <c r="AS1017" s="392"/>
      <c r="AT1017" s="392"/>
      <c r="AU1017" s="392"/>
      <c r="AV1017" s="381"/>
      <c r="AW1017" s="1474">
        <f>M1017</f>
        <v>3576953621</v>
      </c>
      <c r="AX1017" s="1474"/>
      <c r="AY1017" s="1474"/>
      <c r="AZ1017" s="1474"/>
      <c r="BA1017" s="1474"/>
      <c r="BB1017" s="465"/>
      <c r="BC1017" s="1474">
        <f>S1017</f>
        <v>0</v>
      </c>
      <c r="BD1017" s="1474"/>
      <c r="BE1017" s="1474"/>
      <c r="BF1017" s="1474"/>
      <c r="BG1017" s="1474"/>
      <c r="BH1017" s="465"/>
      <c r="BI1017" s="1474">
        <f>Y1017</f>
        <v>1535920008</v>
      </c>
      <c r="BJ1017" s="1474"/>
      <c r="BK1017" s="1474"/>
      <c r="BL1017" s="1474"/>
      <c r="BM1017" s="1474"/>
      <c r="BN1017" s="363"/>
      <c r="BO1017" s="1474">
        <f>AE1017</f>
        <v>0</v>
      </c>
      <c r="BP1017" s="1474"/>
      <c r="BQ1017" s="1474"/>
      <c r="BR1017" s="1474"/>
      <c r="BS1017" s="1474"/>
      <c r="BT1017" s="356"/>
      <c r="BU1017" s="357"/>
      <c r="BV1017" s="310"/>
      <c r="BW1017" s="310"/>
      <c r="BX1017" s="291">
        <f>IF(ISNONTEXT($C1017),0,SUM(D1017:AI1017)-SUM(AN1017:BS1017))</f>
        <v>0</v>
      </c>
      <c r="BY1017" s="344"/>
      <c r="BZ1017" s="347"/>
      <c r="CA1017" s="347"/>
    </row>
    <row r="1018" spans="1:84" ht="15" hidden="1" customHeight="1" x14ac:dyDescent="0.25">
      <c r="A1018" s="313"/>
      <c r="B1018" s="340"/>
      <c r="C1018" s="456" t="s">
        <v>1176</v>
      </c>
      <c r="D1018" s="392"/>
      <c r="E1018" s="392"/>
      <c r="F1018" s="392"/>
      <c r="G1018" s="392"/>
      <c r="H1018" s="392"/>
      <c r="I1018" s="392"/>
      <c r="J1018" s="392"/>
      <c r="K1018" s="392"/>
      <c r="L1018" s="381"/>
      <c r="M1018" s="1474">
        <f>KN_CT331</f>
        <v>0</v>
      </c>
      <c r="N1018" s="1474"/>
      <c r="O1018" s="1474"/>
      <c r="P1018" s="1474"/>
      <c r="Q1018" s="1474"/>
      <c r="R1018" s="465"/>
      <c r="S1018" s="1474">
        <v>0</v>
      </c>
      <c r="T1018" s="1474"/>
      <c r="U1018" s="1474"/>
      <c r="V1018" s="1474"/>
      <c r="W1018" s="1474"/>
      <c r="X1018" s="465"/>
      <c r="Y1018" s="1474">
        <f>KT_CT331</f>
        <v>0</v>
      </c>
      <c r="Z1018" s="1474"/>
      <c r="AA1018" s="1474"/>
      <c r="AB1018" s="1474"/>
      <c r="AC1018" s="1474"/>
      <c r="AD1018" s="363"/>
      <c r="AE1018" s="1474">
        <v>0</v>
      </c>
      <c r="AF1018" s="1474"/>
      <c r="AG1018" s="1474"/>
      <c r="AH1018" s="1474"/>
      <c r="AI1018" s="1474"/>
      <c r="AJ1018" s="344"/>
      <c r="AK1018" s="345"/>
      <c r="AL1018" s="340"/>
      <c r="AM1018" s="456" t="s">
        <v>1177</v>
      </c>
      <c r="AN1018" s="392"/>
      <c r="AO1018" s="392"/>
      <c r="AP1018" s="392"/>
      <c r="AQ1018" s="392"/>
      <c r="AR1018" s="392"/>
      <c r="AS1018" s="392"/>
      <c r="AT1018" s="392"/>
      <c r="AU1018" s="392"/>
      <c r="AV1018" s="381"/>
      <c r="AW1018" s="1474">
        <f>M1018</f>
        <v>0</v>
      </c>
      <c r="AX1018" s="1474"/>
      <c r="AY1018" s="1474"/>
      <c r="AZ1018" s="1474"/>
      <c r="BA1018" s="1474"/>
      <c r="BB1018" s="465"/>
      <c r="BC1018" s="1474">
        <f>S1018</f>
        <v>0</v>
      </c>
      <c r="BD1018" s="1474"/>
      <c r="BE1018" s="1474"/>
      <c r="BF1018" s="1474"/>
      <c r="BG1018" s="1474"/>
      <c r="BH1018" s="465"/>
      <c r="BI1018" s="1474">
        <f>Y1018</f>
        <v>0</v>
      </c>
      <c r="BJ1018" s="1474"/>
      <c r="BK1018" s="1474"/>
      <c r="BL1018" s="1474"/>
      <c r="BM1018" s="1474"/>
      <c r="BN1018" s="363"/>
      <c r="BO1018" s="1474">
        <f>AE1018</f>
        <v>0</v>
      </c>
      <c r="BP1018" s="1474"/>
      <c r="BQ1018" s="1474"/>
      <c r="BR1018" s="1474"/>
      <c r="BS1018" s="1474"/>
      <c r="BT1018" s="356"/>
      <c r="BU1018" s="357"/>
      <c r="BV1018" s="310"/>
      <c r="BW1018" s="310"/>
      <c r="BX1018" s="291">
        <f t="shared" si="65"/>
        <v>0</v>
      </c>
      <c r="BY1018" s="344"/>
      <c r="BZ1018" s="347"/>
      <c r="CA1018" s="347"/>
    </row>
    <row r="1019" spans="1:84" ht="15" hidden="1" customHeight="1" x14ac:dyDescent="0.25">
      <c r="A1019" s="313"/>
      <c r="B1019" s="340"/>
      <c r="C1019" s="392"/>
      <c r="D1019" s="392"/>
      <c r="E1019" s="392"/>
      <c r="F1019" s="392"/>
      <c r="G1019" s="392"/>
      <c r="H1019" s="392"/>
      <c r="I1019" s="392"/>
      <c r="J1019" s="392"/>
      <c r="K1019" s="392"/>
      <c r="L1019" s="407"/>
      <c r="M1019" s="493"/>
      <c r="N1019" s="493"/>
      <c r="O1019" s="493"/>
      <c r="P1019" s="493"/>
      <c r="Q1019" s="493"/>
      <c r="R1019" s="493"/>
      <c r="S1019" s="493"/>
      <c r="T1019" s="493"/>
      <c r="U1019" s="493"/>
      <c r="V1019" s="493"/>
      <c r="W1019" s="493"/>
      <c r="X1019" s="493"/>
      <c r="Y1019" s="493"/>
      <c r="Z1019" s="493"/>
      <c r="AA1019" s="493"/>
      <c r="AB1019" s="493"/>
      <c r="AC1019" s="355"/>
      <c r="AD1019" s="355"/>
      <c r="AE1019" s="355"/>
      <c r="AF1019" s="355"/>
      <c r="AG1019" s="355"/>
      <c r="AH1019" s="355"/>
      <c r="AI1019" s="355"/>
      <c r="AJ1019" s="344"/>
      <c r="AK1019" s="345"/>
      <c r="AL1019" s="340"/>
      <c r="AM1019" s="392"/>
      <c r="AN1019" s="392"/>
      <c r="AO1019" s="392"/>
      <c r="AP1019" s="392"/>
      <c r="AQ1019" s="392"/>
      <c r="AR1019" s="392"/>
      <c r="AS1019" s="392"/>
      <c r="AT1019" s="392"/>
      <c r="AU1019" s="392"/>
      <c r="AV1019" s="407"/>
      <c r="AW1019" s="493"/>
      <c r="AX1019" s="493"/>
      <c r="AY1019" s="493"/>
      <c r="AZ1019" s="493"/>
      <c r="BA1019" s="493"/>
      <c r="BB1019" s="493"/>
      <c r="BC1019" s="493"/>
      <c r="BD1019" s="493"/>
      <c r="BE1019" s="493"/>
      <c r="BF1019" s="493"/>
      <c r="BG1019" s="493"/>
      <c r="BH1019" s="493"/>
      <c r="BI1019" s="493"/>
      <c r="BJ1019" s="493"/>
      <c r="BK1019" s="493"/>
      <c r="BL1019" s="493"/>
      <c r="BM1019" s="355"/>
      <c r="BN1019" s="355"/>
      <c r="BO1019" s="355"/>
      <c r="BP1019" s="355"/>
      <c r="BQ1019" s="355"/>
      <c r="BR1019" s="355"/>
      <c r="BS1019" s="355"/>
      <c r="BT1019" s="356"/>
      <c r="BU1019" s="357"/>
      <c r="BV1019" s="310"/>
      <c r="BW1019" s="310"/>
      <c r="BX1019" s="291">
        <f t="shared" si="65"/>
        <v>0</v>
      </c>
      <c r="BY1019" s="344"/>
      <c r="BZ1019" s="347"/>
      <c r="CA1019" s="347"/>
    </row>
    <row r="1020" spans="1:84" ht="15" hidden="1" customHeight="1" thickBot="1" x14ac:dyDescent="0.3">
      <c r="A1020" s="313"/>
      <c r="B1020" s="340"/>
      <c r="C1020" s="360" t="s">
        <v>752</v>
      </c>
      <c r="D1020" s="392"/>
      <c r="E1020" s="392"/>
      <c r="F1020" s="392"/>
      <c r="G1020" s="392"/>
      <c r="H1020" s="392"/>
      <c r="I1020" s="392"/>
      <c r="J1020" s="392"/>
      <c r="K1020" s="392"/>
      <c r="L1020" s="381"/>
      <c r="M1020" s="1475">
        <f>SUBTOTAL(109,M1017:Q1018)</f>
        <v>0</v>
      </c>
      <c r="N1020" s="1475"/>
      <c r="O1020" s="1475"/>
      <c r="P1020" s="1475"/>
      <c r="Q1020" s="1475"/>
      <c r="R1020" s="465"/>
      <c r="S1020" s="1475">
        <f>SUBTOTAL(109,S1017:W1018)</f>
        <v>0</v>
      </c>
      <c r="T1020" s="1475"/>
      <c r="U1020" s="1475"/>
      <c r="V1020" s="1475"/>
      <c r="W1020" s="1475"/>
      <c r="X1020" s="465"/>
      <c r="Y1020" s="1475">
        <f>SUBTOTAL(109,Y1017:AC1018)</f>
        <v>0</v>
      </c>
      <c r="Z1020" s="1475"/>
      <c r="AA1020" s="1475"/>
      <c r="AB1020" s="1475"/>
      <c r="AC1020" s="1475"/>
      <c r="AD1020" s="363"/>
      <c r="AE1020" s="1475">
        <f>SUBTOTAL(109,AE1017:AI1018)</f>
        <v>0</v>
      </c>
      <c r="AF1020" s="1475"/>
      <c r="AG1020" s="1475"/>
      <c r="AH1020" s="1475"/>
      <c r="AI1020" s="1475"/>
      <c r="AJ1020" s="344"/>
      <c r="AK1020" s="345"/>
      <c r="AL1020" s="340"/>
      <c r="AM1020" s="360" t="s">
        <v>752</v>
      </c>
      <c r="AN1020" s="392"/>
      <c r="AO1020" s="392"/>
      <c r="AP1020" s="392"/>
      <c r="AQ1020" s="392"/>
      <c r="AR1020" s="392"/>
      <c r="AS1020" s="392"/>
      <c r="AT1020" s="392"/>
      <c r="AU1020" s="392"/>
      <c r="AV1020" s="381"/>
      <c r="AW1020" s="1475">
        <f>SUBTOTAL(109,AW1017:BA1018)</f>
        <v>0</v>
      </c>
      <c r="AX1020" s="1475"/>
      <c r="AY1020" s="1475"/>
      <c r="AZ1020" s="1475"/>
      <c r="BA1020" s="1475"/>
      <c r="BB1020" s="465"/>
      <c r="BC1020" s="1475">
        <f>SUBTOTAL(109,BC1017:BG1018)</f>
        <v>0</v>
      </c>
      <c r="BD1020" s="1475"/>
      <c r="BE1020" s="1475"/>
      <c r="BF1020" s="1475"/>
      <c r="BG1020" s="1475"/>
      <c r="BH1020" s="465"/>
      <c r="BI1020" s="1475">
        <f>SUBTOTAL(109,BI1017:BM1018)</f>
        <v>0</v>
      </c>
      <c r="BJ1020" s="1475"/>
      <c r="BK1020" s="1475"/>
      <c r="BL1020" s="1475"/>
      <c r="BM1020" s="1475"/>
      <c r="BN1020" s="363"/>
      <c r="BO1020" s="1475">
        <f>SUBTOTAL(109,BO1017:BS1018)</f>
        <v>0</v>
      </c>
      <c r="BP1020" s="1475"/>
      <c r="BQ1020" s="1475"/>
      <c r="BR1020" s="1475"/>
      <c r="BS1020" s="1475"/>
      <c r="BT1020" s="356"/>
      <c r="BU1020" s="357"/>
      <c r="BV1020" s="310">
        <f>M1020-KN_CT311-KN_CT331</f>
        <v>-3576953621</v>
      </c>
      <c r="BW1020" s="310">
        <f>Y1020-KT_CT311-KT_CT331</f>
        <v>-1535920008</v>
      </c>
      <c r="BX1020" s="291">
        <f t="shared" si="65"/>
        <v>0</v>
      </c>
      <c r="BY1020" s="344"/>
      <c r="BZ1020" s="347"/>
      <c r="CA1020" s="347"/>
    </row>
    <row r="1021" spans="1:84" ht="15" hidden="1" customHeight="1" thickTop="1" x14ac:dyDescent="0.25">
      <c r="A1021" s="313"/>
      <c r="B1021" s="340"/>
      <c r="C1021" s="392"/>
      <c r="D1021" s="392"/>
      <c r="E1021" s="392"/>
      <c r="F1021" s="392"/>
      <c r="G1021" s="392"/>
      <c r="H1021" s="392"/>
      <c r="I1021" s="392"/>
      <c r="J1021" s="392"/>
      <c r="K1021" s="392"/>
      <c r="L1021" s="392"/>
      <c r="M1021" s="392"/>
      <c r="N1021" s="392"/>
      <c r="O1021" s="392"/>
      <c r="P1021" s="392"/>
      <c r="Q1021" s="392"/>
      <c r="R1021" s="392"/>
      <c r="S1021" s="392"/>
      <c r="T1021" s="392"/>
      <c r="U1021" s="392"/>
      <c r="V1021" s="392"/>
      <c r="W1021" s="393"/>
      <c r="X1021" s="393"/>
      <c r="Y1021" s="393"/>
      <c r="Z1021" s="393"/>
      <c r="AA1021" s="393"/>
      <c r="AB1021" s="393"/>
      <c r="AC1021" s="343"/>
      <c r="AD1021" s="343"/>
      <c r="AE1021" s="343"/>
      <c r="AF1021" s="343"/>
      <c r="AG1021" s="343"/>
      <c r="AH1021" s="343"/>
      <c r="AI1021" s="343"/>
      <c r="AJ1021" s="344"/>
      <c r="AK1021" s="345"/>
      <c r="AL1021" s="340"/>
      <c r="AM1021" s="392"/>
      <c r="AN1021" s="392"/>
      <c r="AO1021" s="392"/>
      <c r="AP1021" s="392"/>
      <c r="AQ1021" s="392"/>
      <c r="AR1021" s="392"/>
      <c r="AS1021" s="392"/>
      <c r="AT1021" s="392"/>
      <c r="AU1021" s="392"/>
      <c r="AV1021" s="392"/>
      <c r="AW1021" s="392"/>
      <c r="AX1021" s="392"/>
      <c r="AY1021" s="392"/>
      <c r="AZ1021" s="392"/>
      <c r="BA1021" s="392"/>
      <c r="BB1021" s="392"/>
      <c r="BC1021" s="392"/>
      <c r="BD1021" s="392"/>
      <c r="BE1021" s="392"/>
      <c r="BF1021" s="392"/>
      <c r="BG1021" s="393"/>
      <c r="BH1021" s="393"/>
      <c r="BI1021" s="393"/>
      <c r="BJ1021" s="393"/>
      <c r="BK1021" s="393"/>
      <c r="BL1021" s="393"/>
      <c r="BM1021" s="343"/>
      <c r="BN1021" s="343"/>
      <c r="BO1021" s="343"/>
      <c r="BP1021" s="343"/>
      <c r="BQ1021" s="343"/>
      <c r="BR1021" s="343"/>
      <c r="BS1021" s="343"/>
      <c r="BT1021" s="356"/>
      <c r="BU1021" s="357"/>
      <c r="BV1021" s="310"/>
      <c r="BW1021" s="310"/>
      <c r="BX1021" s="291">
        <f t="shared" si="65"/>
        <v>0</v>
      </c>
      <c r="BY1021" s="344"/>
      <c r="BZ1021" s="347"/>
      <c r="CA1021" s="347"/>
    </row>
    <row r="1022" spans="1:84" ht="15" hidden="1" customHeight="1" x14ac:dyDescent="0.25">
      <c r="A1022" s="313"/>
      <c r="B1022" s="340"/>
      <c r="C1022" s="471" t="s">
        <v>1178</v>
      </c>
      <c r="D1022" s="392"/>
      <c r="E1022" s="392"/>
      <c r="F1022" s="392"/>
      <c r="G1022" s="392"/>
      <c r="H1022" s="392"/>
      <c r="I1022" s="392"/>
      <c r="J1022" s="392"/>
      <c r="K1022" s="392"/>
      <c r="L1022" s="392"/>
      <c r="M1022" s="392"/>
      <c r="N1022" s="392"/>
      <c r="O1022" s="392"/>
      <c r="P1022" s="392"/>
      <c r="Q1022" s="392"/>
      <c r="R1022" s="392"/>
      <c r="S1022" s="392"/>
      <c r="T1022" s="392"/>
      <c r="U1022" s="392"/>
      <c r="V1022" s="392"/>
      <c r="W1022" s="393"/>
      <c r="X1022" s="393"/>
      <c r="Y1022" s="393"/>
      <c r="Z1022" s="393"/>
      <c r="AA1022" s="393"/>
      <c r="AB1022" s="393"/>
      <c r="AC1022" s="343"/>
      <c r="AD1022" s="343"/>
      <c r="AE1022" s="343"/>
      <c r="AF1022" s="343"/>
      <c r="AG1022" s="343"/>
      <c r="AH1022" s="343"/>
      <c r="AI1022" s="343"/>
      <c r="AJ1022" s="344"/>
      <c r="AK1022" s="345"/>
      <c r="AL1022" s="340"/>
      <c r="AM1022" s="471" t="s">
        <v>1179</v>
      </c>
      <c r="AN1022" s="392"/>
      <c r="AO1022" s="392"/>
      <c r="AP1022" s="392"/>
      <c r="AQ1022" s="392"/>
      <c r="AR1022" s="392"/>
      <c r="AS1022" s="392"/>
      <c r="AT1022" s="392"/>
      <c r="AU1022" s="392"/>
      <c r="AV1022" s="392"/>
      <c r="AW1022" s="392"/>
      <c r="AX1022" s="392"/>
      <c r="AY1022" s="392"/>
      <c r="AZ1022" s="392"/>
      <c r="BA1022" s="392"/>
      <c r="BB1022" s="392"/>
      <c r="BC1022" s="392"/>
      <c r="BD1022" s="392"/>
      <c r="BE1022" s="392"/>
      <c r="BF1022" s="392"/>
      <c r="BG1022" s="393"/>
      <c r="BH1022" s="393"/>
      <c r="BI1022" s="393"/>
      <c r="BJ1022" s="393"/>
      <c r="BK1022" s="393"/>
      <c r="BL1022" s="393"/>
      <c r="BM1022" s="343"/>
      <c r="BN1022" s="343"/>
      <c r="BO1022" s="343"/>
      <c r="BP1022" s="343"/>
      <c r="BQ1022" s="343"/>
      <c r="BR1022" s="343"/>
      <c r="BS1022" s="343"/>
      <c r="BT1022" s="356"/>
      <c r="BU1022" s="357"/>
      <c r="BV1022" s="310"/>
      <c r="BW1022" s="310"/>
      <c r="BX1022" s="291">
        <f t="shared" si="65"/>
        <v>0</v>
      </c>
      <c r="BY1022" s="344"/>
      <c r="BZ1022" s="347"/>
      <c r="CA1022" s="347"/>
    </row>
    <row r="1023" spans="1:84" ht="15" hidden="1" customHeight="1" x14ac:dyDescent="0.25">
      <c r="A1023" s="313"/>
      <c r="B1023" s="340"/>
      <c r="C1023" s="456" t="s">
        <v>1180</v>
      </c>
      <c r="D1023" s="392"/>
      <c r="E1023" s="392"/>
      <c r="F1023" s="392"/>
      <c r="G1023" s="392"/>
      <c r="H1023" s="392"/>
      <c r="I1023" s="392"/>
      <c r="J1023" s="392"/>
      <c r="K1023" s="392"/>
      <c r="L1023" s="381"/>
      <c r="M1023" s="1474">
        <v>0</v>
      </c>
      <c r="N1023" s="1474"/>
      <c r="O1023" s="1474"/>
      <c r="P1023" s="1474"/>
      <c r="Q1023" s="1474"/>
      <c r="R1023" s="465"/>
      <c r="S1023" s="1474">
        <v>0</v>
      </c>
      <c r="T1023" s="1474"/>
      <c r="U1023" s="1474"/>
      <c r="V1023" s="1474"/>
      <c r="W1023" s="1474"/>
      <c r="X1023" s="465"/>
      <c r="Y1023" s="1474">
        <v>0</v>
      </c>
      <c r="Z1023" s="1474"/>
      <c r="AA1023" s="1474"/>
      <c r="AB1023" s="1474"/>
      <c r="AC1023" s="1474"/>
      <c r="AD1023" s="363"/>
      <c r="AE1023" s="1474">
        <v>0</v>
      </c>
      <c r="AF1023" s="1474"/>
      <c r="AG1023" s="1474"/>
      <c r="AH1023" s="1474"/>
      <c r="AI1023" s="1474"/>
      <c r="AJ1023" s="344"/>
      <c r="AK1023" s="345"/>
      <c r="AL1023" s="340"/>
      <c r="AM1023" s="456" t="s">
        <v>1180</v>
      </c>
      <c r="AN1023" s="392"/>
      <c r="AO1023" s="392"/>
      <c r="AP1023" s="392"/>
      <c r="AQ1023" s="392"/>
      <c r="AR1023" s="392"/>
      <c r="AS1023" s="392"/>
      <c r="AT1023" s="392"/>
      <c r="AU1023" s="392"/>
      <c r="AV1023" s="381"/>
      <c r="AW1023" s="1474">
        <f>M1023</f>
        <v>0</v>
      </c>
      <c r="AX1023" s="1474"/>
      <c r="AY1023" s="1474"/>
      <c r="AZ1023" s="1474"/>
      <c r="BA1023" s="1474"/>
      <c r="BB1023" s="465"/>
      <c r="BC1023" s="1474">
        <f>S1023</f>
        <v>0</v>
      </c>
      <c r="BD1023" s="1474"/>
      <c r="BE1023" s="1474"/>
      <c r="BF1023" s="1474"/>
      <c r="BG1023" s="1474"/>
      <c r="BH1023" s="465"/>
      <c r="BI1023" s="1474">
        <f>Y1023</f>
        <v>0</v>
      </c>
      <c r="BJ1023" s="1474"/>
      <c r="BK1023" s="1474"/>
      <c r="BL1023" s="1474"/>
      <c r="BM1023" s="1474"/>
      <c r="BN1023" s="363"/>
      <c r="BO1023" s="1474">
        <f>AE1023</f>
        <v>0</v>
      </c>
      <c r="BP1023" s="1474"/>
      <c r="BQ1023" s="1474"/>
      <c r="BR1023" s="1474"/>
      <c r="BS1023" s="1474"/>
      <c r="BT1023" s="356"/>
      <c r="BU1023" s="357"/>
      <c r="BV1023" s="310"/>
      <c r="BW1023" s="310"/>
      <c r="BX1023" s="291">
        <f t="shared" si="65"/>
        <v>0</v>
      </c>
      <c r="BY1023" s="344"/>
      <c r="BZ1023" s="347"/>
      <c r="CA1023" s="347"/>
    </row>
    <row r="1024" spans="1:84" ht="15" hidden="1" customHeight="1" x14ac:dyDescent="0.25">
      <c r="A1024" s="313"/>
      <c r="B1024" s="340"/>
      <c r="C1024" s="392" t="s">
        <v>1181</v>
      </c>
      <c r="D1024" s="392"/>
      <c r="E1024" s="392"/>
      <c r="F1024" s="392"/>
      <c r="G1024" s="392"/>
      <c r="H1024" s="392"/>
      <c r="I1024" s="392"/>
      <c r="J1024" s="392"/>
      <c r="K1024" s="392"/>
      <c r="L1024" s="381"/>
      <c r="M1024" s="1474">
        <v>0</v>
      </c>
      <c r="N1024" s="1474"/>
      <c r="O1024" s="1474"/>
      <c r="P1024" s="1474"/>
      <c r="Q1024" s="1474"/>
      <c r="R1024" s="465"/>
      <c r="S1024" s="1474">
        <v>0</v>
      </c>
      <c r="T1024" s="1474"/>
      <c r="U1024" s="1474"/>
      <c r="V1024" s="1474"/>
      <c r="W1024" s="1474"/>
      <c r="X1024" s="465"/>
      <c r="Y1024" s="1474">
        <v>0</v>
      </c>
      <c r="Z1024" s="1474"/>
      <c r="AA1024" s="1474"/>
      <c r="AB1024" s="1474"/>
      <c r="AC1024" s="1474"/>
      <c r="AD1024" s="363"/>
      <c r="AE1024" s="1474">
        <v>0</v>
      </c>
      <c r="AF1024" s="1474"/>
      <c r="AG1024" s="1474"/>
      <c r="AH1024" s="1474"/>
      <c r="AI1024" s="1474"/>
      <c r="AJ1024" s="344"/>
      <c r="AK1024" s="345"/>
      <c r="AL1024" s="340"/>
      <c r="AM1024" s="392" t="s">
        <v>1181</v>
      </c>
      <c r="AN1024" s="392"/>
      <c r="AO1024" s="392"/>
      <c r="AP1024" s="392"/>
      <c r="AQ1024" s="392"/>
      <c r="AR1024" s="392"/>
      <c r="AS1024" s="392"/>
      <c r="AT1024" s="392"/>
      <c r="AU1024" s="392"/>
      <c r="AV1024" s="381"/>
      <c r="AW1024" s="1474">
        <f>M1024</f>
        <v>0</v>
      </c>
      <c r="AX1024" s="1474"/>
      <c r="AY1024" s="1474"/>
      <c r="AZ1024" s="1474"/>
      <c r="BA1024" s="1474"/>
      <c r="BB1024" s="465"/>
      <c r="BC1024" s="1474">
        <f>S1024</f>
        <v>0</v>
      </c>
      <c r="BD1024" s="1474"/>
      <c r="BE1024" s="1474"/>
      <c r="BF1024" s="1474"/>
      <c r="BG1024" s="1474"/>
      <c r="BH1024" s="465"/>
      <c r="BI1024" s="1474">
        <f>Y1024</f>
        <v>0</v>
      </c>
      <c r="BJ1024" s="1474"/>
      <c r="BK1024" s="1474"/>
      <c r="BL1024" s="1474"/>
      <c r="BM1024" s="1474"/>
      <c r="BN1024" s="363"/>
      <c r="BO1024" s="1474">
        <f>AE1024</f>
        <v>0</v>
      </c>
      <c r="BP1024" s="1474"/>
      <c r="BQ1024" s="1474"/>
      <c r="BR1024" s="1474"/>
      <c r="BS1024" s="1474"/>
      <c r="BT1024" s="356"/>
      <c r="BU1024" s="357"/>
      <c r="BV1024" s="310"/>
      <c r="BW1024" s="310"/>
      <c r="BX1024" s="291">
        <f t="shared" si="65"/>
        <v>0</v>
      </c>
      <c r="BY1024" s="344"/>
      <c r="BZ1024" s="347"/>
      <c r="CA1024" s="347"/>
    </row>
    <row r="1025" spans="1:79" ht="15" hidden="1" customHeight="1" x14ac:dyDescent="0.25">
      <c r="A1025" s="313"/>
      <c r="B1025" s="340"/>
      <c r="C1025" s="456" t="s">
        <v>1182</v>
      </c>
      <c r="D1025" s="392"/>
      <c r="E1025" s="392"/>
      <c r="F1025" s="392"/>
      <c r="G1025" s="392"/>
      <c r="H1025" s="392"/>
      <c r="I1025" s="392"/>
      <c r="J1025" s="392"/>
      <c r="K1025" s="392"/>
      <c r="L1025" s="381"/>
      <c r="M1025" s="1474">
        <v>0</v>
      </c>
      <c r="N1025" s="1474"/>
      <c r="O1025" s="1474"/>
      <c r="P1025" s="1474"/>
      <c r="Q1025" s="1474"/>
      <c r="R1025" s="493"/>
      <c r="S1025" s="1474">
        <v>0</v>
      </c>
      <c r="T1025" s="1474"/>
      <c r="U1025" s="1474"/>
      <c r="V1025" s="1474"/>
      <c r="W1025" s="1474"/>
      <c r="X1025" s="493"/>
      <c r="Y1025" s="1474">
        <v>0</v>
      </c>
      <c r="Z1025" s="1474"/>
      <c r="AA1025" s="1474"/>
      <c r="AB1025" s="1474"/>
      <c r="AC1025" s="1474"/>
      <c r="AD1025" s="355"/>
      <c r="AE1025" s="1474">
        <v>0</v>
      </c>
      <c r="AF1025" s="1474"/>
      <c r="AG1025" s="1474"/>
      <c r="AH1025" s="1474"/>
      <c r="AI1025" s="1474"/>
      <c r="AJ1025" s="344"/>
      <c r="AK1025" s="345"/>
      <c r="AL1025" s="340"/>
      <c r="AM1025" s="456" t="s">
        <v>1183</v>
      </c>
      <c r="AN1025" s="392"/>
      <c r="AO1025" s="392"/>
      <c r="AP1025" s="392"/>
      <c r="AQ1025" s="392"/>
      <c r="AR1025" s="392"/>
      <c r="AS1025" s="392"/>
      <c r="AT1025" s="392"/>
      <c r="AU1025" s="392"/>
      <c r="AV1025" s="381"/>
      <c r="AW1025" s="1474">
        <f>M1025</f>
        <v>0</v>
      </c>
      <c r="AX1025" s="1474"/>
      <c r="AY1025" s="1474"/>
      <c r="AZ1025" s="1474"/>
      <c r="BA1025" s="1474"/>
      <c r="BB1025" s="493"/>
      <c r="BC1025" s="1474">
        <f>S1025</f>
        <v>0</v>
      </c>
      <c r="BD1025" s="1474"/>
      <c r="BE1025" s="1474"/>
      <c r="BF1025" s="1474"/>
      <c r="BG1025" s="1474"/>
      <c r="BH1025" s="493"/>
      <c r="BI1025" s="1474">
        <f>Y1025</f>
        <v>0</v>
      </c>
      <c r="BJ1025" s="1474"/>
      <c r="BK1025" s="1474"/>
      <c r="BL1025" s="1474"/>
      <c r="BM1025" s="1474"/>
      <c r="BN1025" s="355"/>
      <c r="BO1025" s="1474">
        <f>AE1025</f>
        <v>0</v>
      </c>
      <c r="BP1025" s="1474"/>
      <c r="BQ1025" s="1474"/>
      <c r="BR1025" s="1474"/>
      <c r="BS1025" s="1474"/>
      <c r="BT1025" s="356"/>
      <c r="BU1025" s="357"/>
      <c r="BV1025" s="310"/>
      <c r="BW1025" s="310"/>
      <c r="BX1025" s="291">
        <f t="shared" si="65"/>
        <v>0</v>
      </c>
      <c r="BY1025" s="344"/>
      <c r="BZ1025" s="347"/>
      <c r="CA1025" s="347"/>
    </row>
    <row r="1026" spans="1:79" ht="15" hidden="1" customHeight="1" x14ac:dyDescent="0.25">
      <c r="A1026" s="313"/>
      <c r="B1026" s="340"/>
      <c r="C1026" s="456"/>
      <c r="D1026" s="392"/>
      <c r="E1026" s="392"/>
      <c r="F1026" s="392"/>
      <c r="G1026" s="392"/>
      <c r="H1026" s="392"/>
      <c r="I1026" s="392"/>
      <c r="J1026" s="392"/>
      <c r="K1026" s="392"/>
      <c r="L1026" s="381"/>
      <c r="M1026" s="493"/>
      <c r="N1026" s="493"/>
      <c r="O1026" s="493"/>
      <c r="P1026" s="493"/>
      <c r="Q1026" s="493"/>
      <c r="R1026" s="493"/>
      <c r="S1026" s="493"/>
      <c r="T1026" s="493"/>
      <c r="U1026" s="493"/>
      <c r="V1026" s="493"/>
      <c r="W1026" s="493"/>
      <c r="X1026" s="493"/>
      <c r="Y1026" s="493"/>
      <c r="Z1026" s="493"/>
      <c r="AA1026" s="493"/>
      <c r="AB1026" s="493"/>
      <c r="AC1026" s="355"/>
      <c r="AD1026" s="355"/>
      <c r="AE1026" s="355"/>
      <c r="AF1026" s="355"/>
      <c r="AG1026" s="355"/>
      <c r="AH1026" s="355"/>
      <c r="AI1026" s="355"/>
      <c r="AJ1026" s="344"/>
      <c r="AK1026" s="345"/>
      <c r="AL1026" s="340"/>
      <c r="AM1026" s="456"/>
      <c r="AN1026" s="392"/>
      <c r="AO1026" s="392"/>
      <c r="AP1026" s="392"/>
      <c r="AQ1026" s="392"/>
      <c r="AR1026" s="392"/>
      <c r="AS1026" s="392"/>
      <c r="AT1026" s="392"/>
      <c r="AU1026" s="392"/>
      <c r="AV1026" s="381"/>
      <c r="AW1026" s="493"/>
      <c r="AX1026" s="493"/>
      <c r="AY1026" s="493"/>
      <c r="AZ1026" s="493"/>
      <c r="BA1026" s="493"/>
      <c r="BB1026" s="493"/>
      <c r="BC1026" s="493"/>
      <c r="BD1026" s="493"/>
      <c r="BE1026" s="493"/>
      <c r="BF1026" s="493"/>
      <c r="BG1026" s="493"/>
      <c r="BH1026" s="493"/>
      <c r="BI1026" s="493"/>
      <c r="BJ1026" s="493"/>
      <c r="BK1026" s="493"/>
      <c r="BL1026" s="493"/>
      <c r="BM1026" s="355"/>
      <c r="BN1026" s="355"/>
      <c r="BO1026" s="355"/>
      <c r="BP1026" s="355"/>
      <c r="BQ1026" s="355"/>
      <c r="BR1026" s="355"/>
      <c r="BS1026" s="355"/>
      <c r="BT1026" s="356"/>
      <c r="BU1026" s="357"/>
      <c r="BV1026" s="310"/>
      <c r="BW1026" s="310"/>
      <c r="BX1026" s="291">
        <f t="shared" si="65"/>
        <v>0</v>
      </c>
      <c r="BY1026" s="344"/>
      <c r="BZ1026" s="347"/>
      <c r="CA1026" s="347"/>
    </row>
    <row r="1027" spans="1:79" ht="15" hidden="1" customHeight="1" thickBot="1" x14ac:dyDescent="0.3">
      <c r="A1027" s="313"/>
      <c r="B1027" s="340"/>
      <c r="C1027" s="392"/>
      <c r="D1027" s="392"/>
      <c r="E1027" s="392"/>
      <c r="F1027" s="392"/>
      <c r="G1027" s="392"/>
      <c r="H1027" s="392"/>
      <c r="I1027" s="392"/>
      <c r="J1027" s="392"/>
      <c r="K1027" s="392"/>
      <c r="L1027" s="407"/>
      <c r="M1027" s="1475">
        <f>SUBTOTAL(109,M1023:Q1025)</f>
        <v>0</v>
      </c>
      <c r="N1027" s="1475"/>
      <c r="O1027" s="1475"/>
      <c r="P1027" s="1475"/>
      <c r="Q1027" s="1475"/>
      <c r="R1027" s="465"/>
      <c r="S1027" s="1475">
        <f>SUBTOTAL(109,S1023:W1025)</f>
        <v>0</v>
      </c>
      <c r="T1027" s="1475"/>
      <c r="U1027" s="1475"/>
      <c r="V1027" s="1475"/>
      <c r="W1027" s="1475"/>
      <c r="X1027" s="465"/>
      <c r="Y1027" s="1475">
        <f>SUBTOTAL(109,Y1023:AC1025)</f>
        <v>0</v>
      </c>
      <c r="Z1027" s="1475"/>
      <c r="AA1027" s="1475"/>
      <c r="AB1027" s="1475"/>
      <c r="AC1027" s="1475"/>
      <c r="AD1027" s="363"/>
      <c r="AE1027" s="1475">
        <f>SUBTOTAL(109,AE1023:AI1025)</f>
        <v>0</v>
      </c>
      <c r="AF1027" s="1475"/>
      <c r="AG1027" s="1475"/>
      <c r="AH1027" s="1475"/>
      <c r="AI1027" s="1475"/>
      <c r="AJ1027" s="344"/>
      <c r="AK1027" s="345"/>
      <c r="AL1027" s="340"/>
      <c r="AM1027" s="392"/>
      <c r="AN1027" s="392"/>
      <c r="AO1027" s="392"/>
      <c r="AP1027" s="392"/>
      <c r="AQ1027" s="392"/>
      <c r="AR1027" s="392"/>
      <c r="AS1027" s="392"/>
      <c r="AT1027" s="392"/>
      <c r="AU1027" s="392"/>
      <c r="AV1027" s="407"/>
      <c r="AW1027" s="1475">
        <f>SUBTOTAL(109,AW1023:BA1025)</f>
        <v>0</v>
      </c>
      <c r="AX1027" s="1475"/>
      <c r="AY1027" s="1475"/>
      <c r="AZ1027" s="1475"/>
      <c r="BA1027" s="1475"/>
      <c r="BB1027" s="465"/>
      <c r="BC1027" s="1475">
        <f>SUBTOTAL(109,BC1023:BG1025)</f>
        <v>0</v>
      </c>
      <c r="BD1027" s="1475"/>
      <c r="BE1027" s="1475"/>
      <c r="BF1027" s="1475"/>
      <c r="BG1027" s="1475"/>
      <c r="BH1027" s="465"/>
      <c r="BI1027" s="1475">
        <f>SUBTOTAL(109,BI1023:BM1025)</f>
        <v>0</v>
      </c>
      <c r="BJ1027" s="1475"/>
      <c r="BK1027" s="1475"/>
      <c r="BL1027" s="1475"/>
      <c r="BM1027" s="1475"/>
      <c r="BN1027" s="363"/>
      <c r="BO1027" s="1475">
        <f>SUBTOTAL(109,BO1023:BS1025)</f>
        <v>0</v>
      </c>
      <c r="BP1027" s="1475"/>
      <c r="BQ1027" s="1475"/>
      <c r="BR1027" s="1475"/>
      <c r="BS1027" s="1475"/>
      <c r="BT1027" s="356"/>
      <c r="BU1027" s="357"/>
      <c r="BV1027" s="310"/>
      <c r="BW1027" s="310"/>
      <c r="BX1027" s="291">
        <f t="shared" si="65"/>
        <v>0</v>
      </c>
      <c r="BY1027" s="344"/>
      <c r="BZ1027" s="347"/>
      <c r="CA1027" s="347"/>
    </row>
    <row r="1028" spans="1:79" ht="12.95" hidden="1" customHeight="1" thickTop="1" x14ac:dyDescent="0.25">
      <c r="A1028" s="313"/>
      <c r="B1028" s="340"/>
      <c r="C1028" s="392"/>
      <c r="D1028" s="392"/>
      <c r="E1028" s="392"/>
      <c r="F1028" s="392"/>
      <c r="G1028" s="392"/>
      <c r="H1028" s="392"/>
      <c r="I1028" s="392"/>
      <c r="J1028" s="392"/>
      <c r="K1028" s="392"/>
      <c r="L1028" s="381"/>
      <c r="M1028" s="433"/>
      <c r="N1028" s="433"/>
      <c r="O1028" s="433"/>
      <c r="P1028" s="433"/>
      <c r="Q1028" s="493"/>
      <c r="R1028" s="433"/>
      <c r="S1028" s="433"/>
      <c r="T1028" s="433"/>
      <c r="U1028" s="433"/>
      <c r="V1028" s="433"/>
      <c r="W1028" s="493"/>
      <c r="X1028" s="433"/>
      <c r="Y1028" s="433"/>
      <c r="Z1028" s="433"/>
      <c r="AA1028" s="433"/>
      <c r="AB1028" s="433"/>
      <c r="AC1028" s="433"/>
      <c r="AD1028" s="355"/>
      <c r="AE1028" s="433"/>
      <c r="AF1028" s="433"/>
      <c r="AG1028" s="433"/>
      <c r="AH1028" s="433"/>
      <c r="AI1028" s="433"/>
      <c r="AJ1028" s="344"/>
      <c r="AK1028" s="345"/>
      <c r="AL1028" s="340"/>
      <c r="AM1028" s="392"/>
      <c r="AN1028" s="392"/>
      <c r="AO1028" s="392"/>
      <c r="AP1028" s="392"/>
      <c r="AQ1028" s="392"/>
      <c r="AR1028" s="392"/>
      <c r="AS1028" s="392"/>
      <c r="AT1028" s="392"/>
      <c r="AU1028" s="392"/>
      <c r="AV1028" s="381"/>
      <c r="AW1028" s="433"/>
      <c r="AX1028" s="433"/>
      <c r="AY1028" s="433"/>
      <c r="AZ1028" s="433"/>
      <c r="BA1028" s="493"/>
      <c r="BB1028" s="433"/>
      <c r="BC1028" s="433"/>
      <c r="BD1028" s="433"/>
      <c r="BE1028" s="433"/>
      <c r="BF1028" s="433"/>
      <c r="BG1028" s="493"/>
      <c r="BH1028" s="433"/>
      <c r="BI1028" s="433"/>
      <c r="BJ1028" s="433"/>
      <c r="BK1028" s="433"/>
      <c r="BL1028" s="433"/>
      <c r="BM1028" s="433"/>
      <c r="BN1028" s="355"/>
      <c r="BO1028" s="433"/>
      <c r="BP1028" s="433"/>
      <c r="BQ1028" s="433"/>
      <c r="BR1028" s="433"/>
      <c r="BS1028" s="433"/>
      <c r="BT1028" s="356"/>
      <c r="BU1028" s="357"/>
      <c r="BV1028" s="310"/>
      <c r="BW1028" s="310"/>
      <c r="BX1028" s="291">
        <f t="shared" si="65"/>
        <v>0</v>
      </c>
      <c r="BY1028" s="344"/>
      <c r="BZ1028" s="347"/>
      <c r="CA1028" s="347"/>
    </row>
    <row r="1029" spans="1:79" ht="27.95" hidden="1" customHeight="1" thickBot="1" x14ac:dyDescent="0.3">
      <c r="A1029" s="313"/>
      <c r="B1029" s="340"/>
      <c r="C1029" s="1478" t="s">
        <v>1184</v>
      </c>
      <c r="D1029" s="1478"/>
      <c r="E1029" s="1478"/>
      <c r="F1029" s="1478"/>
      <c r="G1029" s="1478"/>
      <c r="H1029" s="1478"/>
      <c r="I1029" s="1478"/>
      <c r="J1029" s="1478"/>
      <c r="K1029" s="1478"/>
      <c r="L1029" s="407"/>
      <c r="M1029" s="1475">
        <v>0</v>
      </c>
      <c r="N1029" s="1475"/>
      <c r="O1029" s="1475"/>
      <c r="P1029" s="1475"/>
      <c r="Q1029" s="1475"/>
      <c r="R1029" s="465"/>
      <c r="S1029" s="1475">
        <v>0</v>
      </c>
      <c r="T1029" s="1475"/>
      <c r="U1029" s="1475"/>
      <c r="V1029" s="1475"/>
      <c r="W1029" s="1475"/>
      <c r="X1029" s="465"/>
      <c r="Y1029" s="1475">
        <v>0</v>
      </c>
      <c r="Z1029" s="1475"/>
      <c r="AA1029" s="1475"/>
      <c r="AB1029" s="1475"/>
      <c r="AC1029" s="1475"/>
      <c r="AD1029" s="363"/>
      <c r="AE1029" s="1475">
        <v>0</v>
      </c>
      <c r="AF1029" s="1475"/>
      <c r="AG1029" s="1475"/>
      <c r="AH1029" s="1475"/>
      <c r="AI1029" s="1475"/>
      <c r="AJ1029" s="344"/>
      <c r="AK1029" s="345"/>
      <c r="AL1029" s="340"/>
      <c r="AM1029" s="471" t="s">
        <v>1185</v>
      </c>
      <c r="AN1029" s="392"/>
      <c r="AO1029" s="392"/>
      <c r="AP1029" s="392"/>
      <c r="AQ1029" s="392"/>
      <c r="AR1029" s="392"/>
      <c r="AS1029" s="392"/>
      <c r="AT1029" s="392"/>
      <c r="AU1029" s="392"/>
      <c r="AV1029" s="407"/>
      <c r="AW1029" s="1475">
        <f>M1029</f>
        <v>0</v>
      </c>
      <c r="AX1029" s="1475"/>
      <c r="AY1029" s="1475"/>
      <c r="AZ1029" s="1475"/>
      <c r="BA1029" s="1475"/>
      <c r="BB1029" s="465"/>
      <c r="BC1029" s="1475">
        <f>S1029</f>
        <v>0</v>
      </c>
      <c r="BD1029" s="1475"/>
      <c r="BE1029" s="1475"/>
      <c r="BF1029" s="1475"/>
      <c r="BG1029" s="1475"/>
      <c r="BH1029" s="465"/>
      <c r="BI1029" s="1475">
        <f>Y1029</f>
        <v>0</v>
      </c>
      <c r="BJ1029" s="1475"/>
      <c r="BK1029" s="1475"/>
      <c r="BL1029" s="1475"/>
      <c r="BM1029" s="1475"/>
      <c r="BN1029" s="363"/>
      <c r="BO1029" s="1475">
        <f>AE1029</f>
        <v>0</v>
      </c>
      <c r="BP1029" s="1475"/>
      <c r="BQ1029" s="1475"/>
      <c r="BR1029" s="1475"/>
      <c r="BS1029" s="1475"/>
      <c r="BT1029" s="356"/>
      <c r="BU1029" s="357"/>
      <c r="BV1029" s="310"/>
      <c r="BW1029" s="310"/>
      <c r="BX1029" s="291">
        <f t="shared" si="65"/>
        <v>0</v>
      </c>
      <c r="BY1029" s="344"/>
      <c r="BZ1029" s="347"/>
      <c r="CA1029" s="347"/>
    </row>
    <row r="1030" spans="1:79" ht="15" hidden="1" customHeight="1" thickTop="1" x14ac:dyDescent="0.25">
      <c r="A1030" s="313"/>
      <c r="B1030" s="340"/>
      <c r="C1030" s="595" t="str">
        <f>CONCATENATE("(Xem thông tin chi tiết tại Thuyết minh ",STT_BenLQ,")")</f>
        <v>(Xem thông tin chi tiết tại Thuyết minh 37)</v>
      </c>
      <c r="D1030" s="595"/>
      <c r="E1030" s="595"/>
      <c r="F1030" s="595"/>
      <c r="G1030" s="595"/>
      <c r="H1030" s="595"/>
      <c r="I1030" s="595"/>
      <c r="J1030" s="595"/>
      <c r="K1030" s="595"/>
      <c r="L1030" s="407"/>
      <c r="M1030" s="465"/>
      <c r="N1030" s="465"/>
      <c r="O1030" s="465"/>
      <c r="P1030" s="465"/>
      <c r="Q1030" s="465"/>
      <c r="R1030" s="493"/>
      <c r="S1030" s="465"/>
      <c r="T1030" s="465"/>
      <c r="U1030" s="465"/>
      <c r="V1030" s="465"/>
      <c r="W1030" s="465"/>
      <c r="X1030" s="363"/>
      <c r="Y1030" s="465"/>
      <c r="Z1030" s="465"/>
      <c r="AA1030" s="465"/>
      <c r="AB1030" s="465"/>
      <c r="AC1030" s="465"/>
      <c r="AD1030" s="363"/>
      <c r="AE1030" s="465"/>
      <c r="AF1030" s="465"/>
      <c r="AG1030" s="465"/>
      <c r="AH1030" s="465"/>
      <c r="AI1030" s="465"/>
      <c r="AJ1030" s="344"/>
      <c r="AK1030" s="345"/>
      <c r="AL1030" s="340"/>
      <c r="AM1030" s="429" t="str">
        <f>CONCATENATE("(Details as in Notes No. ",STT_BenLQ,")")</f>
        <v>(Details as in Notes No. 37)</v>
      </c>
      <c r="AN1030" s="392"/>
      <c r="AO1030" s="392"/>
      <c r="AP1030" s="392"/>
      <c r="AQ1030" s="392"/>
      <c r="AR1030" s="392"/>
      <c r="AS1030" s="392"/>
      <c r="AT1030" s="392"/>
      <c r="AU1030" s="392"/>
      <c r="AV1030" s="407"/>
      <c r="AW1030" s="465"/>
      <c r="AX1030" s="465"/>
      <c r="AY1030" s="465"/>
      <c r="AZ1030" s="465"/>
      <c r="BA1030" s="465"/>
      <c r="BB1030" s="493"/>
      <c r="BC1030" s="465"/>
      <c r="BD1030" s="465"/>
      <c r="BE1030" s="465"/>
      <c r="BF1030" s="465"/>
      <c r="BG1030" s="465"/>
      <c r="BH1030" s="363"/>
      <c r="BI1030" s="465"/>
      <c r="BJ1030" s="465"/>
      <c r="BK1030" s="465"/>
      <c r="BL1030" s="465"/>
      <c r="BM1030" s="465"/>
      <c r="BN1030" s="363"/>
      <c r="BO1030" s="465"/>
      <c r="BP1030" s="465"/>
      <c r="BQ1030" s="465"/>
      <c r="BR1030" s="465"/>
      <c r="BS1030" s="465"/>
      <c r="BT1030" s="356"/>
      <c r="BU1030" s="357"/>
      <c r="BV1030" s="310"/>
      <c r="BW1030" s="310"/>
      <c r="BX1030" s="291">
        <f>IF(ISNONTEXT($C1030),0,SUM(D1030:AI1030)-SUM(AN1030:BS1030))</f>
        <v>0</v>
      </c>
      <c r="BY1030" s="344"/>
      <c r="BZ1030" s="347"/>
      <c r="CA1030" s="347"/>
    </row>
    <row r="1031" spans="1:79" ht="15" hidden="1" customHeight="1" x14ac:dyDescent="0.25">
      <c r="A1031" s="313"/>
      <c r="B1031" s="340"/>
      <c r="C1031" s="548" t="s">
        <v>1186</v>
      </c>
      <c r="D1031" s="392"/>
      <c r="E1031" s="392"/>
      <c r="F1031" s="392"/>
      <c r="G1031" s="392"/>
      <c r="H1031" s="392"/>
      <c r="I1031" s="392"/>
      <c r="J1031" s="392"/>
      <c r="K1031" s="392"/>
      <c r="L1031" s="407"/>
      <c r="M1031" s="1476" t="str">
        <f>Ky_Nay1_V</f>
        <v>31/12/2017</v>
      </c>
      <c r="N1031" s="1476"/>
      <c r="O1031" s="1476"/>
      <c r="P1031" s="1476"/>
      <c r="Q1031" s="1476"/>
      <c r="R1031" s="1476"/>
      <c r="S1031" s="1476"/>
      <c r="T1031" s="1476"/>
      <c r="U1031" s="1476"/>
      <c r="V1031" s="1476"/>
      <c r="W1031" s="1476"/>
      <c r="X1031" s="370"/>
      <c r="Y1031" s="1476" t="str">
        <f>Ky_Truoc1_V</f>
        <v>01/01/2017</v>
      </c>
      <c r="Z1031" s="1476"/>
      <c r="AA1031" s="1476"/>
      <c r="AB1031" s="1476"/>
      <c r="AC1031" s="1476"/>
      <c r="AD1031" s="1476"/>
      <c r="AE1031" s="1476"/>
      <c r="AF1031" s="1476"/>
      <c r="AG1031" s="1476"/>
      <c r="AH1031" s="1476"/>
      <c r="AI1031" s="1476"/>
      <c r="AJ1031" s="344"/>
      <c r="AK1031" s="345"/>
      <c r="AL1031" s="340"/>
      <c r="AM1031" s="596"/>
      <c r="AN1031" s="596"/>
      <c r="AO1031" s="596"/>
      <c r="AP1031" s="596"/>
      <c r="AQ1031" s="596"/>
      <c r="AR1031" s="596"/>
      <c r="AS1031" s="596"/>
      <c r="AT1031" s="596"/>
      <c r="AU1031" s="596"/>
      <c r="AV1031" s="596"/>
      <c r="AW1031" s="596"/>
      <c r="AX1031" s="596"/>
      <c r="AY1031" s="596"/>
      <c r="AZ1031" s="596"/>
      <c r="BA1031" s="596"/>
      <c r="BB1031" s="596"/>
      <c r="BC1031" s="596"/>
      <c r="BD1031" s="596"/>
      <c r="BE1031" s="596"/>
      <c r="BF1031" s="596"/>
      <c r="BG1031" s="596"/>
      <c r="BH1031" s="596"/>
      <c r="BI1031" s="596"/>
      <c r="BJ1031" s="596"/>
      <c r="BK1031" s="596"/>
      <c r="BL1031" s="596"/>
      <c r="BM1031" s="596"/>
      <c r="BN1031" s="596"/>
      <c r="BO1031" s="596"/>
      <c r="BP1031" s="596"/>
      <c r="BQ1031" s="596"/>
      <c r="BR1031" s="596"/>
      <c r="BS1031" s="596"/>
      <c r="BT1031" s="356"/>
      <c r="BU1031" s="357"/>
      <c r="BV1031" s="310"/>
      <c r="BW1031" s="310"/>
      <c r="BX1031" s="291">
        <f t="shared" si="65"/>
        <v>0</v>
      </c>
      <c r="BY1031" s="344"/>
      <c r="BZ1031" s="347"/>
      <c r="CA1031" s="347"/>
    </row>
    <row r="1032" spans="1:79" ht="27.95" hidden="1" customHeight="1" x14ac:dyDescent="0.25">
      <c r="A1032" s="313"/>
      <c r="B1032" s="340"/>
      <c r="C1032" s="392"/>
      <c r="D1032" s="392"/>
      <c r="E1032" s="392"/>
      <c r="F1032" s="392"/>
      <c r="G1032" s="392"/>
      <c r="H1032" s="392"/>
      <c r="I1032" s="392"/>
      <c r="J1032" s="392"/>
      <c r="K1032" s="392"/>
      <c r="L1032" s="407"/>
      <c r="M1032" s="1327" t="s">
        <v>840</v>
      </c>
      <c r="N1032" s="1327"/>
      <c r="O1032" s="1327"/>
      <c r="P1032" s="1327"/>
      <c r="Q1032" s="1327"/>
      <c r="R1032" s="371"/>
      <c r="S1032" s="1477" t="s">
        <v>1160</v>
      </c>
      <c r="T1032" s="1477"/>
      <c r="U1032" s="1477"/>
      <c r="V1032" s="1477"/>
      <c r="W1032" s="1477"/>
      <c r="X1032" s="371"/>
      <c r="Y1032" s="1327" t="s">
        <v>840</v>
      </c>
      <c r="Z1032" s="1327"/>
      <c r="AA1032" s="1327"/>
      <c r="AB1032" s="1327"/>
      <c r="AC1032" s="1327"/>
      <c r="AD1032" s="372"/>
      <c r="AE1032" s="1477" t="s">
        <v>1160</v>
      </c>
      <c r="AF1032" s="1477"/>
      <c r="AG1032" s="1477"/>
      <c r="AH1032" s="1477"/>
      <c r="AI1032" s="1477"/>
      <c r="AJ1032" s="344"/>
      <c r="AK1032" s="345"/>
      <c r="AL1032" s="340"/>
      <c r="AM1032" s="596"/>
      <c r="AN1032" s="596"/>
      <c r="AO1032" s="596"/>
      <c r="AP1032" s="596"/>
      <c r="AQ1032" s="596"/>
      <c r="AR1032" s="596"/>
      <c r="AS1032" s="596"/>
      <c r="AT1032" s="596"/>
      <c r="AU1032" s="596"/>
      <c r="AV1032" s="596"/>
      <c r="AW1032" s="596"/>
      <c r="AX1032" s="596"/>
      <c r="AY1032" s="596"/>
      <c r="AZ1032" s="596"/>
      <c r="BA1032" s="596"/>
      <c r="BB1032" s="596"/>
      <c r="BC1032" s="596"/>
      <c r="BD1032" s="596"/>
      <c r="BE1032" s="596"/>
      <c r="BF1032" s="596"/>
      <c r="BG1032" s="596"/>
      <c r="BH1032" s="596"/>
      <c r="BI1032" s="596"/>
      <c r="BJ1032" s="596"/>
      <c r="BK1032" s="596"/>
      <c r="BL1032" s="596"/>
      <c r="BM1032" s="596"/>
      <c r="BN1032" s="596"/>
      <c r="BO1032" s="596"/>
      <c r="BP1032" s="596"/>
      <c r="BQ1032" s="596"/>
      <c r="BR1032" s="596"/>
      <c r="BS1032" s="596"/>
      <c r="BT1032" s="356"/>
      <c r="BU1032" s="357"/>
      <c r="BV1032" s="310"/>
      <c r="BW1032" s="310"/>
      <c r="BX1032" s="291">
        <f t="shared" si="65"/>
        <v>0</v>
      </c>
      <c r="BY1032" s="344"/>
      <c r="BZ1032" s="347"/>
      <c r="CA1032" s="347"/>
    </row>
    <row r="1033" spans="1:79" ht="15" hidden="1" customHeight="1" x14ac:dyDescent="0.25">
      <c r="A1033" s="313"/>
      <c r="B1033" s="340"/>
      <c r="C1033" s="392"/>
      <c r="D1033" s="392"/>
      <c r="E1033" s="392"/>
      <c r="F1033" s="392"/>
      <c r="G1033" s="392"/>
      <c r="H1033" s="392"/>
      <c r="I1033" s="392"/>
      <c r="J1033" s="392"/>
      <c r="K1033" s="392"/>
      <c r="L1033" s="407"/>
      <c r="M1033" s="1401" t="str">
        <f>Don_Vi_Tinh_V</f>
        <v>VND</v>
      </c>
      <c r="N1033" s="1401"/>
      <c r="O1033" s="1401"/>
      <c r="P1033" s="1401"/>
      <c r="Q1033" s="1401"/>
      <c r="R1033" s="371"/>
      <c r="S1033" s="1401" t="str">
        <f>Don_Vi_Tinh_V</f>
        <v>VND</v>
      </c>
      <c r="T1033" s="1401"/>
      <c r="U1033" s="1401"/>
      <c r="V1033" s="1401"/>
      <c r="W1033" s="1401"/>
      <c r="X1033" s="371"/>
      <c r="Y1033" s="1401" t="str">
        <f>Don_Vi_Tinh_V</f>
        <v>VND</v>
      </c>
      <c r="Z1033" s="1401"/>
      <c r="AA1033" s="1401"/>
      <c r="AB1033" s="1401"/>
      <c r="AC1033" s="1401"/>
      <c r="AD1033" s="372"/>
      <c r="AE1033" s="1401" t="str">
        <f>Don_Vi_Tinh_V</f>
        <v>VND</v>
      </c>
      <c r="AF1033" s="1401"/>
      <c r="AG1033" s="1401"/>
      <c r="AH1033" s="1401"/>
      <c r="AI1033" s="1401"/>
      <c r="AJ1033" s="344"/>
      <c r="AK1033" s="345"/>
      <c r="AL1033" s="340"/>
      <c r="AM1033" s="596"/>
      <c r="AN1033" s="596"/>
      <c r="AO1033" s="596"/>
      <c r="AP1033" s="596"/>
      <c r="AQ1033" s="596"/>
      <c r="AR1033" s="596"/>
      <c r="AS1033" s="596"/>
      <c r="AT1033" s="596"/>
      <c r="AU1033" s="596"/>
      <c r="AV1033" s="596"/>
      <c r="AW1033" s="596"/>
      <c r="AX1033" s="596"/>
      <c r="AY1033" s="596"/>
      <c r="AZ1033" s="596"/>
      <c r="BA1033" s="596"/>
      <c r="BB1033" s="596"/>
      <c r="BC1033" s="596"/>
      <c r="BD1033" s="596"/>
      <c r="BE1033" s="596"/>
      <c r="BF1033" s="596"/>
      <c r="BG1033" s="596"/>
      <c r="BH1033" s="596"/>
      <c r="BI1033" s="596"/>
      <c r="BJ1033" s="596"/>
      <c r="BK1033" s="596"/>
      <c r="BL1033" s="596"/>
      <c r="BM1033" s="596"/>
      <c r="BN1033" s="596"/>
      <c r="BO1033" s="596"/>
      <c r="BP1033" s="596"/>
      <c r="BQ1033" s="596"/>
      <c r="BR1033" s="596"/>
      <c r="BS1033" s="596"/>
      <c r="BT1033" s="356"/>
      <c r="BU1033" s="357"/>
      <c r="BV1033" s="310"/>
      <c r="BW1033" s="310"/>
      <c r="BX1033" s="291">
        <f t="shared" si="65"/>
        <v>0</v>
      </c>
      <c r="BY1033" s="344"/>
      <c r="BZ1033" s="347"/>
      <c r="CA1033" s="347"/>
    </row>
    <row r="1034" spans="1:79" ht="15" hidden="1" customHeight="1" x14ac:dyDescent="0.25">
      <c r="A1034" s="313"/>
      <c r="B1034" s="340"/>
      <c r="C1034" s="392"/>
      <c r="D1034" s="392"/>
      <c r="E1034" s="392"/>
      <c r="F1034" s="392"/>
      <c r="G1034" s="392"/>
      <c r="H1034" s="392"/>
      <c r="I1034" s="392"/>
      <c r="J1034" s="392"/>
      <c r="K1034" s="392"/>
      <c r="L1034" s="407"/>
      <c r="M1034" s="493"/>
      <c r="N1034" s="493"/>
      <c r="O1034" s="493"/>
      <c r="P1034" s="493"/>
      <c r="Q1034" s="493"/>
      <c r="R1034" s="493"/>
      <c r="S1034" s="493"/>
      <c r="T1034" s="493"/>
      <c r="U1034" s="493"/>
      <c r="V1034" s="493"/>
      <c r="W1034" s="493"/>
      <c r="X1034" s="493"/>
      <c r="Y1034" s="493"/>
      <c r="Z1034" s="493"/>
      <c r="AA1034" s="493"/>
      <c r="AB1034" s="493"/>
      <c r="AC1034" s="355"/>
      <c r="AD1034" s="355"/>
      <c r="AE1034" s="355"/>
      <c r="AF1034" s="355"/>
      <c r="AG1034" s="355"/>
      <c r="AH1034" s="355"/>
      <c r="AI1034" s="355"/>
      <c r="AJ1034" s="344"/>
      <c r="AK1034" s="345"/>
      <c r="AL1034" s="340"/>
      <c r="AM1034" s="596"/>
      <c r="AN1034" s="596"/>
      <c r="AO1034" s="596"/>
      <c r="AP1034" s="596"/>
      <c r="AQ1034" s="596"/>
      <c r="AR1034" s="596"/>
      <c r="AS1034" s="596"/>
      <c r="AT1034" s="596"/>
      <c r="AU1034" s="596"/>
      <c r="AV1034" s="596"/>
      <c r="AW1034" s="596"/>
      <c r="AX1034" s="596"/>
      <c r="AY1034" s="596"/>
      <c r="AZ1034" s="596"/>
      <c r="BA1034" s="596"/>
      <c r="BB1034" s="596"/>
      <c r="BC1034" s="596"/>
      <c r="BD1034" s="596"/>
      <c r="BE1034" s="596"/>
      <c r="BF1034" s="596"/>
      <c r="BG1034" s="596"/>
      <c r="BH1034" s="596"/>
      <c r="BI1034" s="596"/>
      <c r="BJ1034" s="596"/>
      <c r="BK1034" s="596"/>
      <c r="BL1034" s="596"/>
      <c r="BM1034" s="596"/>
      <c r="BN1034" s="596"/>
      <c r="BO1034" s="596"/>
      <c r="BP1034" s="596"/>
      <c r="BQ1034" s="596"/>
      <c r="BR1034" s="596"/>
      <c r="BS1034" s="596"/>
      <c r="BT1034" s="356"/>
      <c r="BU1034" s="357"/>
      <c r="BV1034" s="310"/>
      <c r="BW1034" s="310"/>
      <c r="BX1034" s="291">
        <f t="shared" si="65"/>
        <v>0</v>
      </c>
      <c r="BY1034" s="344"/>
      <c r="BZ1034" s="347"/>
      <c r="CA1034" s="347"/>
    </row>
    <row r="1035" spans="1:79" ht="15" hidden="1" customHeight="1" x14ac:dyDescent="0.25">
      <c r="A1035" s="313"/>
      <c r="B1035" s="340"/>
      <c r="C1035" s="456" t="s">
        <v>1180</v>
      </c>
      <c r="D1035" s="392"/>
      <c r="E1035" s="392"/>
      <c r="F1035" s="392"/>
      <c r="G1035" s="392"/>
      <c r="H1035" s="392"/>
      <c r="I1035" s="392"/>
      <c r="J1035" s="392"/>
      <c r="K1035" s="392"/>
      <c r="L1035" s="381"/>
      <c r="M1035" s="1474">
        <v>0</v>
      </c>
      <c r="N1035" s="1474"/>
      <c r="O1035" s="1474"/>
      <c r="P1035" s="1474"/>
      <c r="Q1035" s="1474"/>
      <c r="R1035" s="465"/>
      <c r="S1035" s="1474">
        <v>0</v>
      </c>
      <c r="T1035" s="1474"/>
      <c r="U1035" s="1474"/>
      <c r="V1035" s="1474"/>
      <c r="W1035" s="1474"/>
      <c r="X1035" s="465"/>
      <c r="Y1035" s="1474">
        <v>0</v>
      </c>
      <c r="Z1035" s="1474"/>
      <c r="AA1035" s="1474"/>
      <c r="AB1035" s="1474"/>
      <c r="AC1035" s="1474"/>
      <c r="AD1035" s="363"/>
      <c r="AE1035" s="1474">
        <v>0</v>
      </c>
      <c r="AF1035" s="1474"/>
      <c r="AG1035" s="1474"/>
      <c r="AH1035" s="1474"/>
      <c r="AI1035" s="1474"/>
      <c r="AJ1035" s="344"/>
      <c r="AK1035" s="345"/>
      <c r="AL1035" s="340"/>
      <c r="AM1035" s="597"/>
      <c r="AN1035" s="597"/>
      <c r="AO1035" s="597"/>
      <c r="AP1035" s="597"/>
      <c r="AQ1035" s="597"/>
      <c r="AR1035" s="597"/>
      <c r="AS1035" s="597"/>
      <c r="AT1035" s="597"/>
      <c r="AU1035" s="597"/>
      <c r="AV1035" s="597"/>
      <c r="AW1035" s="597"/>
      <c r="AX1035" s="597"/>
      <c r="AY1035" s="597"/>
      <c r="AZ1035" s="597"/>
      <c r="BA1035" s="597"/>
      <c r="BB1035" s="597"/>
      <c r="BC1035" s="597"/>
      <c r="BD1035" s="597"/>
      <c r="BE1035" s="597"/>
      <c r="BF1035" s="597"/>
      <c r="BG1035" s="597"/>
      <c r="BH1035" s="597"/>
      <c r="BI1035" s="597"/>
      <c r="BJ1035" s="597"/>
      <c r="BK1035" s="597"/>
      <c r="BL1035" s="597"/>
      <c r="BM1035" s="597"/>
      <c r="BN1035" s="597"/>
      <c r="BO1035" s="597"/>
      <c r="BP1035" s="597"/>
      <c r="BQ1035" s="597"/>
      <c r="BR1035" s="597"/>
      <c r="BS1035" s="597"/>
      <c r="BT1035" s="356"/>
      <c r="BU1035" s="357"/>
      <c r="BV1035" s="310"/>
      <c r="BW1035" s="310"/>
      <c r="BX1035" s="291">
        <f t="shared" si="65"/>
        <v>0</v>
      </c>
      <c r="BY1035" s="344"/>
      <c r="BZ1035" s="347"/>
      <c r="CA1035" s="347"/>
    </row>
    <row r="1036" spans="1:79" ht="15" hidden="1" customHeight="1" x14ac:dyDescent="0.25">
      <c r="A1036" s="313"/>
      <c r="B1036" s="340"/>
      <c r="C1036" s="392" t="s">
        <v>1181</v>
      </c>
      <c r="D1036" s="392"/>
      <c r="E1036" s="392"/>
      <c r="F1036" s="392"/>
      <c r="G1036" s="392"/>
      <c r="H1036" s="392"/>
      <c r="I1036" s="392"/>
      <c r="J1036" s="392"/>
      <c r="K1036" s="392"/>
      <c r="L1036" s="381"/>
      <c r="M1036" s="1474">
        <v>0</v>
      </c>
      <c r="N1036" s="1474"/>
      <c r="O1036" s="1474"/>
      <c r="P1036" s="1474"/>
      <c r="Q1036" s="1474"/>
      <c r="R1036" s="493"/>
      <c r="S1036" s="1474">
        <v>0</v>
      </c>
      <c r="T1036" s="1474"/>
      <c r="U1036" s="1474"/>
      <c r="V1036" s="1474"/>
      <c r="W1036" s="1474"/>
      <c r="X1036" s="493"/>
      <c r="Y1036" s="1474">
        <v>0</v>
      </c>
      <c r="Z1036" s="1474"/>
      <c r="AA1036" s="1474"/>
      <c r="AB1036" s="1474"/>
      <c r="AC1036" s="1474"/>
      <c r="AD1036" s="355"/>
      <c r="AE1036" s="1474">
        <v>0</v>
      </c>
      <c r="AF1036" s="1474"/>
      <c r="AG1036" s="1474"/>
      <c r="AH1036" s="1474"/>
      <c r="AI1036" s="1474"/>
      <c r="AJ1036" s="344"/>
      <c r="AK1036" s="345"/>
      <c r="AL1036" s="340"/>
      <c r="AM1036" s="597"/>
      <c r="AN1036" s="597"/>
      <c r="AO1036" s="597"/>
      <c r="AP1036" s="597"/>
      <c r="AQ1036" s="597"/>
      <c r="AR1036" s="597"/>
      <c r="AS1036" s="597"/>
      <c r="AT1036" s="597"/>
      <c r="AU1036" s="597"/>
      <c r="AV1036" s="597"/>
      <c r="AW1036" s="597"/>
      <c r="AX1036" s="597"/>
      <c r="AY1036" s="597"/>
      <c r="AZ1036" s="597"/>
      <c r="BA1036" s="597"/>
      <c r="BB1036" s="597"/>
      <c r="BC1036" s="597"/>
      <c r="BD1036" s="597"/>
      <c r="BE1036" s="597"/>
      <c r="BF1036" s="597"/>
      <c r="BG1036" s="597"/>
      <c r="BH1036" s="597"/>
      <c r="BI1036" s="597"/>
      <c r="BJ1036" s="597"/>
      <c r="BK1036" s="597"/>
      <c r="BL1036" s="597"/>
      <c r="BM1036" s="597"/>
      <c r="BN1036" s="597"/>
      <c r="BO1036" s="597"/>
      <c r="BP1036" s="597"/>
      <c r="BQ1036" s="597"/>
      <c r="BR1036" s="597"/>
      <c r="BS1036" s="597"/>
      <c r="BT1036" s="356"/>
      <c r="BU1036" s="357"/>
      <c r="BV1036" s="310"/>
      <c r="BW1036" s="310"/>
      <c r="BX1036" s="291">
        <f t="shared" si="65"/>
        <v>0</v>
      </c>
      <c r="BY1036" s="344"/>
      <c r="BZ1036" s="347"/>
      <c r="CA1036" s="347"/>
    </row>
    <row r="1037" spans="1:79" ht="15" hidden="1" customHeight="1" x14ac:dyDescent="0.25">
      <c r="A1037" s="313"/>
      <c r="B1037" s="340"/>
      <c r="C1037" s="392"/>
      <c r="D1037" s="392"/>
      <c r="E1037" s="392"/>
      <c r="F1037" s="392"/>
      <c r="G1037" s="392"/>
      <c r="H1037" s="392"/>
      <c r="I1037" s="392"/>
      <c r="J1037" s="392"/>
      <c r="K1037" s="392"/>
      <c r="L1037" s="407"/>
      <c r="M1037" s="493"/>
      <c r="N1037" s="493"/>
      <c r="O1037" s="493"/>
      <c r="P1037" s="493"/>
      <c r="Q1037" s="493"/>
      <c r="R1037" s="493"/>
      <c r="S1037" s="493"/>
      <c r="T1037" s="493"/>
      <c r="U1037" s="493"/>
      <c r="V1037" s="493"/>
      <c r="W1037" s="493"/>
      <c r="X1037" s="493"/>
      <c r="Y1037" s="493"/>
      <c r="Z1037" s="493"/>
      <c r="AA1037" s="493"/>
      <c r="AB1037" s="493"/>
      <c r="AC1037" s="355"/>
      <c r="AD1037" s="355"/>
      <c r="AE1037" s="355"/>
      <c r="AF1037" s="355"/>
      <c r="AG1037" s="355"/>
      <c r="AH1037" s="355"/>
      <c r="AI1037" s="355"/>
      <c r="AJ1037" s="344"/>
      <c r="AK1037" s="345"/>
      <c r="AL1037" s="340"/>
      <c r="AM1037" s="596"/>
      <c r="AN1037" s="596"/>
      <c r="AO1037" s="596"/>
      <c r="AP1037" s="596"/>
      <c r="AQ1037" s="596"/>
      <c r="AR1037" s="596"/>
      <c r="AS1037" s="596"/>
      <c r="AT1037" s="596"/>
      <c r="AU1037" s="596"/>
      <c r="AV1037" s="596"/>
      <c r="AW1037" s="596"/>
      <c r="AX1037" s="596"/>
      <c r="AY1037" s="596"/>
      <c r="AZ1037" s="596"/>
      <c r="BA1037" s="596"/>
      <c r="BB1037" s="596"/>
      <c r="BC1037" s="596"/>
      <c r="BD1037" s="596"/>
      <c r="BE1037" s="596"/>
      <c r="BF1037" s="596"/>
      <c r="BG1037" s="596"/>
      <c r="BH1037" s="596"/>
      <c r="BI1037" s="596"/>
      <c r="BJ1037" s="596"/>
      <c r="BK1037" s="596"/>
      <c r="BL1037" s="596"/>
      <c r="BM1037" s="596"/>
      <c r="BN1037" s="596"/>
      <c r="BO1037" s="596"/>
      <c r="BP1037" s="596"/>
      <c r="BQ1037" s="596"/>
      <c r="BR1037" s="596"/>
      <c r="BS1037" s="596"/>
      <c r="BT1037" s="356"/>
      <c r="BU1037" s="357"/>
      <c r="BV1037" s="310"/>
      <c r="BW1037" s="310"/>
      <c r="BX1037" s="291">
        <f t="shared" si="65"/>
        <v>0</v>
      </c>
      <c r="BY1037" s="344"/>
      <c r="BZ1037" s="347"/>
      <c r="CA1037" s="347"/>
    </row>
    <row r="1038" spans="1:79" ht="15" hidden="1" customHeight="1" thickBot="1" x14ac:dyDescent="0.3">
      <c r="A1038" s="313"/>
      <c r="B1038" s="340"/>
      <c r="C1038" s="392"/>
      <c r="D1038" s="392"/>
      <c r="E1038" s="392"/>
      <c r="F1038" s="392"/>
      <c r="G1038" s="392"/>
      <c r="H1038" s="392"/>
      <c r="I1038" s="392"/>
      <c r="J1038" s="392"/>
      <c r="K1038" s="392"/>
      <c r="L1038" s="381"/>
      <c r="M1038" s="1475">
        <f>SUBTOTAL(109,M1035:Q1036)</f>
        <v>0</v>
      </c>
      <c r="N1038" s="1475"/>
      <c r="O1038" s="1475"/>
      <c r="P1038" s="1475"/>
      <c r="Q1038" s="1475"/>
      <c r="R1038" s="465"/>
      <c r="S1038" s="1475">
        <f>SUBTOTAL(109,S1035:W1036)</f>
        <v>0</v>
      </c>
      <c r="T1038" s="1475"/>
      <c r="U1038" s="1475"/>
      <c r="V1038" s="1475"/>
      <c r="W1038" s="1475"/>
      <c r="X1038" s="465"/>
      <c r="Y1038" s="1475">
        <f>SUBTOTAL(109,Y1035:AC1036)</f>
        <v>0</v>
      </c>
      <c r="Z1038" s="1475"/>
      <c r="AA1038" s="1475"/>
      <c r="AB1038" s="1475"/>
      <c r="AC1038" s="1475"/>
      <c r="AD1038" s="363"/>
      <c r="AE1038" s="1475">
        <f>SUBTOTAL(109,AE1035:AI1036)</f>
        <v>0</v>
      </c>
      <c r="AF1038" s="1475"/>
      <c r="AG1038" s="1475"/>
      <c r="AH1038" s="1475"/>
      <c r="AI1038" s="1475"/>
      <c r="AJ1038" s="344"/>
      <c r="AK1038" s="345"/>
      <c r="AL1038" s="340"/>
      <c r="AM1038" s="596"/>
      <c r="AN1038" s="596"/>
      <c r="AO1038" s="596"/>
      <c r="AP1038" s="596"/>
      <c r="AQ1038" s="596"/>
      <c r="AR1038" s="596"/>
      <c r="AS1038" s="596"/>
      <c r="AT1038" s="596"/>
      <c r="AU1038" s="596"/>
      <c r="AV1038" s="596"/>
      <c r="AW1038" s="596"/>
      <c r="AX1038" s="596"/>
      <c r="AY1038" s="596"/>
      <c r="AZ1038" s="596"/>
      <c r="BA1038" s="596"/>
      <c r="BB1038" s="596"/>
      <c r="BC1038" s="596"/>
      <c r="BD1038" s="596"/>
      <c r="BE1038" s="596"/>
      <c r="BF1038" s="596"/>
      <c r="BG1038" s="596"/>
      <c r="BH1038" s="596"/>
      <c r="BI1038" s="596"/>
      <c r="BJ1038" s="596"/>
      <c r="BK1038" s="596"/>
      <c r="BL1038" s="596"/>
      <c r="BM1038" s="596"/>
      <c r="BN1038" s="596"/>
      <c r="BO1038" s="596"/>
      <c r="BP1038" s="596"/>
      <c r="BQ1038" s="596"/>
      <c r="BR1038" s="596"/>
      <c r="BS1038" s="596"/>
      <c r="BT1038" s="356"/>
      <c r="BU1038" s="357"/>
      <c r="BV1038" s="310"/>
      <c r="BW1038" s="310"/>
      <c r="BX1038" s="291">
        <f t="shared" si="65"/>
        <v>0</v>
      </c>
      <c r="BY1038" s="344"/>
      <c r="BZ1038" s="347"/>
      <c r="CA1038" s="347"/>
    </row>
    <row r="1039" spans="1:79" ht="2.1" hidden="1" customHeight="1" x14ac:dyDescent="0.25">
      <c r="A1039" s="313"/>
      <c r="B1039" s="454"/>
      <c r="C1039" s="392"/>
      <c r="D1039" s="392"/>
      <c r="E1039" s="392"/>
      <c r="F1039" s="392"/>
      <c r="G1039" s="392"/>
      <c r="H1039" s="392"/>
      <c r="I1039" s="392"/>
      <c r="J1039" s="392"/>
      <c r="K1039" s="392"/>
      <c r="L1039" s="392"/>
      <c r="M1039" s="392"/>
      <c r="N1039" s="392"/>
      <c r="O1039" s="392"/>
      <c r="P1039" s="392"/>
      <c r="Q1039" s="392"/>
      <c r="R1039" s="392"/>
      <c r="S1039" s="392"/>
      <c r="T1039" s="392"/>
      <c r="U1039" s="392"/>
      <c r="V1039" s="392"/>
      <c r="W1039" s="393"/>
      <c r="X1039" s="393"/>
      <c r="Y1039" s="393"/>
      <c r="Z1039" s="393"/>
      <c r="AA1039" s="393"/>
      <c r="AB1039" s="393"/>
      <c r="AC1039" s="343"/>
      <c r="AD1039" s="343"/>
      <c r="AE1039" s="343"/>
      <c r="AF1039" s="343"/>
      <c r="AG1039" s="343"/>
      <c r="AH1039" s="343"/>
      <c r="AI1039" s="343"/>
      <c r="AJ1039" s="344"/>
      <c r="AK1039" s="345"/>
      <c r="AL1039" s="340"/>
      <c r="AM1039" s="392"/>
      <c r="AN1039" s="392"/>
      <c r="AO1039" s="392"/>
      <c r="AP1039" s="392"/>
      <c r="AQ1039" s="392"/>
      <c r="AR1039" s="392"/>
      <c r="AS1039" s="392"/>
      <c r="AT1039" s="392"/>
      <c r="AU1039" s="392"/>
      <c r="AV1039" s="392"/>
      <c r="AW1039" s="392"/>
      <c r="AX1039" s="392"/>
      <c r="AY1039" s="392"/>
      <c r="AZ1039" s="392"/>
      <c r="BA1039" s="392"/>
      <c r="BB1039" s="392"/>
      <c r="BC1039" s="392"/>
      <c r="BD1039" s="392"/>
      <c r="BE1039" s="392"/>
      <c r="BF1039" s="392"/>
      <c r="BG1039" s="392"/>
      <c r="BH1039" s="392"/>
      <c r="BI1039" s="392"/>
      <c r="BJ1039" s="392"/>
      <c r="BK1039" s="392"/>
      <c r="BL1039" s="392"/>
      <c r="BM1039" s="342"/>
      <c r="BN1039" s="356"/>
      <c r="BO1039" s="356"/>
      <c r="BP1039" s="356"/>
      <c r="BQ1039" s="356"/>
      <c r="BR1039" s="356"/>
      <c r="BS1039" s="356"/>
      <c r="BT1039" s="356"/>
      <c r="BU1039" s="357"/>
      <c r="BV1039" s="310"/>
      <c r="BW1039" s="310"/>
      <c r="BX1039" s="291">
        <f t="shared" si="65"/>
        <v>0</v>
      </c>
      <c r="BY1039" s="344"/>
      <c r="BZ1039" s="347"/>
      <c r="CA1039" s="347"/>
    </row>
    <row r="1040" spans="1:79" ht="12.95" customHeight="1" thickTop="1" x14ac:dyDescent="0.25">
      <c r="A1040" s="313"/>
      <c r="B1040" s="340"/>
      <c r="C1040" s="392"/>
      <c r="D1040" s="392"/>
      <c r="E1040" s="392"/>
      <c r="F1040" s="392"/>
      <c r="G1040" s="392"/>
      <c r="H1040" s="392"/>
      <c r="I1040" s="392"/>
      <c r="J1040" s="392"/>
      <c r="K1040" s="392"/>
      <c r="L1040" s="392"/>
      <c r="M1040" s="392"/>
      <c r="N1040" s="392"/>
      <c r="O1040" s="392"/>
      <c r="P1040" s="392"/>
      <c r="Q1040" s="392"/>
      <c r="R1040" s="392"/>
      <c r="S1040" s="392"/>
      <c r="T1040" s="392"/>
      <c r="U1040" s="392"/>
      <c r="V1040" s="392"/>
      <c r="W1040" s="393"/>
      <c r="X1040" s="393"/>
      <c r="Y1040" s="393"/>
      <c r="Z1040" s="393"/>
      <c r="AA1040" s="393"/>
      <c r="AB1040" s="393"/>
      <c r="AC1040" s="343"/>
      <c r="AD1040" s="343"/>
      <c r="AE1040" s="343"/>
      <c r="AF1040" s="343"/>
      <c r="AG1040" s="343"/>
      <c r="AH1040" s="343"/>
      <c r="AI1040" s="343"/>
      <c r="AJ1040" s="344"/>
      <c r="AK1040" s="345"/>
      <c r="AL1040" s="340"/>
      <c r="AM1040" s="392"/>
      <c r="AN1040" s="392"/>
      <c r="AO1040" s="392"/>
      <c r="AP1040" s="392"/>
      <c r="AQ1040" s="392"/>
      <c r="AR1040" s="392"/>
      <c r="AS1040" s="392"/>
      <c r="AT1040" s="392"/>
      <c r="AU1040" s="392"/>
      <c r="AV1040" s="392"/>
      <c r="AW1040" s="392"/>
      <c r="AX1040" s="392"/>
      <c r="AY1040" s="392"/>
      <c r="AZ1040" s="392"/>
      <c r="BA1040" s="392"/>
      <c r="BB1040" s="392"/>
      <c r="BC1040" s="392"/>
      <c r="BD1040" s="392"/>
      <c r="BE1040" s="392"/>
      <c r="BF1040" s="392"/>
      <c r="BG1040" s="392"/>
      <c r="BH1040" s="392"/>
      <c r="BI1040" s="392"/>
      <c r="BJ1040" s="392"/>
      <c r="BK1040" s="392"/>
      <c r="BL1040" s="392"/>
      <c r="BM1040" s="342"/>
      <c r="BN1040" s="356"/>
      <c r="BO1040" s="356"/>
      <c r="BP1040" s="356"/>
      <c r="BQ1040" s="356"/>
      <c r="BR1040" s="356"/>
      <c r="BS1040" s="356"/>
      <c r="BT1040" s="356"/>
      <c r="BU1040" s="357"/>
      <c r="BV1040" s="310"/>
      <c r="BW1040" s="310"/>
      <c r="BX1040" s="291">
        <f t="shared" si="65"/>
        <v>0</v>
      </c>
      <c r="BY1040" s="344"/>
      <c r="BZ1040" s="347"/>
      <c r="CA1040" s="347"/>
    </row>
    <row r="1041" spans="1:84" ht="15" customHeight="1" x14ac:dyDescent="0.25">
      <c r="A1041" s="313">
        <v>17</v>
      </c>
      <c r="B1041" s="340" t="s">
        <v>345</v>
      </c>
      <c r="C1041" s="471" t="s">
        <v>1187</v>
      </c>
      <c r="D1041" s="392"/>
      <c r="E1041" s="392"/>
      <c r="F1041" s="392"/>
      <c r="G1041" s="392"/>
      <c r="H1041" s="392"/>
      <c r="I1041" s="392"/>
      <c r="J1041" s="392"/>
      <c r="K1041" s="392"/>
      <c r="L1041" s="392"/>
      <c r="M1041" s="392"/>
      <c r="N1041" s="392"/>
      <c r="O1041" s="392"/>
      <c r="P1041" s="392"/>
      <c r="Q1041" s="392"/>
      <c r="R1041" s="392"/>
      <c r="S1041" s="392"/>
      <c r="T1041" s="392"/>
      <c r="U1041" s="392"/>
      <c r="V1041" s="392"/>
      <c r="W1041" s="393"/>
      <c r="X1041" s="393"/>
      <c r="Y1041" s="393"/>
      <c r="Z1041" s="393"/>
      <c r="AA1041" s="393"/>
      <c r="AB1041" s="393"/>
      <c r="AC1041" s="343"/>
      <c r="AD1041" s="343"/>
      <c r="AE1041" s="343"/>
      <c r="AF1041" s="343"/>
      <c r="AG1041" s="343"/>
      <c r="AH1041" s="343"/>
      <c r="AI1041" s="343"/>
      <c r="AJ1041" s="344"/>
      <c r="AK1041" s="345">
        <f>A1041</f>
        <v>17</v>
      </c>
      <c r="AL1041" s="340" t="s">
        <v>345</v>
      </c>
      <c r="AM1041" s="471" t="s">
        <v>1188</v>
      </c>
      <c r="AN1041" s="392"/>
      <c r="AO1041" s="392"/>
      <c r="AP1041" s="392"/>
      <c r="AQ1041" s="392"/>
      <c r="AR1041" s="392"/>
      <c r="AS1041" s="392"/>
      <c r="AT1041" s="392"/>
      <c r="AU1041" s="392"/>
      <c r="AV1041" s="392"/>
      <c r="AW1041" s="392"/>
      <c r="AX1041" s="392"/>
      <c r="AY1041" s="392"/>
      <c r="AZ1041" s="392"/>
      <c r="BA1041" s="392"/>
      <c r="BB1041" s="392"/>
      <c r="BC1041" s="392"/>
      <c r="BD1041" s="392"/>
      <c r="BE1041" s="392"/>
      <c r="BF1041" s="392"/>
      <c r="BG1041" s="392"/>
      <c r="BH1041" s="392"/>
      <c r="BI1041" s="392"/>
      <c r="BJ1041" s="392"/>
      <c r="BK1041" s="392"/>
      <c r="BL1041" s="392"/>
      <c r="BM1041" s="342"/>
      <c r="BN1041" s="356"/>
      <c r="BO1041" s="356"/>
      <c r="BP1041" s="356"/>
      <c r="BQ1041" s="356"/>
      <c r="BR1041" s="356"/>
      <c r="BS1041" s="356"/>
      <c r="BT1041" s="356"/>
      <c r="BU1041" s="346">
        <f>SUBTOTAL(103,A1041)</f>
        <v>1</v>
      </c>
      <c r="BV1041" s="310"/>
      <c r="BW1041" s="310"/>
      <c r="BX1041" s="291">
        <f t="shared" si="65"/>
        <v>0</v>
      </c>
      <c r="BY1041" s="344"/>
      <c r="BZ1041" s="347"/>
      <c r="CA1041" s="347"/>
    </row>
    <row r="1042" spans="1:84" ht="15" customHeight="1" x14ac:dyDescent="0.25">
      <c r="A1042" s="313"/>
      <c r="B1042" s="340"/>
      <c r="C1042" s="392"/>
      <c r="D1042" s="392"/>
      <c r="E1042" s="392"/>
      <c r="F1042" s="392"/>
      <c r="G1042" s="392"/>
      <c r="H1042" s="392"/>
      <c r="I1042" s="392"/>
      <c r="J1042" s="392"/>
      <c r="K1042" s="392"/>
      <c r="L1042" s="392"/>
      <c r="M1042" s="392"/>
      <c r="N1042" s="392"/>
      <c r="O1042" s="392"/>
      <c r="P1042" s="392"/>
      <c r="Q1042" s="392"/>
      <c r="R1042" s="392"/>
      <c r="S1042" s="392"/>
      <c r="T1042" s="392"/>
      <c r="U1042" s="392"/>
      <c r="V1042" s="392"/>
      <c r="W1042" s="1325" t="str">
        <f>Ky_Nay1_V</f>
        <v>31/12/2017</v>
      </c>
      <c r="X1042" s="1325"/>
      <c r="Y1042" s="1325"/>
      <c r="Z1042" s="1325"/>
      <c r="AA1042" s="1325"/>
      <c r="AB1042" s="1325"/>
      <c r="AC1042" s="351"/>
      <c r="AD1042" s="1325" t="str">
        <f>Ky_Truoc1_V</f>
        <v>01/01/2017</v>
      </c>
      <c r="AE1042" s="1325"/>
      <c r="AF1042" s="1325"/>
      <c r="AG1042" s="1325"/>
      <c r="AH1042" s="1325"/>
      <c r="AI1042" s="1325"/>
      <c r="AJ1042" s="344"/>
      <c r="AK1042" s="345"/>
      <c r="AL1042" s="340"/>
      <c r="AM1042" s="392"/>
      <c r="AN1042" s="392"/>
      <c r="AO1042" s="392"/>
      <c r="AP1042" s="392"/>
      <c r="AQ1042" s="392"/>
      <c r="AR1042" s="392"/>
      <c r="AS1042" s="392"/>
      <c r="AT1042" s="392"/>
      <c r="AU1042" s="392"/>
      <c r="AV1042" s="392"/>
      <c r="AW1042" s="392"/>
      <c r="AX1042" s="392"/>
      <c r="AY1042" s="392"/>
      <c r="AZ1042" s="392"/>
      <c r="BA1042" s="392"/>
      <c r="BB1042" s="392"/>
      <c r="BC1042" s="392"/>
      <c r="BD1042" s="392"/>
      <c r="BE1042" s="392"/>
      <c r="BF1042" s="392"/>
      <c r="BG1042" s="1325" t="str">
        <f>Ky_Nay1_E</f>
        <v>31/12/2017</v>
      </c>
      <c r="BH1042" s="1325"/>
      <c r="BI1042" s="1325"/>
      <c r="BJ1042" s="1325"/>
      <c r="BK1042" s="1325"/>
      <c r="BL1042" s="1325"/>
      <c r="BM1042" s="351"/>
      <c r="BN1042" s="1325" t="str">
        <f>Ky_Truoc1_E</f>
        <v>01/01/2017</v>
      </c>
      <c r="BO1042" s="1325"/>
      <c r="BP1042" s="1325"/>
      <c r="BQ1042" s="1325"/>
      <c r="BR1042" s="1325"/>
      <c r="BS1042" s="1325"/>
      <c r="BT1042" s="352"/>
      <c r="BU1042" s="353"/>
      <c r="BV1042" s="310"/>
      <c r="BW1042" s="310"/>
      <c r="BX1042" s="291">
        <f t="shared" si="65"/>
        <v>0</v>
      </c>
      <c r="BY1042" s="344"/>
      <c r="BZ1042" s="347"/>
      <c r="CA1042" s="347"/>
    </row>
    <row r="1043" spans="1:84" ht="15" customHeight="1" x14ac:dyDescent="0.25">
      <c r="A1043" s="313"/>
      <c r="B1043" s="340"/>
      <c r="C1043" s="392"/>
      <c r="D1043" s="392"/>
      <c r="E1043" s="392"/>
      <c r="F1043" s="392"/>
      <c r="G1043" s="392"/>
      <c r="H1043" s="392"/>
      <c r="I1043" s="392"/>
      <c r="J1043" s="392"/>
      <c r="K1043" s="392"/>
      <c r="L1043" s="392"/>
      <c r="M1043" s="392"/>
      <c r="N1043" s="392"/>
      <c r="O1043" s="392"/>
      <c r="P1043" s="392"/>
      <c r="Q1043" s="392"/>
      <c r="R1043" s="392"/>
      <c r="S1043" s="392"/>
      <c r="T1043" s="392"/>
      <c r="U1043" s="392"/>
      <c r="V1043" s="392"/>
      <c r="W1043" s="1327" t="str">
        <f>Don_Vi_Tinh_V</f>
        <v>VND</v>
      </c>
      <c r="X1043" s="1327"/>
      <c r="Y1043" s="1327"/>
      <c r="Z1043" s="1327"/>
      <c r="AA1043" s="1327"/>
      <c r="AB1043" s="1327"/>
      <c r="AC1043" s="351"/>
      <c r="AD1043" s="1327" t="str">
        <f>Don_Vi_Tinh_V</f>
        <v>VND</v>
      </c>
      <c r="AE1043" s="1327"/>
      <c r="AF1043" s="1327"/>
      <c r="AG1043" s="1327"/>
      <c r="AH1043" s="1327"/>
      <c r="AI1043" s="1327"/>
      <c r="AJ1043" s="344"/>
      <c r="AK1043" s="345"/>
      <c r="AL1043" s="340"/>
      <c r="AM1043" s="392"/>
      <c r="AN1043" s="392"/>
      <c r="AO1043" s="392"/>
      <c r="AP1043" s="392"/>
      <c r="AQ1043" s="392"/>
      <c r="AR1043" s="392"/>
      <c r="AS1043" s="392"/>
      <c r="AT1043" s="392"/>
      <c r="AU1043" s="392"/>
      <c r="AV1043" s="392"/>
      <c r="AW1043" s="392"/>
      <c r="AX1043" s="392"/>
      <c r="AY1043" s="392"/>
      <c r="AZ1043" s="392"/>
      <c r="BA1043" s="392"/>
      <c r="BB1043" s="392"/>
      <c r="BC1043" s="392"/>
      <c r="BD1043" s="392"/>
      <c r="BE1043" s="392"/>
      <c r="BF1043" s="392"/>
      <c r="BG1043" s="1327" t="str">
        <f>Don_Vi_Tinh_E</f>
        <v>VND</v>
      </c>
      <c r="BH1043" s="1327"/>
      <c r="BI1043" s="1327"/>
      <c r="BJ1043" s="1327"/>
      <c r="BK1043" s="1327"/>
      <c r="BL1043" s="1327"/>
      <c r="BM1043" s="351"/>
      <c r="BN1043" s="1327" t="str">
        <f>Don_Vi_Tinh_E</f>
        <v>VND</v>
      </c>
      <c r="BO1043" s="1327"/>
      <c r="BP1043" s="1327"/>
      <c r="BQ1043" s="1327"/>
      <c r="BR1043" s="1327"/>
      <c r="BS1043" s="1327"/>
      <c r="BT1043" s="352"/>
      <c r="BU1043" s="353"/>
      <c r="BV1043" s="310"/>
      <c r="BW1043" s="310"/>
      <c r="BX1043" s="291">
        <f t="shared" si="65"/>
        <v>0</v>
      </c>
      <c r="BY1043" s="344"/>
      <c r="BZ1043" s="347"/>
      <c r="CA1043" s="347"/>
    </row>
    <row r="1044" spans="1:84" ht="14.1" customHeight="1" x14ac:dyDescent="0.25">
      <c r="A1044" s="313"/>
      <c r="B1044" s="340"/>
      <c r="C1044" s="392"/>
      <c r="D1044" s="392"/>
      <c r="E1044" s="392"/>
      <c r="F1044" s="392"/>
      <c r="G1044" s="392"/>
      <c r="H1044" s="392"/>
      <c r="I1044" s="392"/>
      <c r="J1044" s="392"/>
      <c r="K1044" s="392"/>
      <c r="L1044" s="392"/>
      <c r="M1044" s="392"/>
      <c r="N1044" s="392"/>
      <c r="O1044" s="392"/>
      <c r="P1044" s="392"/>
      <c r="Q1044" s="392"/>
      <c r="R1044" s="392"/>
      <c r="S1044" s="392"/>
      <c r="T1044" s="392"/>
      <c r="U1044" s="392"/>
      <c r="V1044" s="392"/>
      <c r="W1044" s="1318"/>
      <c r="X1044" s="1318"/>
      <c r="Y1044" s="1318"/>
      <c r="Z1044" s="1318"/>
      <c r="AA1044" s="1318"/>
      <c r="AB1044" s="1318"/>
      <c r="AC1044" s="355"/>
      <c r="AD1044" s="1318"/>
      <c r="AE1044" s="1318"/>
      <c r="AF1044" s="1318"/>
      <c r="AG1044" s="1318"/>
      <c r="AH1044" s="1318"/>
      <c r="AI1044" s="1318"/>
      <c r="AJ1044" s="344"/>
      <c r="AK1044" s="345"/>
      <c r="AL1044" s="340"/>
      <c r="AM1044" s="392"/>
      <c r="AN1044" s="392"/>
      <c r="AO1044" s="392"/>
      <c r="AP1044" s="392"/>
      <c r="AQ1044" s="392"/>
      <c r="AR1044" s="392"/>
      <c r="AS1044" s="392"/>
      <c r="AT1044" s="392"/>
      <c r="AU1044" s="392"/>
      <c r="AV1044" s="392"/>
      <c r="AW1044" s="392"/>
      <c r="AX1044" s="392"/>
      <c r="AY1044" s="392"/>
      <c r="AZ1044" s="392"/>
      <c r="BA1044" s="392"/>
      <c r="BB1044" s="392"/>
      <c r="BC1044" s="392"/>
      <c r="BD1044" s="392"/>
      <c r="BE1044" s="392"/>
      <c r="BF1044" s="392"/>
      <c r="BG1044" s="1318"/>
      <c r="BH1044" s="1318"/>
      <c r="BI1044" s="1318"/>
      <c r="BJ1044" s="1318"/>
      <c r="BK1044" s="1318"/>
      <c r="BL1044" s="1318"/>
      <c r="BM1044" s="355"/>
      <c r="BN1044" s="1318"/>
      <c r="BO1044" s="1318"/>
      <c r="BP1044" s="1318"/>
      <c r="BQ1044" s="1318"/>
      <c r="BR1044" s="1318"/>
      <c r="BS1044" s="1318"/>
      <c r="BT1044" s="352"/>
      <c r="BU1044" s="353"/>
      <c r="BV1044" s="310"/>
      <c r="BW1044" s="310"/>
      <c r="BX1044" s="291">
        <f t="shared" si="65"/>
        <v>0</v>
      </c>
      <c r="BY1044" s="344"/>
      <c r="BZ1044" s="347"/>
      <c r="CA1044" s="347"/>
    </row>
    <row r="1045" spans="1:84" s="385" customFormat="1" ht="15" hidden="1" customHeight="1" x14ac:dyDescent="0.25">
      <c r="A1045" s="313"/>
      <c r="B1045" s="340"/>
      <c r="C1045" s="471" t="s">
        <v>855</v>
      </c>
      <c r="D1045" s="471"/>
      <c r="E1045" s="471"/>
      <c r="F1045" s="471"/>
      <c r="G1045" s="471"/>
      <c r="H1045" s="471"/>
      <c r="I1045" s="471"/>
      <c r="J1045" s="471"/>
      <c r="K1045" s="471"/>
      <c r="L1045" s="471"/>
      <c r="M1045" s="471"/>
      <c r="N1045" s="471"/>
      <c r="O1045" s="471"/>
      <c r="P1045" s="471"/>
      <c r="Q1045" s="471"/>
      <c r="R1045" s="471"/>
      <c r="S1045" s="471"/>
      <c r="T1045" s="471"/>
      <c r="U1045" s="471"/>
      <c r="V1045" s="341"/>
      <c r="W1045" s="1330"/>
      <c r="X1045" s="1330"/>
      <c r="Y1045" s="1330"/>
      <c r="Z1045" s="1330"/>
      <c r="AA1045" s="1330"/>
      <c r="AB1045" s="1330"/>
      <c r="AC1045" s="363"/>
      <c r="AD1045" s="1330"/>
      <c r="AE1045" s="1330"/>
      <c r="AF1045" s="1330"/>
      <c r="AG1045" s="1330"/>
      <c r="AH1045" s="1330"/>
      <c r="AI1045" s="1330"/>
      <c r="AJ1045" s="374"/>
      <c r="AK1045" s="345"/>
      <c r="AL1045" s="340"/>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341"/>
      <c r="BG1045" s="1330"/>
      <c r="BH1045" s="1330"/>
      <c r="BI1045" s="1330"/>
      <c r="BJ1045" s="1330"/>
      <c r="BK1045" s="1330"/>
      <c r="BL1045" s="1330"/>
      <c r="BM1045" s="363"/>
      <c r="BN1045" s="1330"/>
      <c r="BO1045" s="1330"/>
      <c r="BP1045" s="1330"/>
      <c r="BQ1045" s="1330"/>
      <c r="BR1045" s="1330"/>
      <c r="BS1045" s="1330"/>
      <c r="BT1045" s="361"/>
      <c r="BU1045" s="362"/>
      <c r="BV1045" s="310"/>
      <c r="BW1045" s="310"/>
      <c r="BX1045" s="291">
        <f t="shared" si="65"/>
        <v>0</v>
      </c>
      <c r="BY1045" s="374"/>
      <c r="BZ1045" s="383"/>
      <c r="CA1045" s="383"/>
      <c r="CB1045" s="384"/>
      <c r="CC1045" s="384"/>
      <c r="CD1045" s="384"/>
      <c r="CE1045" s="384"/>
      <c r="CF1045" s="384"/>
    </row>
    <row r="1046" spans="1:84" ht="15" customHeight="1" x14ac:dyDescent="0.25">
      <c r="A1046" s="313"/>
      <c r="B1046" s="340"/>
      <c r="C1046" s="598" t="s">
        <v>1189</v>
      </c>
      <c r="D1046" s="340"/>
      <c r="E1046" s="340"/>
      <c r="F1046" s="340"/>
      <c r="G1046" s="340"/>
      <c r="H1046" s="340"/>
      <c r="I1046" s="340"/>
      <c r="J1046" s="340"/>
      <c r="K1046" s="340"/>
      <c r="L1046" s="340"/>
      <c r="M1046" s="340"/>
      <c r="N1046" s="340"/>
      <c r="O1046" s="340"/>
      <c r="P1046" s="340"/>
      <c r="Q1046" s="340"/>
      <c r="R1046" s="340"/>
      <c r="S1046" s="340"/>
      <c r="T1046" s="340"/>
      <c r="U1046" s="342"/>
      <c r="V1046" s="342"/>
      <c r="W1046" s="1318">
        <v>0</v>
      </c>
      <c r="X1046" s="1318"/>
      <c r="Y1046" s="1318"/>
      <c r="Z1046" s="1318"/>
      <c r="AA1046" s="1318"/>
      <c r="AB1046" s="1318"/>
      <c r="AC1046" s="355"/>
      <c r="AD1046" s="1318">
        <v>416000000</v>
      </c>
      <c r="AE1046" s="1318"/>
      <c r="AF1046" s="1318"/>
      <c r="AG1046" s="1318"/>
      <c r="AH1046" s="1318"/>
      <c r="AI1046" s="1318"/>
      <c r="AJ1046" s="344"/>
      <c r="AK1046" s="345"/>
      <c r="AL1046" s="340"/>
      <c r="AM1046" s="354" t="s">
        <v>1190</v>
      </c>
      <c r="AN1046" s="340"/>
      <c r="AO1046" s="340"/>
      <c r="AP1046" s="340"/>
      <c r="AQ1046" s="340"/>
      <c r="AR1046" s="340"/>
      <c r="AS1046" s="340"/>
      <c r="AT1046" s="340"/>
      <c r="AU1046" s="340"/>
      <c r="AV1046" s="340"/>
      <c r="AW1046" s="340"/>
      <c r="AX1046" s="340"/>
      <c r="AY1046" s="340"/>
      <c r="AZ1046" s="340"/>
      <c r="BA1046" s="340"/>
      <c r="BB1046" s="340"/>
      <c r="BC1046" s="340"/>
      <c r="BD1046" s="340"/>
      <c r="BE1046" s="342"/>
      <c r="BF1046" s="342"/>
      <c r="BG1046" s="1318">
        <f t="shared" ref="BG1046:BG1052" si="73">W1046</f>
        <v>0</v>
      </c>
      <c r="BH1046" s="1318"/>
      <c r="BI1046" s="1318"/>
      <c r="BJ1046" s="1318"/>
      <c r="BK1046" s="1318"/>
      <c r="BL1046" s="1318"/>
      <c r="BM1046" s="355"/>
      <c r="BN1046" s="1318">
        <f t="shared" ref="BN1046:BN1052" si="74">AD1046</f>
        <v>416000000</v>
      </c>
      <c r="BO1046" s="1318"/>
      <c r="BP1046" s="1318"/>
      <c r="BQ1046" s="1318"/>
      <c r="BR1046" s="1318"/>
      <c r="BS1046" s="1318"/>
      <c r="BT1046" s="356"/>
      <c r="BU1046" s="357"/>
      <c r="BV1046" s="310"/>
      <c r="BW1046" s="310"/>
      <c r="BX1046" s="291">
        <f t="shared" si="65"/>
        <v>0</v>
      </c>
      <c r="BY1046" s="344"/>
      <c r="BZ1046" s="347">
        <f>SUM(CA1046:CB1046)</f>
        <v>0</v>
      </c>
      <c r="CA1046" s="347"/>
    </row>
    <row r="1047" spans="1:84" ht="15" customHeight="1" x14ac:dyDescent="0.25">
      <c r="A1047" s="313"/>
      <c r="B1047" s="340"/>
      <c r="C1047" s="354" t="s">
        <v>1191</v>
      </c>
      <c r="D1047" s="340"/>
      <c r="E1047" s="340"/>
      <c r="F1047" s="340"/>
      <c r="G1047" s="340"/>
      <c r="H1047" s="340"/>
      <c r="I1047" s="340"/>
      <c r="J1047" s="340"/>
      <c r="K1047" s="340"/>
      <c r="L1047" s="340"/>
      <c r="M1047" s="340"/>
      <c r="N1047" s="340"/>
      <c r="O1047" s="340"/>
      <c r="P1047" s="340"/>
      <c r="Q1047" s="340"/>
      <c r="R1047" s="340"/>
      <c r="S1047" s="340"/>
      <c r="T1047" s="340"/>
      <c r="U1047" s="342"/>
      <c r="V1047" s="342"/>
      <c r="W1047" s="1318">
        <f>BZ1047</f>
        <v>133358458</v>
      </c>
      <c r="X1047" s="1318"/>
      <c r="Y1047" s="1318"/>
      <c r="Z1047" s="1318"/>
      <c r="AA1047" s="1318"/>
      <c r="AB1047" s="1318"/>
      <c r="AC1047" s="355"/>
      <c r="AD1047" s="1318">
        <v>0</v>
      </c>
      <c r="AE1047" s="1318"/>
      <c r="AF1047" s="1318"/>
      <c r="AG1047" s="1318"/>
      <c r="AH1047" s="1318"/>
      <c r="AI1047" s="1318"/>
      <c r="AJ1047" s="344"/>
      <c r="AK1047" s="345"/>
      <c r="AL1047" s="340"/>
      <c r="AM1047" s="354" t="s">
        <v>1192</v>
      </c>
      <c r="AN1047" s="340"/>
      <c r="AO1047" s="340"/>
      <c r="AP1047" s="340"/>
      <c r="AQ1047" s="340"/>
      <c r="AR1047" s="340"/>
      <c r="AS1047" s="340"/>
      <c r="AT1047" s="340"/>
      <c r="AU1047" s="340"/>
      <c r="AV1047" s="340"/>
      <c r="AW1047" s="340"/>
      <c r="AX1047" s="340"/>
      <c r="AY1047" s="340"/>
      <c r="AZ1047" s="340"/>
      <c r="BA1047" s="340"/>
      <c r="BB1047" s="340"/>
      <c r="BC1047" s="340"/>
      <c r="BD1047" s="340"/>
      <c r="BE1047" s="342"/>
      <c r="BF1047" s="342"/>
      <c r="BG1047" s="1318">
        <f t="shared" si="73"/>
        <v>133358458</v>
      </c>
      <c r="BH1047" s="1318"/>
      <c r="BI1047" s="1318"/>
      <c r="BJ1047" s="1318"/>
      <c r="BK1047" s="1318"/>
      <c r="BL1047" s="1318"/>
      <c r="BM1047" s="355"/>
      <c r="BN1047" s="1318">
        <f t="shared" si="74"/>
        <v>0</v>
      </c>
      <c r="BO1047" s="1318"/>
      <c r="BP1047" s="1318"/>
      <c r="BQ1047" s="1318"/>
      <c r="BR1047" s="1318"/>
      <c r="BS1047" s="1318"/>
      <c r="BT1047" s="356"/>
      <c r="BU1047" s="357"/>
      <c r="BV1047" s="310"/>
      <c r="BW1047" s="310"/>
      <c r="BX1047" s="291">
        <f>IF(ISNONTEXT($C1047),0,SUM(D1047:AI1047)-SUM(AN1047:BS1047))</f>
        <v>0</v>
      </c>
      <c r="BY1047" s="344"/>
      <c r="BZ1047" s="347">
        <f t="shared" ref="BZ1047:BZ1052" si="75">SUM(CA1047:CB1047)</f>
        <v>133358458</v>
      </c>
      <c r="CA1047" s="347">
        <v>133358458</v>
      </c>
    </row>
    <row r="1048" spans="1:84" ht="15" customHeight="1" x14ac:dyDescent="0.25">
      <c r="A1048" s="313"/>
      <c r="B1048" s="340"/>
      <c r="C1048" s="354" t="s">
        <v>1193</v>
      </c>
      <c r="D1048" s="340"/>
      <c r="E1048" s="340"/>
      <c r="F1048" s="340"/>
      <c r="G1048" s="340"/>
      <c r="H1048" s="340"/>
      <c r="I1048" s="340"/>
      <c r="J1048" s="340"/>
      <c r="K1048" s="340"/>
      <c r="L1048" s="340"/>
      <c r="M1048" s="340"/>
      <c r="N1048" s="340"/>
      <c r="O1048" s="340"/>
      <c r="P1048" s="340"/>
      <c r="Q1048" s="340"/>
      <c r="R1048" s="340"/>
      <c r="S1048" s="340"/>
      <c r="T1048" s="340"/>
      <c r="U1048" s="342"/>
      <c r="V1048" s="342"/>
      <c r="W1048" s="1318">
        <f>BZ1048</f>
        <v>96274091</v>
      </c>
      <c r="X1048" s="1318"/>
      <c r="Y1048" s="1318"/>
      <c r="Z1048" s="1318"/>
      <c r="AA1048" s="1318"/>
      <c r="AB1048" s="1318"/>
      <c r="AC1048" s="355"/>
      <c r="AD1048" s="1318">
        <v>0</v>
      </c>
      <c r="AE1048" s="1318"/>
      <c r="AF1048" s="1318"/>
      <c r="AG1048" s="1318"/>
      <c r="AH1048" s="1318"/>
      <c r="AI1048" s="1318"/>
      <c r="AJ1048" s="344"/>
      <c r="AK1048" s="345"/>
      <c r="AL1048" s="340"/>
      <c r="AM1048" s="354" t="s">
        <v>1192</v>
      </c>
      <c r="AN1048" s="340"/>
      <c r="AO1048" s="340"/>
      <c r="AP1048" s="340"/>
      <c r="AQ1048" s="340"/>
      <c r="AR1048" s="340"/>
      <c r="AS1048" s="340"/>
      <c r="AT1048" s="340"/>
      <c r="AU1048" s="340"/>
      <c r="AV1048" s="340"/>
      <c r="AW1048" s="340"/>
      <c r="AX1048" s="340"/>
      <c r="AY1048" s="340"/>
      <c r="AZ1048" s="340"/>
      <c r="BA1048" s="340"/>
      <c r="BB1048" s="340"/>
      <c r="BC1048" s="340"/>
      <c r="BD1048" s="340"/>
      <c r="BE1048" s="342"/>
      <c r="BF1048" s="342"/>
      <c r="BG1048" s="1318">
        <f t="shared" si="73"/>
        <v>96274091</v>
      </c>
      <c r="BH1048" s="1318"/>
      <c r="BI1048" s="1318"/>
      <c r="BJ1048" s="1318"/>
      <c r="BK1048" s="1318"/>
      <c r="BL1048" s="1318"/>
      <c r="BM1048" s="355"/>
      <c r="BN1048" s="1318">
        <f t="shared" si="74"/>
        <v>0</v>
      </c>
      <c r="BO1048" s="1318"/>
      <c r="BP1048" s="1318"/>
      <c r="BQ1048" s="1318"/>
      <c r="BR1048" s="1318"/>
      <c r="BS1048" s="1318"/>
      <c r="BT1048" s="356"/>
      <c r="BU1048" s="357"/>
      <c r="BV1048" s="310"/>
      <c r="BW1048" s="310"/>
      <c r="BX1048" s="291">
        <f>IF(ISNONTEXT($C1048),0,SUM(D1048:AI1048)-SUM(AN1048:BS1048))</f>
        <v>0</v>
      </c>
      <c r="BY1048" s="344"/>
      <c r="BZ1048" s="347">
        <f t="shared" si="75"/>
        <v>96274091</v>
      </c>
      <c r="CA1048" s="347">
        <v>96274091</v>
      </c>
    </row>
    <row r="1049" spans="1:84" ht="15" customHeight="1" x14ac:dyDescent="0.25">
      <c r="A1049" s="313"/>
      <c r="B1049" s="340"/>
      <c r="C1049" s="354" t="s">
        <v>1194</v>
      </c>
      <c r="D1049" s="340"/>
      <c r="E1049" s="340"/>
      <c r="F1049" s="340"/>
      <c r="G1049" s="340"/>
      <c r="H1049" s="340"/>
      <c r="I1049" s="340"/>
      <c r="J1049" s="340"/>
      <c r="K1049" s="340"/>
      <c r="L1049" s="340"/>
      <c r="M1049" s="340"/>
      <c r="N1049" s="340"/>
      <c r="O1049" s="340"/>
      <c r="P1049" s="340"/>
      <c r="Q1049" s="340"/>
      <c r="R1049" s="340"/>
      <c r="S1049" s="340"/>
      <c r="T1049" s="340"/>
      <c r="U1049" s="342"/>
      <c r="V1049" s="342"/>
      <c r="W1049" s="1318">
        <f>BZ1049</f>
        <v>90981360</v>
      </c>
      <c r="X1049" s="1318"/>
      <c r="Y1049" s="1318"/>
      <c r="Z1049" s="1318"/>
      <c r="AA1049" s="1318"/>
      <c r="AB1049" s="1318"/>
      <c r="AC1049" s="355"/>
      <c r="AD1049" s="1318">
        <v>0</v>
      </c>
      <c r="AE1049" s="1318"/>
      <c r="AF1049" s="1318"/>
      <c r="AG1049" s="1318"/>
      <c r="AH1049" s="1318"/>
      <c r="AI1049" s="1318"/>
      <c r="AJ1049" s="344"/>
      <c r="AK1049" s="345"/>
      <c r="AL1049" s="340"/>
      <c r="AM1049" s="354" t="s">
        <v>1192</v>
      </c>
      <c r="AN1049" s="340"/>
      <c r="AO1049" s="340"/>
      <c r="AP1049" s="340"/>
      <c r="AQ1049" s="340"/>
      <c r="AR1049" s="340"/>
      <c r="AS1049" s="340"/>
      <c r="AT1049" s="340"/>
      <c r="AU1049" s="340"/>
      <c r="AV1049" s="340"/>
      <c r="AW1049" s="340"/>
      <c r="AX1049" s="340"/>
      <c r="AY1049" s="340"/>
      <c r="AZ1049" s="340"/>
      <c r="BA1049" s="340"/>
      <c r="BB1049" s="340"/>
      <c r="BC1049" s="340"/>
      <c r="BD1049" s="340"/>
      <c r="BE1049" s="342"/>
      <c r="BF1049" s="342"/>
      <c r="BG1049" s="1318">
        <f t="shared" si="73"/>
        <v>90981360</v>
      </c>
      <c r="BH1049" s="1318"/>
      <c r="BI1049" s="1318"/>
      <c r="BJ1049" s="1318"/>
      <c r="BK1049" s="1318"/>
      <c r="BL1049" s="1318"/>
      <c r="BM1049" s="355"/>
      <c r="BN1049" s="1318">
        <f t="shared" si="74"/>
        <v>0</v>
      </c>
      <c r="BO1049" s="1318"/>
      <c r="BP1049" s="1318"/>
      <c r="BQ1049" s="1318"/>
      <c r="BR1049" s="1318"/>
      <c r="BS1049" s="1318"/>
      <c r="BT1049" s="356"/>
      <c r="BU1049" s="357"/>
      <c r="BV1049" s="310"/>
      <c r="BW1049" s="310"/>
      <c r="BX1049" s="291">
        <f>IF(ISNONTEXT($C1049),0,SUM(D1049:AI1049)-SUM(AN1049:BS1049))</f>
        <v>0</v>
      </c>
      <c r="BY1049" s="344"/>
      <c r="BZ1049" s="347">
        <f t="shared" si="75"/>
        <v>90981360</v>
      </c>
      <c r="CA1049" s="347"/>
      <c r="CB1049" s="348">
        <v>90981360</v>
      </c>
    </row>
    <row r="1050" spans="1:84" ht="15" customHeight="1" x14ac:dyDescent="0.25">
      <c r="A1050" s="313"/>
      <c r="B1050" s="340"/>
      <c r="C1050" s="354" t="s">
        <v>1195</v>
      </c>
      <c r="D1050" s="340"/>
      <c r="E1050" s="340"/>
      <c r="F1050" s="340"/>
      <c r="G1050" s="340"/>
      <c r="H1050" s="340"/>
      <c r="I1050" s="340"/>
      <c r="J1050" s="340"/>
      <c r="K1050" s="340"/>
      <c r="L1050" s="340"/>
      <c r="M1050" s="340"/>
      <c r="N1050" s="340"/>
      <c r="O1050" s="340"/>
      <c r="P1050" s="340"/>
      <c r="Q1050" s="340"/>
      <c r="R1050" s="340"/>
      <c r="S1050" s="340"/>
      <c r="T1050" s="340"/>
      <c r="U1050" s="342"/>
      <c r="V1050" s="342"/>
      <c r="W1050" s="1318">
        <f>BZ1050</f>
        <v>49534120</v>
      </c>
      <c r="X1050" s="1318"/>
      <c r="Y1050" s="1318"/>
      <c r="Z1050" s="1318"/>
      <c r="AA1050" s="1318"/>
      <c r="AB1050" s="1318"/>
      <c r="AC1050" s="355"/>
      <c r="AD1050" s="1318">
        <v>0</v>
      </c>
      <c r="AE1050" s="1318"/>
      <c r="AF1050" s="1318"/>
      <c r="AG1050" s="1318"/>
      <c r="AH1050" s="1318"/>
      <c r="AI1050" s="1318"/>
      <c r="AJ1050" s="344"/>
      <c r="AK1050" s="345"/>
      <c r="AL1050" s="340"/>
      <c r="AM1050" s="354" t="s">
        <v>1192</v>
      </c>
      <c r="AN1050" s="340"/>
      <c r="AO1050" s="340"/>
      <c r="AP1050" s="340"/>
      <c r="AQ1050" s="340"/>
      <c r="AR1050" s="340"/>
      <c r="AS1050" s="340"/>
      <c r="AT1050" s="340"/>
      <c r="AU1050" s="340"/>
      <c r="AV1050" s="340"/>
      <c r="AW1050" s="340"/>
      <c r="AX1050" s="340"/>
      <c r="AY1050" s="340"/>
      <c r="AZ1050" s="340"/>
      <c r="BA1050" s="340"/>
      <c r="BB1050" s="340"/>
      <c r="BC1050" s="340"/>
      <c r="BD1050" s="340"/>
      <c r="BE1050" s="342"/>
      <c r="BF1050" s="342"/>
      <c r="BG1050" s="1318">
        <f t="shared" si="73"/>
        <v>49534120</v>
      </c>
      <c r="BH1050" s="1318"/>
      <c r="BI1050" s="1318"/>
      <c r="BJ1050" s="1318"/>
      <c r="BK1050" s="1318"/>
      <c r="BL1050" s="1318"/>
      <c r="BM1050" s="355"/>
      <c r="BN1050" s="1318">
        <f t="shared" si="74"/>
        <v>0</v>
      </c>
      <c r="BO1050" s="1318"/>
      <c r="BP1050" s="1318"/>
      <c r="BQ1050" s="1318"/>
      <c r="BR1050" s="1318"/>
      <c r="BS1050" s="1318"/>
      <c r="BT1050" s="356"/>
      <c r="BU1050" s="357"/>
      <c r="BV1050" s="310"/>
      <c r="BW1050" s="310"/>
      <c r="BX1050" s="291">
        <f>IF(ISNONTEXT($C1050),0,SUM(D1050:AI1050)-SUM(AN1050:BS1050))</f>
        <v>0</v>
      </c>
      <c r="BY1050" s="344"/>
      <c r="BZ1050" s="347">
        <f t="shared" si="75"/>
        <v>49534120</v>
      </c>
      <c r="CA1050" s="347"/>
      <c r="CB1050" s="348">
        <v>49534120</v>
      </c>
    </row>
    <row r="1051" spans="1:84" ht="15" customHeight="1" x14ac:dyDescent="0.25">
      <c r="A1051" s="313"/>
      <c r="B1051" s="340"/>
      <c r="C1051" s="354" t="s">
        <v>1182</v>
      </c>
      <c r="D1051" s="340"/>
      <c r="E1051" s="340"/>
      <c r="F1051" s="340"/>
      <c r="G1051" s="340"/>
      <c r="H1051" s="340"/>
      <c r="I1051" s="340"/>
      <c r="J1051" s="340"/>
      <c r="K1051" s="340"/>
      <c r="L1051" s="340"/>
      <c r="M1051" s="340"/>
      <c r="N1051" s="340"/>
      <c r="O1051" s="340"/>
      <c r="P1051" s="340"/>
      <c r="Q1051" s="340"/>
      <c r="R1051" s="340"/>
      <c r="S1051" s="340"/>
      <c r="T1051" s="340"/>
      <c r="U1051" s="342"/>
      <c r="V1051" s="342"/>
      <c r="W1051" s="1318">
        <f>BZ1051</f>
        <v>107842719</v>
      </c>
      <c r="X1051" s="1318"/>
      <c r="Y1051" s="1318"/>
      <c r="Z1051" s="1318"/>
      <c r="AA1051" s="1318"/>
      <c r="AB1051" s="1318"/>
      <c r="AC1051" s="355"/>
      <c r="AD1051" s="1318">
        <v>115182479</v>
      </c>
      <c r="AE1051" s="1318"/>
      <c r="AF1051" s="1318"/>
      <c r="AG1051" s="1318"/>
      <c r="AH1051" s="1318"/>
      <c r="AI1051" s="1318"/>
      <c r="AJ1051" s="344"/>
      <c r="AK1051" s="345"/>
      <c r="AL1051" s="340"/>
      <c r="AM1051" s="354" t="s">
        <v>1192</v>
      </c>
      <c r="AN1051" s="340"/>
      <c r="AO1051" s="340"/>
      <c r="AP1051" s="340"/>
      <c r="AQ1051" s="340"/>
      <c r="AR1051" s="340"/>
      <c r="AS1051" s="340"/>
      <c r="AT1051" s="340"/>
      <c r="AU1051" s="340"/>
      <c r="AV1051" s="340"/>
      <c r="AW1051" s="340"/>
      <c r="AX1051" s="340"/>
      <c r="AY1051" s="340"/>
      <c r="AZ1051" s="340"/>
      <c r="BA1051" s="340"/>
      <c r="BB1051" s="340"/>
      <c r="BC1051" s="340"/>
      <c r="BD1051" s="340"/>
      <c r="BE1051" s="342"/>
      <c r="BF1051" s="342"/>
      <c r="BG1051" s="1318">
        <f t="shared" si="73"/>
        <v>107842719</v>
      </c>
      <c r="BH1051" s="1318"/>
      <c r="BI1051" s="1318"/>
      <c r="BJ1051" s="1318"/>
      <c r="BK1051" s="1318"/>
      <c r="BL1051" s="1318"/>
      <c r="BM1051" s="355"/>
      <c r="BN1051" s="1318">
        <f t="shared" si="74"/>
        <v>115182479</v>
      </c>
      <c r="BO1051" s="1318"/>
      <c r="BP1051" s="1318"/>
      <c r="BQ1051" s="1318"/>
      <c r="BR1051" s="1318"/>
      <c r="BS1051" s="1318"/>
      <c r="BT1051" s="356"/>
      <c r="BU1051" s="357"/>
      <c r="BV1051" s="310"/>
      <c r="BW1051" s="310"/>
      <c r="BX1051" s="291">
        <f>IF(ISNONTEXT($C1051),0,SUM(D1051:AI1051)-SUM(AN1051:BS1051))</f>
        <v>0</v>
      </c>
      <c r="BY1051" s="344"/>
      <c r="BZ1051" s="347">
        <f t="shared" si="75"/>
        <v>107842719</v>
      </c>
      <c r="CA1051" s="347">
        <v>72045799</v>
      </c>
      <c r="CB1051" s="348">
        <v>35796920</v>
      </c>
    </row>
    <row r="1052" spans="1:84" ht="15" hidden="1" customHeight="1" x14ac:dyDescent="0.25">
      <c r="A1052" s="313"/>
      <c r="B1052" s="340"/>
      <c r="C1052" s="354" t="s">
        <v>1182</v>
      </c>
      <c r="D1052" s="340"/>
      <c r="E1052" s="340"/>
      <c r="F1052" s="340"/>
      <c r="G1052" s="340"/>
      <c r="H1052" s="340"/>
      <c r="I1052" s="340"/>
      <c r="J1052" s="340"/>
      <c r="K1052" s="340"/>
      <c r="L1052" s="340"/>
      <c r="M1052" s="340"/>
      <c r="N1052" s="340"/>
      <c r="O1052" s="340"/>
      <c r="P1052" s="340"/>
      <c r="Q1052" s="340"/>
      <c r="R1052" s="340"/>
      <c r="S1052" s="340"/>
      <c r="T1052" s="340"/>
      <c r="U1052" s="342"/>
      <c r="V1052" s="342"/>
      <c r="W1052" s="1318"/>
      <c r="X1052" s="1318"/>
      <c r="Y1052" s="1318"/>
      <c r="Z1052" s="1318"/>
      <c r="AA1052" s="1318"/>
      <c r="AB1052" s="1318"/>
      <c r="AC1052" s="355"/>
      <c r="AD1052" s="1318"/>
      <c r="AE1052" s="1318"/>
      <c r="AF1052" s="1318"/>
      <c r="AG1052" s="1318"/>
      <c r="AH1052" s="1318"/>
      <c r="AI1052" s="1318"/>
      <c r="AJ1052" s="344"/>
      <c r="AK1052" s="345"/>
      <c r="AL1052" s="340"/>
      <c r="AM1052" s="354" t="s">
        <v>1192</v>
      </c>
      <c r="AN1052" s="340"/>
      <c r="AO1052" s="340"/>
      <c r="AP1052" s="340"/>
      <c r="AQ1052" s="340"/>
      <c r="AR1052" s="340"/>
      <c r="AS1052" s="340"/>
      <c r="AT1052" s="340"/>
      <c r="AU1052" s="340"/>
      <c r="AV1052" s="340"/>
      <c r="AW1052" s="340"/>
      <c r="AX1052" s="340"/>
      <c r="AY1052" s="340"/>
      <c r="AZ1052" s="340"/>
      <c r="BA1052" s="340"/>
      <c r="BB1052" s="340"/>
      <c r="BC1052" s="340"/>
      <c r="BD1052" s="340"/>
      <c r="BE1052" s="342"/>
      <c r="BF1052" s="342"/>
      <c r="BG1052" s="1318">
        <f t="shared" si="73"/>
        <v>0</v>
      </c>
      <c r="BH1052" s="1318"/>
      <c r="BI1052" s="1318"/>
      <c r="BJ1052" s="1318"/>
      <c r="BK1052" s="1318"/>
      <c r="BL1052" s="1318"/>
      <c r="BM1052" s="355"/>
      <c r="BN1052" s="1318">
        <f t="shared" si="74"/>
        <v>0</v>
      </c>
      <c r="BO1052" s="1318"/>
      <c r="BP1052" s="1318"/>
      <c r="BQ1052" s="1318"/>
      <c r="BR1052" s="1318"/>
      <c r="BS1052" s="1318"/>
      <c r="BT1052" s="356"/>
      <c r="BU1052" s="357"/>
      <c r="BV1052" s="310"/>
      <c r="BW1052" s="310"/>
      <c r="BX1052" s="291">
        <f t="shared" si="65"/>
        <v>0</v>
      </c>
      <c r="BY1052" s="344"/>
      <c r="BZ1052" s="347">
        <f t="shared" si="75"/>
        <v>0</v>
      </c>
      <c r="CA1052" s="347"/>
    </row>
    <row r="1053" spans="1:84" ht="14.1" customHeight="1" x14ac:dyDescent="0.25">
      <c r="A1053" s="313"/>
      <c r="B1053" s="340"/>
      <c r="C1053" s="342"/>
      <c r="D1053" s="342"/>
      <c r="E1053" s="342"/>
      <c r="F1053" s="342"/>
      <c r="G1053" s="342"/>
      <c r="H1053" s="342"/>
      <c r="I1053" s="342"/>
      <c r="J1053" s="342"/>
      <c r="K1053" s="342"/>
      <c r="L1053" s="342"/>
      <c r="M1053" s="342"/>
      <c r="N1053" s="342"/>
      <c r="O1053" s="342"/>
      <c r="P1053" s="342"/>
      <c r="Q1053" s="342"/>
      <c r="R1053" s="342"/>
      <c r="S1053" s="342"/>
      <c r="T1053" s="342"/>
      <c r="U1053" s="342"/>
      <c r="V1053" s="342"/>
      <c r="W1053" s="1318"/>
      <c r="X1053" s="1318"/>
      <c r="Y1053" s="1318"/>
      <c r="Z1053" s="1318"/>
      <c r="AA1053" s="1318"/>
      <c r="AB1053" s="1318"/>
      <c r="AC1053" s="355"/>
      <c r="AD1053" s="1318"/>
      <c r="AE1053" s="1318"/>
      <c r="AF1053" s="1318"/>
      <c r="AG1053" s="1318"/>
      <c r="AH1053" s="1318"/>
      <c r="AI1053" s="1318"/>
      <c r="AJ1053" s="344"/>
      <c r="AK1053" s="345"/>
      <c r="AL1053" s="340"/>
      <c r="AM1053" s="342"/>
      <c r="AN1053" s="342"/>
      <c r="AO1053" s="342"/>
      <c r="AP1053" s="342"/>
      <c r="AQ1053" s="342"/>
      <c r="AR1053" s="342"/>
      <c r="AS1053" s="342"/>
      <c r="AT1053" s="342"/>
      <c r="AU1053" s="342"/>
      <c r="AV1053" s="342"/>
      <c r="AW1053" s="342"/>
      <c r="AX1053" s="342"/>
      <c r="AY1053" s="342"/>
      <c r="AZ1053" s="342"/>
      <c r="BA1053" s="342"/>
      <c r="BB1053" s="342"/>
      <c r="BC1053" s="342"/>
      <c r="BD1053" s="342"/>
      <c r="BE1053" s="342"/>
      <c r="BF1053" s="342"/>
      <c r="BG1053" s="1318"/>
      <c r="BH1053" s="1318"/>
      <c r="BI1053" s="1318"/>
      <c r="BJ1053" s="1318"/>
      <c r="BK1053" s="1318"/>
      <c r="BL1053" s="1318"/>
      <c r="BM1053" s="355"/>
      <c r="BN1053" s="1318"/>
      <c r="BO1053" s="1318"/>
      <c r="BP1053" s="1318"/>
      <c r="BQ1053" s="1318"/>
      <c r="BR1053" s="1318"/>
      <c r="BS1053" s="1318"/>
      <c r="BT1053" s="359"/>
      <c r="BU1053" s="346"/>
      <c r="BV1053" s="310"/>
      <c r="BW1053" s="310"/>
      <c r="BX1053" s="291">
        <f t="shared" si="65"/>
        <v>0</v>
      </c>
      <c r="BY1053" s="344"/>
      <c r="BZ1053" s="347"/>
      <c r="CA1053" s="347"/>
    </row>
    <row r="1054" spans="1:84" ht="15" customHeight="1" thickBot="1" x14ac:dyDescent="0.3">
      <c r="A1054" s="313"/>
      <c r="B1054" s="340"/>
      <c r="C1054" s="360" t="s">
        <v>752</v>
      </c>
      <c r="D1054" s="340"/>
      <c r="E1054" s="340"/>
      <c r="F1054" s="340"/>
      <c r="G1054" s="340"/>
      <c r="H1054" s="340"/>
      <c r="I1054" s="340"/>
      <c r="J1054" s="340"/>
      <c r="K1054" s="340"/>
      <c r="L1054" s="340"/>
      <c r="M1054" s="340"/>
      <c r="N1054" s="340"/>
      <c r="O1054" s="340"/>
      <c r="P1054" s="340"/>
      <c r="Q1054" s="340"/>
      <c r="R1054" s="340"/>
      <c r="S1054" s="340"/>
      <c r="T1054" s="340"/>
      <c r="U1054" s="342"/>
      <c r="V1054" s="342"/>
      <c r="W1054" s="1359">
        <f>SUBTOTAL(109,W1045:AB1052)</f>
        <v>477990748</v>
      </c>
      <c r="X1054" s="1359"/>
      <c r="Y1054" s="1359"/>
      <c r="Z1054" s="1359"/>
      <c r="AA1054" s="1359"/>
      <c r="AB1054" s="1359"/>
      <c r="AC1054" s="355"/>
      <c r="AD1054" s="1359">
        <f>SUBTOTAL(109,AD1045:AI1052)</f>
        <v>531182479</v>
      </c>
      <c r="AE1054" s="1359"/>
      <c r="AF1054" s="1359"/>
      <c r="AG1054" s="1359"/>
      <c r="AH1054" s="1359"/>
      <c r="AI1054" s="1359"/>
      <c r="AJ1054" s="344"/>
      <c r="AK1054" s="345"/>
      <c r="AL1054" s="340"/>
      <c r="AM1054" s="360" t="s">
        <v>752</v>
      </c>
      <c r="AN1054" s="340"/>
      <c r="AO1054" s="340"/>
      <c r="AP1054" s="340"/>
      <c r="AQ1054" s="340"/>
      <c r="AR1054" s="340"/>
      <c r="AS1054" s="340"/>
      <c r="AT1054" s="340"/>
      <c r="AU1054" s="340"/>
      <c r="AV1054" s="340"/>
      <c r="AW1054" s="340"/>
      <c r="AX1054" s="340"/>
      <c r="AY1054" s="340"/>
      <c r="AZ1054" s="340"/>
      <c r="BA1054" s="340"/>
      <c r="BB1054" s="340"/>
      <c r="BC1054" s="340"/>
      <c r="BD1054" s="340"/>
      <c r="BE1054" s="342"/>
      <c r="BF1054" s="342"/>
      <c r="BG1054" s="1359">
        <f>SUBTOTAL(109,BG1039:BL1052)</f>
        <v>477990748</v>
      </c>
      <c r="BH1054" s="1359"/>
      <c r="BI1054" s="1359"/>
      <c r="BJ1054" s="1359"/>
      <c r="BK1054" s="1359"/>
      <c r="BL1054" s="1359"/>
      <c r="BM1054" s="355"/>
      <c r="BN1054" s="1359">
        <f>SUBTOTAL(109,BN1039:BS1052)</f>
        <v>531182479</v>
      </c>
      <c r="BO1054" s="1359"/>
      <c r="BP1054" s="1359"/>
      <c r="BQ1054" s="1359"/>
      <c r="BR1054" s="1359"/>
      <c r="BS1054" s="1359"/>
      <c r="BT1054" s="361"/>
      <c r="BU1054" s="362"/>
      <c r="BV1054" s="310">
        <f>W1054-KN_CT312</f>
        <v>0</v>
      </c>
      <c r="BW1054" s="310">
        <f>AD1054-KT_CT312</f>
        <v>0</v>
      </c>
      <c r="BX1054" s="291">
        <f t="shared" si="65"/>
        <v>0</v>
      </c>
      <c r="BY1054" s="344"/>
      <c r="BZ1054" s="347"/>
      <c r="CA1054" s="347"/>
    </row>
    <row r="1055" spans="1:84" ht="15" hidden="1" customHeight="1" thickTop="1" x14ac:dyDescent="0.25">
      <c r="A1055" s="313"/>
      <c r="B1055" s="340"/>
      <c r="C1055" s="342"/>
      <c r="D1055" s="342"/>
      <c r="E1055" s="342"/>
      <c r="F1055" s="342"/>
      <c r="G1055" s="342"/>
      <c r="H1055" s="342"/>
      <c r="I1055" s="342"/>
      <c r="J1055" s="342"/>
      <c r="K1055" s="342"/>
      <c r="L1055" s="342"/>
      <c r="M1055" s="342"/>
      <c r="N1055" s="342"/>
      <c r="O1055" s="342"/>
      <c r="P1055" s="342"/>
      <c r="Q1055" s="342"/>
      <c r="R1055" s="342"/>
      <c r="S1055" s="342"/>
      <c r="T1055" s="342"/>
      <c r="U1055" s="342"/>
      <c r="V1055" s="342"/>
      <c r="W1055" s="1318"/>
      <c r="X1055" s="1318"/>
      <c r="Y1055" s="1318"/>
      <c r="Z1055" s="1318"/>
      <c r="AA1055" s="1318"/>
      <c r="AB1055" s="1318"/>
      <c r="AC1055" s="355"/>
      <c r="AD1055" s="1318"/>
      <c r="AE1055" s="1318"/>
      <c r="AF1055" s="1318"/>
      <c r="AG1055" s="1318"/>
      <c r="AH1055" s="1318"/>
      <c r="AI1055" s="1318"/>
      <c r="AJ1055" s="344"/>
      <c r="AK1055" s="345"/>
      <c r="AL1055" s="340"/>
      <c r="AM1055" s="342"/>
      <c r="AN1055" s="342"/>
      <c r="AO1055" s="342"/>
      <c r="AP1055" s="342"/>
      <c r="AQ1055" s="342"/>
      <c r="AR1055" s="342"/>
      <c r="AS1055" s="342"/>
      <c r="AT1055" s="342"/>
      <c r="AU1055" s="342"/>
      <c r="AV1055" s="342"/>
      <c r="AW1055" s="342"/>
      <c r="AX1055" s="342"/>
      <c r="AY1055" s="342"/>
      <c r="AZ1055" s="342"/>
      <c r="BA1055" s="342"/>
      <c r="BB1055" s="342"/>
      <c r="BC1055" s="342"/>
      <c r="BD1055" s="342"/>
      <c r="BE1055" s="342"/>
      <c r="BF1055" s="342"/>
      <c r="BG1055" s="1318"/>
      <c r="BH1055" s="1318"/>
      <c r="BI1055" s="1318"/>
      <c r="BJ1055" s="1318"/>
      <c r="BK1055" s="1318"/>
      <c r="BL1055" s="1318"/>
      <c r="BM1055" s="355"/>
      <c r="BN1055" s="1318"/>
      <c r="BO1055" s="1318"/>
      <c r="BP1055" s="1318"/>
      <c r="BQ1055" s="1318"/>
      <c r="BR1055" s="1318"/>
      <c r="BS1055" s="1318"/>
      <c r="BT1055" s="356"/>
      <c r="BU1055" s="357"/>
      <c r="BV1055" s="310"/>
      <c r="BW1055" s="310"/>
      <c r="BX1055" s="291">
        <f t="shared" si="65"/>
        <v>0</v>
      </c>
      <c r="BY1055" s="344"/>
      <c r="BZ1055" s="347"/>
      <c r="CA1055" s="347"/>
    </row>
    <row r="1056" spans="1:84" ht="15" hidden="1" customHeight="1" x14ac:dyDescent="0.25">
      <c r="A1056" s="313"/>
      <c r="B1056" s="340"/>
      <c r="C1056" s="471" t="s">
        <v>850</v>
      </c>
      <c r="D1056" s="341"/>
      <c r="E1056" s="341"/>
      <c r="F1056" s="341"/>
      <c r="G1056" s="341"/>
      <c r="H1056" s="341"/>
      <c r="I1056" s="341"/>
      <c r="J1056" s="341"/>
      <c r="K1056" s="341"/>
      <c r="L1056" s="341"/>
      <c r="M1056" s="341"/>
      <c r="N1056" s="341"/>
      <c r="O1056" s="341"/>
      <c r="P1056" s="341"/>
      <c r="Q1056" s="341"/>
      <c r="R1056" s="341"/>
      <c r="S1056" s="341"/>
      <c r="T1056" s="341"/>
      <c r="U1056" s="341"/>
      <c r="V1056" s="341"/>
      <c r="W1056" s="1330"/>
      <c r="X1056" s="1330"/>
      <c r="Y1056" s="1330"/>
      <c r="Z1056" s="1330"/>
      <c r="AA1056" s="1330"/>
      <c r="AB1056" s="1330"/>
      <c r="AC1056" s="363"/>
      <c r="AD1056" s="1330"/>
      <c r="AE1056" s="1330"/>
      <c r="AF1056" s="1330"/>
      <c r="AG1056" s="1330"/>
      <c r="AH1056" s="1330"/>
      <c r="AI1056" s="1330"/>
      <c r="AJ1056" s="344"/>
      <c r="AK1056" s="345"/>
      <c r="AL1056" s="340"/>
      <c r="AM1056" s="471"/>
      <c r="AN1056" s="341"/>
      <c r="AO1056" s="341"/>
      <c r="AP1056" s="341"/>
      <c r="AQ1056" s="341"/>
      <c r="AR1056" s="341"/>
      <c r="AS1056" s="341"/>
      <c r="AT1056" s="341"/>
      <c r="AU1056" s="341"/>
      <c r="AV1056" s="341"/>
      <c r="AW1056" s="341"/>
      <c r="AX1056" s="341"/>
      <c r="AY1056" s="341"/>
      <c r="AZ1056" s="341"/>
      <c r="BA1056" s="341"/>
      <c r="BB1056" s="341"/>
      <c r="BC1056" s="341"/>
      <c r="BD1056" s="341"/>
      <c r="BE1056" s="341"/>
      <c r="BF1056" s="341"/>
      <c r="BG1056" s="1330"/>
      <c r="BH1056" s="1330"/>
      <c r="BI1056" s="1330"/>
      <c r="BJ1056" s="1330"/>
      <c r="BK1056" s="1330"/>
      <c r="BL1056" s="1330"/>
      <c r="BM1056" s="363"/>
      <c r="BN1056" s="1330"/>
      <c r="BO1056" s="1330"/>
      <c r="BP1056" s="1330"/>
      <c r="BQ1056" s="1330"/>
      <c r="BR1056" s="1330"/>
      <c r="BS1056" s="1330"/>
      <c r="BT1056" s="356"/>
      <c r="BU1056" s="357"/>
      <c r="BV1056" s="310"/>
      <c r="BW1056" s="310"/>
      <c r="BX1056" s="291">
        <f t="shared" si="65"/>
        <v>0</v>
      </c>
      <c r="BY1056" s="344"/>
      <c r="BZ1056" s="347"/>
      <c r="CA1056" s="347"/>
    </row>
    <row r="1057" spans="1:84" ht="15" hidden="1" customHeight="1" x14ac:dyDescent="0.25">
      <c r="A1057" s="313"/>
      <c r="B1057" s="340"/>
      <c r="C1057" s="354" t="s">
        <v>1099</v>
      </c>
      <c r="D1057" s="342"/>
      <c r="E1057" s="342"/>
      <c r="F1057" s="342"/>
      <c r="G1057" s="342"/>
      <c r="H1057" s="342"/>
      <c r="I1057" s="342"/>
      <c r="J1057" s="342"/>
      <c r="K1057" s="342"/>
      <c r="L1057" s="342"/>
      <c r="M1057" s="342"/>
      <c r="N1057" s="342"/>
      <c r="O1057" s="342"/>
      <c r="P1057" s="342"/>
      <c r="Q1057" s="342"/>
      <c r="R1057" s="342"/>
      <c r="S1057" s="342"/>
      <c r="T1057" s="342"/>
      <c r="U1057" s="342"/>
      <c r="V1057" s="342"/>
      <c r="W1057" s="1318"/>
      <c r="X1057" s="1318"/>
      <c r="Y1057" s="1318"/>
      <c r="Z1057" s="1318"/>
      <c r="AA1057" s="1318"/>
      <c r="AB1057" s="1318"/>
      <c r="AC1057" s="355"/>
      <c r="AD1057" s="1318"/>
      <c r="AE1057" s="1318"/>
      <c r="AF1057" s="1318"/>
      <c r="AG1057" s="1318"/>
      <c r="AH1057" s="1318"/>
      <c r="AI1057" s="1318"/>
      <c r="AJ1057" s="344"/>
      <c r="AK1057" s="345"/>
      <c r="AL1057" s="340"/>
      <c r="AM1057" s="354" t="s">
        <v>1190</v>
      </c>
      <c r="AN1057" s="342"/>
      <c r="AO1057" s="342"/>
      <c r="AP1057" s="342"/>
      <c r="AQ1057" s="342"/>
      <c r="AR1057" s="342"/>
      <c r="AS1057" s="342"/>
      <c r="AT1057" s="342"/>
      <c r="AU1057" s="342"/>
      <c r="AV1057" s="342"/>
      <c r="AW1057" s="342"/>
      <c r="AX1057" s="342"/>
      <c r="AY1057" s="342"/>
      <c r="AZ1057" s="342"/>
      <c r="BA1057" s="342"/>
      <c r="BB1057" s="342"/>
      <c r="BC1057" s="342"/>
      <c r="BD1057" s="342"/>
      <c r="BE1057" s="342"/>
      <c r="BF1057" s="342"/>
      <c r="BG1057" s="1318">
        <f>W1057</f>
        <v>0</v>
      </c>
      <c r="BH1057" s="1318"/>
      <c r="BI1057" s="1318"/>
      <c r="BJ1057" s="1318"/>
      <c r="BK1057" s="1318"/>
      <c r="BL1057" s="1318"/>
      <c r="BM1057" s="355"/>
      <c r="BN1057" s="1318">
        <f>AD1057</f>
        <v>0</v>
      </c>
      <c r="BO1057" s="1318"/>
      <c r="BP1057" s="1318"/>
      <c r="BQ1057" s="1318"/>
      <c r="BR1057" s="1318"/>
      <c r="BS1057" s="1318"/>
      <c r="BT1057" s="359"/>
      <c r="BU1057" s="346"/>
      <c r="BV1057" s="310"/>
      <c r="BW1057" s="310"/>
      <c r="BX1057" s="291">
        <f t="shared" si="65"/>
        <v>0</v>
      </c>
      <c r="BY1057" s="344"/>
      <c r="BZ1057" s="347"/>
      <c r="CA1057" s="347"/>
    </row>
    <row r="1058" spans="1:84" ht="15" hidden="1" customHeight="1" x14ac:dyDescent="0.25">
      <c r="A1058" s="313"/>
      <c r="B1058" s="340"/>
      <c r="C1058" s="434" t="s">
        <v>1196</v>
      </c>
      <c r="D1058" s="342"/>
      <c r="E1058" s="342"/>
      <c r="F1058" s="342"/>
      <c r="G1058" s="342"/>
      <c r="H1058" s="342"/>
      <c r="I1058" s="342"/>
      <c r="J1058" s="342"/>
      <c r="K1058" s="342"/>
      <c r="L1058" s="342"/>
      <c r="M1058" s="342"/>
      <c r="N1058" s="342"/>
      <c r="O1058" s="342"/>
      <c r="P1058" s="342"/>
      <c r="Q1058" s="342"/>
      <c r="R1058" s="342"/>
      <c r="S1058" s="342"/>
      <c r="T1058" s="342"/>
      <c r="U1058" s="342"/>
      <c r="V1058" s="342"/>
      <c r="W1058" s="1318"/>
      <c r="X1058" s="1318"/>
      <c r="Y1058" s="1318"/>
      <c r="Z1058" s="1318"/>
      <c r="AA1058" s="1318"/>
      <c r="AB1058" s="1318"/>
      <c r="AC1058" s="355"/>
      <c r="AD1058" s="1318"/>
      <c r="AE1058" s="1318"/>
      <c r="AF1058" s="1318"/>
      <c r="AG1058" s="1318"/>
      <c r="AH1058" s="1318"/>
      <c r="AI1058" s="1318"/>
      <c r="AJ1058" s="344"/>
      <c r="AK1058" s="345"/>
      <c r="AL1058" s="340"/>
      <c r="AM1058" s="434" t="s">
        <v>1197</v>
      </c>
      <c r="AN1058" s="342"/>
      <c r="AO1058" s="342"/>
      <c r="AP1058" s="342"/>
      <c r="AQ1058" s="342"/>
      <c r="AR1058" s="342"/>
      <c r="AS1058" s="342"/>
      <c r="AT1058" s="342"/>
      <c r="AU1058" s="342"/>
      <c r="AV1058" s="342"/>
      <c r="AW1058" s="342"/>
      <c r="AX1058" s="342"/>
      <c r="AY1058" s="342"/>
      <c r="AZ1058" s="342"/>
      <c r="BA1058" s="342"/>
      <c r="BB1058" s="342"/>
      <c r="BC1058" s="342"/>
      <c r="BD1058" s="342"/>
      <c r="BE1058" s="342"/>
      <c r="BF1058" s="342"/>
      <c r="BG1058" s="1318">
        <f>W1058</f>
        <v>0</v>
      </c>
      <c r="BH1058" s="1318"/>
      <c r="BI1058" s="1318"/>
      <c r="BJ1058" s="1318"/>
      <c r="BK1058" s="1318"/>
      <c r="BL1058" s="1318"/>
      <c r="BM1058" s="355"/>
      <c r="BN1058" s="1318">
        <f>AD1058</f>
        <v>0</v>
      </c>
      <c r="BO1058" s="1318"/>
      <c r="BP1058" s="1318"/>
      <c r="BQ1058" s="1318"/>
      <c r="BR1058" s="1318"/>
      <c r="BS1058" s="1318"/>
      <c r="BT1058" s="359"/>
      <c r="BU1058" s="346"/>
      <c r="BV1058" s="310"/>
      <c r="BW1058" s="310"/>
      <c r="BX1058" s="291">
        <f t="shared" si="65"/>
        <v>0</v>
      </c>
      <c r="BY1058" s="344"/>
      <c r="BZ1058" s="347"/>
      <c r="CA1058" s="347"/>
    </row>
    <row r="1059" spans="1:84" ht="15" hidden="1" customHeight="1" x14ac:dyDescent="0.25">
      <c r="A1059" s="313"/>
      <c r="B1059" s="340"/>
      <c r="C1059" s="342"/>
      <c r="D1059" s="342"/>
      <c r="E1059" s="342"/>
      <c r="F1059" s="342"/>
      <c r="G1059" s="342"/>
      <c r="H1059" s="342"/>
      <c r="I1059" s="342"/>
      <c r="J1059" s="342"/>
      <c r="K1059" s="342"/>
      <c r="L1059" s="342"/>
      <c r="M1059" s="342"/>
      <c r="N1059" s="342"/>
      <c r="O1059" s="342"/>
      <c r="P1059" s="342"/>
      <c r="Q1059" s="342"/>
      <c r="R1059" s="342"/>
      <c r="S1059" s="342"/>
      <c r="T1059" s="342"/>
      <c r="U1059" s="342"/>
      <c r="V1059" s="342"/>
      <c r="W1059" s="1318"/>
      <c r="X1059" s="1318"/>
      <c r="Y1059" s="1318"/>
      <c r="Z1059" s="1318"/>
      <c r="AA1059" s="1318"/>
      <c r="AB1059" s="1318"/>
      <c r="AC1059" s="355"/>
      <c r="AD1059" s="1318"/>
      <c r="AE1059" s="1318"/>
      <c r="AF1059" s="1318"/>
      <c r="AG1059" s="1318"/>
      <c r="AH1059" s="1318"/>
      <c r="AI1059" s="1318"/>
      <c r="AJ1059" s="344"/>
      <c r="AK1059" s="345"/>
      <c r="AL1059" s="340"/>
      <c r="AM1059" s="342"/>
      <c r="AN1059" s="342"/>
      <c r="AO1059" s="342"/>
      <c r="AP1059" s="342"/>
      <c r="AQ1059" s="342"/>
      <c r="AR1059" s="342"/>
      <c r="AS1059" s="342"/>
      <c r="AT1059" s="342"/>
      <c r="AU1059" s="342"/>
      <c r="AV1059" s="342"/>
      <c r="AW1059" s="342"/>
      <c r="AX1059" s="342"/>
      <c r="AY1059" s="342"/>
      <c r="AZ1059" s="342"/>
      <c r="BA1059" s="342"/>
      <c r="BB1059" s="342"/>
      <c r="BC1059" s="342"/>
      <c r="BD1059" s="342"/>
      <c r="BE1059" s="342"/>
      <c r="BF1059" s="342"/>
      <c r="BG1059" s="1318"/>
      <c r="BH1059" s="1318"/>
      <c r="BI1059" s="1318"/>
      <c r="BJ1059" s="1318"/>
      <c r="BK1059" s="1318"/>
      <c r="BL1059" s="1318"/>
      <c r="BM1059" s="355"/>
      <c r="BN1059" s="1318"/>
      <c r="BO1059" s="1318"/>
      <c r="BP1059" s="1318"/>
      <c r="BQ1059" s="1318"/>
      <c r="BR1059" s="1318"/>
      <c r="BS1059" s="1318"/>
      <c r="BT1059" s="359"/>
      <c r="BU1059" s="346"/>
      <c r="BV1059" s="310"/>
      <c r="BW1059" s="310"/>
      <c r="BX1059" s="291">
        <f t="shared" si="65"/>
        <v>0</v>
      </c>
      <c r="BY1059" s="344"/>
      <c r="BZ1059" s="347"/>
      <c r="CA1059" s="347"/>
    </row>
    <row r="1060" spans="1:84" ht="15" hidden="1" customHeight="1" thickBot="1" x14ac:dyDescent="0.3">
      <c r="A1060" s="313"/>
      <c r="B1060" s="340"/>
      <c r="C1060" s="360" t="s">
        <v>752</v>
      </c>
      <c r="D1060" s="340"/>
      <c r="E1060" s="340"/>
      <c r="F1060" s="340"/>
      <c r="G1060" s="340"/>
      <c r="H1060" s="340"/>
      <c r="I1060" s="340"/>
      <c r="J1060" s="340"/>
      <c r="K1060" s="340"/>
      <c r="L1060" s="340"/>
      <c r="M1060" s="340"/>
      <c r="N1060" s="340"/>
      <c r="O1060" s="340"/>
      <c r="P1060" s="340"/>
      <c r="Q1060" s="340"/>
      <c r="R1060" s="340"/>
      <c r="S1060" s="340"/>
      <c r="T1060" s="340"/>
      <c r="U1060" s="342"/>
      <c r="V1060" s="342"/>
      <c r="W1060" s="1359">
        <f>SUBTOTAL(109,W1056:AB1058)</f>
        <v>0</v>
      </c>
      <c r="X1060" s="1359"/>
      <c r="Y1060" s="1359"/>
      <c r="Z1060" s="1359"/>
      <c r="AA1060" s="1359"/>
      <c r="AB1060" s="1359"/>
      <c r="AC1060" s="355"/>
      <c r="AD1060" s="1359">
        <f>SUBTOTAL(109,AD1056:AI1058)</f>
        <v>0</v>
      </c>
      <c r="AE1060" s="1359"/>
      <c r="AF1060" s="1359"/>
      <c r="AG1060" s="1359"/>
      <c r="AH1060" s="1359"/>
      <c r="AI1060" s="1359"/>
      <c r="AJ1060" s="344"/>
      <c r="AK1060" s="345"/>
      <c r="AL1060" s="340"/>
      <c r="AM1060" s="360" t="s">
        <v>752</v>
      </c>
      <c r="AN1060" s="340"/>
      <c r="AO1060" s="340"/>
      <c r="AP1060" s="340"/>
      <c r="AQ1060" s="340"/>
      <c r="AR1060" s="340"/>
      <c r="AS1060" s="340"/>
      <c r="AT1060" s="340"/>
      <c r="AU1060" s="340"/>
      <c r="AV1060" s="340"/>
      <c r="AW1060" s="340"/>
      <c r="AX1060" s="340"/>
      <c r="AY1060" s="340"/>
      <c r="AZ1060" s="340"/>
      <c r="BA1060" s="340"/>
      <c r="BB1060" s="340"/>
      <c r="BC1060" s="340"/>
      <c r="BD1060" s="340"/>
      <c r="BE1060" s="342"/>
      <c r="BF1060" s="342"/>
      <c r="BG1060" s="1359">
        <f>SUBTOTAL(109,BG1045:BL1058)</f>
        <v>477990748</v>
      </c>
      <c r="BH1060" s="1359"/>
      <c r="BI1060" s="1359"/>
      <c r="BJ1060" s="1359"/>
      <c r="BK1060" s="1359"/>
      <c r="BL1060" s="1359"/>
      <c r="BM1060" s="355"/>
      <c r="BN1060" s="1359">
        <f>SUBTOTAL(109,BN1045:BS1058)</f>
        <v>531182479</v>
      </c>
      <c r="BO1060" s="1359"/>
      <c r="BP1060" s="1359"/>
      <c r="BQ1060" s="1359"/>
      <c r="BR1060" s="1359"/>
      <c r="BS1060" s="1359"/>
      <c r="BT1060" s="361"/>
      <c r="BU1060" s="362"/>
      <c r="BV1060" s="310">
        <f>W1060-KN_CT332</f>
        <v>0</v>
      </c>
      <c r="BW1060" s="310">
        <f>AD1060-KT_CT332</f>
        <v>0</v>
      </c>
      <c r="BX1060" s="291">
        <f t="shared" si="65"/>
        <v>-1009173227</v>
      </c>
      <c r="BY1060" s="344"/>
      <c r="BZ1060" s="347"/>
      <c r="CA1060" s="347"/>
    </row>
    <row r="1061" spans="1:84" ht="2.1" hidden="1" customHeight="1" thickTop="1" x14ac:dyDescent="0.25">
      <c r="A1061" s="313"/>
      <c r="B1061" s="454"/>
      <c r="C1061" s="392"/>
      <c r="D1061" s="392"/>
      <c r="E1061" s="392"/>
      <c r="F1061" s="392"/>
      <c r="G1061" s="392"/>
      <c r="H1061" s="392"/>
      <c r="I1061" s="392"/>
      <c r="J1061" s="392"/>
      <c r="K1061" s="392"/>
      <c r="L1061" s="392"/>
      <c r="M1061" s="392"/>
      <c r="N1061" s="392"/>
      <c r="O1061" s="392"/>
      <c r="P1061" s="392"/>
      <c r="Q1061" s="392"/>
      <c r="R1061" s="392"/>
      <c r="S1061" s="392"/>
      <c r="T1061" s="392"/>
      <c r="U1061" s="392"/>
      <c r="V1061" s="392"/>
      <c r="W1061" s="393"/>
      <c r="X1061" s="393"/>
      <c r="Y1061" s="393"/>
      <c r="Z1061" s="393"/>
      <c r="AA1061" s="393"/>
      <c r="AB1061" s="393"/>
      <c r="AC1061" s="343"/>
      <c r="AD1061" s="343"/>
      <c r="AE1061" s="343"/>
      <c r="AF1061" s="343"/>
      <c r="AG1061" s="343"/>
      <c r="AH1061" s="343"/>
      <c r="AI1061" s="343"/>
      <c r="AJ1061" s="344"/>
      <c r="AK1061" s="345"/>
      <c r="AL1061" s="340"/>
      <c r="AM1061" s="392"/>
      <c r="AN1061" s="392"/>
      <c r="AO1061" s="392"/>
      <c r="AP1061" s="392"/>
      <c r="AQ1061" s="392"/>
      <c r="AR1061" s="392"/>
      <c r="AS1061" s="392"/>
      <c r="AT1061" s="392"/>
      <c r="AU1061" s="392"/>
      <c r="AV1061" s="392"/>
      <c r="AW1061" s="392"/>
      <c r="AX1061" s="392"/>
      <c r="AY1061" s="392"/>
      <c r="AZ1061" s="392"/>
      <c r="BA1061" s="392"/>
      <c r="BB1061" s="392"/>
      <c r="BC1061" s="392"/>
      <c r="BD1061" s="392"/>
      <c r="BE1061" s="392"/>
      <c r="BF1061" s="392"/>
      <c r="BG1061" s="392"/>
      <c r="BH1061" s="392"/>
      <c r="BI1061" s="392"/>
      <c r="BJ1061" s="392"/>
      <c r="BK1061" s="392"/>
      <c r="BL1061" s="392"/>
      <c r="BM1061" s="342"/>
      <c r="BN1061" s="356"/>
      <c r="BO1061" s="356"/>
      <c r="BP1061" s="356"/>
      <c r="BQ1061" s="356"/>
      <c r="BR1061" s="356"/>
      <c r="BS1061" s="356"/>
      <c r="BT1061" s="356"/>
      <c r="BU1061" s="357"/>
      <c r="BV1061" s="310"/>
      <c r="BW1061" s="310"/>
      <c r="BX1061" s="291">
        <f t="shared" si="65"/>
        <v>0</v>
      </c>
      <c r="BY1061" s="344"/>
      <c r="BZ1061" s="347"/>
      <c r="CA1061" s="347"/>
    </row>
    <row r="1062" spans="1:84" ht="12.95" customHeight="1" thickTop="1" x14ac:dyDescent="0.25">
      <c r="A1062" s="313"/>
      <c r="B1062" s="340"/>
      <c r="C1062" s="392"/>
      <c r="D1062" s="392"/>
      <c r="E1062" s="392"/>
      <c r="F1062" s="392"/>
      <c r="G1062" s="392"/>
      <c r="H1062" s="392"/>
      <c r="I1062" s="392"/>
      <c r="J1062" s="392"/>
      <c r="K1062" s="392"/>
      <c r="L1062" s="392"/>
      <c r="M1062" s="392"/>
      <c r="N1062" s="392"/>
      <c r="O1062" s="392"/>
      <c r="P1062" s="392"/>
      <c r="Q1062" s="392"/>
      <c r="R1062" s="392"/>
      <c r="S1062" s="392"/>
      <c r="T1062" s="392"/>
      <c r="U1062" s="392"/>
      <c r="V1062" s="392"/>
      <c r="W1062" s="393"/>
      <c r="X1062" s="393"/>
      <c r="Y1062" s="393"/>
      <c r="Z1062" s="393"/>
      <c r="AA1062" s="393"/>
      <c r="AB1062" s="393"/>
      <c r="AC1062" s="343"/>
      <c r="AD1062" s="343"/>
      <c r="AE1062" s="343"/>
      <c r="AF1062" s="343"/>
      <c r="AG1062" s="343"/>
      <c r="AH1062" s="343"/>
      <c r="AI1062" s="343"/>
      <c r="AJ1062" s="344"/>
      <c r="AK1062" s="345"/>
      <c r="AL1062" s="340"/>
      <c r="AM1062" s="392"/>
      <c r="AN1062" s="392"/>
      <c r="AO1062" s="392"/>
      <c r="AP1062" s="392"/>
      <c r="AQ1062" s="392"/>
      <c r="AR1062" s="392"/>
      <c r="AS1062" s="392"/>
      <c r="AT1062" s="392"/>
      <c r="AU1062" s="392"/>
      <c r="AV1062" s="392"/>
      <c r="AW1062" s="392"/>
      <c r="AX1062" s="392"/>
      <c r="AY1062" s="392"/>
      <c r="AZ1062" s="392"/>
      <c r="BA1062" s="392"/>
      <c r="BB1062" s="392"/>
      <c r="BC1062" s="392"/>
      <c r="BD1062" s="392"/>
      <c r="BE1062" s="392"/>
      <c r="BF1062" s="392"/>
      <c r="BG1062" s="392"/>
      <c r="BH1062" s="392"/>
      <c r="BI1062" s="392"/>
      <c r="BJ1062" s="392"/>
      <c r="BK1062" s="392"/>
      <c r="BL1062" s="392"/>
      <c r="BM1062" s="342"/>
      <c r="BN1062" s="356"/>
      <c r="BO1062" s="356"/>
      <c r="BP1062" s="356"/>
      <c r="BQ1062" s="356"/>
      <c r="BR1062" s="356"/>
      <c r="BS1062" s="356"/>
      <c r="BT1062" s="356"/>
      <c r="BU1062" s="357"/>
      <c r="BV1062" s="310"/>
      <c r="BW1062" s="310"/>
      <c r="BX1062" s="291">
        <f t="shared" si="65"/>
        <v>0</v>
      </c>
      <c r="BY1062" s="344"/>
      <c r="BZ1062" s="347"/>
      <c r="CA1062" s="347"/>
    </row>
    <row r="1063" spans="1:84" ht="15" customHeight="1" x14ac:dyDescent="0.25">
      <c r="A1063" s="313">
        <v>18</v>
      </c>
      <c r="B1063" s="340" t="s">
        <v>345</v>
      </c>
      <c r="C1063" s="471" t="s">
        <v>1198</v>
      </c>
      <c r="D1063" s="392"/>
      <c r="E1063" s="392"/>
      <c r="F1063" s="392"/>
      <c r="G1063" s="392"/>
      <c r="H1063" s="392"/>
      <c r="I1063" s="392"/>
      <c r="J1063" s="392"/>
      <c r="K1063" s="392"/>
      <c r="L1063" s="392"/>
      <c r="M1063" s="392"/>
      <c r="N1063" s="392"/>
      <c r="O1063" s="392"/>
      <c r="P1063" s="392"/>
      <c r="Q1063" s="392"/>
      <c r="R1063" s="392"/>
      <c r="S1063" s="392"/>
      <c r="T1063" s="392"/>
      <c r="U1063" s="392"/>
      <c r="V1063" s="392"/>
      <c r="W1063" s="393"/>
      <c r="X1063" s="393"/>
      <c r="Y1063" s="393"/>
      <c r="Z1063" s="393"/>
      <c r="AA1063" s="393"/>
      <c r="AB1063" s="393"/>
      <c r="AC1063" s="343"/>
      <c r="AD1063" s="343"/>
      <c r="AE1063" s="343"/>
      <c r="AF1063" s="343"/>
      <c r="AG1063" s="343"/>
      <c r="AH1063" s="343"/>
      <c r="AI1063" s="343"/>
      <c r="AJ1063" s="344"/>
      <c r="AK1063" s="345">
        <f>A1063</f>
        <v>18</v>
      </c>
      <c r="AL1063" s="340" t="s">
        <v>345</v>
      </c>
      <c r="AM1063" s="471" t="s">
        <v>1199</v>
      </c>
      <c r="AN1063" s="392"/>
      <c r="AO1063" s="392"/>
      <c r="AP1063" s="392"/>
      <c r="AQ1063" s="392"/>
      <c r="AR1063" s="392"/>
      <c r="AS1063" s="392"/>
      <c r="AT1063" s="392"/>
      <c r="AU1063" s="392"/>
      <c r="AV1063" s="392"/>
      <c r="AW1063" s="392"/>
      <c r="AX1063" s="392"/>
      <c r="AY1063" s="392"/>
      <c r="AZ1063" s="392"/>
      <c r="BA1063" s="392"/>
      <c r="BB1063" s="392"/>
      <c r="BC1063" s="392"/>
      <c r="BD1063" s="392"/>
      <c r="BE1063" s="392"/>
      <c r="BF1063" s="392"/>
      <c r="BG1063" s="392"/>
      <c r="BH1063" s="392"/>
      <c r="BI1063" s="392"/>
      <c r="BJ1063" s="392"/>
      <c r="BK1063" s="392"/>
      <c r="BL1063" s="392"/>
      <c r="BM1063" s="342"/>
      <c r="BN1063" s="356"/>
      <c r="BO1063" s="356"/>
      <c r="BP1063" s="356"/>
      <c r="BQ1063" s="356"/>
      <c r="BR1063" s="356"/>
      <c r="BS1063" s="356"/>
      <c r="BT1063" s="356"/>
      <c r="BU1063" s="346">
        <f>SUBTOTAL(103,A1063)</f>
        <v>1</v>
      </c>
      <c r="BV1063" s="310"/>
      <c r="BW1063" s="310"/>
      <c r="BX1063" s="291">
        <f t="shared" ref="BX1063:BX1133" si="76">IF(ISNONTEXT($C1063),0,SUM(D1063:AI1063)-SUM(AN1063:BS1063))</f>
        <v>0</v>
      </c>
      <c r="BY1063" s="344"/>
      <c r="BZ1063" s="347"/>
      <c r="CA1063" s="347" t="s">
        <v>1200</v>
      </c>
      <c r="CB1063" s="348" t="s">
        <v>1201</v>
      </c>
      <c r="CC1063" s="347" t="s">
        <v>1200</v>
      </c>
      <c r="CD1063" s="348" t="s">
        <v>1201</v>
      </c>
      <c r="CE1063" s="348" t="s">
        <v>1202</v>
      </c>
    </row>
    <row r="1064" spans="1:84" ht="14.1" customHeight="1" x14ac:dyDescent="0.25">
      <c r="A1064" s="313"/>
      <c r="B1064" s="340"/>
      <c r="C1064" s="471"/>
      <c r="D1064" s="392"/>
      <c r="E1064" s="392"/>
      <c r="F1064" s="392"/>
      <c r="G1064" s="392"/>
      <c r="H1064" s="392"/>
      <c r="I1064" s="392"/>
      <c r="J1064" s="392"/>
      <c r="K1064" s="392"/>
      <c r="L1064" s="392"/>
      <c r="M1064" s="392"/>
      <c r="N1064" s="392"/>
      <c r="O1064" s="392"/>
      <c r="P1064" s="392"/>
      <c r="Q1064" s="392"/>
      <c r="R1064" s="392"/>
      <c r="S1064" s="392"/>
      <c r="T1064" s="392"/>
      <c r="U1064" s="392"/>
      <c r="V1064" s="392"/>
      <c r="W1064" s="393"/>
      <c r="X1064" s="393"/>
      <c r="Y1064" s="393"/>
      <c r="Z1064" s="393"/>
      <c r="AA1064" s="393"/>
      <c r="AB1064" s="393"/>
      <c r="AC1064" s="343"/>
      <c r="AD1064" s="343"/>
      <c r="AE1064" s="343"/>
      <c r="AF1064" s="343"/>
      <c r="AG1064" s="343"/>
      <c r="AH1064" s="343"/>
      <c r="AI1064" s="343"/>
      <c r="AJ1064" s="344"/>
      <c r="AK1064" s="345"/>
      <c r="AL1064" s="340"/>
      <c r="AM1064" s="471"/>
      <c r="AN1064" s="392"/>
      <c r="AO1064" s="392"/>
      <c r="AP1064" s="392"/>
      <c r="AQ1064" s="392"/>
      <c r="AR1064" s="392"/>
      <c r="AS1064" s="392"/>
      <c r="AT1064" s="392"/>
      <c r="AU1064" s="392"/>
      <c r="AV1064" s="392"/>
      <c r="AW1064" s="392"/>
      <c r="AX1064" s="392"/>
      <c r="AY1064" s="392"/>
      <c r="AZ1064" s="392"/>
      <c r="BA1064" s="392"/>
      <c r="BB1064" s="392"/>
      <c r="BC1064" s="392"/>
      <c r="BD1064" s="392"/>
      <c r="BE1064" s="392"/>
      <c r="BF1064" s="392"/>
      <c r="BG1064" s="392"/>
      <c r="BH1064" s="392"/>
      <c r="BI1064" s="392"/>
      <c r="BJ1064" s="392"/>
      <c r="BK1064" s="392"/>
      <c r="BL1064" s="392"/>
      <c r="BM1064" s="342"/>
      <c r="BN1064" s="356"/>
      <c r="BO1064" s="356"/>
      <c r="BP1064" s="356"/>
      <c r="BQ1064" s="356"/>
      <c r="BR1064" s="356"/>
      <c r="BS1064" s="356"/>
      <c r="BT1064" s="356"/>
      <c r="BU1064" s="346"/>
      <c r="BV1064" s="310"/>
      <c r="BW1064" s="310"/>
      <c r="BX1064" s="291"/>
      <c r="BY1064" s="344"/>
      <c r="BZ1064" s="347"/>
      <c r="CA1064" s="347"/>
      <c r="CC1064" s="347"/>
    </row>
    <row r="1065" spans="1:84" ht="27.95" customHeight="1" x14ac:dyDescent="0.25">
      <c r="A1065" s="313"/>
      <c r="B1065" s="340"/>
      <c r="C1065" s="399"/>
      <c r="D1065" s="399"/>
      <c r="E1065" s="399"/>
      <c r="F1065" s="399"/>
      <c r="G1065" s="399"/>
      <c r="H1065" s="399"/>
      <c r="I1065" s="399"/>
      <c r="J1065" s="399"/>
      <c r="K1065" s="399"/>
      <c r="L1065" s="378"/>
      <c r="M1065" s="1327" t="s">
        <v>1203</v>
      </c>
      <c r="N1065" s="1327"/>
      <c r="O1065" s="1327"/>
      <c r="P1065" s="1327"/>
      <c r="Q1065" s="1327"/>
      <c r="R1065" s="371"/>
      <c r="S1065" s="1324" t="s">
        <v>1204</v>
      </c>
      <c r="T1065" s="1324"/>
      <c r="U1065" s="1324"/>
      <c r="V1065" s="1324"/>
      <c r="W1065" s="1324"/>
      <c r="X1065" s="371"/>
      <c r="Y1065" s="1324" t="s">
        <v>1205</v>
      </c>
      <c r="Z1065" s="1324"/>
      <c r="AA1065" s="1324"/>
      <c r="AB1065" s="1324"/>
      <c r="AC1065" s="1324"/>
      <c r="AD1065" s="372"/>
      <c r="AE1065" s="1324" t="s">
        <v>1206</v>
      </c>
      <c r="AF1065" s="1324"/>
      <c r="AG1065" s="1324"/>
      <c r="AH1065" s="1324"/>
      <c r="AI1065" s="1324"/>
      <c r="AJ1065" s="344"/>
      <c r="AK1065" s="345">
        <f>A1065</f>
        <v>0</v>
      </c>
      <c r="AL1065" s="340"/>
      <c r="AM1065" s="392"/>
      <c r="AN1065" s="392"/>
      <c r="AO1065" s="392"/>
      <c r="AP1065" s="392"/>
      <c r="AQ1065" s="392"/>
      <c r="AR1065" s="392"/>
      <c r="AS1065" s="392"/>
      <c r="AT1065" s="392"/>
      <c r="AU1065" s="392"/>
      <c r="AV1065" s="392"/>
      <c r="AW1065" s="392"/>
      <c r="AX1065" s="392"/>
      <c r="AY1065" s="392"/>
      <c r="AZ1065" s="392"/>
      <c r="BA1065" s="392"/>
      <c r="BB1065" s="392"/>
      <c r="BC1065" s="392"/>
      <c r="BD1065" s="392"/>
      <c r="BE1065" s="392"/>
      <c r="BF1065" s="392"/>
      <c r="BG1065" s="1325" t="str">
        <f>Ky_Nay1_E</f>
        <v>31/12/2017</v>
      </c>
      <c r="BH1065" s="1325"/>
      <c r="BI1065" s="1325"/>
      <c r="BJ1065" s="1325"/>
      <c r="BK1065" s="1325"/>
      <c r="BL1065" s="1325"/>
      <c r="BM1065" s="351"/>
      <c r="BN1065" s="1325" t="str">
        <f>Ky_Truoc1_E</f>
        <v>01/01/2017</v>
      </c>
      <c r="BO1065" s="1325"/>
      <c r="BP1065" s="1325"/>
      <c r="BQ1065" s="1325"/>
      <c r="BR1065" s="1325"/>
      <c r="BS1065" s="1325"/>
      <c r="BT1065" s="352"/>
      <c r="BU1065" s="353"/>
      <c r="BV1065" s="310"/>
      <c r="BW1065" s="310"/>
      <c r="BX1065" s="291">
        <f t="shared" si="76"/>
        <v>0</v>
      </c>
      <c r="BY1065" s="344"/>
      <c r="BZ1065" s="347"/>
      <c r="CA1065" s="279" t="s">
        <v>343</v>
      </c>
      <c r="CB1065" s="279" t="s">
        <v>343</v>
      </c>
      <c r="CC1065" s="280" t="s">
        <v>344</v>
      </c>
      <c r="CD1065" s="280" t="s">
        <v>344</v>
      </c>
      <c r="CE1065" s="279" t="s">
        <v>343</v>
      </c>
      <c r="CF1065" s="280" t="s">
        <v>344</v>
      </c>
    </row>
    <row r="1066" spans="1:84" ht="15" customHeight="1" x14ac:dyDescent="0.25">
      <c r="A1066" s="313"/>
      <c r="B1066" s="340"/>
      <c r="C1066" s="392"/>
      <c r="D1066" s="392"/>
      <c r="E1066" s="392"/>
      <c r="F1066" s="392"/>
      <c r="G1066" s="392"/>
      <c r="H1066" s="392"/>
      <c r="I1066" s="392"/>
      <c r="J1066" s="392"/>
      <c r="K1066" s="392"/>
      <c r="L1066" s="378"/>
      <c r="M1066" s="1401" t="str">
        <f>Don_Vi_Tinh_V</f>
        <v>VND</v>
      </c>
      <c r="N1066" s="1401"/>
      <c r="O1066" s="1401"/>
      <c r="P1066" s="1401"/>
      <c r="Q1066" s="1401"/>
      <c r="R1066" s="371"/>
      <c r="S1066" s="1401" t="str">
        <f>Don_Vi_Tinh_V</f>
        <v>VND</v>
      </c>
      <c r="T1066" s="1401"/>
      <c r="U1066" s="1401"/>
      <c r="V1066" s="1401"/>
      <c r="W1066" s="1401"/>
      <c r="X1066" s="371"/>
      <c r="Y1066" s="1401" t="str">
        <f>Don_Vi_Tinh_V</f>
        <v>VND</v>
      </c>
      <c r="Z1066" s="1401"/>
      <c r="AA1066" s="1401"/>
      <c r="AB1066" s="1401"/>
      <c r="AC1066" s="1401"/>
      <c r="AD1066" s="372"/>
      <c r="AE1066" s="1401" t="str">
        <f>Don_Vi_Tinh_V</f>
        <v>VND</v>
      </c>
      <c r="AF1066" s="1401"/>
      <c r="AG1066" s="1401"/>
      <c r="AH1066" s="1401"/>
      <c r="AI1066" s="1401"/>
      <c r="AJ1066" s="344"/>
      <c r="AK1066" s="345">
        <f>A1066</f>
        <v>0</v>
      </c>
      <c r="AL1066" s="340"/>
      <c r="AM1066" s="392"/>
      <c r="AN1066" s="392"/>
      <c r="AO1066" s="392"/>
      <c r="AP1066" s="392"/>
      <c r="AQ1066" s="392"/>
      <c r="AR1066" s="392"/>
      <c r="AS1066" s="392"/>
      <c r="AT1066" s="392"/>
      <c r="AU1066" s="392"/>
      <c r="AV1066" s="392"/>
      <c r="AW1066" s="392"/>
      <c r="AX1066" s="392"/>
      <c r="AY1066" s="392"/>
      <c r="AZ1066" s="392"/>
      <c r="BA1066" s="392"/>
      <c r="BB1066" s="392"/>
      <c r="BC1066" s="392"/>
      <c r="BD1066" s="392"/>
      <c r="BE1066" s="392"/>
      <c r="BF1066" s="392"/>
      <c r="BG1066" s="1327" t="str">
        <f>Don_Vi_Tinh_E</f>
        <v>VND</v>
      </c>
      <c r="BH1066" s="1327"/>
      <c r="BI1066" s="1327"/>
      <c r="BJ1066" s="1327"/>
      <c r="BK1066" s="1327"/>
      <c r="BL1066" s="1327"/>
      <c r="BM1066" s="351"/>
      <c r="BN1066" s="1327" t="str">
        <f>Don_Vi_Tinh_E</f>
        <v>VND</v>
      </c>
      <c r="BO1066" s="1327"/>
      <c r="BP1066" s="1327"/>
      <c r="BQ1066" s="1327"/>
      <c r="BR1066" s="1327"/>
      <c r="BS1066" s="1327"/>
      <c r="BT1066" s="352"/>
      <c r="BU1066" s="353"/>
      <c r="BV1066" s="310"/>
      <c r="BW1066" s="310"/>
      <c r="BX1066" s="291">
        <f t="shared" si="76"/>
        <v>0</v>
      </c>
      <c r="BY1066" s="344"/>
      <c r="BZ1066" s="347"/>
      <c r="CA1066" s="347"/>
    </row>
    <row r="1067" spans="1:84" ht="14.1" customHeight="1" x14ac:dyDescent="0.25">
      <c r="A1067" s="313"/>
      <c r="B1067" s="340"/>
      <c r="C1067" s="392"/>
      <c r="D1067" s="392"/>
      <c r="E1067" s="392"/>
      <c r="F1067" s="392"/>
      <c r="G1067" s="392"/>
      <c r="H1067" s="392"/>
      <c r="I1067" s="392"/>
      <c r="J1067" s="392"/>
      <c r="K1067" s="392"/>
      <c r="L1067" s="378"/>
      <c r="M1067" s="355"/>
      <c r="N1067" s="355"/>
      <c r="O1067" s="355"/>
      <c r="P1067" s="355"/>
      <c r="Q1067" s="355"/>
      <c r="R1067" s="373"/>
      <c r="S1067" s="355"/>
      <c r="T1067" s="355"/>
      <c r="U1067" s="355"/>
      <c r="V1067" s="355"/>
      <c r="W1067" s="355"/>
      <c r="X1067" s="355"/>
      <c r="Y1067" s="355"/>
      <c r="Z1067" s="355"/>
      <c r="AA1067" s="355"/>
      <c r="AB1067" s="355"/>
      <c r="AC1067" s="355"/>
      <c r="AD1067" s="355"/>
      <c r="AE1067" s="355"/>
      <c r="AF1067" s="355"/>
      <c r="AG1067" s="355"/>
      <c r="AH1067" s="355"/>
      <c r="AI1067" s="355"/>
      <c r="AJ1067" s="344"/>
      <c r="AK1067" s="345"/>
      <c r="AL1067" s="340"/>
      <c r="AM1067" s="392"/>
      <c r="AN1067" s="392"/>
      <c r="AO1067" s="392"/>
      <c r="AP1067" s="392"/>
      <c r="AQ1067" s="392"/>
      <c r="AR1067" s="392"/>
      <c r="AS1067" s="392"/>
      <c r="AT1067" s="392"/>
      <c r="AU1067" s="392"/>
      <c r="AV1067" s="392"/>
      <c r="AW1067" s="392"/>
      <c r="AX1067" s="392"/>
      <c r="AY1067" s="392"/>
      <c r="AZ1067" s="392"/>
      <c r="BA1067" s="392"/>
      <c r="BB1067" s="392"/>
      <c r="BC1067" s="392"/>
      <c r="BD1067" s="392"/>
      <c r="BE1067" s="392"/>
      <c r="BF1067" s="392"/>
      <c r="BG1067" s="599"/>
      <c r="BH1067" s="599"/>
      <c r="BI1067" s="599"/>
      <c r="BJ1067" s="599"/>
      <c r="BK1067" s="599"/>
      <c r="BL1067" s="599"/>
      <c r="BM1067" s="600"/>
      <c r="BN1067" s="599"/>
      <c r="BO1067" s="599"/>
      <c r="BP1067" s="599"/>
      <c r="BQ1067" s="599"/>
      <c r="BR1067" s="599"/>
      <c r="BS1067" s="599"/>
      <c r="BT1067" s="352"/>
      <c r="BU1067" s="353"/>
      <c r="BV1067" s="310"/>
      <c r="BW1067" s="310"/>
      <c r="BX1067" s="291">
        <f t="shared" si="76"/>
        <v>0</v>
      </c>
      <c r="BY1067" s="344"/>
      <c r="BZ1067" s="347"/>
      <c r="CA1067" s="347"/>
    </row>
    <row r="1068" spans="1:84" ht="15" customHeight="1" x14ac:dyDescent="0.25">
      <c r="A1068" s="313"/>
      <c r="B1068" s="340"/>
      <c r="C1068" s="354" t="s">
        <v>1207</v>
      </c>
      <c r="D1068" s="340"/>
      <c r="E1068" s="340"/>
      <c r="F1068" s="340"/>
      <c r="G1068" s="340"/>
      <c r="H1068" s="340"/>
      <c r="I1068" s="340"/>
      <c r="J1068" s="340"/>
      <c r="K1068" s="340"/>
      <c r="L1068" s="381"/>
      <c r="M1068" s="1474">
        <f>KT_33311b+KT_33312b-KT_33311a-KT_33312a</f>
        <v>158106980</v>
      </c>
      <c r="N1068" s="1474"/>
      <c r="O1068" s="1474"/>
      <c r="P1068" s="1474"/>
      <c r="Q1068" s="1474"/>
      <c r="R1068" s="575"/>
      <c r="S1068" s="1474">
        <f>CA1068+CC1068+CE1068+CF1068-138346565-2*1100000</f>
        <v>2164771096</v>
      </c>
      <c r="T1068" s="1474"/>
      <c r="U1068" s="1474"/>
      <c r="V1068" s="1474"/>
      <c r="W1068" s="1474"/>
      <c r="X1068" s="355"/>
      <c r="Y1068" s="1474">
        <f>CB1068+CD1068+CE1068+CF1068</f>
        <v>1158845494</v>
      </c>
      <c r="Z1068" s="1474"/>
      <c r="AA1068" s="1474"/>
      <c r="AB1068" s="1474"/>
      <c r="AC1068" s="1474"/>
      <c r="AD1068" s="355"/>
      <c r="AE1068" s="1474">
        <f>KN_33311b+KN_33312b-KN_33311a-KN_33312a</f>
        <v>1164032582</v>
      </c>
      <c r="AF1068" s="1474"/>
      <c r="AG1068" s="1474"/>
      <c r="AH1068" s="1474"/>
      <c r="AI1068" s="1474"/>
      <c r="AJ1068" s="344"/>
      <c r="AK1068" s="345"/>
      <c r="AL1068" s="340"/>
      <c r="AM1068" s="392"/>
      <c r="AN1068" s="392"/>
      <c r="AO1068" s="392"/>
      <c r="AP1068" s="392"/>
      <c r="AQ1068" s="392"/>
      <c r="AR1068" s="392"/>
      <c r="AS1068" s="392"/>
      <c r="AT1068" s="392"/>
      <c r="AU1068" s="392"/>
      <c r="AV1068" s="392"/>
      <c r="AW1068" s="392"/>
      <c r="AX1068" s="392"/>
      <c r="AY1068" s="392"/>
      <c r="AZ1068" s="392"/>
      <c r="BA1068" s="392"/>
      <c r="BB1068" s="392"/>
      <c r="BC1068" s="392"/>
      <c r="BD1068" s="392"/>
      <c r="BE1068" s="392"/>
      <c r="BF1068" s="392"/>
      <c r="BG1068" s="599"/>
      <c r="BH1068" s="599"/>
      <c r="BI1068" s="599"/>
      <c r="BJ1068" s="599"/>
      <c r="BK1068" s="599"/>
      <c r="BL1068" s="599"/>
      <c r="BM1068" s="600"/>
      <c r="BN1068" s="599"/>
      <c r="BO1068" s="599"/>
      <c r="BP1068" s="599"/>
      <c r="BQ1068" s="599"/>
      <c r="BR1068" s="599"/>
      <c r="BS1068" s="599"/>
      <c r="BT1068" s="352"/>
      <c r="BU1068" s="353"/>
      <c r="BV1068" s="310">
        <f>M1068+S1068-Y1068-AE1068</f>
        <v>0</v>
      </c>
      <c r="BW1068" s="310"/>
      <c r="BX1068" s="291">
        <f t="shared" si="76"/>
        <v>4645756152</v>
      </c>
      <c r="BY1068" s="344"/>
      <c r="BZ1068" s="347">
        <f t="shared" ref="BZ1068:BZ1075" si="77">SUM(CA1068:CB1068)</f>
        <v>5639202854</v>
      </c>
      <c r="CA1068" s="347">
        <v>3162979408</v>
      </c>
      <c r="CB1068" s="348">
        <v>2476223446</v>
      </c>
      <c r="CC1068" s="348">
        <v>2006448092</v>
      </c>
      <c r="CD1068" s="348">
        <v>1546731887</v>
      </c>
      <c r="CE1068" s="348">
        <f>-1845370198</f>
        <v>-1845370198</v>
      </c>
      <c r="CF1068" s="348">
        <v>-1018739641</v>
      </c>
    </row>
    <row r="1069" spans="1:84" ht="15" hidden="1" customHeight="1" x14ac:dyDescent="0.25">
      <c r="A1069" s="313"/>
      <c r="B1069" s="340"/>
      <c r="C1069" s="342" t="s">
        <v>1208</v>
      </c>
      <c r="D1069" s="342"/>
      <c r="E1069" s="342"/>
      <c r="F1069" s="342"/>
      <c r="G1069" s="342"/>
      <c r="H1069" s="342"/>
      <c r="I1069" s="342"/>
      <c r="J1069" s="342"/>
      <c r="K1069" s="342"/>
      <c r="L1069" s="381"/>
      <c r="M1069" s="1474">
        <f>KT_3332b-KT_3332a</f>
        <v>0</v>
      </c>
      <c r="N1069" s="1474"/>
      <c r="O1069" s="1474"/>
      <c r="P1069" s="1474"/>
      <c r="Q1069" s="1474"/>
      <c r="R1069" s="575"/>
      <c r="S1069" s="1474">
        <v>0</v>
      </c>
      <c r="T1069" s="1474"/>
      <c r="U1069" s="1474"/>
      <c r="V1069" s="1474"/>
      <c r="W1069" s="1474"/>
      <c r="X1069" s="355"/>
      <c r="Y1069" s="1474">
        <v>0</v>
      </c>
      <c r="Z1069" s="1474"/>
      <c r="AA1069" s="1474"/>
      <c r="AB1069" s="1474"/>
      <c r="AC1069" s="1474"/>
      <c r="AD1069" s="355"/>
      <c r="AE1069" s="1474">
        <f>KN_3332b-KN_3332a</f>
        <v>0</v>
      </c>
      <c r="AF1069" s="1474"/>
      <c r="AG1069" s="1474"/>
      <c r="AH1069" s="1474"/>
      <c r="AI1069" s="1474"/>
      <c r="AJ1069" s="344"/>
      <c r="AK1069" s="345"/>
      <c r="AL1069" s="340"/>
      <c r="AM1069" s="392"/>
      <c r="AN1069" s="392"/>
      <c r="AO1069" s="392"/>
      <c r="AP1069" s="392"/>
      <c r="AQ1069" s="392"/>
      <c r="AR1069" s="392"/>
      <c r="AS1069" s="392"/>
      <c r="AT1069" s="392"/>
      <c r="AU1069" s="392"/>
      <c r="AV1069" s="392"/>
      <c r="AW1069" s="392"/>
      <c r="AX1069" s="392"/>
      <c r="AY1069" s="392"/>
      <c r="AZ1069" s="392"/>
      <c r="BA1069" s="392"/>
      <c r="BB1069" s="392"/>
      <c r="BC1069" s="392"/>
      <c r="BD1069" s="392"/>
      <c r="BE1069" s="392"/>
      <c r="BF1069" s="392"/>
      <c r="BG1069" s="599"/>
      <c r="BH1069" s="599"/>
      <c r="BI1069" s="599"/>
      <c r="BJ1069" s="599"/>
      <c r="BK1069" s="599"/>
      <c r="BL1069" s="599"/>
      <c r="BM1069" s="600"/>
      <c r="BN1069" s="599"/>
      <c r="BO1069" s="599"/>
      <c r="BP1069" s="599"/>
      <c r="BQ1069" s="599"/>
      <c r="BR1069" s="599"/>
      <c r="BS1069" s="599"/>
      <c r="BT1069" s="352"/>
      <c r="BU1069" s="353"/>
      <c r="BV1069" s="310">
        <f t="shared" ref="BV1069:BV1076" si="78">M1069+S1069-Y1069-AE1069</f>
        <v>0</v>
      </c>
      <c r="BW1069" s="310"/>
      <c r="BX1069" s="291">
        <f t="shared" si="76"/>
        <v>0</v>
      </c>
      <c r="BY1069" s="344"/>
      <c r="BZ1069" s="347">
        <f t="shared" si="77"/>
        <v>0</v>
      </c>
      <c r="CA1069" s="347"/>
    </row>
    <row r="1070" spans="1:84" ht="15" hidden="1" customHeight="1" x14ac:dyDescent="0.25">
      <c r="A1070" s="313"/>
      <c r="B1070" s="340"/>
      <c r="C1070" s="342" t="s">
        <v>1209</v>
      </c>
      <c r="D1070" s="342"/>
      <c r="E1070" s="342"/>
      <c r="F1070" s="342"/>
      <c r="G1070" s="342"/>
      <c r="H1070" s="342"/>
      <c r="I1070" s="342"/>
      <c r="J1070" s="342"/>
      <c r="K1070" s="342"/>
      <c r="L1070" s="381"/>
      <c r="M1070" s="1474">
        <f>KT_3333b-KT_3333a</f>
        <v>0</v>
      </c>
      <c r="N1070" s="1474"/>
      <c r="O1070" s="1474"/>
      <c r="P1070" s="1474"/>
      <c r="Q1070" s="1474"/>
      <c r="R1070" s="575"/>
      <c r="S1070" s="1474">
        <v>0</v>
      </c>
      <c r="T1070" s="1474"/>
      <c r="U1070" s="1474"/>
      <c r="V1070" s="1474"/>
      <c r="W1070" s="1474"/>
      <c r="X1070" s="355"/>
      <c r="Y1070" s="1474">
        <v>0</v>
      </c>
      <c r="Z1070" s="1474"/>
      <c r="AA1070" s="1474"/>
      <c r="AB1070" s="1474"/>
      <c r="AC1070" s="1474"/>
      <c r="AD1070" s="355"/>
      <c r="AE1070" s="1474">
        <f>KN_3333b-KN_3333a</f>
        <v>0</v>
      </c>
      <c r="AF1070" s="1474"/>
      <c r="AG1070" s="1474"/>
      <c r="AH1070" s="1474"/>
      <c r="AI1070" s="1474"/>
      <c r="AJ1070" s="344"/>
      <c r="AK1070" s="345"/>
      <c r="AL1070" s="340"/>
      <c r="AM1070" s="392"/>
      <c r="AN1070" s="392"/>
      <c r="AO1070" s="392"/>
      <c r="AP1070" s="392"/>
      <c r="AQ1070" s="392"/>
      <c r="AR1070" s="392"/>
      <c r="AS1070" s="392"/>
      <c r="AT1070" s="392"/>
      <c r="AU1070" s="392"/>
      <c r="AV1070" s="392"/>
      <c r="AW1070" s="392"/>
      <c r="AX1070" s="392"/>
      <c r="AY1070" s="392"/>
      <c r="AZ1070" s="392"/>
      <c r="BA1070" s="392"/>
      <c r="BB1070" s="392"/>
      <c r="BC1070" s="392"/>
      <c r="BD1070" s="392"/>
      <c r="BE1070" s="392"/>
      <c r="BF1070" s="392"/>
      <c r="BG1070" s="599"/>
      <c r="BH1070" s="599"/>
      <c r="BI1070" s="599"/>
      <c r="BJ1070" s="599"/>
      <c r="BK1070" s="599"/>
      <c r="BL1070" s="599"/>
      <c r="BM1070" s="600"/>
      <c r="BN1070" s="599"/>
      <c r="BO1070" s="599"/>
      <c r="BP1070" s="599"/>
      <c r="BQ1070" s="599"/>
      <c r="BR1070" s="599"/>
      <c r="BS1070" s="599"/>
      <c r="BT1070" s="352"/>
      <c r="BU1070" s="353"/>
      <c r="BV1070" s="310">
        <f t="shared" si="78"/>
        <v>0</v>
      </c>
      <c r="BW1070" s="310"/>
      <c r="BX1070" s="291">
        <f t="shared" si="76"/>
        <v>0</v>
      </c>
      <c r="BY1070" s="344"/>
      <c r="BZ1070" s="347">
        <f t="shared" si="77"/>
        <v>0</v>
      </c>
      <c r="CA1070" s="347"/>
    </row>
    <row r="1071" spans="1:84" ht="15" customHeight="1" x14ac:dyDescent="0.25">
      <c r="A1071" s="313"/>
      <c r="B1071" s="340"/>
      <c r="C1071" s="342" t="s">
        <v>1210</v>
      </c>
      <c r="D1071" s="342"/>
      <c r="E1071" s="342"/>
      <c r="F1071" s="342"/>
      <c r="G1071" s="342"/>
      <c r="H1071" s="342"/>
      <c r="I1071" s="342"/>
      <c r="J1071" s="342"/>
      <c r="K1071" s="342"/>
      <c r="L1071" s="381"/>
      <c r="M1071" s="1474">
        <f>KT_3334b-KT_3334a</f>
        <v>74192816</v>
      </c>
      <c r="N1071" s="1474"/>
      <c r="O1071" s="1474"/>
      <c r="P1071" s="1474"/>
      <c r="Q1071" s="1474"/>
      <c r="R1071" s="575"/>
      <c r="S1071" s="1474">
        <f>[1]KQKD!$V$38</f>
        <v>623856628</v>
      </c>
      <c r="T1071" s="1474"/>
      <c r="U1071" s="1474"/>
      <c r="V1071" s="1474"/>
      <c r="W1071" s="1474"/>
      <c r="X1071" s="355"/>
      <c r="Y1071" s="1474">
        <f>CB1071</f>
        <v>252730366</v>
      </c>
      <c r="Z1071" s="1474"/>
      <c r="AA1071" s="1474"/>
      <c r="AB1071" s="1474"/>
      <c r="AC1071" s="1474"/>
      <c r="AD1071" s="355"/>
      <c r="AE1071" s="1474">
        <f>KN_3334b-KN_3334a</f>
        <v>445319078</v>
      </c>
      <c r="AF1071" s="1474"/>
      <c r="AG1071" s="1474"/>
      <c r="AH1071" s="1474"/>
      <c r="AI1071" s="1474"/>
      <c r="AJ1071" s="344"/>
      <c r="AK1071" s="345"/>
      <c r="AL1071" s="340"/>
      <c r="AM1071" s="392"/>
      <c r="AN1071" s="392"/>
      <c r="AO1071" s="392"/>
      <c r="AP1071" s="392"/>
      <c r="AQ1071" s="392"/>
      <c r="AR1071" s="392"/>
      <c r="AS1071" s="392"/>
      <c r="AT1071" s="392"/>
      <c r="AU1071" s="392"/>
      <c r="AV1071" s="392"/>
      <c r="AW1071" s="392"/>
      <c r="AX1071" s="392"/>
      <c r="AY1071" s="392"/>
      <c r="AZ1071" s="392"/>
      <c r="BA1071" s="392"/>
      <c r="BB1071" s="392"/>
      <c r="BC1071" s="392"/>
      <c r="BD1071" s="392"/>
      <c r="BE1071" s="392"/>
      <c r="BF1071" s="392"/>
      <c r="BG1071" s="599"/>
      <c r="BH1071" s="599"/>
      <c r="BI1071" s="599"/>
      <c r="BJ1071" s="599"/>
      <c r="BK1071" s="599"/>
      <c r="BL1071" s="599"/>
      <c r="BM1071" s="600"/>
      <c r="BN1071" s="599"/>
      <c r="BO1071" s="599"/>
      <c r="BP1071" s="599"/>
      <c r="BQ1071" s="599"/>
      <c r="BR1071" s="599"/>
      <c r="BS1071" s="599"/>
      <c r="BT1071" s="352"/>
      <c r="BU1071" s="353"/>
      <c r="BV1071" s="310">
        <f t="shared" si="78"/>
        <v>0</v>
      </c>
      <c r="BW1071" s="310"/>
      <c r="BX1071" s="291">
        <f t="shared" si="76"/>
        <v>1396098888</v>
      </c>
      <c r="BY1071" s="344"/>
      <c r="BZ1071" s="347">
        <f t="shared" si="77"/>
        <v>900086343</v>
      </c>
      <c r="CA1071" s="347">
        <v>647355977</v>
      </c>
      <c r="CB1071" s="348">
        <v>252730366</v>
      </c>
    </row>
    <row r="1072" spans="1:84" ht="15" customHeight="1" x14ac:dyDescent="0.25">
      <c r="A1072" s="313"/>
      <c r="B1072" s="340"/>
      <c r="C1072" s="342" t="s">
        <v>1211</v>
      </c>
      <c r="D1072" s="342"/>
      <c r="E1072" s="342"/>
      <c r="F1072" s="342"/>
      <c r="G1072" s="342"/>
      <c r="H1072" s="342"/>
      <c r="I1072" s="342"/>
      <c r="J1072" s="342"/>
      <c r="K1072" s="342"/>
      <c r="L1072" s="381"/>
      <c r="M1072" s="1474">
        <f>KT_3335b-KT_3335a</f>
        <v>37649138</v>
      </c>
      <c r="N1072" s="1474"/>
      <c r="O1072" s="1474"/>
      <c r="P1072" s="1474"/>
      <c r="Q1072" s="1474"/>
      <c r="R1072" s="575"/>
      <c r="S1072" s="1474">
        <f>CA1072+CC1072</f>
        <v>121420061</v>
      </c>
      <c r="T1072" s="1474"/>
      <c r="U1072" s="1474"/>
      <c r="V1072" s="1474"/>
      <c r="W1072" s="1474"/>
      <c r="X1072" s="355"/>
      <c r="Y1072" s="1474">
        <f>CB1072+CD1072</f>
        <v>159066498</v>
      </c>
      <c r="Z1072" s="1474"/>
      <c r="AA1072" s="1474"/>
      <c r="AB1072" s="1474"/>
      <c r="AC1072" s="1474"/>
      <c r="AD1072" s="355"/>
      <c r="AE1072" s="1474">
        <f>KN_3335b-KN_3335a</f>
        <v>2701</v>
      </c>
      <c r="AF1072" s="1474"/>
      <c r="AG1072" s="1474"/>
      <c r="AH1072" s="1474"/>
      <c r="AI1072" s="1474"/>
      <c r="AJ1072" s="344"/>
      <c r="AK1072" s="345"/>
      <c r="AL1072" s="340"/>
      <c r="AM1072" s="392"/>
      <c r="AN1072" s="392"/>
      <c r="AO1072" s="392"/>
      <c r="AP1072" s="392"/>
      <c r="AQ1072" s="392"/>
      <c r="AR1072" s="392"/>
      <c r="AS1072" s="392"/>
      <c r="AT1072" s="392"/>
      <c r="AU1072" s="392"/>
      <c r="AV1072" s="392"/>
      <c r="AW1072" s="392"/>
      <c r="AX1072" s="392"/>
      <c r="AY1072" s="392"/>
      <c r="AZ1072" s="392"/>
      <c r="BA1072" s="392"/>
      <c r="BB1072" s="392"/>
      <c r="BC1072" s="392"/>
      <c r="BD1072" s="392"/>
      <c r="BE1072" s="392"/>
      <c r="BF1072" s="392"/>
      <c r="BG1072" s="599"/>
      <c r="BH1072" s="599"/>
      <c r="BI1072" s="599"/>
      <c r="BJ1072" s="599"/>
      <c r="BK1072" s="599"/>
      <c r="BL1072" s="599"/>
      <c r="BM1072" s="600"/>
      <c r="BN1072" s="599"/>
      <c r="BO1072" s="599"/>
      <c r="BP1072" s="599"/>
      <c r="BQ1072" s="599"/>
      <c r="BR1072" s="599"/>
      <c r="BS1072" s="599"/>
      <c r="BT1072" s="352"/>
      <c r="BU1072" s="353"/>
      <c r="BV1072" s="310">
        <f t="shared" si="78"/>
        <v>0</v>
      </c>
      <c r="BW1072" s="310"/>
      <c r="BX1072" s="291">
        <f t="shared" si="76"/>
        <v>318138398</v>
      </c>
      <c r="BY1072" s="344"/>
      <c r="BZ1072" s="347">
        <f t="shared" si="77"/>
        <v>63417322</v>
      </c>
      <c r="CA1072" s="347">
        <v>31708661</v>
      </c>
      <c r="CB1072" s="347">
        <v>31708661</v>
      </c>
      <c r="CC1072" s="347">
        <v>89711400</v>
      </c>
      <c r="CD1072" s="347">
        <v>127357837</v>
      </c>
    </row>
    <row r="1073" spans="1:84" ht="15" hidden="1" customHeight="1" x14ac:dyDescent="0.25">
      <c r="A1073" s="313"/>
      <c r="B1073" s="340"/>
      <c r="C1073" s="342" t="s">
        <v>1212</v>
      </c>
      <c r="D1073" s="342"/>
      <c r="E1073" s="342"/>
      <c r="F1073" s="342"/>
      <c r="G1073" s="342"/>
      <c r="H1073" s="342"/>
      <c r="I1073" s="342"/>
      <c r="J1073" s="342"/>
      <c r="K1073" s="342"/>
      <c r="L1073" s="381"/>
      <c r="M1073" s="1474">
        <f>KT_3336b-KT_3336a</f>
        <v>0</v>
      </c>
      <c r="N1073" s="1474"/>
      <c r="O1073" s="1474"/>
      <c r="P1073" s="1474"/>
      <c r="Q1073" s="1474"/>
      <c r="R1073" s="575"/>
      <c r="S1073" s="1474">
        <v>0</v>
      </c>
      <c r="T1073" s="1474"/>
      <c r="U1073" s="1474"/>
      <c r="V1073" s="1474"/>
      <c r="W1073" s="1474"/>
      <c r="X1073" s="355"/>
      <c r="Y1073" s="1474">
        <v>0</v>
      </c>
      <c r="Z1073" s="1474"/>
      <c r="AA1073" s="1474"/>
      <c r="AB1073" s="1474"/>
      <c r="AC1073" s="1474"/>
      <c r="AD1073" s="355"/>
      <c r="AE1073" s="1474">
        <f>KT_3336b-KT_3336a</f>
        <v>0</v>
      </c>
      <c r="AF1073" s="1474"/>
      <c r="AG1073" s="1474"/>
      <c r="AH1073" s="1474"/>
      <c r="AI1073" s="1474"/>
      <c r="AJ1073" s="344"/>
      <c r="AK1073" s="345"/>
      <c r="AL1073" s="340"/>
      <c r="AM1073" s="392"/>
      <c r="AN1073" s="392"/>
      <c r="AO1073" s="392"/>
      <c r="AP1073" s="392"/>
      <c r="AQ1073" s="392"/>
      <c r="AR1073" s="392"/>
      <c r="AS1073" s="392"/>
      <c r="AT1073" s="392"/>
      <c r="AU1073" s="392"/>
      <c r="AV1073" s="392"/>
      <c r="AW1073" s="392"/>
      <c r="AX1073" s="392"/>
      <c r="AY1073" s="392"/>
      <c r="AZ1073" s="392"/>
      <c r="BA1073" s="392"/>
      <c r="BB1073" s="392"/>
      <c r="BC1073" s="392"/>
      <c r="BD1073" s="392"/>
      <c r="BE1073" s="392"/>
      <c r="BF1073" s="392"/>
      <c r="BG1073" s="599"/>
      <c r="BH1073" s="599"/>
      <c r="BI1073" s="599"/>
      <c r="BJ1073" s="599"/>
      <c r="BK1073" s="599"/>
      <c r="BL1073" s="599"/>
      <c r="BM1073" s="600"/>
      <c r="BN1073" s="599"/>
      <c r="BO1073" s="599"/>
      <c r="BP1073" s="599"/>
      <c r="BQ1073" s="599"/>
      <c r="BR1073" s="599"/>
      <c r="BS1073" s="599"/>
      <c r="BT1073" s="352"/>
      <c r="BU1073" s="353"/>
      <c r="BV1073" s="310">
        <f t="shared" si="78"/>
        <v>0</v>
      </c>
      <c r="BW1073" s="310"/>
      <c r="BX1073" s="291">
        <f t="shared" si="76"/>
        <v>0</v>
      </c>
      <c r="BY1073" s="344"/>
      <c r="BZ1073" s="347">
        <f t="shared" si="77"/>
        <v>0</v>
      </c>
      <c r="CA1073" s="347"/>
    </row>
    <row r="1074" spans="1:84" ht="15" customHeight="1" x14ac:dyDescent="0.25">
      <c r="A1074" s="313"/>
      <c r="B1074" s="340"/>
      <c r="C1074" s="342" t="s">
        <v>1213</v>
      </c>
      <c r="D1074" s="342"/>
      <c r="E1074" s="342"/>
      <c r="F1074" s="342"/>
      <c r="G1074" s="342"/>
      <c r="H1074" s="342"/>
      <c r="I1074" s="342"/>
      <c r="J1074" s="342"/>
      <c r="K1074" s="342"/>
      <c r="L1074" s="381"/>
      <c r="M1074" s="1474">
        <f>KT_3337b-KT_3337a</f>
        <v>0</v>
      </c>
      <c r="N1074" s="1474"/>
      <c r="O1074" s="1474"/>
      <c r="P1074" s="1474"/>
      <c r="Q1074" s="1474"/>
      <c r="R1074" s="575"/>
      <c r="S1074" s="1474">
        <f>CA1074+CC1074+[1]Dieu_chinh!L33-[1]Dieu_chinh!L31-[1]Dieu_chinh!L32</f>
        <v>1341385925</v>
      </c>
      <c r="T1074" s="1474"/>
      <c r="U1074" s="1474"/>
      <c r="V1074" s="1474"/>
      <c r="W1074" s="1474"/>
      <c r="X1074" s="355"/>
      <c r="Y1074" s="1474">
        <f>CB1074+CD1074</f>
        <v>1312896025</v>
      </c>
      <c r="Z1074" s="1474"/>
      <c r="AA1074" s="1474"/>
      <c r="AB1074" s="1474"/>
      <c r="AC1074" s="1474"/>
      <c r="AD1074" s="355"/>
      <c r="AE1074" s="1474">
        <f>KN_3337b-KN_3337a</f>
        <v>28489900</v>
      </c>
      <c r="AF1074" s="1474"/>
      <c r="AG1074" s="1474"/>
      <c r="AH1074" s="1474"/>
      <c r="AI1074" s="1474"/>
      <c r="AJ1074" s="344"/>
      <c r="AK1074" s="345"/>
      <c r="AL1074" s="340"/>
      <c r="AM1074" s="392"/>
      <c r="AN1074" s="392"/>
      <c r="AO1074" s="392"/>
      <c r="AP1074" s="392"/>
      <c r="AQ1074" s="392"/>
      <c r="AR1074" s="392"/>
      <c r="AS1074" s="392"/>
      <c r="AT1074" s="392"/>
      <c r="AU1074" s="392"/>
      <c r="AV1074" s="392"/>
      <c r="AW1074" s="392"/>
      <c r="AX1074" s="392"/>
      <c r="AY1074" s="392"/>
      <c r="AZ1074" s="392"/>
      <c r="BA1074" s="392"/>
      <c r="BB1074" s="392"/>
      <c r="BC1074" s="392"/>
      <c r="BD1074" s="392"/>
      <c r="BE1074" s="392"/>
      <c r="BF1074" s="392"/>
      <c r="BG1074" s="599"/>
      <c r="BH1074" s="599"/>
      <c r="BI1074" s="599"/>
      <c r="BJ1074" s="599"/>
      <c r="BK1074" s="599"/>
      <c r="BL1074" s="599"/>
      <c r="BM1074" s="600"/>
      <c r="BN1074" s="599"/>
      <c r="BO1074" s="599"/>
      <c r="BP1074" s="599"/>
      <c r="BQ1074" s="599"/>
      <c r="BR1074" s="599"/>
      <c r="BS1074" s="599"/>
      <c r="BT1074" s="352"/>
      <c r="BU1074" s="353"/>
      <c r="BV1074" s="310">
        <f t="shared" si="78"/>
        <v>0</v>
      </c>
      <c r="BW1074" s="310"/>
      <c r="BX1074" s="291">
        <f t="shared" si="76"/>
        <v>2682771850</v>
      </c>
      <c r="BY1074" s="344"/>
      <c r="BZ1074" s="347">
        <f t="shared" si="77"/>
        <v>1093642050</v>
      </c>
      <c r="CA1074" s="347">
        <v>546821025</v>
      </c>
      <c r="CB1074" s="348">
        <v>546821025</v>
      </c>
      <c r="CC1074" s="348">
        <v>766075000</v>
      </c>
      <c r="CD1074" s="348">
        <v>766075000</v>
      </c>
    </row>
    <row r="1075" spans="1:84" ht="15" hidden="1" customHeight="1" x14ac:dyDescent="0.25">
      <c r="A1075" s="313"/>
      <c r="B1075" s="340"/>
      <c r="C1075" s="342" t="s">
        <v>1214</v>
      </c>
      <c r="D1075" s="342"/>
      <c r="E1075" s="342"/>
      <c r="F1075" s="342"/>
      <c r="G1075" s="342"/>
      <c r="H1075" s="342"/>
      <c r="I1075" s="342"/>
      <c r="J1075" s="342"/>
      <c r="K1075" s="342"/>
      <c r="L1075" s="381"/>
      <c r="M1075" s="1474">
        <f>KT_33381b+KT_33382b-KT_33381a-KT_33382a</f>
        <v>0</v>
      </c>
      <c r="N1075" s="1474"/>
      <c r="O1075" s="1474"/>
      <c r="P1075" s="1474"/>
      <c r="Q1075" s="1474"/>
      <c r="R1075" s="575"/>
      <c r="S1075" s="1474">
        <v>0</v>
      </c>
      <c r="T1075" s="1474"/>
      <c r="U1075" s="1474"/>
      <c r="V1075" s="1474"/>
      <c r="W1075" s="1474"/>
      <c r="X1075" s="355"/>
      <c r="Y1075" s="1474">
        <v>0</v>
      </c>
      <c r="Z1075" s="1474"/>
      <c r="AA1075" s="1474"/>
      <c r="AB1075" s="1474"/>
      <c r="AC1075" s="1474"/>
      <c r="AD1075" s="355"/>
      <c r="AE1075" s="1474">
        <f>KN_33381b+KN_33382b-KN_33381a-KN_33382a</f>
        <v>0</v>
      </c>
      <c r="AF1075" s="1474"/>
      <c r="AG1075" s="1474"/>
      <c r="AH1075" s="1474"/>
      <c r="AI1075" s="1474"/>
      <c r="AJ1075" s="344"/>
      <c r="AK1075" s="345"/>
      <c r="AL1075" s="340"/>
      <c r="AM1075" s="392"/>
      <c r="AN1075" s="392"/>
      <c r="AO1075" s="392"/>
      <c r="AP1075" s="392"/>
      <c r="AQ1075" s="392"/>
      <c r="AR1075" s="392"/>
      <c r="AS1075" s="392"/>
      <c r="AT1075" s="392"/>
      <c r="AU1075" s="392"/>
      <c r="AV1075" s="392"/>
      <c r="AW1075" s="392"/>
      <c r="AX1075" s="392"/>
      <c r="AY1075" s="392"/>
      <c r="AZ1075" s="392"/>
      <c r="BA1075" s="392"/>
      <c r="BB1075" s="392"/>
      <c r="BC1075" s="392"/>
      <c r="BD1075" s="392"/>
      <c r="BE1075" s="392"/>
      <c r="BF1075" s="392"/>
      <c r="BG1075" s="599"/>
      <c r="BH1075" s="599"/>
      <c r="BI1075" s="599"/>
      <c r="BJ1075" s="599"/>
      <c r="BK1075" s="599"/>
      <c r="BL1075" s="599"/>
      <c r="BM1075" s="600"/>
      <c r="BN1075" s="599"/>
      <c r="BO1075" s="599"/>
      <c r="BP1075" s="599"/>
      <c r="BQ1075" s="599"/>
      <c r="BR1075" s="599"/>
      <c r="BS1075" s="599"/>
      <c r="BT1075" s="352"/>
      <c r="BU1075" s="353"/>
      <c r="BV1075" s="310">
        <f t="shared" si="78"/>
        <v>0</v>
      </c>
      <c r="BW1075" s="310"/>
      <c r="BX1075" s="291">
        <f t="shared" si="76"/>
        <v>0</v>
      </c>
      <c r="BY1075" s="344"/>
      <c r="BZ1075" s="347">
        <f t="shared" si="77"/>
        <v>0</v>
      </c>
      <c r="CA1075" s="347"/>
    </row>
    <row r="1076" spans="1:84" ht="15" customHeight="1" x14ac:dyDescent="0.25">
      <c r="A1076" s="313"/>
      <c r="B1076" s="340"/>
      <c r="C1076" s="1348" t="s">
        <v>1215</v>
      </c>
      <c r="D1076" s="1348"/>
      <c r="E1076" s="1348"/>
      <c r="F1076" s="1348"/>
      <c r="G1076" s="1348"/>
      <c r="H1076" s="1348"/>
      <c r="I1076" s="1348"/>
      <c r="J1076" s="1348"/>
      <c r="K1076" s="1348"/>
      <c r="L1076" s="381"/>
      <c r="M1076" s="1474">
        <f>KT_3339b-KT_3339a</f>
        <v>0</v>
      </c>
      <c r="N1076" s="1474"/>
      <c r="O1076" s="1474"/>
      <c r="P1076" s="1474"/>
      <c r="Q1076" s="1474"/>
      <c r="R1076" s="575"/>
      <c r="S1076" s="1474">
        <f>CA1076+CC1076</f>
        <v>27000000</v>
      </c>
      <c r="T1076" s="1474"/>
      <c r="U1076" s="1474"/>
      <c r="V1076" s="1474"/>
      <c r="W1076" s="1474"/>
      <c r="X1076" s="355"/>
      <c r="Y1076" s="1474">
        <f>CB1076+CD1076</f>
        <v>27000000</v>
      </c>
      <c r="Z1076" s="1474"/>
      <c r="AA1076" s="1474"/>
      <c r="AB1076" s="1474"/>
      <c r="AC1076" s="1474"/>
      <c r="AD1076" s="355"/>
      <c r="AE1076" s="1474">
        <f>KN_3339b-KN_3339a</f>
        <v>0</v>
      </c>
      <c r="AF1076" s="1474"/>
      <c r="AG1076" s="1474"/>
      <c r="AH1076" s="1474"/>
      <c r="AI1076" s="1474"/>
      <c r="AJ1076" s="344"/>
      <c r="AK1076" s="345"/>
      <c r="AL1076" s="340"/>
      <c r="AM1076" s="392"/>
      <c r="AN1076" s="392"/>
      <c r="AO1076" s="392"/>
      <c r="AP1076" s="392"/>
      <c r="AQ1076" s="392"/>
      <c r="AR1076" s="392"/>
      <c r="AS1076" s="392"/>
      <c r="AT1076" s="392"/>
      <c r="AU1076" s="392"/>
      <c r="AV1076" s="392"/>
      <c r="AW1076" s="392"/>
      <c r="AX1076" s="392"/>
      <c r="AY1076" s="392"/>
      <c r="AZ1076" s="392"/>
      <c r="BA1076" s="392"/>
      <c r="BB1076" s="392"/>
      <c r="BC1076" s="392"/>
      <c r="BD1076" s="392"/>
      <c r="BE1076" s="392"/>
      <c r="BF1076" s="392"/>
      <c r="BG1076" s="599"/>
      <c r="BH1076" s="599"/>
      <c r="BI1076" s="599"/>
      <c r="BJ1076" s="599"/>
      <c r="BK1076" s="599"/>
      <c r="BL1076" s="599"/>
      <c r="BM1076" s="600"/>
      <c r="BN1076" s="599"/>
      <c r="BO1076" s="599"/>
      <c r="BP1076" s="599"/>
      <c r="BQ1076" s="599"/>
      <c r="BR1076" s="599"/>
      <c r="BS1076" s="599"/>
      <c r="BT1076" s="352"/>
      <c r="BU1076" s="353"/>
      <c r="BV1076" s="310">
        <f t="shared" si="78"/>
        <v>0</v>
      </c>
      <c r="BW1076" s="310"/>
      <c r="BX1076" s="291">
        <f t="shared" si="76"/>
        <v>54000000</v>
      </c>
      <c r="BY1076" s="344"/>
      <c r="BZ1076" s="347"/>
      <c r="CA1076" s="347">
        <f>4000000+22000000</f>
        <v>26000000</v>
      </c>
      <c r="CB1076" s="347">
        <f>4000000+22000000</f>
        <v>26000000</v>
      </c>
      <c r="CC1076" s="348">
        <v>1000000</v>
      </c>
      <c r="CD1076" s="348">
        <v>1000000</v>
      </c>
    </row>
    <row r="1077" spans="1:84" ht="12.95" customHeight="1" x14ac:dyDescent="0.25">
      <c r="A1077" s="313"/>
      <c r="B1077" s="340"/>
      <c r="C1077" s="342"/>
      <c r="D1077" s="342"/>
      <c r="E1077" s="342"/>
      <c r="F1077" s="342"/>
      <c r="G1077" s="342"/>
      <c r="H1077" s="342"/>
      <c r="I1077" s="342"/>
      <c r="J1077" s="342"/>
      <c r="K1077" s="342"/>
      <c r="L1077" s="389"/>
      <c r="M1077" s="355"/>
      <c r="N1077" s="355"/>
      <c r="O1077" s="355"/>
      <c r="P1077" s="355"/>
      <c r="Q1077" s="355"/>
      <c r="R1077" s="355"/>
      <c r="S1077" s="355"/>
      <c r="T1077" s="355"/>
      <c r="U1077" s="355"/>
      <c r="V1077" s="355"/>
      <c r="W1077" s="355"/>
      <c r="X1077" s="355"/>
      <c r="Y1077" s="355"/>
      <c r="Z1077" s="355"/>
      <c r="AA1077" s="355"/>
      <c r="AB1077" s="355"/>
      <c r="AC1077" s="355"/>
      <c r="AD1077" s="355"/>
      <c r="AE1077" s="355"/>
      <c r="AF1077" s="355"/>
      <c r="AG1077" s="355"/>
      <c r="AH1077" s="355"/>
      <c r="AI1077" s="355"/>
      <c r="AJ1077" s="344"/>
      <c r="AK1077" s="345"/>
      <c r="AL1077" s="340"/>
      <c r="AM1077" s="392"/>
      <c r="AN1077" s="392"/>
      <c r="AO1077" s="392"/>
      <c r="AP1077" s="392"/>
      <c r="AQ1077" s="392"/>
      <c r="AR1077" s="392"/>
      <c r="AS1077" s="392"/>
      <c r="AT1077" s="392"/>
      <c r="AU1077" s="392"/>
      <c r="AV1077" s="392"/>
      <c r="AW1077" s="392"/>
      <c r="AX1077" s="392"/>
      <c r="AY1077" s="392"/>
      <c r="AZ1077" s="392"/>
      <c r="BA1077" s="392"/>
      <c r="BB1077" s="392"/>
      <c r="BC1077" s="392"/>
      <c r="BD1077" s="392"/>
      <c r="BE1077" s="392"/>
      <c r="BF1077" s="392"/>
      <c r="BG1077" s="599"/>
      <c r="BH1077" s="599"/>
      <c r="BI1077" s="599"/>
      <c r="BJ1077" s="599"/>
      <c r="BK1077" s="599"/>
      <c r="BL1077" s="599"/>
      <c r="BM1077" s="600"/>
      <c r="BN1077" s="599"/>
      <c r="BO1077" s="599"/>
      <c r="BP1077" s="599"/>
      <c r="BQ1077" s="599"/>
      <c r="BR1077" s="599"/>
      <c r="BS1077" s="599"/>
      <c r="BT1077" s="352"/>
      <c r="BU1077" s="353"/>
      <c r="BV1077" s="310"/>
      <c r="BW1077" s="310"/>
      <c r="BX1077" s="291">
        <f t="shared" si="76"/>
        <v>0</v>
      </c>
      <c r="BY1077" s="344"/>
      <c r="BZ1077" s="347"/>
      <c r="CA1077" s="347">
        <f>SUBTOTAL(109,CA1067:CA1076)</f>
        <v>4414865071</v>
      </c>
      <c r="CB1077" s="347">
        <f>SUBTOTAL(109,CB1067:CB1076)</f>
        <v>3333483498</v>
      </c>
      <c r="CC1077" s="347">
        <f>SUBTOTAL(109,CC1067:CC1076)</f>
        <v>2863234492</v>
      </c>
      <c r="CD1077" s="347">
        <f>SUBTOTAL(109,CD1067:CD1076)</f>
        <v>2441164724</v>
      </c>
    </row>
    <row r="1078" spans="1:84" ht="15" customHeight="1" thickBot="1" x14ac:dyDescent="0.3">
      <c r="A1078" s="313"/>
      <c r="B1078" s="340"/>
      <c r="C1078" s="360" t="s">
        <v>752</v>
      </c>
      <c r="D1078" s="340"/>
      <c r="E1078" s="340"/>
      <c r="F1078" s="340"/>
      <c r="G1078" s="340"/>
      <c r="H1078" s="340"/>
      <c r="I1078" s="340"/>
      <c r="J1078" s="340"/>
      <c r="K1078" s="340"/>
      <c r="L1078" s="382"/>
      <c r="M1078" s="1475">
        <f>SUBTOTAL(109,M1068:Q1076)</f>
        <v>269948934</v>
      </c>
      <c r="N1078" s="1475"/>
      <c r="O1078" s="1475"/>
      <c r="P1078" s="1475"/>
      <c r="Q1078" s="1475"/>
      <c r="R1078" s="575"/>
      <c r="S1078" s="1475">
        <f>SUBTOTAL(109,S1068:W1076)</f>
        <v>4278433710</v>
      </c>
      <c r="T1078" s="1475"/>
      <c r="U1078" s="1475"/>
      <c r="V1078" s="1475"/>
      <c r="W1078" s="1475"/>
      <c r="X1078" s="363"/>
      <c r="Y1078" s="1475">
        <f>SUBTOTAL(109,Y1068:AC1076)</f>
        <v>2910538383</v>
      </c>
      <c r="Z1078" s="1475"/>
      <c r="AA1078" s="1475"/>
      <c r="AB1078" s="1475"/>
      <c r="AC1078" s="1475"/>
      <c r="AD1078" s="363"/>
      <c r="AE1078" s="1475">
        <f>SUBTOTAL(109,AE1068:AI1076)</f>
        <v>1637844261</v>
      </c>
      <c r="AF1078" s="1475"/>
      <c r="AG1078" s="1475"/>
      <c r="AH1078" s="1475"/>
      <c r="AI1078" s="1475"/>
      <c r="AJ1078" s="344"/>
      <c r="AK1078" s="345"/>
      <c r="AL1078" s="340"/>
      <c r="AM1078" s="392"/>
      <c r="AN1078" s="392"/>
      <c r="AO1078" s="392"/>
      <c r="AP1078" s="392"/>
      <c r="AQ1078" s="392"/>
      <c r="AR1078" s="392"/>
      <c r="AS1078" s="392"/>
      <c r="AT1078" s="392"/>
      <c r="AU1078" s="392"/>
      <c r="AV1078" s="392"/>
      <c r="AW1078" s="392"/>
      <c r="AX1078" s="392"/>
      <c r="AY1078" s="392"/>
      <c r="AZ1078" s="392"/>
      <c r="BA1078" s="392"/>
      <c r="BB1078" s="392"/>
      <c r="BC1078" s="392"/>
      <c r="BD1078" s="392"/>
      <c r="BE1078" s="392"/>
      <c r="BF1078" s="392"/>
      <c r="BG1078" s="599"/>
      <c r="BH1078" s="599"/>
      <c r="BI1078" s="599"/>
      <c r="BJ1078" s="599"/>
      <c r="BK1078" s="599"/>
      <c r="BL1078" s="599"/>
      <c r="BM1078" s="600"/>
      <c r="BN1078" s="599"/>
      <c r="BO1078" s="599"/>
      <c r="BP1078" s="599"/>
      <c r="BQ1078" s="599"/>
      <c r="BR1078" s="599"/>
      <c r="BS1078" s="599"/>
      <c r="BT1078" s="352"/>
      <c r="BU1078" s="353"/>
      <c r="BV1078" s="310"/>
      <c r="BW1078" s="310"/>
      <c r="BX1078" s="291">
        <f t="shared" si="76"/>
        <v>9096765288</v>
      </c>
      <c r="BY1078" s="344"/>
      <c r="BZ1078" s="347"/>
      <c r="CA1078" s="347"/>
    </row>
    <row r="1079" spans="1:84" ht="14.1" customHeight="1" thickTop="1" x14ac:dyDescent="0.25">
      <c r="A1079" s="313"/>
      <c r="B1079" s="340"/>
      <c r="C1079" s="340"/>
      <c r="D1079" s="340"/>
      <c r="E1079" s="340"/>
      <c r="F1079" s="340"/>
      <c r="G1079" s="340"/>
      <c r="H1079" s="340"/>
      <c r="I1079" s="340"/>
      <c r="J1079" s="340"/>
      <c r="K1079" s="340"/>
      <c r="L1079" s="340"/>
      <c r="M1079" s="601"/>
      <c r="N1079" s="601"/>
      <c r="O1079" s="601"/>
      <c r="P1079" s="601"/>
      <c r="Q1079" s="601"/>
      <c r="R1079" s="601"/>
      <c r="S1079" s="601"/>
      <c r="T1079" s="601"/>
      <c r="U1079" s="358"/>
      <c r="V1079" s="358"/>
      <c r="W1079" s="363"/>
      <c r="X1079" s="363"/>
      <c r="Y1079" s="363"/>
      <c r="Z1079" s="363"/>
      <c r="AA1079" s="363"/>
      <c r="AB1079" s="363"/>
      <c r="AC1079" s="355"/>
      <c r="AD1079" s="363"/>
      <c r="AE1079" s="363"/>
      <c r="AF1079" s="363"/>
      <c r="AG1079" s="363"/>
      <c r="AH1079" s="363"/>
      <c r="AI1079" s="363"/>
      <c r="AJ1079" s="344"/>
      <c r="AK1079" s="345"/>
      <c r="AL1079" s="340"/>
      <c r="AM1079" s="392"/>
      <c r="AN1079" s="392"/>
      <c r="AO1079" s="392"/>
      <c r="AP1079" s="392"/>
      <c r="AQ1079" s="392"/>
      <c r="AR1079" s="392"/>
      <c r="AS1079" s="392"/>
      <c r="AT1079" s="392"/>
      <c r="AU1079" s="392"/>
      <c r="AV1079" s="392"/>
      <c r="AW1079" s="392"/>
      <c r="AX1079" s="392"/>
      <c r="AY1079" s="392"/>
      <c r="AZ1079" s="392"/>
      <c r="BA1079" s="392"/>
      <c r="BB1079" s="392"/>
      <c r="BC1079" s="392"/>
      <c r="BD1079" s="392"/>
      <c r="BE1079" s="392"/>
      <c r="BF1079" s="392"/>
      <c r="BG1079" s="599"/>
      <c r="BH1079" s="599"/>
      <c r="BI1079" s="599"/>
      <c r="BJ1079" s="599"/>
      <c r="BK1079" s="599"/>
      <c r="BL1079" s="599"/>
      <c r="BM1079" s="600"/>
      <c r="BN1079" s="599"/>
      <c r="BO1079" s="599"/>
      <c r="BP1079" s="599"/>
      <c r="BQ1079" s="599"/>
      <c r="BR1079" s="599"/>
      <c r="BS1079" s="599"/>
      <c r="BT1079" s="352"/>
      <c r="BU1079" s="353"/>
      <c r="BV1079" s="310"/>
      <c r="BW1079" s="310"/>
      <c r="BX1079" s="291">
        <f t="shared" si="76"/>
        <v>0</v>
      </c>
      <c r="BY1079" s="344"/>
      <c r="BZ1079" s="347"/>
      <c r="CA1079" s="347"/>
    </row>
    <row r="1080" spans="1:84" s="423" customFormat="1" ht="42" customHeight="1" x14ac:dyDescent="0.25">
      <c r="A1080" s="313"/>
      <c r="B1080" s="340"/>
      <c r="C1080" s="1473" t="str">
        <f>CONCATENATE("Quyết toán thuế của ",LoaiCT_V," sẽ chịu sự kiểm tra của cơ quan thuế. Do việc áp dụng luật và các qui định về thuế đối với nhiều loại giao dịch khác nhau có thể được giải thích theo nhiều cách khác nhau, số thuế được trình bày trên ",Loai_BC_V," có thể bị thay đổi theo quyết định của cơ quan thuế.")</f>
        <v>Quyết toán thuế của Công ty sẽ chịu sự kiểm tra của cơ quan thuế. Do việc áp dụng luật và các qui định về thuế đối với nhiều loại giao dịch khác nhau có thể được giải thích theo nhiều cách khác nhau, số thuế được trình bày trên Báo cáo tài chính có thể bị thay đổi theo quyết định của cơ quan thuế.</v>
      </c>
      <c r="D1080" s="1473"/>
      <c r="E1080" s="1473"/>
      <c r="F1080" s="1473"/>
      <c r="G1080" s="1473"/>
      <c r="H1080" s="1473"/>
      <c r="I1080" s="1473"/>
      <c r="J1080" s="1473"/>
      <c r="K1080" s="1473"/>
      <c r="L1080" s="1473"/>
      <c r="M1080" s="1473"/>
      <c r="N1080" s="1473"/>
      <c r="O1080" s="1473"/>
      <c r="P1080" s="1473"/>
      <c r="Q1080" s="1473"/>
      <c r="R1080" s="1473"/>
      <c r="S1080" s="1473"/>
      <c r="T1080" s="1473"/>
      <c r="U1080" s="1473"/>
      <c r="V1080" s="1473"/>
      <c r="W1080" s="1473"/>
      <c r="X1080" s="1473"/>
      <c r="Y1080" s="1473"/>
      <c r="Z1080" s="1473"/>
      <c r="AA1080" s="1473"/>
      <c r="AB1080" s="1473"/>
      <c r="AC1080" s="1473"/>
      <c r="AD1080" s="1473"/>
      <c r="AE1080" s="1473"/>
      <c r="AF1080" s="1473"/>
      <c r="AG1080" s="1473"/>
      <c r="AH1080" s="1473"/>
      <c r="AI1080" s="1473"/>
      <c r="AJ1080" s="342"/>
      <c r="AK1080" s="345"/>
      <c r="AL1080" s="340"/>
      <c r="AM1080" s="1473" t="s">
        <v>1216</v>
      </c>
      <c r="AN1080" s="1473"/>
      <c r="AO1080" s="1473"/>
      <c r="AP1080" s="1473"/>
      <c r="AQ1080" s="1473"/>
      <c r="AR1080" s="1473"/>
      <c r="AS1080" s="1473"/>
      <c r="AT1080" s="1473"/>
      <c r="AU1080" s="1473"/>
      <c r="AV1080" s="1473"/>
      <c r="AW1080" s="1473"/>
      <c r="AX1080" s="1473"/>
      <c r="AY1080" s="1473"/>
      <c r="AZ1080" s="1473"/>
      <c r="BA1080" s="1473"/>
      <c r="BB1080" s="1473"/>
      <c r="BC1080" s="1473"/>
      <c r="BD1080" s="1473"/>
      <c r="BE1080" s="1473"/>
      <c r="BF1080" s="1473"/>
      <c r="BG1080" s="1473"/>
      <c r="BH1080" s="1473"/>
      <c r="BI1080" s="1473"/>
      <c r="BJ1080" s="1473"/>
      <c r="BK1080" s="1473"/>
      <c r="BL1080" s="1473"/>
      <c r="BM1080" s="1473"/>
      <c r="BN1080" s="1473"/>
      <c r="BO1080" s="1473"/>
      <c r="BP1080" s="1473"/>
      <c r="BQ1080" s="1473"/>
      <c r="BR1080" s="1473"/>
      <c r="BS1080" s="1473"/>
      <c r="BT1080" s="361"/>
      <c r="BU1080" s="362"/>
      <c r="BV1080" s="310"/>
      <c r="BW1080" s="310"/>
      <c r="BX1080" s="291">
        <f t="shared" si="76"/>
        <v>0</v>
      </c>
      <c r="BY1080" s="342"/>
      <c r="BZ1080" s="438"/>
      <c r="CA1080" s="438"/>
      <c r="CB1080" s="439"/>
      <c r="CC1080" s="439"/>
      <c r="CD1080" s="439"/>
      <c r="CE1080" s="439"/>
      <c r="CF1080" s="439"/>
    </row>
    <row r="1081" spans="1:84" ht="2.1" customHeight="1" x14ac:dyDescent="0.25">
      <c r="A1081" s="313"/>
      <c r="B1081" s="454"/>
      <c r="C1081" s="392"/>
      <c r="D1081" s="392"/>
      <c r="E1081" s="392"/>
      <c r="F1081" s="392"/>
      <c r="G1081" s="392"/>
      <c r="H1081" s="392"/>
      <c r="I1081" s="392"/>
      <c r="J1081" s="392"/>
      <c r="K1081" s="392"/>
      <c r="L1081" s="392"/>
      <c r="M1081" s="392"/>
      <c r="N1081" s="392"/>
      <c r="O1081" s="392"/>
      <c r="P1081" s="392"/>
      <c r="Q1081" s="392"/>
      <c r="R1081" s="392"/>
      <c r="S1081" s="392"/>
      <c r="T1081" s="392"/>
      <c r="U1081" s="392"/>
      <c r="V1081" s="392"/>
      <c r="W1081" s="393"/>
      <c r="X1081" s="393"/>
      <c r="Y1081" s="393"/>
      <c r="Z1081" s="393"/>
      <c r="AA1081" s="393"/>
      <c r="AB1081" s="393"/>
      <c r="AC1081" s="343"/>
      <c r="AD1081" s="343"/>
      <c r="AE1081" s="343"/>
      <c r="AF1081" s="343"/>
      <c r="AG1081" s="343"/>
      <c r="AH1081" s="343"/>
      <c r="AI1081" s="343"/>
      <c r="AJ1081" s="344"/>
      <c r="AK1081" s="345"/>
      <c r="AL1081" s="340"/>
      <c r="AM1081" s="392"/>
      <c r="AN1081" s="392"/>
      <c r="AO1081" s="392"/>
      <c r="AP1081" s="392"/>
      <c r="AQ1081" s="392"/>
      <c r="AR1081" s="392"/>
      <c r="AS1081" s="392"/>
      <c r="AT1081" s="392"/>
      <c r="AU1081" s="392"/>
      <c r="AV1081" s="392"/>
      <c r="AW1081" s="392"/>
      <c r="AX1081" s="392"/>
      <c r="AY1081" s="392"/>
      <c r="AZ1081" s="392"/>
      <c r="BA1081" s="392"/>
      <c r="BB1081" s="392"/>
      <c r="BC1081" s="392"/>
      <c r="BD1081" s="392"/>
      <c r="BE1081" s="392"/>
      <c r="BF1081" s="392"/>
      <c r="BG1081" s="392"/>
      <c r="BH1081" s="392"/>
      <c r="BI1081" s="392"/>
      <c r="BJ1081" s="392"/>
      <c r="BK1081" s="392"/>
      <c r="BL1081" s="392"/>
      <c r="BM1081" s="342"/>
      <c r="BN1081" s="356"/>
      <c r="BO1081" s="356"/>
      <c r="BP1081" s="356"/>
      <c r="BQ1081" s="356"/>
      <c r="BR1081" s="356"/>
      <c r="BS1081" s="356"/>
      <c r="BT1081" s="356"/>
      <c r="BU1081" s="357"/>
      <c r="BV1081" s="310"/>
      <c r="BW1081" s="310"/>
      <c r="BX1081" s="291">
        <f t="shared" si="76"/>
        <v>0</v>
      </c>
      <c r="BY1081" s="344"/>
      <c r="BZ1081" s="347"/>
      <c r="CA1081" s="347"/>
    </row>
    <row r="1082" spans="1:84" ht="12.95" hidden="1" customHeight="1" x14ac:dyDescent="0.25">
      <c r="A1082" s="313"/>
      <c r="B1082" s="340"/>
      <c r="C1082" s="392"/>
      <c r="D1082" s="392"/>
      <c r="E1082" s="392"/>
      <c r="F1082" s="392"/>
      <c r="G1082" s="392"/>
      <c r="H1082" s="392"/>
      <c r="I1082" s="392"/>
      <c r="J1082" s="392"/>
      <c r="K1082" s="392"/>
      <c r="L1082" s="392"/>
      <c r="M1082" s="392"/>
      <c r="N1082" s="392"/>
      <c r="O1082" s="392"/>
      <c r="P1082" s="392"/>
      <c r="Q1082" s="392"/>
      <c r="R1082" s="392"/>
      <c r="S1082" s="392"/>
      <c r="T1082" s="392"/>
      <c r="U1082" s="392"/>
      <c r="V1082" s="392"/>
      <c r="W1082" s="393"/>
      <c r="X1082" s="393"/>
      <c r="Y1082" s="393"/>
      <c r="Z1082" s="393"/>
      <c r="AA1082" s="393"/>
      <c r="AB1082" s="393"/>
      <c r="AC1082" s="343"/>
      <c r="AD1082" s="343"/>
      <c r="AE1082" s="343"/>
      <c r="AF1082" s="343"/>
      <c r="AG1082" s="343"/>
      <c r="AH1082" s="343"/>
      <c r="AI1082" s="343"/>
      <c r="AJ1082" s="344"/>
      <c r="AK1082" s="345"/>
      <c r="AL1082" s="340"/>
      <c r="AM1082" s="392"/>
      <c r="AN1082" s="392"/>
      <c r="AO1082" s="392"/>
      <c r="AP1082" s="392"/>
      <c r="AQ1082" s="392"/>
      <c r="AR1082" s="392"/>
      <c r="AS1082" s="392"/>
      <c r="AT1082" s="392"/>
      <c r="AU1082" s="392"/>
      <c r="AV1082" s="392"/>
      <c r="AW1082" s="392"/>
      <c r="AX1082" s="392"/>
      <c r="AY1082" s="392"/>
      <c r="AZ1082" s="392"/>
      <c r="BA1082" s="392"/>
      <c r="BB1082" s="392"/>
      <c r="BC1082" s="392"/>
      <c r="BD1082" s="392"/>
      <c r="BE1082" s="392"/>
      <c r="BF1082" s="392"/>
      <c r="BG1082" s="392"/>
      <c r="BH1082" s="392"/>
      <c r="BI1082" s="392"/>
      <c r="BJ1082" s="392"/>
      <c r="BK1082" s="392"/>
      <c r="BL1082" s="392"/>
      <c r="BM1082" s="342"/>
      <c r="BN1082" s="356"/>
      <c r="BO1082" s="356"/>
      <c r="BP1082" s="356"/>
      <c r="BQ1082" s="356"/>
      <c r="BR1082" s="356"/>
      <c r="BS1082" s="356"/>
      <c r="BT1082" s="356"/>
      <c r="BU1082" s="357"/>
      <c r="BV1082" s="310"/>
      <c r="BW1082" s="310"/>
      <c r="BX1082" s="291">
        <f t="shared" si="76"/>
        <v>0</v>
      </c>
      <c r="BY1082" s="344"/>
      <c r="BZ1082" s="347"/>
      <c r="CA1082" s="347"/>
    </row>
    <row r="1083" spans="1:84" ht="15" hidden="1" customHeight="1" x14ac:dyDescent="0.25">
      <c r="A1083" s="313">
        <f>STT</f>
        <v>19</v>
      </c>
      <c r="B1083" s="340" t="s">
        <v>345</v>
      </c>
      <c r="C1083" s="471" t="s">
        <v>1217</v>
      </c>
      <c r="D1083" s="392"/>
      <c r="E1083" s="392"/>
      <c r="F1083" s="392"/>
      <c r="G1083" s="392"/>
      <c r="H1083" s="392"/>
      <c r="I1083" s="392"/>
      <c r="J1083" s="392"/>
      <c r="K1083" s="392"/>
      <c r="L1083" s="392"/>
      <c r="M1083" s="392"/>
      <c r="N1083" s="392"/>
      <c r="O1083" s="392"/>
      <c r="P1083" s="392"/>
      <c r="Q1083" s="392"/>
      <c r="R1083" s="392"/>
      <c r="S1083" s="392"/>
      <c r="T1083" s="392"/>
      <c r="U1083" s="392"/>
      <c r="V1083" s="392"/>
      <c r="W1083" s="393"/>
      <c r="X1083" s="393"/>
      <c r="Y1083" s="393"/>
      <c r="Z1083" s="393"/>
      <c r="AA1083" s="393"/>
      <c r="AB1083" s="393"/>
      <c r="AC1083" s="343"/>
      <c r="AD1083" s="343"/>
      <c r="AE1083" s="343"/>
      <c r="AF1083" s="343"/>
      <c r="AG1083" s="343"/>
      <c r="AH1083" s="343"/>
      <c r="AI1083" s="343"/>
      <c r="AJ1083" s="344"/>
      <c r="AK1083" s="345">
        <f>A1083</f>
        <v>19</v>
      </c>
      <c r="AL1083" s="340" t="s">
        <v>345</v>
      </c>
      <c r="AM1083" s="471" t="s">
        <v>1188</v>
      </c>
      <c r="AN1083" s="392"/>
      <c r="AO1083" s="392"/>
      <c r="AP1083" s="392"/>
      <c r="AQ1083" s="392"/>
      <c r="AR1083" s="392"/>
      <c r="AS1083" s="392"/>
      <c r="AT1083" s="392"/>
      <c r="AU1083" s="392"/>
      <c r="AV1083" s="392"/>
      <c r="AW1083" s="392"/>
      <c r="AX1083" s="392"/>
      <c r="AY1083" s="392"/>
      <c r="AZ1083" s="392"/>
      <c r="BA1083" s="392"/>
      <c r="BB1083" s="392"/>
      <c r="BC1083" s="392"/>
      <c r="BD1083" s="392"/>
      <c r="BE1083" s="392"/>
      <c r="BF1083" s="392"/>
      <c r="BG1083" s="392"/>
      <c r="BH1083" s="392"/>
      <c r="BI1083" s="392"/>
      <c r="BJ1083" s="392"/>
      <c r="BK1083" s="392"/>
      <c r="BL1083" s="392"/>
      <c r="BM1083" s="342"/>
      <c r="BN1083" s="356"/>
      <c r="BO1083" s="356"/>
      <c r="BP1083" s="356"/>
      <c r="BQ1083" s="356"/>
      <c r="BR1083" s="356"/>
      <c r="BS1083" s="356"/>
      <c r="BT1083" s="356"/>
      <c r="BU1083" s="346">
        <f>SUBTOTAL(103,A1083)</f>
        <v>0</v>
      </c>
      <c r="BV1083" s="310"/>
      <c r="BW1083" s="310"/>
      <c r="BX1083" s="291">
        <f t="shared" si="76"/>
        <v>0</v>
      </c>
      <c r="BY1083" s="344"/>
      <c r="BZ1083" s="347"/>
      <c r="CA1083" s="347"/>
    </row>
    <row r="1084" spans="1:84" ht="15" hidden="1" customHeight="1" x14ac:dyDescent="0.25">
      <c r="A1084" s="313"/>
      <c r="B1084" s="340"/>
      <c r="C1084" s="392"/>
      <c r="D1084" s="392"/>
      <c r="E1084" s="392"/>
      <c r="F1084" s="392"/>
      <c r="G1084" s="392"/>
      <c r="H1084" s="392"/>
      <c r="I1084" s="392"/>
      <c r="J1084" s="392"/>
      <c r="K1084" s="392"/>
      <c r="L1084" s="392"/>
      <c r="M1084" s="392"/>
      <c r="N1084" s="392"/>
      <c r="O1084" s="392"/>
      <c r="P1084" s="392"/>
      <c r="Q1084" s="392"/>
      <c r="R1084" s="392"/>
      <c r="S1084" s="392"/>
      <c r="T1084" s="392"/>
      <c r="U1084" s="392"/>
      <c r="V1084" s="392"/>
      <c r="W1084" s="1325" t="str">
        <f>Ky_Nay1_V</f>
        <v>31/12/2017</v>
      </c>
      <c r="X1084" s="1325"/>
      <c r="Y1084" s="1325"/>
      <c r="Z1084" s="1325"/>
      <c r="AA1084" s="1325"/>
      <c r="AB1084" s="1325"/>
      <c r="AC1084" s="351"/>
      <c r="AD1084" s="1325" t="str">
        <f>Ky_Truoc1_V</f>
        <v>01/01/2017</v>
      </c>
      <c r="AE1084" s="1325"/>
      <c r="AF1084" s="1325"/>
      <c r="AG1084" s="1325"/>
      <c r="AH1084" s="1325"/>
      <c r="AI1084" s="1325"/>
      <c r="AJ1084" s="344"/>
      <c r="AK1084" s="345"/>
      <c r="AL1084" s="340"/>
      <c r="AM1084" s="392"/>
      <c r="AN1084" s="392"/>
      <c r="AO1084" s="392"/>
      <c r="AP1084" s="392"/>
      <c r="AQ1084" s="392"/>
      <c r="AR1084" s="392"/>
      <c r="AS1084" s="392"/>
      <c r="AT1084" s="392"/>
      <c r="AU1084" s="392"/>
      <c r="AV1084" s="392"/>
      <c r="AW1084" s="392"/>
      <c r="AX1084" s="392"/>
      <c r="AY1084" s="392"/>
      <c r="AZ1084" s="392"/>
      <c r="BA1084" s="392"/>
      <c r="BB1084" s="392"/>
      <c r="BC1084" s="392"/>
      <c r="BD1084" s="392"/>
      <c r="BE1084" s="392"/>
      <c r="BF1084" s="392"/>
      <c r="BG1084" s="1325" t="str">
        <f>Ky_Nay1_E</f>
        <v>31/12/2017</v>
      </c>
      <c r="BH1084" s="1325"/>
      <c r="BI1084" s="1325"/>
      <c r="BJ1084" s="1325"/>
      <c r="BK1084" s="1325"/>
      <c r="BL1084" s="1325"/>
      <c r="BM1084" s="351"/>
      <c r="BN1084" s="1325" t="str">
        <f>Ky_Truoc1_E</f>
        <v>01/01/2017</v>
      </c>
      <c r="BO1084" s="1325"/>
      <c r="BP1084" s="1325"/>
      <c r="BQ1084" s="1325"/>
      <c r="BR1084" s="1325"/>
      <c r="BS1084" s="1325"/>
      <c r="BT1084" s="352"/>
      <c r="BU1084" s="353"/>
      <c r="BV1084" s="310"/>
      <c r="BW1084" s="310"/>
      <c r="BX1084" s="291">
        <f t="shared" si="76"/>
        <v>0</v>
      </c>
      <c r="BY1084" s="344"/>
      <c r="BZ1084" s="347"/>
      <c r="CA1084" s="347"/>
    </row>
    <row r="1085" spans="1:84" ht="15" hidden="1" customHeight="1" x14ac:dyDescent="0.25">
      <c r="A1085" s="313"/>
      <c r="B1085" s="340"/>
      <c r="C1085" s="392"/>
      <c r="D1085" s="392"/>
      <c r="E1085" s="392"/>
      <c r="F1085" s="392"/>
      <c r="G1085" s="392"/>
      <c r="H1085" s="392"/>
      <c r="I1085" s="392"/>
      <c r="J1085" s="392"/>
      <c r="K1085" s="392"/>
      <c r="L1085" s="392"/>
      <c r="M1085" s="392"/>
      <c r="N1085" s="392"/>
      <c r="O1085" s="392"/>
      <c r="P1085" s="392"/>
      <c r="Q1085" s="392"/>
      <c r="R1085" s="392"/>
      <c r="S1085" s="392"/>
      <c r="T1085" s="392"/>
      <c r="U1085" s="392"/>
      <c r="V1085" s="392"/>
      <c r="W1085" s="1327" t="str">
        <f>Don_Vi_Tinh_V</f>
        <v>VND</v>
      </c>
      <c r="X1085" s="1327"/>
      <c r="Y1085" s="1327"/>
      <c r="Z1085" s="1327"/>
      <c r="AA1085" s="1327"/>
      <c r="AB1085" s="1327"/>
      <c r="AC1085" s="351"/>
      <c r="AD1085" s="1327" t="str">
        <f>Don_Vi_Tinh_V</f>
        <v>VND</v>
      </c>
      <c r="AE1085" s="1327"/>
      <c r="AF1085" s="1327"/>
      <c r="AG1085" s="1327"/>
      <c r="AH1085" s="1327"/>
      <c r="AI1085" s="1327"/>
      <c r="AJ1085" s="344"/>
      <c r="AK1085" s="345"/>
      <c r="AL1085" s="340"/>
      <c r="AM1085" s="392"/>
      <c r="AN1085" s="392"/>
      <c r="AO1085" s="392"/>
      <c r="AP1085" s="392"/>
      <c r="AQ1085" s="392"/>
      <c r="AR1085" s="392"/>
      <c r="AS1085" s="392"/>
      <c r="AT1085" s="392"/>
      <c r="AU1085" s="392"/>
      <c r="AV1085" s="392"/>
      <c r="AW1085" s="392"/>
      <c r="AX1085" s="392"/>
      <c r="AY1085" s="392"/>
      <c r="AZ1085" s="392"/>
      <c r="BA1085" s="392"/>
      <c r="BB1085" s="392"/>
      <c r="BC1085" s="392"/>
      <c r="BD1085" s="392"/>
      <c r="BE1085" s="392"/>
      <c r="BF1085" s="392"/>
      <c r="BG1085" s="1327" t="str">
        <f>Don_Vi_Tinh_E</f>
        <v>VND</v>
      </c>
      <c r="BH1085" s="1327"/>
      <c r="BI1085" s="1327"/>
      <c r="BJ1085" s="1327"/>
      <c r="BK1085" s="1327"/>
      <c r="BL1085" s="1327"/>
      <c r="BM1085" s="351"/>
      <c r="BN1085" s="1327" t="str">
        <f>Don_Vi_Tinh_E</f>
        <v>VND</v>
      </c>
      <c r="BO1085" s="1327"/>
      <c r="BP1085" s="1327"/>
      <c r="BQ1085" s="1327"/>
      <c r="BR1085" s="1327"/>
      <c r="BS1085" s="1327"/>
      <c r="BT1085" s="352"/>
      <c r="BU1085" s="353"/>
      <c r="BV1085" s="310"/>
      <c r="BW1085" s="310"/>
      <c r="BX1085" s="291">
        <f t="shared" si="76"/>
        <v>0</v>
      </c>
      <c r="BY1085" s="344"/>
      <c r="BZ1085" s="347"/>
      <c r="CA1085" s="347"/>
    </row>
    <row r="1086" spans="1:84" ht="15" hidden="1" customHeight="1" x14ac:dyDescent="0.25">
      <c r="A1086" s="313"/>
      <c r="B1086" s="340"/>
      <c r="C1086" s="392"/>
      <c r="D1086" s="392"/>
      <c r="E1086" s="392"/>
      <c r="F1086" s="392"/>
      <c r="G1086" s="392"/>
      <c r="H1086" s="392"/>
      <c r="I1086" s="392"/>
      <c r="J1086" s="392"/>
      <c r="K1086" s="392"/>
      <c r="L1086" s="392"/>
      <c r="M1086" s="392"/>
      <c r="N1086" s="392"/>
      <c r="O1086" s="392"/>
      <c r="P1086" s="392"/>
      <c r="Q1086" s="392"/>
      <c r="R1086" s="392"/>
      <c r="S1086" s="392"/>
      <c r="T1086" s="392"/>
      <c r="U1086" s="392"/>
      <c r="V1086" s="392"/>
      <c r="W1086" s="1318"/>
      <c r="X1086" s="1318"/>
      <c r="Y1086" s="1318"/>
      <c r="Z1086" s="1318"/>
      <c r="AA1086" s="1318"/>
      <c r="AB1086" s="1318"/>
      <c r="AC1086" s="355"/>
      <c r="AD1086" s="1318"/>
      <c r="AE1086" s="1318"/>
      <c r="AF1086" s="1318"/>
      <c r="AG1086" s="1318"/>
      <c r="AH1086" s="1318"/>
      <c r="AI1086" s="1318"/>
      <c r="AJ1086" s="344"/>
      <c r="AK1086" s="345"/>
      <c r="AL1086" s="340"/>
      <c r="AM1086" s="392"/>
      <c r="AN1086" s="392"/>
      <c r="AO1086" s="392"/>
      <c r="AP1086" s="392"/>
      <c r="AQ1086" s="392"/>
      <c r="AR1086" s="392"/>
      <c r="AS1086" s="392"/>
      <c r="AT1086" s="392"/>
      <c r="AU1086" s="392"/>
      <c r="AV1086" s="392"/>
      <c r="AW1086" s="392"/>
      <c r="AX1086" s="392"/>
      <c r="AY1086" s="392"/>
      <c r="AZ1086" s="392"/>
      <c r="BA1086" s="392"/>
      <c r="BB1086" s="392"/>
      <c r="BC1086" s="392"/>
      <c r="BD1086" s="392"/>
      <c r="BE1086" s="392"/>
      <c r="BF1086" s="392"/>
      <c r="BG1086" s="1318"/>
      <c r="BH1086" s="1318"/>
      <c r="BI1086" s="1318"/>
      <c r="BJ1086" s="1318"/>
      <c r="BK1086" s="1318"/>
      <c r="BL1086" s="1318"/>
      <c r="BM1086" s="355"/>
      <c r="BN1086" s="1318"/>
      <c r="BO1086" s="1318"/>
      <c r="BP1086" s="1318"/>
      <c r="BQ1086" s="1318"/>
      <c r="BR1086" s="1318"/>
      <c r="BS1086" s="1318"/>
      <c r="BT1086" s="352"/>
      <c r="BU1086" s="353"/>
      <c r="BV1086" s="310"/>
      <c r="BW1086" s="310"/>
      <c r="BX1086" s="291">
        <f t="shared" si="76"/>
        <v>0</v>
      </c>
      <c r="BY1086" s="344"/>
      <c r="BZ1086" s="347"/>
      <c r="CA1086" s="347"/>
    </row>
    <row r="1087" spans="1:84" s="385" customFormat="1" ht="15" hidden="1" customHeight="1" x14ac:dyDescent="0.25">
      <c r="A1087" s="313"/>
      <c r="B1087" s="340"/>
      <c r="C1087" s="471" t="s">
        <v>855</v>
      </c>
      <c r="D1087" s="471"/>
      <c r="E1087" s="471"/>
      <c r="F1087" s="471"/>
      <c r="G1087" s="471"/>
      <c r="H1087" s="471"/>
      <c r="I1087" s="471"/>
      <c r="J1087" s="471"/>
      <c r="K1087" s="471"/>
      <c r="L1087" s="471"/>
      <c r="M1087" s="471"/>
      <c r="N1087" s="471"/>
      <c r="O1087" s="471"/>
      <c r="P1087" s="471"/>
      <c r="Q1087" s="471"/>
      <c r="R1087" s="471"/>
      <c r="S1087" s="471"/>
      <c r="T1087" s="471"/>
      <c r="U1087" s="471"/>
      <c r="V1087" s="341"/>
      <c r="W1087" s="1330"/>
      <c r="X1087" s="1330"/>
      <c r="Y1087" s="1330"/>
      <c r="Z1087" s="1330"/>
      <c r="AA1087" s="1330"/>
      <c r="AB1087" s="1330"/>
      <c r="AC1087" s="363"/>
      <c r="AD1087" s="1330"/>
      <c r="AE1087" s="1330"/>
      <c r="AF1087" s="1330"/>
      <c r="AG1087" s="1330"/>
      <c r="AH1087" s="1330"/>
      <c r="AI1087" s="1330"/>
      <c r="AJ1087" s="374"/>
      <c r="AK1087" s="345"/>
      <c r="AL1087" s="340"/>
      <c r="AM1087" s="471"/>
      <c r="AN1087" s="471"/>
      <c r="AO1087" s="471"/>
      <c r="AP1087" s="471"/>
      <c r="AQ1087" s="471"/>
      <c r="AR1087" s="471"/>
      <c r="AS1087" s="471"/>
      <c r="AT1087" s="471"/>
      <c r="AU1087" s="471"/>
      <c r="AV1087" s="471"/>
      <c r="AW1087" s="471"/>
      <c r="AX1087" s="471"/>
      <c r="AY1087" s="471"/>
      <c r="AZ1087" s="471"/>
      <c r="BA1087" s="471"/>
      <c r="BB1087" s="471"/>
      <c r="BC1087" s="471"/>
      <c r="BD1087" s="471"/>
      <c r="BE1087" s="471"/>
      <c r="BF1087" s="341"/>
      <c r="BG1087" s="1330"/>
      <c r="BH1087" s="1330"/>
      <c r="BI1087" s="1330"/>
      <c r="BJ1087" s="1330"/>
      <c r="BK1087" s="1330"/>
      <c r="BL1087" s="1330"/>
      <c r="BM1087" s="363"/>
      <c r="BN1087" s="1330"/>
      <c r="BO1087" s="1330"/>
      <c r="BP1087" s="1330"/>
      <c r="BQ1087" s="1330"/>
      <c r="BR1087" s="1330"/>
      <c r="BS1087" s="1330"/>
      <c r="BT1087" s="361"/>
      <c r="BU1087" s="362"/>
      <c r="BV1087" s="310"/>
      <c r="BW1087" s="310"/>
      <c r="BX1087" s="291">
        <f t="shared" si="76"/>
        <v>0</v>
      </c>
      <c r="BY1087" s="374"/>
      <c r="BZ1087" s="383"/>
      <c r="CA1087" s="383"/>
      <c r="CB1087" s="384"/>
      <c r="CC1087" s="384"/>
      <c r="CD1087" s="384"/>
      <c r="CE1087" s="384"/>
      <c r="CF1087" s="384"/>
    </row>
    <row r="1088" spans="1:84" ht="15" hidden="1" customHeight="1" x14ac:dyDescent="0.25">
      <c r="A1088" s="313"/>
      <c r="B1088" s="340"/>
      <c r="C1088" s="354" t="s">
        <v>1218</v>
      </c>
      <c r="D1088" s="340"/>
      <c r="E1088" s="340"/>
      <c r="F1088" s="340"/>
      <c r="G1088" s="340"/>
      <c r="H1088" s="340"/>
      <c r="I1088" s="340"/>
      <c r="J1088" s="340"/>
      <c r="K1088" s="340"/>
      <c r="L1088" s="340"/>
      <c r="M1088" s="340"/>
      <c r="N1088" s="340"/>
      <c r="O1088" s="340"/>
      <c r="P1088" s="340"/>
      <c r="Q1088" s="340"/>
      <c r="R1088" s="340"/>
      <c r="S1088" s="340"/>
      <c r="T1088" s="340"/>
      <c r="U1088" s="342"/>
      <c r="V1088" s="342"/>
      <c r="W1088" s="1318"/>
      <c r="X1088" s="1318"/>
      <c r="Y1088" s="1318"/>
      <c r="Z1088" s="1318"/>
      <c r="AA1088" s="1318"/>
      <c r="AB1088" s="1318"/>
      <c r="AC1088" s="355"/>
      <c r="AD1088" s="1318"/>
      <c r="AE1088" s="1318"/>
      <c r="AF1088" s="1318"/>
      <c r="AG1088" s="1318"/>
      <c r="AH1088" s="1318"/>
      <c r="AI1088" s="1318"/>
      <c r="AJ1088" s="344"/>
      <c r="AK1088" s="345"/>
      <c r="AL1088" s="340"/>
      <c r="AM1088" s="354" t="s">
        <v>1190</v>
      </c>
      <c r="AN1088" s="340"/>
      <c r="AO1088" s="340"/>
      <c r="AP1088" s="340"/>
      <c r="AQ1088" s="340"/>
      <c r="AR1088" s="340"/>
      <c r="AS1088" s="340"/>
      <c r="AT1088" s="340"/>
      <c r="AU1088" s="340"/>
      <c r="AV1088" s="340"/>
      <c r="AW1088" s="340"/>
      <c r="AX1088" s="340"/>
      <c r="AY1088" s="340"/>
      <c r="AZ1088" s="340"/>
      <c r="BA1088" s="340"/>
      <c r="BB1088" s="340"/>
      <c r="BC1088" s="340"/>
      <c r="BD1088" s="340"/>
      <c r="BE1088" s="342"/>
      <c r="BF1088" s="342"/>
      <c r="BG1088" s="1318">
        <f>W1088</f>
        <v>0</v>
      </c>
      <c r="BH1088" s="1318"/>
      <c r="BI1088" s="1318"/>
      <c r="BJ1088" s="1318"/>
      <c r="BK1088" s="1318"/>
      <c r="BL1088" s="1318"/>
      <c r="BM1088" s="355"/>
      <c r="BN1088" s="1318">
        <f>AD1088</f>
        <v>0</v>
      </c>
      <c r="BO1088" s="1318"/>
      <c r="BP1088" s="1318"/>
      <c r="BQ1088" s="1318"/>
      <c r="BR1088" s="1318"/>
      <c r="BS1088" s="1318"/>
      <c r="BT1088" s="356"/>
      <c r="BU1088" s="357"/>
      <c r="BV1088" s="310"/>
      <c r="BW1088" s="310"/>
      <c r="BX1088" s="291">
        <f t="shared" si="76"/>
        <v>0</v>
      </c>
      <c r="BY1088" s="344"/>
      <c r="BZ1088" s="347"/>
      <c r="CA1088" s="347"/>
    </row>
    <row r="1089" spans="1:79" ht="15" hidden="1" customHeight="1" x14ac:dyDescent="0.25">
      <c r="A1089" s="313"/>
      <c r="B1089" s="340"/>
      <c r="C1089" s="354" t="s">
        <v>1219</v>
      </c>
      <c r="D1089" s="340"/>
      <c r="E1089" s="340"/>
      <c r="F1089" s="340"/>
      <c r="G1089" s="340"/>
      <c r="H1089" s="340"/>
      <c r="I1089" s="340"/>
      <c r="J1089" s="340"/>
      <c r="K1089" s="340"/>
      <c r="L1089" s="340"/>
      <c r="M1089" s="340"/>
      <c r="N1089" s="340"/>
      <c r="O1089" s="340"/>
      <c r="P1089" s="340"/>
      <c r="Q1089" s="340"/>
      <c r="R1089" s="340"/>
      <c r="S1089" s="340"/>
      <c r="T1089" s="340"/>
      <c r="U1089" s="342"/>
      <c r="V1089" s="342"/>
      <c r="W1089" s="1318"/>
      <c r="X1089" s="1318"/>
      <c r="Y1089" s="1318"/>
      <c r="Z1089" s="1318"/>
      <c r="AA1089" s="1318"/>
      <c r="AB1089" s="1318"/>
      <c r="AC1089" s="355"/>
      <c r="AD1089" s="1318"/>
      <c r="AE1089" s="1318"/>
      <c r="AF1089" s="1318"/>
      <c r="AG1089" s="1318"/>
      <c r="AH1089" s="1318"/>
      <c r="AI1089" s="1318"/>
      <c r="AJ1089" s="344"/>
      <c r="AK1089" s="345"/>
      <c r="AL1089" s="340"/>
      <c r="AM1089" s="354" t="s">
        <v>1192</v>
      </c>
      <c r="AN1089" s="340"/>
      <c r="AO1089" s="340"/>
      <c r="AP1089" s="340"/>
      <c r="AQ1089" s="340"/>
      <c r="AR1089" s="340"/>
      <c r="AS1089" s="340"/>
      <c r="AT1089" s="340"/>
      <c r="AU1089" s="340"/>
      <c r="AV1089" s="340"/>
      <c r="AW1089" s="340"/>
      <c r="AX1089" s="340"/>
      <c r="AY1089" s="340"/>
      <c r="AZ1089" s="340"/>
      <c r="BA1089" s="340"/>
      <c r="BB1089" s="340"/>
      <c r="BC1089" s="340"/>
      <c r="BD1089" s="340"/>
      <c r="BE1089" s="342"/>
      <c r="BF1089" s="342"/>
      <c r="BG1089" s="1318">
        <f>W1089</f>
        <v>0</v>
      </c>
      <c r="BH1089" s="1318"/>
      <c r="BI1089" s="1318"/>
      <c r="BJ1089" s="1318"/>
      <c r="BK1089" s="1318"/>
      <c r="BL1089" s="1318"/>
      <c r="BM1089" s="355"/>
      <c r="BN1089" s="1318">
        <f>AD1089</f>
        <v>0</v>
      </c>
      <c r="BO1089" s="1318"/>
      <c r="BP1089" s="1318"/>
      <c r="BQ1089" s="1318"/>
      <c r="BR1089" s="1318"/>
      <c r="BS1089" s="1318"/>
      <c r="BT1089" s="356"/>
      <c r="BU1089" s="357"/>
      <c r="BV1089" s="310"/>
      <c r="BW1089" s="310"/>
      <c r="BX1089" s="291">
        <f t="shared" si="76"/>
        <v>0</v>
      </c>
      <c r="BY1089" s="344"/>
      <c r="BZ1089" s="347"/>
      <c r="CA1089" s="347"/>
    </row>
    <row r="1090" spans="1:79" ht="15" hidden="1" customHeight="1" x14ac:dyDescent="0.25">
      <c r="A1090" s="313"/>
      <c r="B1090" s="340"/>
      <c r="C1090" s="342" t="s">
        <v>1220</v>
      </c>
      <c r="D1090" s="342"/>
      <c r="E1090" s="342"/>
      <c r="F1090" s="342"/>
      <c r="G1090" s="342"/>
      <c r="H1090" s="342"/>
      <c r="I1090" s="342"/>
      <c r="J1090" s="342"/>
      <c r="K1090" s="342"/>
      <c r="L1090" s="342"/>
      <c r="M1090" s="342"/>
      <c r="N1090" s="342"/>
      <c r="O1090" s="342"/>
      <c r="P1090" s="342"/>
      <c r="Q1090" s="342"/>
      <c r="R1090" s="342"/>
      <c r="S1090" s="342"/>
      <c r="T1090" s="342"/>
      <c r="U1090" s="342"/>
      <c r="V1090" s="342"/>
      <c r="W1090" s="1318"/>
      <c r="X1090" s="1318"/>
      <c r="Y1090" s="1318"/>
      <c r="Z1090" s="1318"/>
      <c r="AA1090" s="1318"/>
      <c r="AB1090" s="1318"/>
      <c r="AC1090" s="355"/>
      <c r="AD1090" s="1318"/>
      <c r="AE1090" s="1318"/>
      <c r="AF1090" s="1318"/>
      <c r="AG1090" s="1318"/>
      <c r="AH1090" s="1318"/>
      <c r="AI1090" s="1318"/>
      <c r="AJ1090" s="344"/>
      <c r="AK1090" s="345"/>
      <c r="AL1090" s="340"/>
      <c r="AM1090" s="354" t="s">
        <v>1221</v>
      </c>
      <c r="AN1090" s="342"/>
      <c r="AO1090" s="342"/>
      <c r="AP1090" s="342"/>
      <c r="AQ1090" s="342"/>
      <c r="AR1090" s="342"/>
      <c r="AS1090" s="342"/>
      <c r="AT1090" s="342"/>
      <c r="AU1090" s="342"/>
      <c r="AV1090" s="342"/>
      <c r="AW1090" s="342"/>
      <c r="AX1090" s="342"/>
      <c r="AY1090" s="342"/>
      <c r="AZ1090" s="342"/>
      <c r="BA1090" s="342"/>
      <c r="BB1090" s="342"/>
      <c r="BC1090" s="342"/>
      <c r="BD1090" s="342"/>
      <c r="BE1090" s="342"/>
      <c r="BF1090" s="342"/>
      <c r="BG1090" s="1318">
        <f>W1090</f>
        <v>0</v>
      </c>
      <c r="BH1090" s="1318"/>
      <c r="BI1090" s="1318"/>
      <c r="BJ1090" s="1318"/>
      <c r="BK1090" s="1318"/>
      <c r="BL1090" s="1318"/>
      <c r="BM1090" s="355"/>
      <c r="BN1090" s="1318">
        <f>AD1090</f>
        <v>0</v>
      </c>
      <c r="BO1090" s="1318"/>
      <c r="BP1090" s="1318"/>
      <c r="BQ1090" s="1318"/>
      <c r="BR1090" s="1318"/>
      <c r="BS1090" s="1318"/>
      <c r="BT1090" s="356"/>
      <c r="BU1090" s="357"/>
      <c r="BV1090" s="310"/>
      <c r="BW1090" s="310"/>
      <c r="BX1090" s="291">
        <f t="shared" si="76"/>
        <v>0</v>
      </c>
      <c r="BY1090" s="344"/>
      <c r="BZ1090" s="347"/>
      <c r="CA1090" s="347"/>
    </row>
    <row r="1091" spans="1:79" ht="27.95" hidden="1" customHeight="1" x14ac:dyDescent="0.25">
      <c r="A1091" s="313"/>
      <c r="B1091" s="340"/>
      <c r="C1091" s="1303" t="s">
        <v>1222</v>
      </c>
      <c r="D1091" s="1303"/>
      <c r="E1091" s="1303"/>
      <c r="F1091" s="1303"/>
      <c r="G1091" s="1303"/>
      <c r="H1091" s="1303"/>
      <c r="I1091" s="1303"/>
      <c r="J1091" s="1303"/>
      <c r="K1091" s="1303"/>
      <c r="L1091" s="1303"/>
      <c r="M1091" s="1303"/>
      <c r="N1091" s="1303"/>
      <c r="O1091" s="1303"/>
      <c r="P1091" s="1303"/>
      <c r="Q1091" s="1303"/>
      <c r="R1091" s="1303"/>
      <c r="S1091" s="1303"/>
      <c r="T1091" s="1303"/>
      <c r="U1091" s="1303"/>
      <c r="V1091" s="342"/>
      <c r="W1091" s="1318"/>
      <c r="X1091" s="1318"/>
      <c r="Y1091" s="1318"/>
      <c r="Z1091" s="1318"/>
      <c r="AA1091" s="1318"/>
      <c r="AB1091" s="1318"/>
      <c r="AC1091" s="355"/>
      <c r="AD1091" s="1318"/>
      <c r="AE1091" s="1318"/>
      <c r="AF1091" s="1318"/>
      <c r="AG1091" s="1318"/>
      <c r="AH1091" s="1318"/>
      <c r="AI1091" s="1318"/>
      <c r="AJ1091" s="344"/>
      <c r="AK1091" s="345"/>
      <c r="AL1091" s="340"/>
      <c r="AM1091" s="354" t="s">
        <v>1223</v>
      </c>
      <c r="AN1091" s="367"/>
      <c r="AO1091" s="367"/>
      <c r="AP1091" s="367"/>
      <c r="AQ1091" s="367"/>
      <c r="AR1091" s="367"/>
      <c r="AS1091" s="367"/>
      <c r="AT1091" s="367"/>
      <c r="AU1091" s="367"/>
      <c r="AV1091" s="367"/>
      <c r="AW1091" s="367"/>
      <c r="AX1091" s="367"/>
      <c r="AY1091" s="367"/>
      <c r="AZ1091" s="367"/>
      <c r="BA1091" s="367"/>
      <c r="BB1091" s="367"/>
      <c r="BC1091" s="367"/>
      <c r="BD1091" s="367"/>
      <c r="BE1091" s="367"/>
      <c r="BF1091" s="342"/>
      <c r="BG1091" s="1318">
        <f>W1091</f>
        <v>0</v>
      </c>
      <c r="BH1091" s="1318"/>
      <c r="BI1091" s="1318"/>
      <c r="BJ1091" s="1318"/>
      <c r="BK1091" s="1318"/>
      <c r="BL1091" s="1318"/>
      <c r="BM1091" s="355"/>
      <c r="BN1091" s="1318">
        <f>AD1091</f>
        <v>0</v>
      </c>
      <c r="BO1091" s="1318"/>
      <c r="BP1091" s="1318"/>
      <c r="BQ1091" s="1318"/>
      <c r="BR1091" s="1318"/>
      <c r="BS1091" s="1318"/>
      <c r="BT1091" s="356"/>
      <c r="BU1091" s="357"/>
      <c r="BV1091" s="310"/>
      <c r="BW1091" s="310"/>
      <c r="BX1091" s="291">
        <f t="shared" si="76"/>
        <v>0</v>
      </c>
      <c r="BY1091" s="344"/>
      <c r="BZ1091" s="347"/>
      <c r="CA1091" s="347"/>
    </row>
    <row r="1092" spans="1:79" ht="15" hidden="1" customHeight="1" x14ac:dyDescent="0.25">
      <c r="A1092" s="313"/>
      <c r="B1092" s="340"/>
      <c r="C1092" s="342" t="s">
        <v>1224</v>
      </c>
      <c r="D1092" s="342"/>
      <c r="E1092" s="342"/>
      <c r="F1092" s="342"/>
      <c r="G1092" s="342"/>
      <c r="H1092" s="342"/>
      <c r="I1092" s="342"/>
      <c r="J1092" s="342"/>
      <c r="K1092" s="342"/>
      <c r="L1092" s="342"/>
      <c r="M1092" s="342"/>
      <c r="N1092" s="342"/>
      <c r="O1092" s="342"/>
      <c r="P1092" s="342"/>
      <c r="Q1092" s="342"/>
      <c r="R1092" s="342"/>
      <c r="S1092" s="342"/>
      <c r="T1092" s="342"/>
      <c r="U1092" s="342"/>
      <c r="V1092" s="342"/>
      <c r="W1092" s="1318"/>
      <c r="X1092" s="1318"/>
      <c r="Y1092" s="1318"/>
      <c r="Z1092" s="1318"/>
      <c r="AA1092" s="1318"/>
      <c r="AB1092" s="1318"/>
      <c r="AC1092" s="355"/>
      <c r="AD1092" s="1318"/>
      <c r="AE1092" s="1318"/>
      <c r="AF1092" s="1318"/>
      <c r="AG1092" s="1318"/>
      <c r="AH1092" s="1318"/>
      <c r="AI1092" s="1318"/>
      <c r="AJ1092" s="344"/>
      <c r="AK1092" s="345"/>
      <c r="AL1092" s="340"/>
      <c r="AM1092" s="342" t="s">
        <v>1225</v>
      </c>
      <c r="AN1092" s="342"/>
      <c r="AO1092" s="342"/>
      <c r="AP1092" s="342"/>
      <c r="AQ1092" s="342"/>
      <c r="AR1092" s="342"/>
      <c r="AS1092" s="342"/>
      <c r="AT1092" s="342"/>
      <c r="AU1092" s="342"/>
      <c r="AV1092" s="342"/>
      <c r="AW1092" s="342"/>
      <c r="AX1092" s="342"/>
      <c r="AY1092" s="342"/>
      <c r="AZ1092" s="342"/>
      <c r="BA1092" s="342"/>
      <c r="BB1092" s="342"/>
      <c r="BC1092" s="342"/>
      <c r="BD1092" s="342"/>
      <c r="BE1092" s="342"/>
      <c r="BF1092" s="342"/>
      <c r="BG1092" s="1318">
        <f>W1092</f>
        <v>0</v>
      </c>
      <c r="BH1092" s="1318"/>
      <c r="BI1092" s="1318"/>
      <c r="BJ1092" s="1318"/>
      <c r="BK1092" s="1318"/>
      <c r="BL1092" s="1318"/>
      <c r="BM1092" s="355"/>
      <c r="BN1092" s="1318">
        <f>AD1092</f>
        <v>0</v>
      </c>
      <c r="BO1092" s="1318"/>
      <c r="BP1092" s="1318"/>
      <c r="BQ1092" s="1318"/>
      <c r="BR1092" s="1318"/>
      <c r="BS1092" s="1318"/>
      <c r="BT1092" s="356"/>
      <c r="BU1092" s="357"/>
      <c r="BV1092" s="310"/>
      <c r="BW1092" s="310"/>
      <c r="BX1092" s="291">
        <f t="shared" si="76"/>
        <v>0</v>
      </c>
      <c r="BY1092" s="344"/>
      <c r="BZ1092" s="347"/>
      <c r="CA1092" s="347"/>
    </row>
    <row r="1093" spans="1:79" ht="15" hidden="1" customHeight="1" x14ac:dyDescent="0.25">
      <c r="A1093" s="313"/>
      <c r="B1093" s="340"/>
      <c r="C1093" s="342"/>
      <c r="D1093" s="342"/>
      <c r="E1093" s="342"/>
      <c r="F1093" s="342"/>
      <c r="G1093" s="342"/>
      <c r="H1093" s="342"/>
      <c r="I1093" s="342"/>
      <c r="J1093" s="342"/>
      <c r="K1093" s="342"/>
      <c r="L1093" s="342"/>
      <c r="M1093" s="342"/>
      <c r="N1093" s="342"/>
      <c r="O1093" s="342"/>
      <c r="P1093" s="342"/>
      <c r="Q1093" s="342"/>
      <c r="R1093" s="342"/>
      <c r="S1093" s="342"/>
      <c r="T1093" s="342"/>
      <c r="U1093" s="342"/>
      <c r="V1093" s="342"/>
      <c r="W1093" s="1318"/>
      <c r="X1093" s="1318"/>
      <c r="Y1093" s="1318"/>
      <c r="Z1093" s="1318"/>
      <c r="AA1093" s="1318"/>
      <c r="AB1093" s="1318"/>
      <c r="AC1093" s="355"/>
      <c r="AD1093" s="1318"/>
      <c r="AE1093" s="1318"/>
      <c r="AF1093" s="1318"/>
      <c r="AG1093" s="1318"/>
      <c r="AH1093" s="1318"/>
      <c r="AI1093" s="1318"/>
      <c r="AJ1093" s="344"/>
      <c r="AK1093" s="345"/>
      <c r="AL1093" s="340"/>
      <c r="AM1093" s="342"/>
      <c r="AN1093" s="342"/>
      <c r="AO1093" s="342"/>
      <c r="AP1093" s="342"/>
      <c r="AQ1093" s="342"/>
      <c r="AR1093" s="342"/>
      <c r="AS1093" s="342"/>
      <c r="AT1093" s="342"/>
      <c r="AU1093" s="342"/>
      <c r="AV1093" s="342"/>
      <c r="AW1093" s="342"/>
      <c r="AX1093" s="342"/>
      <c r="AY1093" s="342"/>
      <c r="AZ1093" s="342"/>
      <c r="BA1093" s="342"/>
      <c r="BB1093" s="342"/>
      <c r="BC1093" s="342"/>
      <c r="BD1093" s="342"/>
      <c r="BE1093" s="342"/>
      <c r="BF1093" s="342"/>
      <c r="BG1093" s="1318"/>
      <c r="BH1093" s="1318"/>
      <c r="BI1093" s="1318"/>
      <c r="BJ1093" s="1318"/>
      <c r="BK1093" s="1318"/>
      <c r="BL1093" s="1318"/>
      <c r="BM1093" s="355"/>
      <c r="BN1093" s="1318"/>
      <c r="BO1093" s="1318"/>
      <c r="BP1093" s="1318"/>
      <c r="BQ1093" s="1318"/>
      <c r="BR1093" s="1318"/>
      <c r="BS1093" s="1318"/>
      <c r="BT1093" s="359"/>
      <c r="BU1093" s="346"/>
      <c r="BV1093" s="310"/>
      <c r="BW1093" s="310"/>
      <c r="BX1093" s="291">
        <f>IF(ISNONTEXT($C1093),0,SUM(D1093:AI1093)-SUM(AN1093:BS1093))</f>
        <v>0</v>
      </c>
      <c r="BY1093" s="344"/>
      <c r="BZ1093" s="347"/>
      <c r="CA1093" s="347"/>
    </row>
    <row r="1094" spans="1:79" ht="15" hidden="1" customHeight="1" thickBot="1" x14ac:dyDescent="0.3">
      <c r="A1094" s="313"/>
      <c r="B1094" s="340"/>
      <c r="C1094" s="360" t="s">
        <v>752</v>
      </c>
      <c r="D1094" s="340"/>
      <c r="E1094" s="340"/>
      <c r="F1094" s="340"/>
      <c r="G1094" s="340"/>
      <c r="H1094" s="340"/>
      <c r="I1094" s="340"/>
      <c r="J1094" s="340"/>
      <c r="K1094" s="340"/>
      <c r="L1094" s="340"/>
      <c r="M1094" s="340"/>
      <c r="N1094" s="340"/>
      <c r="O1094" s="340"/>
      <c r="P1094" s="340"/>
      <c r="Q1094" s="340"/>
      <c r="R1094" s="340"/>
      <c r="S1094" s="340"/>
      <c r="T1094" s="340"/>
      <c r="U1094" s="342"/>
      <c r="V1094" s="342"/>
      <c r="W1094" s="1359">
        <f>SUBTOTAL(109,W1087:AB1092)</f>
        <v>0</v>
      </c>
      <c r="X1094" s="1359"/>
      <c r="Y1094" s="1359"/>
      <c r="Z1094" s="1359"/>
      <c r="AA1094" s="1359"/>
      <c r="AB1094" s="1359"/>
      <c r="AC1094" s="355"/>
      <c r="AD1094" s="1359">
        <f>SUBTOTAL(109,AD1087:AI1092)</f>
        <v>0</v>
      </c>
      <c r="AE1094" s="1359"/>
      <c r="AF1094" s="1359"/>
      <c r="AG1094" s="1359"/>
      <c r="AH1094" s="1359"/>
      <c r="AI1094" s="1359"/>
      <c r="AJ1094" s="344"/>
      <c r="AK1094" s="345"/>
      <c r="AL1094" s="340"/>
      <c r="AM1094" s="360" t="s">
        <v>752</v>
      </c>
      <c r="AN1094" s="340"/>
      <c r="AO1094" s="340"/>
      <c r="AP1094" s="340"/>
      <c r="AQ1094" s="340"/>
      <c r="AR1094" s="340"/>
      <c r="AS1094" s="340"/>
      <c r="AT1094" s="340"/>
      <c r="AU1094" s="340"/>
      <c r="AV1094" s="340"/>
      <c r="AW1094" s="340"/>
      <c r="AX1094" s="340"/>
      <c r="AY1094" s="340"/>
      <c r="AZ1094" s="340"/>
      <c r="BA1094" s="340"/>
      <c r="BB1094" s="340"/>
      <c r="BC1094" s="340"/>
      <c r="BD1094" s="340"/>
      <c r="BE1094" s="342"/>
      <c r="BF1094" s="342"/>
      <c r="BG1094" s="1359">
        <f>SUBTOTAL(109,BG1081:BL1092)</f>
        <v>0</v>
      </c>
      <c r="BH1094" s="1359"/>
      <c r="BI1094" s="1359"/>
      <c r="BJ1094" s="1359"/>
      <c r="BK1094" s="1359"/>
      <c r="BL1094" s="1359"/>
      <c r="BM1094" s="355"/>
      <c r="BN1094" s="1359">
        <f>SUBTOTAL(109,BN1081:BS1092)</f>
        <v>0</v>
      </c>
      <c r="BO1094" s="1359"/>
      <c r="BP1094" s="1359"/>
      <c r="BQ1094" s="1359"/>
      <c r="BR1094" s="1359"/>
      <c r="BS1094" s="1359"/>
      <c r="BT1094" s="361"/>
      <c r="BU1094" s="362"/>
      <c r="BV1094" s="310">
        <f>W1094-KN_CT315</f>
        <v>-125537580</v>
      </c>
      <c r="BW1094" s="310">
        <f>AD1094-KT_CT315</f>
        <v>-93606333</v>
      </c>
      <c r="BX1094" s="291">
        <f>IF(ISNONTEXT($C1094),0,SUM(D1094:AI1094)-SUM(AN1094:BS1094))</f>
        <v>0</v>
      </c>
      <c r="BY1094" s="344"/>
      <c r="BZ1094" s="347"/>
      <c r="CA1094" s="347"/>
    </row>
    <row r="1095" spans="1:79" ht="15" hidden="1" customHeight="1" thickTop="1" x14ac:dyDescent="0.25">
      <c r="A1095" s="313"/>
      <c r="B1095" s="340"/>
      <c r="C1095" s="342"/>
      <c r="D1095" s="342"/>
      <c r="E1095" s="342"/>
      <c r="F1095" s="342"/>
      <c r="G1095" s="342"/>
      <c r="H1095" s="342"/>
      <c r="I1095" s="342"/>
      <c r="J1095" s="342"/>
      <c r="K1095" s="342"/>
      <c r="L1095" s="342"/>
      <c r="M1095" s="342"/>
      <c r="N1095" s="342"/>
      <c r="O1095" s="342"/>
      <c r="P1095" s="342"/>
      <c r="Q1095" s="342"/>
      <c r="R1095" s="342"/>
      <c r="S1095" s="342"/>
      <c r="T1095" s="342"/>
      <c r="U1095" s="342"/>
      <c r="V1095" s="342"/>
      <c r="W1095" s="1318"/>
      <c r="X1095" s="1318"/>
      <c r="Y1095" s="1318"/>
      <c r="Z1095" s="1318"/>
      <c r="AA1095" s="1318"/>
      <c r="AB1095" s="1318"/>
      <c r="AC1095" s="355"/>
      <c r="AD1095" s="1318"/>
      <c r="AE1095" s="1318"/>
      <c r="AF1095" s="1318"/>
      <c r="AG1095" s="1318"/>
      <c r="AH1095" s="1318"/>
      <c r="AI1095" s="1318"/>
      <c r="AJ1095" s="344"/>
      <c r="AK1095" s="345"/>
      <c r="AL1095" s="340"/>
      <c r="AM1095" s="342"/>
      <c r="AN1095" s="342"/>
      <c r="AO1095" s="342"/>
      <c r="AP1095" s="342"/>
      <c r="AQ1095" s="342"/>
      <c r="AR1095" s="342"/>
      <c r="AS1095" s="342"/>
      <c r="AT1095" s="342"/>
      <c r="AU1095" s="342"/>
      <c r="AV1095" s="342"/>
      <c r="AW1095" s="342"/>
      <c r="AX1095" s="342"/>
      <c r="AY1095" s="342"/>
      <c r="AZ1095" s="342"/>
      <c r="BA1095" s="342"/>
      <c r="BB1095" s="342"/>
      <c r="BC1095" s="342"/>
      <c r="BD1095" s="342"/>
      <c r="BE1095" s="342"/>
      <c r="BF1095" s="342"/>
      <c r="BG1095" s="1318"/>
      <c r="BH1095" s="1318"/>
      <c r="BI1095" s="1318"/>
      <c r="BJ1095" s="1318"/>
      <c r="BK1095" s="1318"/>
      <c r="BL1095" s="1318"/>
      <c r="BM1095" s="355"/>
      <c r="BN1095" s="1318"/>
      <c r="BO1095" s="1318"/>
      <c r="BP1095" s="1318"/>
      <c r="BQ1095" s="1318"/>
      <c r="BR1095" s="1318"/>
      <c r="BS1095" s="1318"/>
      <c r="BT1095" s="356"/>
      <c r="BU1095" s="357"/>
      <c r="BV1095" s="310"/>
      <c r="BW1095" s="310"/>
      <c r="BX1095" s="291">
        <f>IF(ISNONTEXT($C1095),0,SUM(D1095:AI1095)-SUM(AN1095:BS1095))</f>
        <v>0</v>
      </c>
      <c r="BY1095" s="344"/>
      <c r="BZ1095" s="347"/>
      <c r="CA1095" s="347"/>
    </row>
    <row r="1096" spans="1:79" ht="15" hidden="1" customHeight="1" x14ac:dyDescent="0.25">
      <c r="A1096" s="313"/>
      <c r="B1096" s="340"/>
      <c r="C1096" s="471" t="s">
        <v>850</v>
      </c>
      <c r="D1096" s="341"/>
      <c r="E1096" s="341"/>
      <c r="F1096" s="341"/>
      <c r="G1096" s="341"/>
      <c r="H1096" s="341"/>
      <c r="I1096" s="341"/>
      <c r="J1096" s="341"/>
      <c r="K1096" s="341"/>
      <c r="L1096" s="341"/>
      <c r="M1096" s="341"/>
      <c r="N1096" s="341"/>
      <c r="O1096" s="341"/>
      <c r="P1096" s="341"/>
      <c r="Q1096" s="341"/>
      <c r="R1096" s="341"/>
      <c r="S1096" s="341"/>
      <c r="T1096" s="341"/>
      <c r="U1096" s="341"/>
      <c r="V1096" s="341"/>
      <c r="W1096" s="1330"/>
      <c r="X1096" s="1330"/>
      <c r="Y1096" s="1330"/>
      <c r="Z1096" s="1330"/>
      <c r="AA1096" s="1330"/>
      <c r="AB1096" s="1330"/>
      <c r="AC1096" s="363"/>
      <c r="AD1096" s="1330"/>
      <c r="AE1096" s="1330"/>
      <c r="AF1096" s="1330"/>
      <c r="AG1096" s="1330"/>
      <c r="AH1096" s="1330"/>
      <c r="AI1096" s="1330"/>
      <c r="AJ1096" s="344"/>
      <c r="AK1096" s="345"/>
      <c r="AL1096" s="340"/>
      <c r="AM1096" s="471"/>
      <c r="AN1096" s="341"/>
      <c r="AO1096" s="341"/>
      <c r="AP1096" s="341"/>
      <c r="AQ1096" s="341"/>
      <c r="AR1096" s="341"/>
      <c r="AS1096" s="341"/>
      <c r="AT1096" s="341"/>
      <c r="AU1096" s="341"/>
      <c r="AV1096" s="341"/>
      <c r="AW1096" s="341"/>
      <c r="AX1096" s="341"/>
      <c r="AY1096" s="341"/>
      <c r="AZ1096" s="341"/>
      <c r="BA1096" s="341"/>
      <c r="BB1096" s="341"/>
      <c r="BC1096" s="341"/>
      <c r="BD1096" s="341"/>
      <c r="BE1096" s="341"/>
      <c r="BF1096" s="341"/>
      <c r="BG1096" s="1330"/>
      <c r="BH1096" s="1330"/>
      <c r="BI1096" s="1330"/>
      <c r="BJ1096" s="1330"/>
      <c r="BK1096" s="1330"/>
      <c r="BL1096" s="1330"/>
      <c r="BM1096" s="363"/>
      <c r="BN1096" s="1330"/>
      <c r="BO1096" s="1330"/>
      <c r="BP1096" s="1330"/>
      <c r="BQ1096" s="1330"/>
      <c r="BR1096" s="1330"/>
      <c r="BS1096" s="1330"/>
      <c r="BT1096" s="356"/>
      <c r="BU1096" s="357"/>
      <c r="BV1096" s="310"/>
      <c r="BW1096" s="310"/>
      <c r="BX1096" s="291">
        <f t="shared" si="76"/>
        <v>0</v>
      </c>
      <c r="BY1096" s="344"/>
      <c r="BZ1096" s="347"/>
      <c r="CA1096" s="347"/>
    </row>
    <row r="1097" spans="1:79" ht="15" hidden="1" customHeight="1" x14ac:dyDescent="0.25">
      <c r="A1097" s="313"/>
      <c r="B1097" s="340"/>
      <c r="C1097" s="354" t="s">
        <v>1218</v>
      </c>
      <c r="D1097" s="342"/>
      <c r="E1097" s="342"/>
      <c r="F1097" s="342"/>
      <c r="G1097" s="342"/>
      <c r="H1097" s="342"/>
      <c r="I1097" s="342"/>
      <c r="J1097" s="342"/>
      <c r="K1097" s="342"/>
      <c r="L1097" s="342"/>
      <c r="M1097" s="342"/>
      <c r="N1097" s="342"/>
      <c r="O1097" s="342"/>
      <c r="P1097" s="342"/>
      <c r="Q1097" s="342"/>
      <c r="R1097" s="342"/>
      <c r="S1097" s="342"/>
      <c r="T1097" s="342"/>
      <c r="U1097" s="342"/>
      <c r="V1097" s="342"/>
      <c r="W1097" s="1318"/>
      <c r="X1097" s="1318"/>
      <c r="Y1097" s="1318"/>
      <c r="Z1097" s="1318"/>
      <c r="AA1097" s="1318"/>
      <c r="AB1097" s="1318"/>
      <c r="AC1097" s="355"/>
      <c r="AD1097" s="1318"/>
      <c r="AE1097" s="1318"/>
      <c r="AF1097" s="1318"/>
      <c r="AG1097" s="1318"/>
      <c r="AH1097" s="1318"/>
      <c r="AI1097" s="1318"/>
      <c r="AJ1097" s="344"/>
      <c r="AK1097" s="345"/>
      <c r="AL1097" s="340"/>
      <c r="AM1097" s="354" t="s">
        <v>1190</v>
      </c>
      <c r="AN1097" s="342"/>
      <c r="AO1097" s="342"/>
      <c r="AP1097" s="342"/>
      <c r="AQ1097" s="342"/>
      <c r="AR1097" s="342"/>
      <c r="AS1097" s="342"/>
      <c r="AT1097" s="342"/>
      <c r="AU1097" s="342"/>
      <c r="AV1097" s="342"/>
      <c r="AW1097" s="342"/>
      <c r="AX1097" s="342"/>
      <c r="AY1097" s="342"/>
      <c r="AZ1097" s="342"/>
      <c r="BA1097" s="342"/>
      <c r="BB1097" s="342"/>
      <c r="BC1097" s="342"/>
      <c r="BD1097" s="342"/>
      <c r="BE1097" s="342"/>
      <c r="BF1097" s="342"/>
      <c r="BG1097" s="1318">
        <f>W1097</f>
        <v>0</v>
      </c>
      <c r="BH1097" s="1318"/>
      <c r="BI1097" s="1318"/>
      <c r="BJ1097" s="1318"/>
      <c r="BK1097" s="1318"/>
      <c r="BL1097" s="1318"/>
      <c r="BM1097" s="355"/>
      <c r="BN1097" s="1318">
        <f>AD1097</f>
        <v>0</v>
      </c>
      <c r="BO1097" s="1318"/>
      <c r="BP1097" s="1318"/>
      <c r="BQ1097" s="1318"/>
      <c r="BR1097" s="1318"/>
      <c r="BS1097" s="1318"/>
      <c r="BT1097" s="359"/>
      <c r="BU1097" s="346"/>
      <c r="BV1097" s="310"/>
      <c r="BW1097" s="310"/>
      <c r="BX1097" s="291">
        <f t="shared" si="76"/>
        <v>0</v>
      </c>
      <c r="BY1097" s="344"/>
      <c r="BZ1097" s="347"/>
      <c r="CA1097" s="347"/>
    </row>
    <row r="1098" spans="1:79" ht="15" hidden="1" customHeight="1" x14ac:dyDescent="0.25">
      <c r="A1098" s="313"/>
      <c r="B1098" s="340"/>
      <c r="C1098" s="434" t="s">
        <v>1226</v>
      </c>
      <c r="D1098" s="342"/>
      <c r="E1098" s="342"/>
      <c r="F1098" s="342"/>
      <c r="G1098" s="342"/>
      <c r="H1098" s="342"/>
      <c r="I1098" s="342"/>
      <c r="J1098" s="342"/>
      <c r="K1098" s="342"/>
      <c r="L1098" s="342"/>
      <c r="M1098" s="342"/>
      <c r="N1098" s="342"/>
      <c r="O1098" s="342"/>
      <c r="P1098" s="342"/>
      <c r="Q1098" s="342"/>
      <c r="R1098" s="342"/>
      <c r="S1098" s="342"/>
      <c r="T1098" s="342"/>
      <c r="U1098" s="342"/>
      <c r="V1098" s="342"/>
      <c r="W1098" s="1318"/>
      <c r="X1098" s="1318"/>
      <c r="Y1098" s="1318"/>
      <c r="Z1098" s="1318"/>
      <c r="AA1098" s="1318"/>
      <c r="AB1098" s="1318"/>
      <c r="AC1098" s="355"/>
      <c r="AD1098" s="1318"/>
      <c r="AE1098" s="1318"/>
      <c r="AF1098" s="1318"/>
      <c r="AG1098" s="1318"/>
      <c r="AH1098" s="1318"/>
      <c r="AI1098" s="1318"/>
      <c r="AJ1098" s="344"/>
      <c r="AK1098" s="345"/>
      <c r="AL1098" s="340"/>
      <c r="AM1098" s="434" t="s">
        <v>1197</v>
      </c>
      <c r="AN1098" s="342"/>
      <c r="AO1098" s="342"/>
      <c r="AP1098" s="342"/>
      <c r="AQ1098" s="342"/>
      <c r="AR1098" s="342"/>
      <c r="AS1098" s="342"/>
      <c r="AT1098" s="342"/>
      <c r="AU1098" s="342"/>
      <c r="AV1098" s="342"/>
      <c r="AW1098" s="342"/>
      <c r="AX1098" s="342"/>
      <c r="AY1098" s="342"/>
      <c r="AZ1098" s="342"/>
      <c r="BA1098" s="342"/>
      <c r="BB1098" s="342"/>
      <c r="BC1098" s="342"/>
      <c r="BD1098" s="342"/>
      <c r="BE1098" s="342"/>
      <c r="BF1098" s="342"/>
      <c r="BG1098" s="1318">
        <f>W1098</f>
        <v>0</v>
      </c>
      <c r="BH1098" s="1318"/>
      <c r="BI1098" s="1318"/>
      <c r="BJ1098" s="1318"/>
      <c r="BK1098" s="1318"/>
      <c r="BL1098" s="1318"/>
      <c r="BM1098" s="355"/>
      <c r="BN1098" s="1318">
        <f>AD1098</f>
        <v>0</v>
      </c>
      <c r="BO1098" s="1318"/>
      <c r="BP1098" s="1318"/>
      <c r="BQ1098" s="1318"/>
      <c r="BR1098" s="1318"/>
      <c r="BS1098" s="1318"/>
      <c r="BT1098" s="359"/>
      <c r="BU1098" s="346"/>
      <c r="BV1098" s="310"/>
      <c r="BW1098" s="310"/>
      <c r="BX1098" s="291">
        <f t="shared" si="76"/>
        <v>0</v>
      </c>
      <c r="BY1098" s="344"/>
      <c r="BZ1098" s="347"/>
      <c r="CA1098" s="347"/>
    </row>
    <row r="1099" spans="1:79" ht="15" hidden="1" customHeight="1" x14ac:dyDescent="0.25">
      <c r="A1099" s="313"/>
      <c r="B1099" s="340"/>
      <c r="C1099" s="342"/>
      <c r="D1099" s="342"/>
      <c r="E1099" s="342"/>
      <c r="F1099" s="342"/>
      <c r="G1099" s="342"/>
      <c r="H1099" s="342"/>
      <c r="I1099" s="342"/>
      <c r="J1099" s="342"/>
      <c r="K1099" s="342"/>
      <c r="L1099" s="342"/>
      <c r="M1099" s="342"/>
      <c r="N1099" s="342"/>
      <c r="O1099" s="342"/>
      <c r="P1099" s="342"/>
      <c r="Q1099" s="342"/>
      <c r="R1099" s="342"/>
      <c r="S1099" s="342"/>
      <c r="T1099" s="342"/>
      <c r="U1099" s="342"/>
      <c r="V1099" s="342"/>
      <c r="W1099" s="1318"/>
      <c r="X1099" s="1318"/>
      <c r="Y1099" s="1318"/>
      <c r="Z1099" s="1318"/>
      <c r="AA1099" s="1318"/>
      <c r="AB1099" s="1318"/>
      <c r="AC1099" s="355"/>
      <c r="AD1099" s="1318"/>
      <c r="AE1099" s="1318"/>
      <c r="AF1099" s="1318"/>
      <c r="AG1099" s="1318"/>
      <c r="AH1099" s="1318"/>
      <c r="AI1099" s="1318"/>
      <c r="AJ1099" s="344"/>
      <c r="AK1099" s="345"/>
      <c r="AL1099" s="340"/>
      <c r="AM1099" s="342"/>
      <c r="AN1099" s="342"/>
      <c r="AO1099" s="342"/>
      <c r="AP1099" s="342"/>
      <c r="AQ1099" s="342"/>
      <c r="AR1099" s="342"/>
      <c r="AS1099" s="342"/>
      <c r="AT1099" s="342"/>
      <c r="AU1099" s="342"/>
      <c r="AV1099" s="342"/>
      <c r="AW1099" s="342"/>
      <c r="AX1099" s="342"/>
      <c r="AY1099" s="342"/>
      <c r="AZ1099" s="342"/>
      <c r="BA1099" s="342"/>
      <c r="BB1099" s="342"/>
      <c r="BC1099" s="342"/>
      <c r="BD1099" s="342"/>
      <c r="BE1099" s="342"/>
      <c r="BF1099" s="342"/>
      <c r="BG1099" s="1318"/>
      <c r="BH1099" s="1318"/>
      <c r="BI1099" s="1318"/>
      <c r="BJ1099" s="1318"/>
      <c r="BK1099" s="1318"/>
      <c r="BL1099" s="1318"/>
      <c r="BM1099" s="355"/>
      <c r="BN1099" s="1318"/>
      <c r="BO1099" s="1318"/>
      <c r="BP1099" s="1318"/>
      <c r="BQ1099" s="1318"/>
      <c r="BR1099" s="1318"/>
      <c r="BS1099" s="1318"/>
      <c r="BT1099" s="359"/>
      <c r="BU1099" s="346"/>
      <c r="BV1099" s="310"/>
      <c r="BW1099" s="310"/>
      <c r="BX1099" s="291">
        <f t="shared" si="76"/>
        <v>0</v>
      </c>
      <c r="BY1099" s="344"/>
      <c r="BZ1099" s="347"/>
      <c r="CA1099" s="347"/>
    </row>
    <row r="1100" spans="1:79" ht="15" hidden="1" customHeight="1" thickBot="1" x14ac:dyDescent="0.3">
      <c r="A1100" s="313"/>
      <c r="B1100" s="340"/>
      <c r="C1100" s="360" t="s">
        <v>752</v>
      </c>
      <c r="D1100" s="340"/>
      <c r="E1100" s="340"/>
      <c r="F1100" s="340"/>
      <c r="G1100" s="340"/>
      <c r="H1100" s="340"/>
      <c r="I1100" s="340"/>
      <c r="J1100" s="340"/>
      <c r="K1100" s="340"/>
      <c r="L1100" s="340"/>
      <c r="M1100" s="340"/>
      <c r="N1100" s="340"/>
      <c r="O1100" s="340"/>
      <c r="P1100" s="340"/>
      <c r="Q1100" s="340"/>
      <c r="R1100" s="340"/>
      <c r="S1100" s="340"/>
      <c r="T1100" s="340"/>
      <c r="U1100" s="342"/>
      <c r="V1100" s="342"/>
      <c r="W1100" s="1359">
        <f>SUBTOTAL(109,W1096:AB1098)</f>
        <v>0</v>
      </c>
      <c r="X1100" s="1359"/>
      <c r="Y1100" s="1359"/>
      <c r="Z1100" s="1359"/>
      <c r="AA1100" s="1359"/>
      <c r="AB1100" s="1359"/>
      <c r="AC1100" s="355"/>
      <c r="AD1100" s="1359">
        <f>SUBTOTAL(109,AD1096:AI1098)</f>
        <v>0</v>
      </c>
      <c r="AE1100" s="1359"/>
      <c r="AF1100" s="1359"/>
      <c r="AG1100" s="1359"/>
      <c r="AH1100" s="1359"/>
      <c r="AI1100" s="1359"/>
      <c r="AJ1100" s="344"/>
      <c r="AK1100" s="345"/>
      <c r="AL1100" s="340"/>
      <c r="AM1100" s="360" t="s">
        <v>752</v>
      </c>
      <c r="AN1100" s="340"/>
      <c r="AO1100" s="340"/>
      <c r="AP1100" s="340"/>
      <c r="AQ1100" s="340"/>
      <c r="AR1100" s="340"/>
      <c r="AS1100" s="340"/>
      <c r="AT1100" s="340"/>
      <c r="AU1100" s="340"/>
      <c r="AV1100" s="340"/>
      <c r="AW1100" s="340"/>
      <c r="AX1100" s="340"/>
      <c r="AY1100" s="340"/>
      <c r="AZ1100" s="340"/>
      <c r="BA1100" s="340"/>
      <c r="BB1100" s="340"/>
      <c r="BC1100" s="340"/>
      <c r="BD1100" s="340"/>
      <c r="BE1100" s="342"/>
      <c r="BF1100" s="342"/>
      <c r="BG1100" s="1359">
        <f>SUBTOTAL(109,BG1087:BL1098)</f>
        <v>0</v>
      </c>
      <c r="BH1100" s="1359"/>
      <c r="BI1100" s="1359"/>
      <c r="BJ1100" s="1359"/>
      <c r="BK1100" s="1359"/>
      <c r="BL1100" s="1359"/>
      <c r="BM1100" s="355"/>
      <c r="BN1100" s="1359">
        <f>SUBTOTAL(109,BN1087:BS1098)</f>
        <v>0</v>
      </c>
      <c r="BO1100" s="1359"/>
      <c r="BP1100" s="1359"/>
      <c r="BQ1100" s="1359"/>
      <c r="BR1100" s="1359"/>
      <c r="BS1100" s="1359"/>
      <c r="BT1100" s="361"/>
      <c r="BU1100" s="362"/>
      <c r="BV1100" s="310">
        <f>W1100-KN_CT333</f>
        <v>0</v>
      </c>
      <c r="BW1100" s="310">
        <f>AD1100-KT_CT333</f>
        <v>0</v>
      </c>
      <c r="BX1100" s="291">
        <f t="shared" si="76"/>
        <v>0</v>
      </c>
      <c r="BY1100" s="344"/>
      <c r="BZ1100" s="347"/>
      <c r="CA1100" s="347"/>
    </row>
    <row r="1101" spans="1:79" ht="2.1" hidden="1" customHeight="1" thickTop="1" x14ac:dyDescent="0.25">
      <c r="A1101" s="313"/>
      <c r="B1101" s="454"/>
      <c r="C1101" s="392"/>
      <c r="D1101" s="392"/>
      <c r="E1101" s="392"/>
      <c r="F1101" s="392"/>
      <c r="G1101" s="392"/>
      <c r="H1101" s="392"/>
      <c r="I1101" s="392"/>
      <c r="J1101" s="392"/>
      <c r="K1101" s="392"/>
      <c r="L1101" s="392"/>
      <c r="M1101" s="392"/>
      <c r="N1101" s="392"/>
      <c r="O1101" s="392"/>
      <c r="P1101" s="392"/>
      <c r="Q1101" s="392"/>
      <c r="R1101" s="392"/>
      <c r="S1101" s="392"/>
      <c r="T1101" s="392"/>
      <c r="U1101" s="392"/>
      <c r="V1101" s="392"/>
      <c r="W1101" s="393"/>
      <c r="X1101" s="393"/>
      <c r="Y1101" s="393"/>
      <c r="Z1101" s="393"/>
      <c r="AA1101" s="393"/>
      <c r="AB1101" s="393"/>
      <c r="AC1101" s="343"/>
      <c r="AD1101" s="343"/>
      <c r="AE1101" s="343"/>
      <c r="AF1101" s="343"/>
      <c r="AG1101" s="343"/>
      <c r="AH1101" s="343"/>
      <c r="AI1101" s="343"/>
      <c r="AJ1101" s="344"/>
      <c r="AK1101" s="345"/>
      <c r="AL1101" s="340"/>
      <c r="AM1101" s="392"/>
      <c r="AN1101" s="392"/>
      <c r="AO1101" s="392"/>
      <c r="AP1101" s="392"/>
      <c r="AQ1101" s="392"/>
      <c r="AR1101" s="392"/>
      <c r="AS1101" s="392"/>
      <c r="AT1101" s="392"/>
      <c r="AU1101" s="392"/>
      <c r="AV1101" s="392"/>
      <c r="AW1101" s="392"/>
      <c r="AX1101" s="392"/>
      <c r="AY1101" s="392"/>
      <c r="AZ1101" s="392"/>
      <c r="BA1101" s="392"/>
      <c r="BB1101" s="392"/>
      <c r="BC1101" s="392"/>
      <c r="BD1101" s="392"/>
      <c r="BE1101" s="392"/>
      <c r="BF1101" s="392"/>
      <c r="BG1101" s="392"/>
      <c r="BH1101" s="392"/>
      <c r="BI1101" s="392"/>
      <c r="BJ1101" s="392"/>
      <c r="BK1101" s="392"/>
      <c r="BL1101" s="392"/>
      <c r="BM1101" s="342"/>
      <c r="BN1101" s="356"/>
      <c r="BO1101" s="356"/>
      <c r="BP1101" s="356"/>
      <c r="BQ1101" s="356"/>
      <c r="BR1101" s="356"/>
      <c r="BS1101" s="356"/>
      <c r="BT1101" s="356"/>
      <c r="BU1101" s="357"/>
      <c r="BV1101" s="310"/>
      <c r="BW1101" s="310"/>
      <c r="BX1101" s="291">
        <f t="shared" si="76"/>
        <v>0</v>
      </c>
      <c r="BY1101" s="344"/>
      <c r="BZ1101" s="347"/>
      <c r="CA1101" s="347"/>
    </row>
    <row r="1102" spans="1:79" ht="12.95" hidden="1" customHeight="1" thickTop="1" x14ac:dyDescent="0.25">
      <c r="A1102" s="313"/>
      <c r="B1102" s="340"/>
      <c r="C1102" s="392"/>
      <c r="D1102" s="392"/>
      <c r="E1102" s="392"/>
      <c r="F1102" s="392"/>
      <c r="G1102" s="392"/>
      <c r="H1102" s="392"/>
      <c r="I1102" s="392"/>
      <c r="J1102" s="392"/>
      <c r="K1102" s="392"/>
      <c r="L1102" s="392"/>
      <c r="M1102" s="392"/>
      <c r="N1102" s="392"/>
      <c r="O1102" s="392"/>
      <c r="P1102" s="392"/>
      <c r="Q1102" s="392"/>
      <c r="R1102" s="392"/>
      <c r="S1102" s="392"/>
      <c r="T1102" s="392"/>
      <c r="U1102" s="392"/>
      <c r="V1102" s="392"/>
      <c r="W1102" s="393"/>
      <c r="X1102" s="393"/>
      <c r="Y1102" s="393"/>
      <c r="Z1102" s="393"/>
      <c r="AA1102" s="393"/>
      <c r="AB1102" s="393"/>
      <c r="AC1102" s="343"/>
      <c r="AD1102" s="343"/>
      <c r="AE1102" s="343"/>
      <c r="AF1102" s="343"/>
      <c r="AG1102" s="343"/>
      <c r="AH1102" s="343"/>
      <c r="AI1102" s="343"/>
      <c r="AJ1102" s="344"/>
      <c r="AK1102" s="345"/>
      <c r="AL1102" s="340"/>
      <c r="AM1102" s="392"/>
      <c r="AN1102" s="392"/>
      <c r="AO1102" s="392"/>
      <c r="AP1102" s="392"/>
      <c r="AQ1102" s="392"/>
      <c r="AR1102" s="392"/>
      <c r="AS1102" s="392"/>
      <c r="AT1102" s="392"/>
      <c r="AU1102" s="392"/>
      <c r="AV1102" s="392"/>
      <c r="AW1102" s="392"/>
      <c r="AX1102" s="392"/>
      <c r="AY1102" s="392"/>
      <c r="AZ1102" s="392"/>
      <c r="BA1102" s="392"/>
      <c r="BB1102" s="392"/>
      <c r="BC1102" s="392"/>
      <c r="BD1102" s="392"/>
      <c r="BE1102" s="392"/>
      <c r="BF1102" s="392"/>
      <c r="BG1102" s="392"/>
      <c r="BH1102" s="392"/>
      <c r="BI1102" s="392"/>
      <c r="BJ1102" s="392"/>
      <c r="BK1102" s="392"/>
      <c r="BL1102" s="392"/>
      <c r="BM1102" s="342"/>
      <c r="BN1102" s="356"/>
      <c r="BO1102" s="356"/>
      <c r="BP1102" s="356"/>
      <c r="BQ1102" s="356"/>
      <c r="BR1102" s="356"/>
      <c r="BS1102" s="356"/>
      <c r="BT1102" s="356"/>
      <c r="BU1102" s="357"/>
      <c r="BV1102" s="310"/>
      <c r="BW1102" s="310"/>
      <c r="BX1102" s="291">
        <f t="shared" si="76"/>
        <v>0</v>
      </c>
      <c r="BY1102" s="344"/>
      <c r="BZ1102" s="347"/>
      <c r="CA1102" s="347"/>
    </row>
    <row r="1103" spans="1:79" ht="15" hidden="1" customHeight="1" x14ac:dyDescent="0.25">
      <c r="A1103" s="313">
        <f>STT</f>
        <v>19</v>
      </c>
      <c r="B1103" s="340" t="s">
        <v>345</v>
      </c>
      <c r="C1103" s="471" t="s">
        <v>1227</v>
      </c>
      <c r="D1103" s="392"/>
      <c r="E1103" s="392"/>
      <c r="F1103" s="392"/>
      <c r="G1103" s="392"/>
      <c r="H1103" s="392"/>
      <c r="I1103" s="392"/>
      <c r="J1103" s="392"/>
      <c r="K1103" s="392"/>
      <c r="L1103" s="392"/>
      <c r="M1103" s="392"/>
      <c r="N1103" s="392"/>
      <c r="O1103" s="392"/>
      <c r="P1103" s="392"/>
      <c r="Q1103" s="392"/>
      <c r="R1103" s="392"/>
      <c r="S1103" s="392"/>
      <c r="T1103" s="392"/>
      <c r="U1103" s="392"/>
      <c r="V1103" s="392"/>
      <c r="W1103" s="393"/>
      <c r="X1103" s="393"/>
      <c r="Y1103" s="393"/>
      <c r="Z1103" s="393"/>
      <c r="AA1103" s="393"/>
      <c r="AB1103" s="393"/>
      <c r="AC1103" s="343"/>
      <c r="AD1103" s="343"/>
      <c r="AE1103" s="343"/>
      <c r="AF1103" s="343"/>
      <c r="AG1103" s="343"/>
      <c r="AH1103" s="343"/>
      <c r="AI1103" s="343"/>
      <c r="AJ1103" s="344"/>
      <c r="AK1103" s="345">
        <f>A1103</f>
        <v>19</v>
      </c>
      <c r="AL1103" s="340" t="s">
        <v>345</v>
      </c>
      <c r="AM1103" s="471" t="s">
        <v>1228</v>
      </c>
      <c r="AN1103" s="392"/>
      <c r="AO1103" s="392"/>
      <c r="AP1103" s="392"/>
      <c r="AQ1103" s="392"/>
      <c r="AR1103" s="392"/>
      <c r="AS1103" s="392"/>
      <c r="AT1103" s="392"/>
      <c r="AU1103" s="392"/>
      <c r="AV1103" s="392"/>
      <c r="AW1103" s="392"/>
      <c r="AX1103" s="392"/>
      <c r="AY1103" s="392"/>
      <c r="AZ1103" s="392"/>
      <c r="BA1103" s="392"/>
      <c r="BB1103" s="392"/>
      <c r="BC1103" s="392"/>
      <c r="BD1103" s="392"/>
      <c r="BE1103" s="392"/>
      <c r="BF1103" s="392"/>
      <c r="BG1103" s="392"/>
      <c r="BH1103" s="392"/>
      <c r="BI1103" s="392"/>
      <c r="BJ1103" s="392"/>
      <c r="BK1103" s="392"/>
      <c r="BL1103" s="392"/>
      <c r="BM1103" s="342"/>
      <c r="BN1103" s="356"/>
      <c r="BO1103" s="356"/>
      <c r="BP1103" s="356"/>
      <c r="BQ1103" s="356"/>
      <c r="BR1103" s="356"/>
      <c r="BS1103" s="356"/>
      <c r="BT1103" s="356"/>
      <c r="BU1103" s="346">
        <f>SUBTOTAL(103,A1103)</f>
        <v>0</v>
      </c>
      <c r="BV1103" s="310"/>
      <c r="BW1103" s="310"/>
      <c r="BX1103" s="291">
        <f t="shared" si="76"/>
        <v>0</v>
      </c>
      <c r="BY1103" s="344"/>
      <c r="BZ1103" s="347"/>
      <c r="CA1103" s="347"/>
    </row>
    <row r="1104" spans="1:79" ht="15" hidden="1" customHeight="1" x14ac:dyDescent="0.25">
      <c r="A1104" s="313"/>
      <c r="B1104" s="340"/>
      <c r="C1104" s="392"/>
      <c r="D1104" s="392"/>
      <c r="E1104" s="392"/>
      <c r="F1104" s="392"/>
      <c r="G1104" s="392"/>
      <c r="H1104" s="392"/>
      <c r="I1104" s="392"/>
      <c r="J1104" s="392"/>
      <c r="K1104" s="392"/>
      <c r="L1104" s="392"/>
      <c r="M1104" s="392"/>
      <c r="N1104" s="392"/>
      <c r="O1104" s="392"/>
      <c r="P1104" s="392"/>
      <c r="Q1104" s="392"/>
      <c r="R1104" s="392"/>
      <c r="S1104" s="392"/>
      <c r="T1104" s="392"/>
      <c r="U1104" s="392"/>
      <c r="V1104" s="392"/>
      <c r="W1104" s="1325" t="str">
        <f>Ky_Nay1_V</f>
        <v>31/12/2017</v>
      </c>
      <c r="X1104" s="1325"/>
      <c r="Y1104" s="1325"/>
      <c r="Z1104" s="1325"/>
      <c r="AA1104" s="1325"/>
      <c r="AB1104" s="1325"/>
      <c r="AC1104" s="351"/>
      <c r="AD1104" s="1325" t="str">
        <f>Ky_Truoc1_V</f>
        <v>01/01/2017</v>
      </c>
      <c r="AE1104" s="1325"/>
      <c r="AF1104" s="1325"/>
      <c r="AG1104" s="1325"/>
      <c r="AH1104" s="1325"/>
      <c r="AI1104" s="1325"/>
      <c r="AJ1104" s="344"/>
      <c r="AK1104" s="345"/>
      <c r="AL1104" s="340"/>
      <c r="AM1104" s="392"/>
      <c r="AN1104" s="392"/>
      <c r="AO1104" s="392"/>
      <c r="AP1104" s="392"/>
      <c r="AQ1104" s="392"/>
      <c r="AR1104" s="392"/>
      <c r="AS1104" s="392"/>
      <c r="AT1104" s="392"/>
      <c r="AU1104" s="392"/>
      <c r="AV1104" s="392"/>
      <c r="AW1104" s="392"/>
      <c r="AX1104" s="392"/>
      <c r="AY1104" s="392"/>
      <c r="AZ1104" s="392"/>
      <c r="BA1104" s="392"/>
      <c r="BB1104" s="392"/>
      <c r="BC1104" s="392"/>
      <c r="BD1104" s="392"/>
      <c r="BE1104" s="392"/>
      <c r="BF1104" s="392"/>
      <c r="BG1104" s="1325" t="str">
        <f>Ky_Nay1_E</f>
        <v>31/12/2017</v>
      </c>
      <c r="BH1104" s="1325"/>
      <c r="BI1104" s="1325"/>
      <c r="BJ1104" s="1325"/>
      <c r="BK1104" s="1325"/>
      <c r="BL1104" s="1325"/>
      <c r="BM1104" s="351"/>
      <c r="BN1104" s="1325" t="str">
        <f>Ky_Truoc1_E</f>
        <v>01/01/2017</v>
      </c>
      <c r="BO1104" s="1325"/>
      <c r="BP1104" s="1325"/>
      <c r="BQ1104" s="1325"/>
      <c r="BR1104" s="1325"/>
      <c r="BS1104" s="1325"/>
      <c r="BT1104" s="352"/>
      <c r="BU1104" s="353"/>
      <c r="BV1104" s="310"/>
      <c r="BW1104" s="310"/>
      <c r="BX1104" s="291">
        <f t="shared" si="76"/>
        <v>0</v>
      </c>
      <c r="BY1104" s="344"/>
      <c r="BZ1104" s="347"/>
      <c r="CA1104" s="347"/>
    </row>
    <row r="1105" spans="1:79" ht="15" hidden="1" customHeight="1" x14ac:dyDescent="0.25">
      <c r="A1105" s="313"/>
      <c r="B1105" s="340"/>
      <c r="C1105" s="392"/>
      <c r="D1105" s="392"/>
      <c r="E1105" s="392"/>
      <c r="F1105" s="392"/>
      <c r="G1105" s="392"/>
      <c r="H1105" s="392"/>
      <c r="I1105" s="392"/>
      <c r="J1105" s="392"/>
      <c r="K1105" s="392"/>
      <c r="L1105" s="392"/>
      <c r="M1105" s="392"/>
      <c r="N1105" s="392"/>
      <c r="O1105" s="392"/>
      <c r="P1105" s="392"/>
      <c r="Q1105" s="392"/>
      <c r="R1105" s="392"/>
      <c r="S1105" s="392"/>
      <c r="T1105" s="392"/>
      <c r="U1105" s="392"/>
      <c r="V1105" s="392"/>
      <c r="W1105" s="1327" t="str">
        <f>Don_Vi_Tinh_V</f>
        <v>VND</v>
      </c>
      <c r="X1105" s="1327"/>
      <c r="Y1105" s="1327"/>
      <c r="Z1105" s="1327"/>
      <c r="AA1105" s="1327"/>
      <c r="AB1105" s="1327"/>
      <c r="AC1105" s="351"/>
      <c r="AD1105" s="1327" t="str">
        <f>Don_Vi_Tinh_V</f>
        <v>VND</v>
      </c>
      <c r="AE1105" s="1327"/>
      <c r="AF1105" s="1327"/>
      <c r="AG1105" s="1327"/>
      <c r="AH1105" s="1327"/>
      <c r="AI1105" s="1327"/>
      <c r="AJ1105" s="344"/>
      <c r="AK1105" s="345"/>
      <c r="AL1105" s="340"/>
      <c r="AM1105" s="392"/>
      <c r="AN1105" s="392"/>
      <c r="AO1105" s="392"/>
      <c r="AP1105" s="392"/>
      <c r="AQ1105" s="392"/>
      <c r="AR1105" s="392"/>
      <c r="AS1105" s="392"/>
      <c r="AT1105" s="392"/>
      <c r="AU1105" s="392"/>
      <c r="AV1105" s="392"/>
      <c r="AW1105" s="392"/>
      <c r="AX1105" s="392"/>
      <c r="AY1105" s="392"/>
      <c r="AZ1105" s="392"/>
      <c r="BA1105" s="392"/>
      <c r="BB1105" s="392"/>
      <c r="BC1105" s="392"/>
      <c r="BD1105" s="392"/>
      <c r="BE1105" s="392"/>
      <c r="BF1105" s="392"/>
      <c r="BG1105" s="1327" t="str">
        <f>Don_Vi_Tinh_E</f>
        <v>VND</v>
      </c>
      <c r="BH1105" s="1327"/>
      <c r="BI1105" s="1327"/>
      <c r="BJ1105" s="1327"/>
      <c r="BK1105" s="1327"/>
      <c r="BL1105" s="1327"/>
      <c r="BM1105" s="351"/>
      <c r="BN1105" s="1327" t="str">
        <f>Don_Vi_Tinh_E</f>
        <v>VND</v>
      </c>
      <c r="BO1105" s="1327"/>
      <c r="BP1105" s="1327"/>
      <c r="BQ1105" s="1327"/>
      <c r="BR1105" s="1327"/>
      <c r="BS1105" s="1327"/>
      <c r="BT1105" s="352"/>
      <c r="BU1105" s="353"/>
      <c r="BV1105" s="310"/>
      <c r="BW1105" s="310"/>
      <c r="BX1105" s="291">
        <f t="shared" si="76"/>
        <v>0</v>
      </c>
      <c r="BY1105" s="344"/>
      <c r="BZ1105" s="347"/>
      <c r="CA1105" s="347"/>
    </row>
    <row r="1106" spans="1:79" ht="15" hidden="1" customHeight="1" x14ac:dyDescent="0.25">
      <c r="A1106" s="313"/>
      <c r="B1106" s="340"/>
      <c r="C1106" s="392"/>
      <c r="D1106" s="392"/>
      <c r="E1106" s="392"/>
      <c r="F1106" s="392"/>
      <c r="G1106" s="392"/>
      <c r="H1106" s="392"/>
      <c r="I1106" s="392"/>
      <c r="J1106" s="392"/>
      <c r="K1106" s="392"/>
      <c r="L1106" s="392"/>
      <c r="M1106" s="392"/>
      <c r="N1106" s="392"/>
      <c r="O1106" s="392"/>
      <c r="P1106" s="392"/>
      <c r="Q1106" s="392"/>
      <c r="R1106" s="392"/>
      <c r="S1106" s="392"/>
      <c r="T1106" s="392"/>
      <c r="U1106" s="392"/>
      <c r="V1106" s="392"/>
      <c r="W1106" s="1318"/>
      <c r="X1106" s="1318"/>
      <c r="Y1106" s="1318"/>
      <c r="Z1106" s="1318"/>
      <c r="AA1106" s="1318"/>
      <c r="AB1106" s="1318"/>
      <c r="AC1106" s="355"/>
      <c r="AD1106" s="1318"/>
      <c r="AE1106" s="1318"/>
      <c r="AF1106" s="1318"/>
      <c r="AG1106" s="1318"/>
      <c r="AH1106" s="1318"/>
      <c r="AI1106" s="1318"/>
      <c r="AJ1106" s="344"/>
      <c r="AK1106" s="345"/>
      <c r="AL1106" s="340"/>
      <c r="AM1106" s="392"/>
      <c r="AN1106" s="392"/>
      <c r="AO1106" s="392"/>
      <c r="AP1106" s="392"/>
      <c r="AQ1106" s="392"/>
      <c r="AR1106" s="392"/>
      <c r="AS1106" s="392"/>
      <c r="AT1106" s="392"/>
      <c r="AU1106" s="392"/>
      <c r="AV1106" s="392"/>
      <c r="AW1106" s="392"/>
      <c r="AX1106" s="392"/>
      <c r="AY1106" s="392"/>
      <c r="AZ1106" s="392"/>
      <c r="BA1106" s="392"/>
      <c r="BB1106" s="392"/>
      <c r="BC1106" s="392"/>
      <c r="BD1106" s="392"/>
      <c r="BE1106" s="392"/>
      <c r="BF1106" s="392"/>
      <c r="BG1106" s="1318"/>
      <c r="BH1106" s="1318"/>
      <c r="BI1106" s="1318"/>
      <c r="BJ1106" s="1318"/>
      <c r="BK1106" s="1318"/>
      <c r="BL1106" s="1318"/>
      <c r="BM1106" s="355"/>
      <c r="BN1106" s="1318"/>
      <c r="BO1106" s="1318"/>
      <c r="BP1106" s="1318"/>
      <c r="BQ1106" s="1318"/>
      <c r="BR1106" s="1318"/>
      <c r="BS1106" s="1318"/>
      <c r="BT1106" s="352"/>
      <c r="BU1106" s="353"/>
      <c r="BV1106" s="310"/>
      <c r="BW1106" s="310"/>
      <c r="BX1106" s="291">
        <f t="shared" si="76"/>
        <v>0</v>
      </c>
      <c r="BY1106" s="344"/>
      <c r="BZ1106" s="347"/>
      <c r="CA1106" s="347"/>
    </row>
    <row r="1107" spans="1:79" ht="15" hidden="1" customHeight="1" x14ac:dyDescent="0.25">
      <c r="A1107" s="313"/>
      <c r="B1107" s="340"/>
      <c r="C1107" s="340" t="s">
        <v>855</v>
      </c>
      <c r="D1107" s="340"/>
      <c r="E1107" s="340"/>
      <c r="F1107" s="340"/>
      <c r="G1107" s="340"/>
      <c r="H1107" s="340"/>
      <c r="I1107" s="340"/>
      <c r="J1107" s="340"/>
      <c r="K1107" s="340"/>
      <c r="L1107" s="340"/>
      <c r="M1107" s="340"/>
      <c r="N1107" s="340"/>
      <c r="O1107" s="340"/>
      <c r="P1107" s="340"/>
      <c r="Q1107" s="340"/>
      <c r="R1107" s="340"/>
      <c r="S1107" s="340"/>
      <c r="T1107" s="340"/>
      <c r="U1107" s="341"/>
      <c r="V1107" s="341"/>
      <c r="W1107" s="1330"/>
      <c r="X1107" s="1330"/>
      <c r="Y1107" s="1330"/>
      <c r="Z1107" s="1330"/>
      <c r="AA1107" s="1330"/>
      <c r="AB1107" s="1330"/>
      <c r="AC1107" s="363"/>
      <c r="AD1107" s="1330"/>
      <c r="AE1107" s="1330"/>
      <c r="AF1107" s="1330"/>
      <c r="AG1107" s="1330"/>
      <c r="AH1107" s="1330"/>
      <c r="AI1107" s="1330"/>
      <c r="AJ1107" s="374"/>
      <c r="AK1107" s="345"/>
      <c r="AL1107" s="340"/>
      <c r="AM1107" s="340"/>
      <c r="AN1107" s="340"/>
      <c r="AO1107" s="340"/>
      <c r="AP1107" s="340"/>
      <c r="AQ1107" s="340"/>
      <c r="AR1107" s="340"/>
      <c r="AS1107" s="340"/>
      <c r="AT1107" s="340"/>
      <c r="AU1107" s="340"/>
      <c r="AV1107" s="340"/>
      <c r="AW1107" s="340"/>
      <c r="AX1107" s="340"/>
      <c r="AY1107" s="340"/>
      <c r="AZ1107" s="340"/>
      <c r="BA1107" s="340"/>
      <c r="BB1107" s="340"/>
      <c r="BC1107" s="340"/>
      <c r="BD1107" s="340"/>
      <c r="BE1107" s="341"/>
      <c r="BF1107" s="341"/>
      <c r="BG1107" s="1330"/>
      <c r="BH1107" s="1330"/>
      <c r="BI1107" s="1330"/>
      <c r="BJ1107" s="1330"/>
      <c r="BK1107" s="1330"/>
      <c r="BL1107" s="1330"/>
      <c r="BM1107" s="363"/>
      <c r="BN1107" s="1330"/>
      <c r="BO1107" s="1330"/>
      <c r="BP1107" s="1330"/>
      <c r="BQ1107" s="1330"/>
      <c r="BR1107" s="1330"/>
      <c r="BS1107" s="1330"/>
      <c r="BT1107" s="356"/>
      <c r="BU1107" s="357"/>
      <c r="BV1107" s="310"/>
      <c r="BW1107" s="310"/>
      <c r="BX1107" s="291">
        <f t="shared" si="76"/>
        <v>0</v>
      </c>
      <c r="BY1107" s="344"/>
      <c r="BZ1107" s="347"/>
      <c r="CA1107" s="347"/>
    </row>
    <row r="1108" spans="1:79" ht="15" hidden="1" customHeight="1" x14ac:dyDescent="0.25">
      <c r="A1108" s="313"/>
      <c r="B1108" s="340"/>
      <c r="C1108" s="354" t="s">
        <v>1229</v>
      </c>
      <c r="D1108" s="340"/>
      <c r="E1108" s="340"/>
      <c r="F1108" s="340"/>
      <c r="G1108" s="340"/>
      <c r="H1108" s="340"/>
      <c r="I1108" s="340"/>
      <c r="J1108" s="340"/>
      <c r="K1108" s="340"/>
      <c r="L1108" s="340"/>
      <c r="M1108" s="340"/>
      <c r="N1108" s="340"/>
      <c r="O1108" s="340"/>
      <c r="P1108" s="340"/>
      <c r="Q1108" s="340"/>
      <c r="R1108" s="340"/>
      <c r="S1108" s="340"/>
      <c r="T1108" s="340"/>
      <c r="U1108" s="342"/>
      <c r="V1108" s="342"/>
      <c r="W1108" s="1318"/>
      <c r="X1108" s="1318"/>
      <c r="Y1108" s="1318"/>
      <c r="Z1108" s="1318"/>
      <c r="AA1108" s="1318"/>
      <c r="AB1108" s="1318"/>
      <c r="AC1108" s="355"/>
      <c r="AD1108" s="1318"/>
      <c r="AE1108" s="1318"/>
      <c r="AF1108" s="1318"/>
      <c r="AG1108" s="1318"/>
      <c r="AH1108" s="1318"/>
      <c r="AI1108" s="1318"/>
      <c r="AJ1108" s="344"/>
      <c r="AK1108" s="345"/>
      <c r="AL1108" s="340"/>
      <c r="AM1108" s="354" t="s">
        <v>1230</v>
      </c>
      <c r="AN1108" s="340"/>
      <c r="AO1108" s="340"/>
      <c r="AP1108" s="340"/>
      <c r="AQ1108" s="340"/>
      <c r="AR1108" s="340"/>
      <c r="AS1108" s="340"/>
      <c r="AT1108" s="340"/>
      <c r="AU1108" s="340"/>
      <c r="AV1108" s="340"/>
      <c r="AW1108" s="340"/>
      <c r="AX1108" s="340"/>
      <c r="AY1108" s="340"/>
      <c r="AZ1108" s="340"/>
      <c r="BA1108" s="340"/>
      <c r="BB1108" s="340"/>
      <c r="BC1108" s="340"/>
      <c r="BD1108" s="340"/>
      <c r="BE1108" s="342"/>
      <c r="BF1108" s="342"/>
      <c r="BG1108" s="1318">
        <f>W1108</f>
        <v>0</v>
      </c>
      <c r="BH1108" s="1318"/>
      <c r="BI1108" s="1318"/>
      <c r="BJ1108" s="1318"/>
      <c r="BK1108" s="1318"/>
      <c r="BL1108" s="1318"/>
      <c r="BM1108" s="355"/>
      <c r="BN1108" s="1318">
        <f>AD1108</f>
        <v>0</v>
      </c>
      <c r="BO1108" s="1318"/>
      <c r="BP1108" s="1318"/>
      <c r="BQ1108" s="1318"/>
      <c r="BR1108" s="1318"/>
      <c r="BS1108" s="1318"/>
      <c r="BT1108" s="356"/>
      <c r="BU1108" s="357"/>
      <c r="BV1108" s="310"/>
      <c r="BW1108" s="310"/>
      <c r="BX1108" s="291">
        <f t="shared" si="76"/>
        <v>0</v>
      </c>
      <c r="BY1108" s="344"/>
      <c r="BZ1108" s="347"/>
      <c r="CA1108" s="347"/>
    </row>
    <row r="1109" spans="1:79" ht="15" hidden="1" customHeight="1" x14ac:dyDescent="0.25">
      <c r="A1109" s="313"/>
      <c r="B1109" s="340"/>
      <c r="C1109" s="354" t="s">
        <v>1231</v>
      </c>
      <c r="D1109" s="340"/>
      <c r="E1109" s="340"/>
      <c r="F1109" s="340"/>
      <c r="G1109" s="340"/>
      <c r="H1109" s="340"/>
      <c r="I1109" s="340"/>
      <c r="J1109" s="340"/>
      <c r="K1109" s="340"/>
      <c r="L1109" s="340"/>
      <c r="M1109" s="340"/>
      <c r="N1109" s="340"/>
      <c r="O1109" s="340"/>
      <c r="P1109" s="340"/>
      <c r="Q1109" s="340"/>
      <c r="R1109" s="340"/>
      <c r="S1109" s="340"/>
      <c r="T1109" s="340"/>
      <c r="U1109" s="342"/>
      <c r="V1109" s="342"/>
      <c r="W1109" s="1318"/>
      <c r="X1109" s="1318"/>
      <c r="Y1109" s="1318"/>
      <c r="Z1109" s="1318"/>
      <c r="AA1109" s="1318"/>
      <c r="AB1109" s="1318"/>
      <c r="AC1109" s="355"/>
      <c r="AD1109" s="1318"/>
      <c r="AE1109" s="1318"/>
      <c r="AF1109" s="1318"/>
      <c r="AG1109" s="1318"/>
      <c r="AH1109" s="1318"/>
      <c r="AI1109" s="1318"/>
      <c r="AJ1109" s="344"/>
      <c r="AK1109" s="345"/>
      <c r="AL1109" s="340"/>
      <c r="AM1109" s="354" t="s">
        <v>1232</v>
      </c>
      <c r="AN1109" s="340"/>
      <c r="AO1109" s="340"/>
      <c r="AP1109" s="340"/>
      <c r="AQ1109" s="340"/>
      <c r="AR1109" s="340"/>
      <c r="AS1109" s="340"/>
      <c r="AT1109" s="340"/>
      <c r="AU1109" s="340"/>
      <c r="AV1109" s="340"/>
      <c r="AW1109" s="340"/>
      <c r="AX1109" s="340"/>
      <c r="AY1109" s="340"/>
      <c r="AZ1109" s="340"/>
      <c r="BA1109" s="340"/>
      <c r="BB1109" s="340"/>
      <c r="BC1109" s="340"/>
      <c r="BD1109" s="340"/>
      <c r="BE1109" s="342"/>
      <c r="BF1109" s="342"/>
      <c r="BG1109" s="1318">
        <f>W1109</f>
        <v>0</v>
      </c>
      <c r="BH1109" s="1318"/>
      <c r="BI1109" s="1318"/>
      <c r="BJ1109" s="1318"/>
      <c r="BK1109" s="1318"/>
      <c r="BL1109" s="1318"/>
      <c r="BM1109" s="355"/>
      <c r="BN1109" s="1318">
        <f>AD1109</f>
        <v>0</v>
      </c>
      <c r="BO1109" s="1318"/>
      <c r="BP1109" s="1318"/>
      <c r="BQ1109" s="1318"/>
      <c r="BR1109" s="1318"/>
      <c r="BS1109" s="1318"/>
      <c r="BT1109" s="359"/>
      <c r="BU1109" s="346"/>
      <c r="BV1109" s="310"/>
      <c r="BW1109" s="310"/>
      <c r="BX1109" s="291">
        <f t="shared" si="76"/>
        <v>0</v>
      </c>
      <c r="BY1109" s="344"/>
      <c r="BZ1109" s="347"/>
      <c r="CA1109" s="347"/>
    </row>
    <row r="1110" spans="1:79" ht="15" hidden="1" customHeight="1" x14ac:dyDescent="0.25">
      <c r="A1110" s="313"/>
      <c r="B1110" s="340"/>
      <c r="C1110" s="342" t="s">
        <v>1233</v>
      </c>
      <c r="D1110" s="342"/>
      <c r="E1110" s="342"/>
      <c r="F1110" s="342"/>
      <c r="G1110" s="342"/>
      <c r="H1110" s="342"/>
      <c r="I1110" s="342"/>
      <c r="J1110" s="342"/>
      <c r="K1110" s="342"/>
      <c r="L1110" s="342"/>
      <c r="M1110" s="342"/>
      <c r="N1110" s="342"/>
      <c r="O1110" s="342"/>
      <c r="P1110" s="342"/>
      <c r="Q1110" s="342"/>
      <c r="R1110" s="342"/>
      <c r="S1110" s="342"/>
      <c r="T1110" s="342"/>
      <c r="U1110" s="342"/>
      <c r="V1110" s="342"/>
      <c r="W1110" s="1318"/>
      <c r="X1110" s="1318"/>
      <c r="Y1110" s="1318"/>
      <c r="Z1110" s="1318"/>
      <c r="AA1110" s="1318"/>
      <c r="AB1110" s="1318"/>
      <c r="AC1110" s="355"/>
      <c r="AD1110" s="1318"/>
      <c r="AE1110" s="1318"/>
      <c r="AF1110" s="1318"/>
      <c r="AG1110" s="1318"/>
      <c r="AH1110" s="1318"/>
      <c r="AI1110" s="1318"/>
      <c r="AJ1110" s="344"/>
      <c r="AK1110" s="345"/>
      <c r="AL1110" s="340"/>
      <c r="AM1110" s="342" t="s">
        <v>1234</v>
      </c>
      <c r="AN1110" s="342"/>
      <c r="AO1110" s="342"/>
      <c r="AP1110" s="342"/>
      <c r="AQ1110" s="342"/>
      <c r="AR1110" s="342"/>
      <c r="AS1110" s="342"/>
      <c r="AT1110" s="342"/>
      <c r="AU1110" s="342"/>
      <c r="AV1110" s="342"/>
      <c r="AW1110" s="342"/>
      <c r="AX1110" s="342"/>
      <c r="AY1110" s="342"/>
      <c r="AZ1110" s="342"/>
      <c r="BA1110" s="342"/>
      <c r="BB1110" s="342"/>
      <c r="BC1110" s="342"/>
      <c r="BD1110" s="342"/>
      <c r="BE1110" s="342"/>
      <c r="BF1110" s="342"/>
      <c r="BG1110" s="1318">
        <f>W1110</f>
        <v>0</v>
      </c>
      <c r="BH1110" s="1318"/>
      <c r="BI1110" s="1318"/>
      <c r="BJ1110" s="1318"/>
      <c r="BK1110" s="1318"/>
      <c r="BL1110" s="1318"/>
      <c r="BM1110" s="355"/>
      <c r="BN1110" s="1318">
        <f>AD1110</f>
        <v>0</v>
      </c>
      <c r="BO1110" s="1318"/>
      <c r="BP1110" s="1318"/>
      <c r="BQ1110" s="1318"/>
      <c r="BR1110" s="1318"/>
      <c r="BS1110" s="1318"/>
      <c r="BT1110" s="359"/>
      <c r="BU1110" s="346"/>
      <c r="BV1110" s="310"/>
      <c r="BW1110" s="310"/>
      <c r="BX1110" s="291">
        <f t="shared" si="76"/>
        <v>0</v>
      </c>
      <c r="BY1110" s="344"/>
      <c r="BZ1110" s="347"/>
      <c r="CA1110" s="347"/>
    </row>
    <row r="1111" spans="1:79" ht="15" hidden="1" customHeight="1" x14ac:dyDescent="0.25">
      <c r="A1111" s="313"/>
      <c r="B1111" s="340"/>
      <c r="C1111" s="342"/>
      <c r="D1111" s="342"/>
      <c r="E1111" s="342"/>
      <c r="F1111" s="342"/>
      <c r="G1111" s="342"/>
      <c r="H1111" s="342"/>
      <c r="I1111" s="342"/>
      <c r="J1111" s="342"/>
      <c r="K1111" s="342"/>
      <c r="L1111" s="342"/>
      <c r="M1111" s="342"/>
      <c r="N1111" s="342"/>
      <c r="O1111" s="342"/>
      <c r="P1111" s="342"/>
      <c r="Q1111" s="342"/>
      <c r="R1111" s="342"/>
      <c r="S1111" s="342"/>
      <c r="T1111" s="342"/>
      <c r="U1111" s="342"/>
      <c r="V1111" s="342"/>
      <c r="W1111" s="1318"/>
      <c r="X1111" s="1318"/>
      <c r="Y1111" s="1318"/>
      <c r="Z1111" s="1318"/>
      <c r="AA1111" s="1318"/>
      <c r="AB1111" s="1318"/>
      <c r="AC1111" s="355"/>
      <c r="AD1111" s="1318"/>
      <c r="AE1111" s="1318"/>
      <c r="AF1111" s="1318"/>
      <c r="AG1111" s="1318"/>
      <c r="AH1111" s="1318"/>
      <c r="AI1111" s="1318"/>
      <c r="AJ1111" s="344"/>
      <c r="AK1111" s="345"/>
      <c r="AL1111" s="340"/>
      <c r="AM1111" s="342"/>
      <c r="AN1111" s="342"/>
      <c r="AO1111" s="342"/>
      <c r="AP1111" s="342"/>
      <c r="AQ1111" s="342"/>
      <c r="AR1111" s="342"/>
      <c r="AS1111" s="342"/>
      <c r="AT1111" s="342"/>
      <c r="AU1111" s="342"/>
      <c r="AV1111" s="342"/>
      <c r="AW1111" s="342"/>
      <c r="AX1111" s="342"/>
      <c r="AY1111" s="342"/>
      <c r="AZ1111" s="342"/>
      <c r="BA1111" s="342"/>
      <c r="BB1111" s="342"/>
      <c r="BC1111" s="342"/>
      <c r="BD1111" s="342"/>
      <c r="BE1111" s="342"/>
      <c r="BF1111" s="342"/>
      <c r="BG1111" s="1318"/>
      <c r="BH1111" s="1318"/>
      <c r="BI1111" s="1318"/>
      <c r="BJ1111" s="1318"/>
      <c r="BK1111" s="1318"/>
      <c r="BL1111" s="1318"/>
      <c r="BM1111" s="355"/>
      <c r="BN1111" s="1318"/>
      <c r="BO1111" s="1318"/>
      <c r="BP1111" s="1318"/>
      <c r="BQ1111" s="1318"/>
      <c r="BR1111" s="1318"/>
      <c r="BS1111" s="1318"/>
      <c r="BT1111" s="359"/>
      <c r="BU1111" s="346"/>
      <c r="BV1111" s="310"/>
      <c r="BW1111" s="310"/>
      <c r="BX1111" s="291">
        <f>IF(ISNONTEXT($C1111),0,SUM(D1111:AI1111)-SUM(AN1111:BS1111))</f>
        <v>0</v>
      </c>
      <c r="BY1111" s="344"/>
      <c r="BZ1111" s="347"/>
      <c r="CA1111" s="347"/>
    </row>
    <row r="1112" spans="1:79" ht="15" hidden="1" customHeight="1" thickBot="1" x14ac:dyDescent="0.3">
      <c r="A1112" s="602"/>
      <c r="B1112" s="603"/>
      <c r="C1112" s="360" t="s">
        <v>752</v>
      </c>
      <c r="D1112" s="340"/>
      <c r="E1112" s="340"/>
      <c r="F1112" s="340"/>
      <c r="G1112" s="340"/>
      <c r="H1112" s="340"/>
      <c r="I1112" s="340"/>
      <c r="J1112" s="340"/>
      <c r="K1112" s="340"/>
      <c r="L1112" s="340"/>
      <c r="M1112" s="340"/>
      <c r="N1112" s="340"/>
      <c r="O1112" s="340"/>
      <c r="P1112" s="340"/>
      <c r="Q1112" s="340"/>
      <c r="R1112" s="340"/>
      <c r="S1112" s="340"/>
      <c r="T1112" s="340"/>
      <c r="U1112" s="342"/>
      <c r="V1112" s="342"/>
      <c r="W1112" s="1359">
        <f>SUBTOTAL(109,W1107:AB1110)</f>
        <v>0</v>
      </c>
      <c r="X1112" s="1359"/>
      <c r="Y1112" s="1359"/>
      <c r="Z1112" s="1359"/>
      <c r="AA1112" s="1359"/>
      <c r="AB1112" s="1359"/>
      <c r="AC1112" s="355"/>
      <c r="AD1112" s="1359">
        <f>SUBTOTAL(109,AD1107:AI1110)</f>
        <v>0</v>
      </c>
      <c r="AE1112" s="1359"/>
      <c r="AF1112" s="1359"/>
      <c r="AG1112" s="1359"/>
      <c r="AH1112" s="1359"/>
      <c r="AI1112" s="1359"/>
      <c r="AJ1112" s="344"/>
      <c r="AK1112" s="345"/>
      <c r="AL1112" s="340"/>
      <c r="AM1112" s="360" t="s">
        <v>752</v>
      </c>
      <c r="AN1112" s="340"/>
      <c r="AO1112" s="340"/>
      <c r="AP1112" s="340"/>
      <c r="AQ1112" s="340"/>
      <c r="AR1112" s="340"/>
      <c r="AS1112" s="340"/>
      <c r="AT1112" s="340"/>
      <c r="AU1112" s="340"/>
      <c r="AV1112" s="340"/>
      <c r="AW1112" s="340"/>
      <c r="AX1112" s="340"/>
      <c r="AY1112" s="340"/>
      <c r="AZ1112" s="340"/>
      <c r="BA1112" s="340"/>
      <c r="BB1112" s="340"/>
      <c r="BC1112" s="340"/>
      <c r="BD1112" s="340"/>
      <c r="BE1112" s="342"/>
      <c r="BF1112" s="342"/>
      <c r="BG1112" s="1359">
        <f>SUBTOTAL(109,BG1100:BL1110)</f>
        <v>0</v>
      </c>
      <c r="BH1112" s="1359"/>
      <c r="BI1112" s="1359"/>
      <c r="BJ1112" s="1359"/>
      <c r="BK1112" s="1359"/>
      <c r="BL1112" s="1359"/>
      <c r="BM1112" s="355"/>
      <c r="BN1112" s="1359">
        <f>SUBTOTAL(109,BN1100:BS1110)</f>
        <v>0</v>
      </c>
      <c r="BO1112" s="1359"/>
      <c r="BP1112" s="1359"/>
      <c r="BQ1112" s="1359"/>
      <c r="BR1112" s="1359"/>
      <c r="BS1112" s="1359"/>
      <c r="BT1112" s="361"/>
      <c r="BU1112" s="362"/>
      <c r="BV1112" s="310">
        <f>W1112-KN_CT316</f>
        <v>0</v>
      </c>
      <c r="BW1112" s="310">
        <f>AD1112-KT_CT316</f>
        <v>0</v>
      </c>
      <c r="BX1112" s="291">
        <f>IF(ISNONTEXT($C1112),0,SUM(D1112:AI1112)-SUM(AN1112:BS1112))</f>
        <v>0</v>
      </c>
      <c r="BY1112" s="344"/>
      <c r="BZ1112" s="347"/>
      <c r="CA1112" s="347"/>
    </row>
    <row r="1113" spans="1:79" ht="15" hidden="1" customHeight="1" thickTop="1" x14ac:dyDescent="0.25">
      <c r="A1113" s="313"/>
      <c r="B1113" s="340"/>
      <c r="C1113" s="342"/>
      <c r="D1113" s="342"/>
      <c r="E1113" s="342"/>
      <c r="F1113" s="342"/>
      <c r="G1113" s="342"/>
      <c r="H1113" s="342"/>
      <c r="I1113" s="342"/>
      <c r="J1113" s="342"/>
      <c r="K1113" s="342"/>
      <c r="L1113" s="342"/>
      <c r="M1113" s="342"/>
      <c r="N1113" s="342"/>
      <c r="O1113" s="342"/>
      <c r="P1113" s="342"/>
      <c r="Q1113" s="342"/>
      <c r="R1113" s="342"/>
      <c r="S1113" s="342"/>
      <c r="T1113" s="342"/>
      <c r="U1113" s="342"/>
      <c r="V1113" s="342"/>
      <c r="W1113" s="1318"/>
      <c r="X1113" s="1318"/>
      <c r="Y1113" s="1318"/>
      <c r="Z1113" s="1318"/>
      <c r="AA1113" s="1318"/>
      <c r="AB1113" s="1318"/>
      <c r="AC1113" s="355"/>
      <c r="AD1113" s="1318"/>
      <c r="AE1113" s="1318"/>
      <c r="AF1113" s="1318"/>
      <c r="AG1113" s="1318"/>
      <c r="AH1113" s="1318"/>
      <c r="AI1113" s="1318"/>
      <c r="AJ1113" s="344"/>
      <c r="AK1113" s="345"/>
      <c r="AL1113" s="340"/>
      <c r="AM1113" s="342"/>
      <c r="AN1113" s="342"/>
      <c r="AO1113" s="342"/>
      <c r="AP1113" s="342"/>
      <c r="AQ1113" s="342"/>
      <c r="AR1113" s="342"/>
      <c r="AS1113" s="342"/>
      <c r="AT1113" s="342"/>
      <c r="AU1113" s="342"/>
      <c r="AV1113" s="342"/>
      <c r="AW1113" s="342"/>
      <c r="AX1113" s="342"/>
      <c r="AY1113" s="342"/>
      <c r="AZ1113" s="342"/>
      <c r="BA1113" s="342"/>
      <c r="BB1113" s="342"/>
      <c r="BC1113" s="342"/>
      <c r="BD1113" s="342"/>
      <c r="BE1113" s="342"/>
      <c r="BF1113" s="342"/>
      <c r="BG1113" s="1318"/>
      <c r="BH1113" s="1318"/>
      <c r="BI1113" s="1318"/>
      <c r="BJ1113" s="1318"/>
      <c r="BK1113" s="1318"/>
      <c r="BL1113" s="1318"/>
      <c r="BM1113" s="355"/>
      <c r="BN1113" s="1318"/>
      <c r="BO1113" s="1318"/>
      <c r="BP1113" s="1318"/>
      <c r="BQ1113" s="1318"/>
      <c r="BR1113" s="1318"/>
      <c r="BS1113" s="1318"/>
      <c r="BT1113" s="359"/>
      <c r="BU1113" s="346"/>
      <c r="BV1113" s="310"/>
      <c r="BW1113" s="310"/>
      <c r="BX1113" s="291">
        <f>IF(ISNONTEXT($C1113),0,SUM(D1113:AI1113)-SUM(AN1113:BS1113))</f>
        <v>0</v>
      </c>
      <c r="BY1113" s="344"/>
      <c r="BZ1113" s="347"/>
      <c r="CA1113" s="347"/>
    </row>
    <row r="1114" spans="1:79" ht="15" hidden="1" customHeight="1" x14ac:dyDescent="0.25">
      <c r="A1114" s="313"/>
      <c r="B1114" s="340"/>
      <c r="C1114" s="341" t="s">
        <v>850</v>
      </c>
      <c r="D1114" s="341"/>
      <c r="E1114" s="341"/>
      <c r="F1114" s="341"/>
      <c r="G1114" s="341"/>
      <c r="H1114" s="341"/>
      <c r="I1114" s="341"/>
      <c r="J1114" s="341"/>
      <c r="K1114" s="341"/>
      <c r="L1114" s="341"/>
      <c r="M1114" s="341"/>
      <c r="N1114" s="341"/>
      <c r="O1114" s="341"/>
      <c r="P1114" s="341"/>
      <c r="Q1114" s="341"/>
      <c r="R1114" s="341"/>
      <c r="S1114" s="341"/>
      <c r="T1114" s="341"/>
      <c r="U1114" s="341"/>
      <c r="V1114" s="341"/>
      <c r="W1114" s="1330"/>
      <c r="X1114" s="1330"/>
      <c r="Y1114" s="1330"/>
      <c r="Z1114" s="1330"/>
      <c r="AA1114" s="1330"/>
      <c r="AB1114" s="1330"/>
      <c r="AC1114" s="363"/>
      <c r="AD1114" s="1330"/>
      <c r="AE1114" s="1330"/>
      <c r="AF1114" s="1330"/>
      <c r="AG1114" s="1330"/>
      <c r="AH1114" s="1330"/>
      <c r="AI1114" s="1330"/>
      <c r="AJ1114" s="344"/>
      <c r="AK1114" s="345"/>
      <c r="AL1114" s="340"/>
      <c r="AM1114" s="341"/>
      <c r="AN1114" s="341"/>
      <c r="AO1114" s="341"/>
      <c r="AP1114" s="341"/>
      <c r="AQ1114" s="341"/>
      <c r="AR1114" s="341"/>
      <c r="AS1114" s="341"/>
      <c r="AT1114" s="341"/>
      <c r="AU1114" s="341"/>
      <c r="AV1114" s="341"/>
      <c r="AW1114" s="341"/>
      <c r="AX1114" s="341"/>
      <c r="AY1114" s="341"/>
      <c r="AZ1114" s="341"/>
      <c r="BA1114" s="341"/>
      <c r="BB1114" s="341"/>
      <c r="BC1114" s="341"/>
      <c r="BD1114" s="341"/>
      <c r="BE1114" s="341"/>
      <c r="BF1114" s="341"/>
      <c r="BG1114" s="1330"/>
      <c r="BH1114" s="1330"/>
      <c r="BI1114" s="1330"/>
      <c r="BJ1114" s="1330"/>
      <c r="BK1114" s="1330"/>
      <c r="BL1114" s="1330"/>
      <c r="BM1114" s="363"/>
      <c r="BN1114" s="1330"/>
      <c r="BO1114" s="1330"/>
      <c r="BP1114" s="1330"/>
      <c r="BQ1114" s="1330"/>
      <c r="BR1114" s="1330"/>
      <c r="BS1114" s="1330"/>
      <c r="BT1114" s="359"/>
      <c r="BU1114" s="346"/>
      <c r="BV1114" s="310"/>
      <c r="BW1114" s="310"/>
      <c r="BX1114" s="291">
        <f t="shared" si="76"/>
        <v>0</v>
      </c>
      <c r="BY1114" s="344"/>
      <c r="BZ1114" s="347"/>
      <c r="CA1114" s="347"/>
    </row>
    <row r="1115" spans="1:79" ht="15" hidden="1" customHeight="1" x14ac:dyDescent="0.25">
      <c r="A1115" s="313"/>
      <c r="B1115" s="340"/>
      <c r="C1115" s="354" t="s">
        <v>1229</v>
      </c>
      <c r="D1115" s="342"/>
      <c r="E1115" s="342"/>
      <c r="F1115" s="342"/>
      <c r="G1115" s="342"/>
      <c r="H1115" s="342"/>
      <c r="I1115" s="342"/>
      <c r="J1115" s="342"/>
      <c r="K1115" s="342"/>
      <c r="L1115" s="342"/>
      <c r="M1115" s="342"/>
      <c r="N1115" s="342"/>
      <c r="O1115" s="342"/>
      <c r="P1115" s="342"/>
      <c r="Q1115" s="342"/>
      <c r="R1115" s="342"/>
      <c r="S1115" s="342"/>
      <c r="T1115" s="342"/>
      <c r="U1115" s="342"/>
      <c r="V1115" s="342"/>
      <c r="W1115" s="1318"/>
      <c r="X1115" s="1318"/>
      <c r="Y1115" s="1318"/>
      <c r="Z1115" s="1318"/>
      <c r="AA1115" s="1318"/>
      <c r="AB1115" s="1318"/>
      <c r="AC1115" s="355"/>
      <c r="AD1115" s="1318"/>
      <c r="AE1115" s="1318"/>
      <c r="AF1115" s="1318"/>
      <c r="AG1115" s="1318"/>
      <c r="AH1115" s="1318"/>
      <c r="AI1115" s="1318"/>
      <c r="AJ1115" s="344"/>
      <c r="AK1115" s="345"/>
      <c r="AL1115" s="340"/>
      <c r="AM1115" s="354" t="s">
        <v>1230</v>
      </c>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1318">
        <f>W1115</f>
        <v>0</v>
      </c>
      <c r="BH1115" s="1318"/>
      <c r="BI1115" s="1318"/>
      <c r="BJ1115" s="1318"/>
      <c r="BK1115" s="1318"/>
      <c r="BL1115" s="1318"/>
      <c r="BM1115" s="355"/>
      <c r="BN1115" s="1318">
        <f>AD1115</f>
        <v>0</v>
      </c>
      <c r="BO1115" s="1318"/>
      <c r="BP1115" s="1318"/>
      <c r="BQ1115" s="1318"/>
      <c r="BR1115" s="1318"/>
      <c r="BS1115" s="1318"/>
      <c r="BT1115" s="359"/>
      <c r="BU1115" s="346"/>
      <c r="BV1115" s="310"/>
      <c r="BW1115" s="310"/>
      <c r="BX1115" s="291">
        <f t="shared" si="76"/>
        <v>0</v>
      </c>
      <c r="BY1115" s="344"/>
      <c r="BZ1115" s="347"/>
      <c r="CA1115" s="347"/>
    </row>
    <row r="1116" spans="1:79" ht="15" hidden="1" customHeight="1" x14ac:dyDescent="0.25">
      <c r="A1116" s="313"/>
      <c r="B1116" s="340"/>
      <c r="C1116" s="354" t="s">
        <v>1231</v>
      </c>
      <c r="D1116" s="342"/>
      <c r="E1116" s="342"/>
      <c r="F1116" s="342"/>
      <c r="G1116" s="342"/>
      <c r="H1116" s="342"/>
      <c r="I1116" s="342"/>
      <c r="J1116" s="342"/>
      <c r="K1116" s="342"/>
      <c r="L1116" s="342"/>
      <c r="M1116" s="342"/>
      <c r="N1116" s="342"/>
      <c r="O1116" s="342"/>
      <c r="P1116" s="342"/>
      <c r="Q1116" s="342"/>
      <c r="R1116" s="342"/>
      <c r="S1116" s="342"/>
      <c r="T1116" s="342"/>
      <c r="U1116" s="342"/>
      <c r="V1116" s="342"/>
      <c r="W1116" s="1318"/>
      <c r="X1116" s="1318"/>
      <c r="Y1116" s="1318"/>
      <c r="Z1116" s="1318"/>
      <c r="AA1116" s="1318"/>
      <c r="AB1116" s="1318"/>
      <c r="AC1116" s="355"/>
      <c r="AD1116" s="1318"/>
      <c r="AE1116" s="1318"/>
      <c r="AF1116" s="1318"/>
      <c r="AG1116" s="1318"/>
      <c r="AH1116" s="1318"/>
      <c r="AI1116" s="1318"/>
      <c r="AJ1116" s="344"/>
      <c r="AK1116" s="345"/>
      <c r="AL1116" s="340"/>
      <c r="AM1116" s="354" t="s">
        <v>1232</v>
      </c>
      <c r="AN1116" s="342"/>
      <c r="AO1116" s="342"/>
      <c r="AP1116" s="342"/>
      <c r="AQ1116" s="342"/>
      <c r="AR1116" s="342"/>
      <c r="AS1116" s="342"/>
      <c r="AT1116" s="342"/>
      <c r="AU1116" s="342"/>
      <c r="AV1116" s="342"/>
      <c r="AW1116" s="342"/>
      <c r="AX1116" s="342"/>
      <c r="AY1116" s="342"/>
      <c r="AZ1116" s="342"/>
      <c r="BA1116" s="342"/>
      <c r="BB1116" s="342"/>
      <c r="BC1116" s="342"/>
      <c r="BD1116" s="342"/>
      <c r="BE1116" s="342"/>
      <c r="BF1116" s="342"/>
      <c r="BG1116" s="1318">
        <f>W1116</f>
        <v>0</v>
      </c>
      <c r="BH1116" s="1318"/>
      <c r="BI1116" s="1318"/>
      <c r="BJ1116" s="1318"/>
      <c r="BK1116" s="1318"/>
      <c r="BL1116" s="1318"/>
      <c r="BM1116" s="355"/>
      <c r="BN1116" s="1318">
        <f>AD1116</f>
        <v>0</v>
      </c>
      <c r="BO1116" s="1318"/>
      <c r="BP1116" s="1318"/>
      <c r="BQ1116" s="1318"/>
      <c r="BR1116" s="1318"/>
      <c r="BS1116" s="1318"/>
      <c r="BT1116" s="359"/>
      <c r="BU1116" s="346"/>
      <c r="BV1116" s="310"/>
      <c r="BW1116" s="310"/>
      <c r="BX1116" s="291">
        <f t="shared" si="76"/>
        <v>0</v>
      </c>
      <c r="BY1116" s="344"/>
      <c r="BZ1116" s="347"/>
      <c r="CA1116" s="347"/>
    </row>
    <row r="1117" spans="1:79" ht="15" hidden="1" customHeight="1" x14ac:dyDescent="0.25">
      <c r="A1117" s="313"/>
      <c r="B1117" s="340"/>
      <c r="C1117" s="342" t="s">
        <v>1233</v>
      </c>
      <c r="D1117" s="342"/>
      <c r="E1117" s="342"/>
      <c r="F1117" s="342"/>
      <c r="G1117" s="342"/>
      <c r="H1117" s="342"/>
      <c r="I1117" s="342"/>
      <c r="J1117" s="342"/>
      <c r="K1117" s="342"/>
      <c r="L1117" s="342"/>
      <c r="M1117" s="342"/>
      <c r="N1117" s="342"/>
      <c r="O1117" s="342"/>
      <c r="P1117" s="342"/>
      <c r="Q1117" s="342"/>
      <c r="R1117" s="342"/>
      <c r="S1117" s="342"/>
      <c r="T1117" s="342"/>
      <c r="U1117" s="342"/>
      <c r="V1117" s="342"/>
      <c r="W1117" s="1318"/>
      <c r="X1117" s="1318"/>
      <c r="Y1117" s="1318"/>
      <c r="Z1117" s="1318"/>
      <c r="AA1117" s="1318"/>
      <c r="AB1117" s="1318"/>
      <c r="AC1117" s="355"/>
      <c r="AD1117" s="1318"/>
      <c r="AE1117" s="1318"/>
      <c r="AF1117" s="1318"/>
      <c r="AG1117" s="1318"/>
      <c r="AH1117" s="1318"/>
      <c r="AI1117" s="1318"/>
      <c r="AJ1117" s="344"/>
      <c r="AK1117" s="345"/>
      <c r="AL1117" s="340"/>
      <c r="AM1117" s="342" t="s">
        <v>1234</v>
      </c>
      <c r="AN1117" s="342"/>
      <c r="AO1117" s="342"/>
      <c r="AP1117" s="342"/>
      <c r="AQ1117" s="342"/>
      <c r="AR1117" s="342"/>
      <c r="AS1117" s="342"/>
      <c r="AT1117" s="342"/>
      <c r="AU1117" s="342"/>
      <c r="AV1117" s="342"/>
      <c r="AW1117" s="342"/>
      <c r="AX1117" s="342"/>
      <c r="AY1117" s="342"/>
      <c r="AZ1117" s="342"/>
      <c r="BA1117" s="342"/>
      <c r="BB1117" s="342"/>
      <c r="BC1117" s="342"/>
      <c r="BD1117" s="342"/>
      <c r="BE1117" s="342"/>
      <c r="BF1117" s="342"/>
      <c r="BG1117" s="1318">
        <f>W1117</f>
        <v>0</v>
      </c>
      <c r="BH1117" s="1318"/>
      <c r="BI1117" s="1318"/>
      <c r="BJ1117" s="1318"/>
      <c r="BK1117" s="1318"/>
      <c r="BL1117" s="1318"/>
      <c r="BM1117" s="355"/>
      <c r="BN1117" s="1318">
        <f>AD1117</f>
        <v>0</v>
      </c>
      <c r="BO1117" s="1318"/>
      <c r="BP1117" s="1318"/>
      <c r="BQ1117" s="1318"/>
      <c r="BR1117" s="1318"/>
      <c r="BS1117" s="1318"/>
      <c r="BT1117" s="359"/>
      <c r="BU1117" s="346"/>
      <c r="BV1117" s="310"/>
      <c r="BW1117" s="310"/>
      <c r="BX1117" s="291">
        <f t="shared" si="76"/>
        <v>0</v>
      </c>
      <c r="BY1117" s="344"/>
      <c r="BZ1117" s="347"/>
      <c r="CA1117" s="347"/>
    </row>
    <row r="1118" spans="1:79" ht="15" hidden="1" customHeight="1" x14ac:dyDescent="0.25">
      <c r="A1118" s="313"/>
      <c r="B1118" s="340"/>
      <c r="C1118" s="342"/>
      <c r="D1118" s="342"/>
      <c r="E1118" s="342"/>
      <c r="F1118" s="342"/>
      <c r="G1118" s="342"/>
      <c r="H1118" s="342"/>
      <c r="I1118" s="342"/>
      <c r="J1118" s="342"/>
      <c r="K1118" s="342"/>
      <c r="L1118" s="342"/>
      <c r="M1118" s="342"/>
      <c r="N1118" s="342"/>
      <c r="O1118" s="342"/>
      <c r="P1118" s="342"/>
      <c r="Q1118" s="342"/>
      <c r="R1118" s="342"/>
      <c r="S1118" s="342"/>
      <c r="T1118" s="342"/>
      <c r="U1118" s="342"/>
      <c r="V1118" s="342"/>
      <c r="W1118" s="1318"/>
      <c r="X1118" s="1318"/>
      <c r="Y1118" s="1318"/>
      <c r="Z1118" s="1318"/>
      <c r="AA1118" s="1318"/>
      <c r="AB1118" s="1318"/>
      <c r="AC1118" s="355"/>
      <c r="AD1118" s="1318"/>
      <c r="AE1118" s="1318"/>
      <c r="AF1118" s="1318"/>
      <c r="AG1118" s="1318"/>
      <c r="AH1118" s="1318"/>
      <c r="AI1118" s="1318"/>
      <c r="AJ1118" s="344"/>
      <c r="AK1118" s="345"/>
      <c r="AL1118" s="340"/>
      <c r="AM1118" s="342"/>
      <c r="AN1118" s="342"/>
      <c r="AO1118" s="342"/>
      <c r="AP1118" s="342"/>
      <c r="AQ1118" s="342"/>
      <c r="AR1118" s="342"/>
      <c r="AS1118" s="342"/>
      <c r="AT1118" s="342"/>
      <c r="AU1118" s="342"/>
      <c r="AV1118" s="342"/>
      <c r="AW1118" s="342"/>
      <c r="AX1118" s="342"/>
      <c r="AY1118" s="342"/>
      <c r="AZ1118" s="342"/>
      <c r="BA1118" s="342"/>
      <c r="BB1118" s="342"/>
      <c r="BC1118" s="342"/>
      <c r="BD1118" s="342"/>
      <c r="BE1118" s="342"/>
      <c r="BF1118" s="342"/>
      <c r="BG1118" s="1318"/>
      <c r="BH1118" s="1318"/>
      <c r="BI1118" s="1318"/>
      <c r="BJ1118" s="1318"/>
      <c r="BK1118" s="1318"/>
      <c r="BL1118" s="1318"/>
      <c r="BM1118" s="355"/>
      <c r="BN1118" s="1318"/>
      <c r="BO1118" s="1318"/>
      <c r="BP1118" s="1318"/>
      <c r="BQ1118" s="1318"/>
      <c r="BR1118" s="1318"/>
      <c r="BS1118" s="1318"/>
      <c r="BT1118" s="359"/>
      <c r="BU1118" s="346"/>
      <c r="BV1118" s="310"/>
      <c r="BW1118" s="310"/>
      <c r="BX1118" s="291">
        <f t="shared" si="76"/>
        <v>0</v>
      </c>
      <c r="BY1118" s="344"/>
      <c r="BZ1118" s="347"/>
      <c r="CA1118" s="347"/>
    </row>
    <row r="1119" spans="1:79" ht="15" hidden="1" customHeight="1" thickBot="1" x14ac:dyDescent="0.3">
      <c r="A1119" s="602"/>
      <c r="B1119" s="603"/>
      <c r="C1119" s="360" t="s">
        <v>752</v>
      </c>
      <c r="D1119" s="340"/>
      <c r="E1119" s="340"/>
      <c r="F1119" s="340"/>
      <c r="G1119" s="340"/>
      <c r="H1119" s="340"/>
      <c r="I1119" s="340"/>
      <c r="J1119" s="340"/>
      <c r="K1119" s="340"/>
      <c r="L1119" s="340"/>
      <c r="M1119" s="340"/>
      <c r="N1119" s="340"/>
      <c r="O1119" s="340"/>
      <c r="P1119" s="340"/>
      <c r="Q1119" s="340"/>
      <c r="R1119" s="340"/>
      <c r="S1119" s="340"/>
      <c r="T1119" s="340"/>
      <c r="U1119" s="342"/>
      <c r="V1119" s="342"/>
      <c r="W1119" s="1359">
        <f>SUBTOTAL(109,W1114:AB1117)</f>
        <v>0</v>
      </c>
      <c r="X1119" s="1359"/>
      <c r="Y1119" s="1359"/>
      <c r="Z1119" s="1359"/>
      <c r="AA1119" s="1359"/>
      <c r="AB1119" s="1359"/>
      <c r="AC1119" s="355"/>
      <c r="AD1119" s="1359">
        <f>SUBTOTAL(109,AD1114:AI1117)</f>
        <v>0</v>
      </c>
      <c r="AE1119" s="1359"/>
      <c r="AF1119" s="1359"/>
      <c r="AG1119" s="1359"/>
      <c r="AH1119" s="1359"/>
      <c r="AI1119" s="1359"/>
      <c r="AJ1119" s="344"/>
      <c r="AK1119" s="345"/>
      <c r="AL1119" s="340"/>
      <c r="AM1119" s="360" t="s">
        <v>752</v>
      </c>
      <c r="AN1119" s="340"/>
      <c r="AO1119" s="340"/>
      <c r="AP1119" s="340"/>
      <c r="AQ1119" s="340"/>
      <c r="AR1119" s="340"/>
      <c r="AS1119" s="340"/>
      <c r="AT1119" s="340"/>
      <c r="AU1119" s="340"/>
      <c r="AV1119" s="340"/>
      <c r="AW1119" s="340"/>
      <c r="AX1119" s="340"/>
      <c r="AY1119" s="340"/>
      <c r="AZ1119" s="340"/>
      <c r="BA1119" s="340"/>
      <c r="BB1119" s="340"/>
      <c r="BC1119" s="340"/>
      <c r="BD1119" s="340"/>
      <c r="BE1119" s="342"/>
      <c r="BF1119" s="342"/>
      <c r="BG1119" s="1359">
        <f>SUBTOTAL(109,BG1107:BL1117)</f>
        <v>0</v>
      </c>
      <c r="BH1119" s="1359"/>
      <c r="BI1119" s="1359"/>
      <c r="BJ1119" s="1359"/>
      <c r="BK1119" s="1359"/>
      <c r="BL1119" s="1359"/>
      <c r="BM1119" s="355"/>
      <c r="BN1119" s="1359">
        <f>SUBTOTAL(109,BN1107:BS1117)</f>
        <v>0</v>
      </c>
      <c r="BO1119" s="1359"/>
      <c r="BP1119" s="1359"/>
      <c r="BQ1119" s="1359"/>
      <c r="BR1119" s="1359"/>
      <c r="BS1119" s="1359"/>
      <c r="BT1119" s="361"/>
      <c r="BU1119" s="362"/>
      <c r="BV1119" s="310">
        <f>W1119-KN_CT335</f>
        <v>0</v>
      </c>
      <c r="BW1119" s="310">
        <f>AD1119-KT_CT335</f>
        <v>0</v>
      </c>
      <c r="BX1119" s="291">
        <f t="shared" si="76"/>
        <v>0</v>
      </c>
      <c r="BY1119" s="344"/>
      <c r="BZ1119" s="347"/>
      <c r="CA1119" s="347"/>
    </row>
    <row r="1120" spans="1:79" ht="2.1" hidden="1" customHeight="1" thickTop="1" x14ac:dyDescent="0.25">
      <c r="A1120" s="604"/>
      <c r="B1120" s="603"/>
      <c r="C1120" s="392"/>
      <c r="D1120" s="392"/>
      <c r="E1120" s="392"/>
      <c r="F1120" s="392"/>
      <c r="G1120" s="392"/>
      <c r="H1120" s="392"/>
      <c r="I1120" s="392"/>
      <c r="J1120" s="392"/>
      <c r="K1120" s="392"/>
      <c r="L1120" s="392"/>
      <c r="M1120" s="392"/>
      <c r="N1120" s="392"/>
      <c r="O1120" s="392"/>
      <c r="P1120" s="392"/>
      <c r="Q1120" s="392"/>
      <c r="R1120" s="392"/>
      <c r="S1120" s="392"/>
      <c r="T1120" s="392"/>
      <c r="U1120" s="392"/>
      <c r="V1120" s="392"/>
      <c r="W1120" s="393"/>
      <c r="X1120" s="393"/>
      <c r="Y1120" s="393"/>
      <c r="Z1120" s="393"/>
      <c r="AA1120" s="393"/>
      <c r="AB1120" s="393"/>
      <c r="AC1120" s="343"/>
      <c r="AD1120" s="343"/>
      <c r="AE1120" s="343"/>
      <c r="AF1120" s="343"/>
      <c r="AG1120" s="343"/>
      <c r="AH1120" s="343"/>
      <c r="AI1120" s="343"/>
      <c r="AJ1120" s="344"/>
      <c r="AK1120" s="345"/>
      <c r="AL1120" s="340"/>
      <c r="AM1120" s="392"/>
      <c r="AN1120" s="392"/>
      <c r="AO1120" s="392"/>
      <c r="AP1120" s="392"/>
      <c r="AQ1120" s="392"/>
      <c r="AR1120" s="392"/>
      <c r="AS1120" s="392"/>
      <c r="AT1120" s="392"/>
      <c r="AU1120" s="392"/>
      <c r="AV1120" s="392"/>
      <c r="AW1120" s="392"/>
      <c r="AX1120" s="392"/>
      <c r="AY1120" s="392"/>
      <c r="AZ1120" s="392"/>
      <c r="BA1120" s="392"/>
      <c r="BB1120" s="392"/>
      <c r="BC1120" s="392"/>
      <c r="BD1120" s="392"/>
      <c r="BE1120" s="392"/>
      <c r="BF1120" s="392"/>
      <c r="BG1120" s="393"/>
      <c r="BH1120" s="393"/>
      <c r="BI1120" s="393"/>
      <c r="BJ1120" s="393"/>
      <c r="BK1120" s="393"/>
      <c r="BL1120" s="393"/>
      <c r="BM1120" s="343"/>
      <c r="BN1120" s="343"/>
      <c r="BO1120" s="343"/>
      <c r="BP1120" s="343"/>
      <c r="BQ1120" s="343"/>
      <c r="BR1120" s="343"/>
      <c r="BS1120" s="343"/>
      <c r="BT1120" s="356"/>
      <c r="BU1120" s="357"/>
      <c r="BV1120" s="310"/>
      <c r="BW1120" s="310"/>
      <c r="BX1120" s="291">
        <f t="shared" si="76"/>
        <v>0</v>
      </c>
      <c r="BY1120" s="344"/>
      <c r="BZ1120" s="347"/>
      <c r="CA1120" s="347"/>
    </row>
    <row r="1121" spans="1:79" ht="15" hidden="1" customHeight="1" x14ac:dyDescent="0.25">
      <c r="A1121" s="604"/>
      <c r="B1121" s="603"/>
      <c r="C1121" s="605" t="s">
        <v>1235</v>
      </c>
      <c r="D1121" s="392"/>
      <c r="E1121" s="392"/>
      <c r="F1121" s="392"/>
      <c r="G1121" s="392"/>
      <c r="H1121" s="392"/>
      <c r="I1121" s="392"/>
      <c r="J1121" s="392"/>
      <c r="K1121" s="392"/>
      <c r="L1121" s="392"/>
      <c r="M1121" s="392"/>
      <c r="N1121" s="392"/>
      <c r="O1121" s="392"/>
      <c r="P1121" s="392"/>
      <c r="Q1121" s="392"/>
      <c r="R1121" s="392"/>
      <c r="S1121" s="392"/>
      <c r="T1121" s="392"/>
      <c r="U1121" s="392"/>
      <c r="V1121" s="392"/>
      <c r="W1121" s="393"/>
      <c r="X1121" s="393"/>
      <c r="Y1121" s="393"/>
      <c r="Z1121" s="393"/>
      <c r="AA1121" s="393"/>
      <c r="AB1121" s="393"/>
      <c r="AC1121" s="343"/>
      <c r="AD1121" s="343"/>
      <c r="AE1121" s="343"/>
      <c r="AF1121" s="343"/>
      <c r="AG1121" s="343"/>
      <c r="AH1121" s="343"/>
      <c r="AI1121" s="343"/>
      <c r="AJ1121" s="344"/>
      <c r="AK1121" s="345"/>
      <c r="AL1121" s="340"/>
      <c r="AM1121" s="605" t="s">
        <v>1235</v>
      </c>
      <c r="AN1121" s="392"/>
      <c r="AO1121" s="392"/>
      <c r="AP1121" s="392"/>
      <c r="AQ1121" s="392"/>
      <c r="AR1121" s="392"/>
      <c r="AS1121" s="392"/>
      <c r="AT1121" s="392"/>
      <c r="AU1121" s="392"/>
      <c r="AV1121" s="392"/>
      <c r="AW1121" s="392"/>
      <c r="AX1121" s="392"/>
      <c r="AY1121" s="392"/>
      <c r="AZ1121" s="392"/>
      <c r="BA1121" s="392"/>
      <c r="BB1121" s="392"/>
      <c r="BC1121" s="392"/>
      <c r="BD1121" s="392"/>
      <c r="BE1121" s="392"/>
      <c r="BF1121" s="392"/>
      <c r="BG1121" s="393"/>
      <c r="BH1121" s="393"/>
      <c r="BI1121" s="393"/>
      <c r="BJ1121" s="393"/>
      <c r="BK1121" s="393"/>
      <c r="BL1121" s="393"/>
      <c r="BM1121" s="343"/>
      <c r="BN1121" s="343"/>
      <c r="BO1121" s="343"/>
      <c r="BP1121" s="343"/>
      <c r="BQ1121" s="343"/>
      <c r="BR1121" s="343"/>
      <c r="BS1121" s="343"/>
      <c r="BT1121" s="356"/>
      <c r="BU1121" s="357"/>
      <c r="BV1121" s="310"/>
      <c r="BW1121" s="310"/>
      <c r="BX1121" s="291">
        <f t="shared" si="76"/>
        <v>0</v>
      </c>
      <c r="BY1121" s="344"/>
      <c r="BZ1121" s="347"/>
      <c r="CA1121" s="347"/>
    </row>
    <row r="1122" spans="1:79" ht="15" hidden="1" customHeight="1" thickTop="1" x14ac:dyDescent="0.25">
      <c r="A1122" s="604"/>
      <c r="B1122" s="603"/>
      <c r="C1122" s="606"/>
      <c r="D1122" s="392"/>
      <c r="E1122" s="392"/>
      <c r="F1122" s="392"/>
      <c r="G1122" s="392"/>
      <c r="H1122" s="392"/>
      <c r="I1122" s="392"/>
      <c r="J1122" s="392"/>
      <c r="K1122" s="392"/>
      <c r="L1122" s="392"/>
      <c r="M1122" s="392"/>
      <c r="N1122" s="392"/>
      <c r="O1122" s="392"/>
      <c r="P1122" s="392"/>
      <c r="Q1122" s="392"/>
      <c r="R1122" s="392"/>
      <c r="S1122" s="392"/>
      <c r="T1122" s="392"/>
      <c r="U1122" s="392"/>
      <c r="V1122" s="392"/>
      <c r="W1122" s="393"/>
      <c r="X1122" s="393"/>
      <c r="Y1122" s="393"/>
      <c r="Z1122" s="393"/>
      <c r="AA1122" s="393"/>
      <c r="AB1122" s="393"/>
      <c r="AC1122" s="343"/>
      <c r="AD1122" s="343"/>
      <c r="AE1122" s="343"/>
      <c r="AF1122" s="343"/>
      <c r="AG1122" s="343"/>
      <c r="AH1122" s="343"/>
      <c r="AI1122" s="343"/>
      <c r="AJ1122" s="344"/>
      <c r="AK1122" s="345"/>
      <c r="AL1122" s="340"/>
      <c r="AM1122" s="392"/>
      <c r="AN1122" s="392"/>
      <c r="AO1122" s="392"/>
      <c r="AP1122" s="392"/>
      <c r="AQ1122" s="392"/>
      <c r="AR1122" s="392"/>
      <c r="AS1122" s="392"/>
      <c r="AT1122" s="392"/>
      <c r="AU1122" s="392"/>
      <c r="AV1122" s="392"/>
      <c r="AW1122" s="392"/>
      <c r="AX1122" s="392"/>
      <c r="AY1122" s="392"/>
      <c r="AZ1122" s="392"/>
      <c r="BA1122" s="392"/>
      <c r="BB1122" s="392"/>
      <c r="BC1122" s="392"/>
      <c r="BD1122" s="392"/>
      <c r="BE1122" s="392"/>
      <c r="BF1122" s="392"/>
      <c r="BG1122" s="490"/>
      <c r="BH1122" s="490"/>
      <c r="BI1122" s="490"/>
      <c r="BJ1122" s="490"/>
      <c r="BK1122" s="490"/>
      <c r="BL1122" s="490"/>
      <c r="BM1122" s="358"/>
      <c r="BN1122" s="355"/>
      <c r="BO1122" s="355"/>
      <c r="BP1122" s="355"/>
      <c r="BQ1122" s="355"/>
      <c r="BR1122" s="355"/>
      <c r="BS1122" s="355"/>
      <c r="BT1122" s="356"/>
      <c r="BU1122" s="357"/>
      <c r="BV1122" s="310"/>
      <c r="BW1122" s="310"/>
      <c r="BX1122" s="291">
        <f t="shared" si="76"/>
        <v>0</v>
      </c>
      <c r="BY1122" s="344"/>
      <c r="BZ1122" s="347"/>
      <c r="CA1122" s="347"/>
    </row>
    <row r="1123" spans="1:79" ht="15" customHeight="1" x14ac:dyDescent="0.25">
      <c r="A1123" s="313">
        <v>19</v>
      </c>
      <c r="B1123" s="340" t="s">
        <v>345</v>
      </c>
      <c r="C1123" s="471" t="s">
        <v>1236</v>
      </c>
      <c r="D1123" s="392"/>
      <c r="E1123" s="392"/>
      <c r="F1123" s="392"/>
      <c r="G1123" s="392"/>
      <c r="H1123" s="392"/>
      <c r="I1123" s="392"/>
      <c r="J1123" s="392"/>
      <c r="K1123" s="392"/>
      <c r="L1123" s="392"/>
      <c r="M1123" s="392"/>
      <c r="N1123" s="392"/>
      <c r="O1123" s="392"/>
      <c r="P1123" s="392"/>
      <c r="Q1123" s="392"/>
      <c r="R1123" s="392"/>
      <c r="S1123" s="392"/>
      <c r="T1123" s="392"/>
      <c r="U1123" s="392"/>
      <c r="V1123" s="392"/>
      <c r="W1123" s="393"/>
      <c r="X1123" s="393"/>
      <c r="Y1123" s="393"/>
      <c r="Z1123" s="393"/>
      <c r="AA1123" s="393"/>
      <c r="AB1123" s="393"/>
      <c r="AC1123" s="343"/>
      <c r="AD1123" s="343"/>
      <c r="AE1123" s="343"/>
      <c r="AF1123" s="343"/>
      <c r="AG1123" s="343"/>
      <c r="AH1123" s="343"/>
      <c r="AI1123" s="343"/>
      <c r="AJ1123" s="344"/>
      <c r="AK1123" s="345">
        <f>STT_PhaiTraKhac</f>
        <v>19</v>
      </c>
      <c r="AL1123" s="340" t="s">
        <v>345</v>
      </c>
      <c r="AM1123" s="471" t="s">
        <v>1237</v>
      </c>
      <c r="AN1123" s="392"/>
      <c r="AO1123" s="392"/>
      <c r="AP1123" s="392"/>
      <c r="AQ1123" s="392"/>
      <c r="AR1123" s="392"/>
      <c r="AS1123" s="392"/>
      <c r="AT1123" s="392"/>
      <c r="AU1123" s="392"/>
      <c r="AV1123" s="392"/>
      <c r="AW1123" s="392"/>
      <c r="AX1123" s="392"/>
      <c r="AY1123" s="392"/>
      <c r="AZ1123" s="392"/>
      <c r="BA1123" s="392"/>
      <c r="BB1123" s="392"/>
      <c r="BC1123" s="392"/>
      <c r="BD1123" s="392"/>
      <c r="BE1123" s="392"/>
      <c r="BF1123" s="392"/>
      <c r="BG1123" s="490"/>
      <c r="BH1123" s="490"/>
      <c r="BI1123" s="490"/>
      <c r="BJ1123" s="490"/>
      <c r="BK1123" s="490"/>
      <c r="BL1123" s="490"/>
      <c r="BM1123" s="358"/>
      <c r="BN1123" s="355"/>
      <c r="BO1123" s="355"/>
      <c r="BP1123" s="355"/>
      <c r="BQ1123" s="355"/>
      <c r="BR1123" s="355"/>
      <c r="BS1123" s="355"/>
      <c r="BT1123" s="356"/>
      <c r="BU1123" s="346">
        <f>SUBTOTAL(103,A1123)</f>
        <v>1</v>
      </c>
      <c r="BV1123" s="310"/>
      <c r="BW1123" s="310"/>
      <c r="BX1123" s="291">
        <f t="shared" si="76"/>
        <v>0</v>
      </c>
      <c r="BY1123" s="344"/>
      <c r="BZ1123" s="347"/>
      <c r="CA1123" s="347"/>
    </row>
    <row r="1124" spans="1:79" ht="15" customHeight="1" x14ac:dyDescent="0.25">
      <c r="A1124" s="313"/>
      <c r="B1124" s="340"/>
      <c r="C1124" s="392"/>
      <c r="D1124" s="392"/>
      <c r="E1124" s="392"/>
      <c r="F1124" s="392"/>
      <c r="G1124" s="392"/>
      <c r="H1124" s="392"/>
      <c r="I1124" s="392"/>
      <c r="J1124" s="392"/>
      <c r="K1124" s="392"/>
      <c r="L1124" s="392"/>
      <c r="M1124" s="392"/>
      <c r="N1124" s="392"/>
      <c r="O1124" s="392"/>
      <c r="P1124" s="392"/>
      <c r="Q1124" s="392"/>
      <c r="R1124" s="392"/>
      <c r="S1124" s="392"/>
      <c r="T1124" s="392"/>
      <c r="U1124" s="392"/>
      <c r="V1124" s="392"/>
      <c r="W1124" s="1325" t="str">
        <f>Ky_Nay1_V</f>
        <v>31/12/2017</v>
      </c>
      <c r="X1124" s="1325"/>
      <c r="Y1124" s="1325"/>
      <c r="Z1124" s="1325"/>
      <c r="AA1124" s="1325"/>
      <c r="AB1124" s="1325"/>
      <c r="AC1124" s="351"/>
      <c r="AD1124" s="1325" t="str">
        <f>Ky_Truoc1_V</f>
        <v>01/01/2017</v>
      </c>
      <c r="AE1124" s="1325"/>
      <c r="AF1124" s="1325"/>
      <c r="AG1124" s="1325"/>
      <c r="AH1124" s="1325"/>
      <c r="AI1124" s="1325"/>
      <c r="AJ1124" s="344"/>
      <c r="AK1124" s="345"/>
      <c r="AL1124" s="340"/>
      <c r="AM1124" s="392"/>
      <c r="AN1124" s="392"/>
      <c r="AO1124" s="392"/>
      <c r="AP1124" s="392"/>
      <c r="AQ1124" s="392"/>
      <c r="AR1124" s="392"/>
      <c r="AS1124" s="392"/>
      <c r="AT1124" s="392"/>
      <c r="AU1124" s="392"/>
      <c r="AV1124" s="392"/>
      <c r="AW1124" s="392"/>
      <c r="AX1124" s="392"/>
      <c r="AY1124" s="392"/>
      <c r="AZ1124" s="392"/>
      <c r="BA1124" s="392"/>
      <c r="BB1124" s="392"/>
      <c r="BC1124" s="392"/>
      <c r="BD1124" s="392"/>
      <c r="BE1124" s="392"/>
      <c r="BF1124" s="392"/>
      <c r="BG1124" s="1325" t="str">
        <f>Ky_Nay1_E</f>
        <v>31/12/2017</v>
      </c>
      <c r="BH1124" s="1325"/>
      <c r="BI1124" s="1325"/>
      <c r="BJ1124" s="1325"/>
      <c r="BK1124" s="1325"/>
      <c r="BL1124" s="1325"/>
      <c r="BM1124" s="351"/>
      <c r="BN1124" s="1325" t="str">
        <f>Ky_Truoc1_E</f>
        <v>01/01/2017</v>
      </c>
      <c r="BO1124" s="1325"/>
      <c r="BP1124" s="1325"/>
      <c r="BQ1124" s="1325"/>
      <c r="BR1124" s="1325"/>
      <c r="BS1124" s="1325"/>
      <c r="BT1124" s="356"/>
      <c r="BU1124" s="357"/>
      <c r="BV1124" s="310"/>
      <c r="BW1124" s="310"/>
      <c r="BX1124" s="291">
        <f t="shared" si="76"/>
        <v>0</v>
      </c>
      <c r="BY1124" s="344"/>
      <c r="BZ1124" s="347"/>
      <c r="CA1124" s="347"/>
    </row>
    <row r="1125" spans="1:79" ht="15" customHeight="1" x14ac:dyDescent="0.25">
      <c r="A1125" s="313"/>
      <c r="B1125" s="340"/>
      <c r="C1125" s="392"/>
      <c r="D1125" s="392"/>
      <c r="E1125" s="392"/>
      <c r="F1125" s="392"/>
      <c r="G1125" s="392"/>
      <c r="H1125" s="392"/>
      <c r="I1125" s="392"/>
      <c r="J1125" s="392"/>
      <c r="K1125" s="392"/>
      <c r="L1125" s="392"/>
      <c r="M1125" s="392"/>
      <c r="N1125" s="392"/>
      <c r="O1125" s="392"/>
      <c r="P1125" s="392"/>
      <c r="Q1125" s="392"/>
      <c r="R1125" s="392"/>
      <c r="S1125" s="392"/>
      <c r="T1125" s="392"/>
      <c r="U1125" s="392"/>
      <c r="V1125" s="392"/>
      <c r="W1125" s="1327" t="str">
        <f>Don_Vi_Tinh_V</f>
        <v>VND</v>
      </c>
      <c r="X1125" s="1327"/>
      <c r="Y1125" s="1327"/>
      <c r="Z1125" s="1327"/>
      <c r="AA1125" s="1327"/>
      <c r="AB1125" s="1327"/>
      <c r="AC1125" s="351"/>
      <c r="AD1125" s="1327" t="str">
        <f>Don_Vi_Tinh_V</f>
        <v>VND</v>
      </c>
      <c r="AE1125" s="1327"/>
      <c r="AF1125" s="1327"/>
      <c r="AG1125" s="1327"/>
      <c r="AH1125" s="1327"/>
      <c r="AI1125" s="1327"/>
      <c r="AJ1125" s="344"/>
      <c r="AK1125" s="345"/>
      <c r="AL1125" s="340"/>
      <c r="AM1125" s="392"/>
      <c r="AN1125" s="392"/>
      <c r="AO1125" s="392"/>
      <c r="AP1125" s="392"/>
      <c r="AQ1125" s="392"/>
      <c r="AR1125" s="392"/>
      <c r="AS1125" s="392"/>
      <c r="AT1125" s="392"/>
      <c r="AU1125" s="392"/>
      <c r="AV1125" s="392"/>
      <c r="AW1125" s="392"/>
      <c r="AX1125" s="392"/>
      <c r="AY1125" s="392"/>
      <c r="AZ1125" s="392"/>
      <c r="BA1125" s="392"/>
      <c r="BB1125" s="392"/>
      <c r="BC1125" s="392"/>
      <c r="BD1125" s="392"/>
      <c r="BE1125" s="392"/>
      <c r="BF1125" s="392"/>
      <c r="BG1125" s="1327" t="str">
        <f>Don_Vi_Tinh_E</f>
        <v>VND</v>
      </c>
      <c r="BH1125" s="1327"/>
      <c r="BI1125" s="1327"/>
      <c r="BJ1125" s="1327"/>
      <c r="BK1125" s="1327"/>
      <c r="BL1125" s="1327"/>
      <c r="BM1125" s="351"/>
      <c r="BN1125" s="1327" t="str">
        <f>Don_Vi_Tinh_E</f>
        <v>VND</v>
      </c>
      <c r="BO1125" s="1327"/>
      <c r="BP1125" s="1327"/>
      <c r="BQ1125" s="1327"/>
      <c r="BR1125" s="1327"/>
      <c r="BS1125" s="1327"/>
      <c r="BT1125" s="356"/>
      <c r="BU1125" s="357"/>
      <c r="BV1125" s="310"/>
      <c r="BW1125" s="310"/>
      <c r="BX1125" s="291">
        <f t="shared" si="76"/>
        <v>0</v>
      </c>
      <c r="BY1125" s="344"/>
      <c r="BZ1125" s="347"/>
      <c r="CA1125" s="347"/>
    </row>
    <row r="1126" spans="1:79" ht="12.95" customHeight="1" x14ac:dyDescent="0.25">
      <c r="A1126" s="313"/>
      <c r="B1126" s="340"/>
      <c r="C1126" s="392"/>
      <c r="D1126" s="392"/>
      <c r="E1126" s="392"/>
      <c r="F1126" s="392"/>
      <c r="G1126" s="392"/>
      <c r="H1126" s="392"/>
      <c r="I1126" s="392"/>
      <c r="J1126" s="392"/>
      <c r="K1126" s="392"/>
      <c r="L1126" s="392"/>
      <c r="M1126" s="392"/>
      <c r="N1126" s="392"/>
      <c r="O1126" s="392"/>
      <c r="P1126" s="392"/>
      <c r="Q1126" s="392"/>
      <c r="R1126" s="392"/>
      <c r="S1126" s="392"/>
      <c r="T1126" s="392"/>
      <c r="U1126" s="392"/>
      <c r="V1126" s="392"/>
      <c r="W1126" s="1318"/>
      <c r="X1126" s="1318"/>
      <c r="Y1126" s="1318"/>
      <c r="Z1126" s="1318"/>
      <c r="AA1126" s="1318"/>
      <c r="AB1126" s="1318"/>
      <c r="AC1126" s="355"/>
      <c r="AD1126" s="1318"/>
      <c r="AE1126" s="1318"/>
      <c r="AF1126" s="1318"/>
      <c r="AG1126" s="1318"/>
      <c r="AH1126" s="1318"/>
      <c r="AI1126" s="1318"/>
      <c r="AJ1126" s="344"/>
      <c r="AK1126" s="345"/>
      <c r="AL1126" s="340"/>
      <c r="AM1126" s="392"/>
      <c r="AN1126" s="392"/>
      <c r="AO1126" s="392"/>
      <c r="AP1126" s="392"/>
      <c r="AQ1126" s="392"/>
      <c r="AR1126" s="392"/>
      <c r="AS1126" s="392"/>
      <c r="AT1126" s="392"/>
      <c r="AU1126" s="392"/>
      <c r="AV1126" s="392"/>
      <c r="AW1126" s="392"/>
      <c r="AX1126" s="392"/>
      <c r="AY1126" s="392"/>
      <c r="AZ1126" s="392"/>
      <c r="BA1126" s="392"/>
      <c r="BB1126" s="392"/>
      <c r="BC1126" s="392"/>
      <c r="BD1126" s="392"/>
      <c r="BE1126" s="392"/>
      <c r="BF1126" s="392"/>
      <c r="BG1126" s="1318"/>
      <c r="BH1126" s="1318"/>
      <c r="BI1126" s="1318"/>
      <c r="BJ1126" s="1318"/>
      <c r="BK1126" s="1318"/>
      <c r="BL1126" s="1318"/>
      <c r="BM1126" s="355"/>
      <c r="BN1126" s="1318"/>
      <c r="BO1126" s="1318"/>
      <c r="BP1126" s="1318"/>
      <c r="BQ1126" s="1318"/>
      <c r="BR1126" s="1318"/>
      <c r="BS1126" s="1318"/>
      <c r="BT1126" s="356"/>
      <c r="BU1126" s="357"/>
      <c r="BV1126" s="310"/>
      <c r="BW1126" s="310"/>
      <c r="BX1126" s="291">
        <f t="shared" si="76"/>
        <v>0</v>
      </c>
      <c r="BY1126" s="344"/>
      <c r="BZ1126" s="347"/>
      <c r="CA1126" s="347"/>
    </row>
    <row r="1127" spans="1:79" ht="15" hidden="1" customHeight="1" x14ac:dyDescent="0.25">
      <c r="A1127" s="313"/>
      <c r="B1127" s="340"/>
      <c r="C1127" s="471" t="s">
        <v>855</v>
      </c>
      <c r="D1127" s="471"/>
      <c r="E1127" s="471"/>
      <c r="F1127" s="471"/>
      <c r="G1127" s="471"/>
      <c r="H1127" s="471"/>
      <c r="I1127" s="471"/>
      <c r="J1127" s="471"/>
      <c r="K1127" s="471"/>
      <c r="L1127" s="471"/>
      <c r="M1127" s="471"/>
      <c r="N1127" s="471"/>
      <c r="O1127" s="471"/>
      <c r="P1127" s="471"/>
      <c r="Q1127" s="471"/>
      <c r="R1127" s="471"/>
      <c r="S1127" s="471"/>
      <c r="T1127" s="471"/>
      <c r="U1127" s="471"/>
      <c r="V1127" s="471"/>
      <c r="W1127" s="1330"/>
      <c r="X1127" s="1330"/>
      <c r="Y1127" s="1330"/>
      <c r="Z1127" s="1330"/>
      <c r="AA1127" s="1330"/>
      <c r="AB1127" s="1330"/>
      <c r="AC1127" s="363"/>
      <c r="AD1127" s="1330"/>
      <c r="AE1127" s="1330"/>
      <c r="AF1127" s="1330"/>
      <c r="AG1127" s="1330"/>
      <c r="AH1127" s="1330"/>
      <c r="AI1127" s="1330"/>
      <c r="AJ1127" s="344"/>
      <c r="AK1127" s="345"/>
      <c r="AL1127" s="340"/>
      <c r="AM1127" s="471"/>
      <c r="AN1127" s="471"/>
      <c r="AO1127" s="471"/>
      <c r="AP1127" s="471"/>
      <c r="AQ1127" s="471"/>
      <c r="AR1127" s="471"/>
      <c r="AS1127" s="471"/>
      <c r="AT1127" s="471"/>
      <c r="AU1127" s="471"/>
      <c r="AV1127" s="471"/>
      <c r="AW1127" s="471"/>
      <c r="AX1127" s="471"/>
      <c r="AY1127" s="471"/>
      <c r="AZ1127" s="471"/>
      <c r="BA1127" s="471"/>
      <c r="BB1127" s="471"/>
      <c r="BC1127" s="471"/>
      <c r="BD1127" s="471"/>
      <c r="BE1127" s="471"/>
      <c r="BF1127" s="471"/>
      <c r="BG1127" s="1330"/>
      <c r="BH1127" s="1330"/>
      <c r="BI1127" s="1330"/>
      <c r="BJ1127" s="1330"/>
      <c r="BK1127" s="1330"/>
      <c r="BL1127" s="1330"/>
      <c r="BM1127" s="363"/>
      <c r="BN1127" s="1330"/>
      <c r="BO1127" s="1330"/>
      <c r="BP1127" s="1330"/>
      <c r="BQ1127" s="1330"/>
      <c r="BR1127" s="1330"/>
      <c r="BS1127" s="1330"/>
      <c r="BT1127" s="356"/>
      <c r="BU1127" s="357"/>
      <c r="BV1127" s="310"/>
      <c r="BW1127" s="310"/>
      <c r="BX1127" s="291">
        <f t="shared" si="76"/>
        <v>0</v>
      </c>
      <c r="BY1127" s="344"/>
      <c r="BZ1127" s="347"/>
      <c r="CA1127" s="347"/>
    </row>
    <row r="1128" spans="1:79" ht="15" hidden="1" customHeight="1" x14ac:dyDescent="0.25">
      <c r="A1128" s="313"/>
      <c r="B1128" s="340"/>
      <c r="C1128" s="354" t="s">
        <v>1238</v>
      </c>
      <c r="D1128" s="340"/>
      <c r="E1128" s="340"/>
      <c r="F1128" s="340"/>
      <c r="G1128" s="340"/>
      <c r="H1128" s="340"/>
      <c r="I1128" s="340"/>
      <c r="J1128" s="340"/>
      <c r="K1128" s="340"/>
      <c r="L1128" s="340"/>
      <c r="M1128" s="340"/>
      <c r="N1128" s="340"/>
      <c r="O1128" s="340"/>
      <c r="P1128" s="340"/>
      <c r="Q1128" s="340"/>
      <c r="R1128" s="340"/>
      <c r="S1128" s="340"/>
      <c r="T1128" s="340"/>
      <c r="U1128" s="342"/>
      <c r="V1128" s="342"/>
      <c r="W1128" s="1318"/>
      <c r="X1128" s="1318"/>
      <c r="Y1128" s="1318"/>
      <c r="Z1128" s="1318"/>
      <c r="AA1128" s="1318"/>
      <c r="AB1128" s="1318"/>
      <c r="AC1128" s="355"/>
      <c r="AD1128" s="1318"/>
      <c r="AE1128" s="1318"/>
      <c r="AF1128" s="1318"/>
      <c r="AG1128" s="1318"/>
      <c r="AH1128" s="1318"/>
      <c r="AI1128" s="1318"/>
      <c r="AJ1128" s="344"/>
      <c r="AK1128" s="345"/>
      <c r="AL1128" s="340"/>
      <c r="AM1128" s="354" t="s">
        <v>1239</v>
      </c>
      <c r="AN1128" s="340"/>
      <c r="AO1128" s="340"/>
      <c r="AP1128" s="340"/>
      <c r="AQ1128" s="340"/>
      <c r="AR1128" s="340"/>
      <c r="AS1128" s="340"/>
      <c r="AT1128" s="340"/>
      <c r="AU1128" s="340"/>
      <c r="AV1128" s="340"/>
      <c r="AW1128" s="340"/>
      <c r="AX1128" s="340"/>
      <c r="AY1128" s="340"/>
      <c r="AZ1128" s="340"/>
      <c r="BA1128" s="340"/>
      <c r="BB1128" s="340"/>
      <c r="BC1128" s="340"/>
      <c r="BD1128" s="340"/>
      <c r="BE1128" s="342"/>
      <c r="BF1128" s="342"/>
      <c r="BG1128" s="1318">
        <f t="shared" ref="BG1128:BG1136" si="79">W1128</f>
        <v>0</v>
      </c>
      <c r="BH1128" s="1318"/>
      <c r="BI1128" s="1318"/>
      <c r="BJ1128" s="1318"/>
      <c r="BK1128" s="1318"/>
      <c r="BL1128" s="1318"/>
      <c r="BM1128" s="355"/>
      <c r="BN1128" s="1318">
        <f t="shared" ref="BN1128:BN1136" si="80">AD1128</f>
        <v>0</v>
      </c>
      <c r="BO1128" s="1318"/>
      <c r="BP1128" s="1318"/>
      <c r="BQ1128" s="1318"/>
      <c r="BR1128" s="1318"/>
      <c r="BS1128" s="1318"/>
      <c r="BT1128" s="356"/>
      <c r="BU1128" s="357"/>
      <c r="BV1128" s="310"/>
      <c r="BW1128" s="310"/>
      <c r="BX1128" s="291">
        <f t="shared" si="76"/>
        <v>0</v>
      </c>
      <c r="BY1128" s="344"/>
      <c r="BZ1128" s="347"/>
      <c r="CA1128" s="347"/>
    </row>
    <row r="1129" spans="1:79" ht="15" customHeight="1" x14ac:dyDescent="0.25">
      <c r="A1129" s="313"/>
      <c r="B1129" s="340"/>
      <c r="C1129" s="342" t="s">
        <v>1240</v>
      </c>
      <c r="D1129" s="342"/>
      <c r="E1129" s="342"/>
      <c r="F1129" s="342"/>
      <c r="G1129" s="342"/>
      <c r="H1129" s="342"/>
      <c r="I1129" s="342"/>
      <c r="J1129" s="342"/>
      <c r="K1129" s="342"/>
      <c r="L1129" s="342"/>
      <c r="M1129" s="342"/>
      <c r="N1129" s="342"/>
      <c r="O1129" s="342"/>
      <c r="P1129" s="342"/>
      <c r="Q1129" s="342"/>
      <c r="R1129" s="342"/>
      <c r="S1129" s="342"/>
      <c r="T1129" s="342"/>
      <c r="U1129" s="342"/>
      <c r="V1129" s="342"/>
      <c r="W1129" s="1318">
        <f>[1]Tong_hop!$S$263</f>
        <v>128901987</v>
      </c>
      <c r="X1129" s="1318"/>
      <c r="Y1129" s="1318"/>
      <c r="Z1129" s="1318"/>
      <c r="AA1129" s="1318"/>
      <c r="AB1129" s="1318"/>
      <c r="AC1129" s="355"/>
      <c r="AD1129" s="1318">
        <v>186492207</v>
      </c>
      <c r="AE1129" s="1318"/>
      <c r="AF1129" s="1318"/>
      <c r="AG1129" s="1318"/>
      <c r="AH1129" s="1318"/>
      <c r="AI1129" s="1318"/>
      <c r="AJ1129" s="344"/>
      <c r="AK1129" s="345"/>
      <c r="AL1129" s="340"/>
      <c r="AM1129" s="342" t="s">
        <v>1241</v>
      </c>
      <c r="AN1129" s="342"/>
      <c r="AO1129" s="342"/>
      <c r="AP1129" s="342"/>
      <c r="AQ1129" s="342"/>
      <c r="AR1129" s="342"/>
      <c r="AS1129" s="342"/>
      <c r="AT1129" s="342"/>
      <c r="AU1129" s="342"/>
      <c r="AV1129" s="342"/>
      <c r="AW1129" s="342"/>
      <c r="AX1129" s="342"/>
      <c r="AY1129" s="342"/>
      <c r="AZ1129" s="342"/>
      <c r="BA1129" s="342"/>
      <c r="BB1129" s="342"/>
      <c r="BC1129" s="342"/>
      <c r="BD1129" s="342"/>
      <c r="BE1129" s="342"/>
      <c r="BF1129" s="342"/>
      <c r="BG1129" s="1318">
        <f t="shared" si="79"/>
        <v>128901987</v>
      </c>
      <c r="BH1129" s="1318"/>
      <c r="BI1129" s="1318"/>
      <c r="BJ1129" s="1318"/>
      <c r="BK1129" s="1318"/>
      <c r="BL1129" s="1318"/>
      <c r="BM1129" s="355"/>
      <c r="BN1129" s="1318">
        <f t="shared" si="80"/>
        <v>186492207</v>
      </c>
      <c r="BO1129" s="1318"/>
      <c r="BP1129" s="1318"/>
      <c r="BQ1129" s="1318"/>
      <c r="BR1129" s="1318"/>
      <c r="BS1129" s="1318"/>
      <c r="BT1129" s="356"/>
      <c r="BU1129" s="357"/>
      <c r="BV1129" s="310"/>
      <c r="BW1129" s="310"/>
      <c r="BX1129" s="291">
        <f t="shared" si="76"/>
        <v>0</v>
      </c>
      <c r="BY1129" s="344"/>
      <c r="BZ1129" s="347">
        <f t="shared" ref="BZ1129:BZ1137" si="81">SUM(CA1129:CB1129)</f>
        <v>0</v>
      </c>
      <c r="CA1129" s="347"/>
    </row>
    <row r="1130" spans="1:79" ht="15" customHeight="1" x14ac:dyDescent="0.25">
      <c r="A1130" s="313"/>
      <c r="B1130" s="340"/>
      <c r="C1130" s="354" t="s">
        <v>1242</v>
      </c>
      <c r="D1130" s="340"/>
      <c r="E1130" s="340"/>
      <c r="F1130" s="340"/>
      <c r="G1130" s="340"/>
      <c r="H1130" s="340"/>
      <c r="I1130" s="340"/>
      <c r="J1130" s="340"/>
      <c r="K1130" s="340"/>
      <c r="L1130" s="340"/>
      <c r="M1130" s="340"/>
      <c r="N1130" s="340"/>
      <c r="O1130" s="340"/>
      <c r="P1130" s="340"/>
      <c r="Q1130" s="340"/>
      <c r="R1130" s="340"/>
      <c r="S1130" s="340"/>
      <c r="T1130" s="340"/>
      <c r="U1130" s="342"/>
      <c r="V1130" s="342"/>
      <c r="W1130" s="1318">
        <f>[1]Tong_hop!$S$264</f>
        <v>6999100</v>
      </c>
      <c r="X1130" s="1318"/>
      <c r="Y1130" s="1318"/>
      <c r="Z1130" s="1318"/>
      <c r="AA1130" s="1318"/>
      <c r="AB1130" s="1318"/>
      <c r="AC1130" s="355"/>
      <c r="AD1130" s="1318">
        <v>5257338</v>
      </c>
      <c r="AE1130" s="1318"/>
      <c r="AF1130" s="1318"/>
      <c r="AG1130" s="1318"/>
      <c r="AH1130" s="1318"/>
      <c r="AI1130" s="1318"/>
      <c r="AJ1130" s="344"/>
      <c r="AK1130" s="345"/>
      <c r="AL1130" s="340"/>
      <c r="AM1130" s="354" t="s">
        <v>1243</v>
      </c>
      <c r="AN1130" s="340"/>
      <c r="AO1130" s="340"/>
      <c r="AP1130" s="340"/>
      <c r="AQ1130" s="340"/>
      <c r="AR1130" s="340"/>
      <c r="AS1130" s="340"/>
      <c r="AT1130" s="340"/>
      <c r="AU1130" s="340"/>
      <c r="AV1130" s="340"/>
      <c r="AW1130" s="340"/>
      <c r="AX1130" s="340"/>
      <c r="AY1130" s="340"/>
      <c r="AZ1130" s="340"/>
      <c r="BA1130" s="340"/>
      <c r="BB1130" s="340"/>
      <c r="BC1130" s="340"/>
      <c r="BD1130" s="340"/>
      <c r="BE1130" s="342"/>
      <c r="BF1130" s="342"/>
      <c r="BG1130" s="1318">
        <f t="shared" si="79"/>
        <v>6999100</v>
      </c>
      <c r="BH1130" s="1318"/>
      <c r="BI1130" s="1318"/>
      <c r="BJ1130" s="1318"/>
      <c r="BK1130" s="1318"/>
      <c r="BL1130" s="1318"/>
      <c r="BM1130" s="355"/>
      <c r="BN1130" s="1318">
        <f t="shared" si="80"/>
        <v>5257338</v>
      </c>
      <c r="BO1130" s="1318"/>
      <c r="BP1130" s="1318"/>
      <c r="BQ1130" s="1318"/>
      <c r="BR1130" s="1318"/>
      <c r="BS1130" s="1318"/>
      <c r="BT1130" s="356"/>
      <c r="BU1130" s="357"/>
      <c r="BV1130" s="310"/>
      <c r="BW1130" s="310"/>
      <c r="BX1130" s="291">
        <f t="shared" si="76"/>
        <v>0</v>
      </c>
      <c r="BY1130" s="344"/>
      <c r="BZ1130" s="347">
        <f t="shared" si="81"/>
        <v>0</v>
      </c>
      <c r="CA1130" s="347"/>
    </row>
    <row r="1131" spans="1:79" ht="15" hidden="1" customHeight="1" x14ac:dyDescent="0.25">
      <c r="A1131" s="313"/>
      <c r="B1131" s="340"/>
      <c r="C1131" s="342" t="s">
        <v>1244</v>
      </c>
      <c r="D1131" s="342"/>
      <c r="E1131" s="342"/>
      <c r="F1131" s="342"/>
      <c r="G1131" s="342"/>
      <c r="H1131" s="342"/>
      <c r="I1131" s="342"/>
      <c r="J1131" s="342"/>
      <c r="K1131" s="342"/>
      <c r="L1131" s="342"/>
      <c r="M1131" s="342"/>
      <c r="N1131" s="342"/>
      <c r="O1131" s="342"/>
      <c r="P1131" s="342"/>
      <c r="Q1131" s="342"/>
      <c r="R1131" s="342"/>
      <c r="S1131" s="342"/>
      <c r="T1131" s="342"/>
      <c r="U1131" s="342"/>
      <c r="V1131" s="342"/>
      <c r="W1131" s="1318">
        <f>[1]Tong_hop!$S$265</f>
        <v>0</v>
      </c>
      <c r="X1131" s="1318"/>
      <c r="Y1131" s="1318"/>
      <c r="Z1131" s="1318"/>
      <c r="AA1131" s="1318"/>
      <c r="AB1131" s="1318"/>
      <c r="AC1131" s="355"/>
      <c r="AD1131" s="1318">
        <f>[1]Tong_hop!$S$265</f>
        <v>0</v>
      </c>
      <c r="AE1131" s="1318"/>
      <c r="AF1131" s="1318"/>
      <c r="AG1131" s="1318"/>
      <c r="AH1131" s="1318"/>
      <c r="AI1131" s="1318"/>
      <c r="AJ1131" s="344"/>
      <c r="AK1131" s="345"/>
      <c r="AL1131" s="340"/>
      <c r="AM1131" s="342" t="s">
        <v>1245</v>
      </c>
      <c r="AN1131" s="342"/>
      <c r="AO1131" s="342"/>
      <c r="AP1131" s="342"/>
      <c r="AQ1131" s="342"/>
      <c r="AR1131" s="342"/>
      <c r="AS1131" s="342"/>
      <c r="AT1131" s="342"/>
      <c r="AU1131" s="342"/>
      <c r="AV1131" s="342"/>
      <c r="AW1131" s="342"/>
      <c r="AX1131" s="342"/>
      <c r="AY1131" s="342"/>
      <c r="AZ1131" s="342"/>
      <c r="BA1131" s="342"/>
      <c r="BB1131" s="342"/>
      <c r="BC1131" s="342"/>
      <c r="BD1131" s="342"/>
      <c r="BE1131" s="342"/>
      <c r="BF1131" s="342"/>
      <c r="BG1131" s="1318">
        <f t="shared" si="79"/>
        <v>0</v>
      </c>
      <c r="BH1131" s="1318"/>
      <c r="BI1131" s="1318"/>
      <c r="BJ1131" s="1318"/>
      <c r="BK1131" s="1318"/>
      <c r="BL1131" s="1318"/>
      <c r="BM1131" s="355"/>
      <c r="BN1131" s="1318">
        <f t="shared" si="80"/>
        <v>0</v>
      </c>
      <c r="BO1131" s="1318"/>
      <c r="BP1131" s="1318"/>
      <c r="BQ1131" s="1318"/>
      <c r="BR1131" s="1318"/>
      <c r="BS1131" s="1318"/>
      <c r="BT1131" s="356"/>
      <c r="BU1131" s="357"/>
      <c r="BV1131" s="310"/>
      <c r="BW1131" s="310"/>
      <c r="BX1131" s="291">
        <f t="shared" si="76"/>
        <v>0</v>
      </c>
      <c r="BY1131" s="344"/>
      <c r="BZ1131" s="347">
        <f t="shared" si="81"/>
        <v>0</v>
      </c>
      <c r="CA1131" s="347"/>
    </row>
    <row r="1132" spans="1:79" ht="15" hidden="1" customHeight="1" x14ac:dyDescent="0.25">
      <c r="A1132" s="313"/>
      <c r="B1132" s="340"/>
      <c r="C1132" s="342" t="s">
        <v>1246</v>
      </c>
      <c r="D1132" s="342"/>
      <c r="E1132" s="342"/>
      <c r="F1132" s="342"/>
      <c r="G1132" s="342"/>
      <c r="H1132" s="342"/>
      <c r="I1132" s="342"/>
      <c r="J1132" s="342"/>
      <c r="K1132" s="342"/>
      <c r="L1132" s="342"/>
      <c r="M1132" s="342"/>
      <c r="N1132" s="342"/>
      <c r="O1132" s="342"/>
      <c r="P1132" s="342"/>
      <c r="Q1132" s="342"/>
      <c r="R1132" s="342"/>
      <c r="S1132" s="342"/>
      <c r="T1132" s="342"/>
      <c r="U1132" s="342"/>
      <c r="V1132" s="342"/>
      <c r="W1132" s="1318">
        <f>[1]Tong_hop!$S$266</f>
        <v>0</v>
      </c>
      <c r="X1132" s="1318"/>
      <c r="Y1132" s="1318"/>
      <c r="Z1132" s="1318"/>
      <c r="AA1132" s="1318"/>
      <c r="AB1132" s="1318"/>
      <c r="AC1132" s="355"/>
      <c r="AD1132" s="1318">
        <f>[1]Tong_hop!$S$266</f>
        <v>0</v>
      </c>
      <c r="AE1132" s="1318"/>
      <c r="AF1132" s="1318"/>
      <c r="AG1132" s="1318"/>
      <c r="AH1132" s="1318"/>
      <c r="AI1132" s="1318"/>
      <c r="AJ1132" s="344"/>
      <c r="AK1132" s="345"/>
      <c r="AL1132" s="340"/>
      <c r="AM1132" s="342" t="s">
        <v>1247</v>
      </c>
      <c r="AN1132" s="342"/>
      <c r="AO1132" s="342"/>
      <c r="AP1132" s="342"/>
      <c r="AQ1132" s="342"/>
      <c r="AR1132" s="342"/>
      <c r="AS1132" s="342"/>
      <c r="AT1132" s="342"/>
      <c r="AU1132" s="342"/>
      <c r="AV1132" s="342"/>
      <c r="AW1132" s="342"/>
      <c r="AX1132" s="342"/>
      <c r="AY1132" s="342"/>
      <c r="AZ1132" s="342"/>
      <c r="BA1132" s="342"/>
      <c r="BB1132" s="342"/>
      <c r="BC1132" s="342"/>
      <c r="BD1132" s="342"/>
      <c r="BE1132" s="342"/>
      <c r="BF1132" s="342"/>
      <c r="BG1132" s="1318">
        <f t="shared" si="79"/>
        <v>0</v>
      </c>
      <c r="BH1132" s="1318"/>
      <c r="BI1132" s="1318"/>
      <c r="BJ1132" s="1318"/>
      <c r="BK1132" s="1318"/>
      <c r="BL1132" s="1318"/>
      <c r="BM1132" s="355"/>
      <c r="BN1132" s="1318">
        <f t="shared" si="80"/>
        <v>0</v>
      </c>
      <c r="BO1132" s="1318"/>
      <c r="BP1132" s="1318"/>
      <c r="BQ1132" s="1318"/>
      <c r="BR1132" s="1318"/>
      <c r="BS1132" s="1318"/>
      <c r="BT1132" s="356"/>
      <c r="BU1132" s="357"/>
      <c r="BV1132" s="310"/>
      <c r="BW1132" s="310"/>
      <c r="BX1132" s="291">
        <f t="shared" si="76"/>
        <v>0</v>
      </c>
      <c r="BY1132" s="344"/>
      <c r="BZ1132" s="347">
        <f t="shared" si="81"/>
        <v>0</v>
      </c>
      <c r="CA1132" s="347"/>
    </row>
    <row r="1133" spans="1:79" ht="15" hidden="1" customHeight="1" x14ac:dyDescent="0.25">
      <c r="A1133" s="313"/>
      <c r="B1133" s="340"/>
      <c r="C1133" s="342" t="s">
        <v>1248</v>
      </c>
      <c r="D1133" s="342"/>
      <c r="E1133" s="342"/>
      <c r="F1133" s="342"/>
      <c r="G1133" s="342"/>
      <c r="H1133" s="342"/>
      <c r="I1133" s="342"/>
      <c r="J1133" s="342"/>
      <c r="K1133" s="342"/>
      <c r="L1133" s="342"/>
      <c r="M1133" s="342"/>
      <c r="N1133" s="342"/>
      <c r="O1133" s="342"/>
      <c r="P1133" s="342"/>
      <c r="Q1133" s="342"/>
      <c r="R1133" s="342"/>
      <c r="S1133" s="342"/>
      <c r="T1133" s="342"/>
      <c r="U1133" s="342"/>
      <c r="V1133" s="342"/>
      <c r="W1133" s="1318"/>
      <c r="X1133" s="1318"/>
      <c r="Y1133" s="1318"/>
      <c r="Z1133" s="1318"/>
      <c r="AA1133" s="1318"/>
      <c r="AB1133" s="1318"/>
      <c r="AC1133" s="355"/>
      <c r="AD1133" s="1318"/>
      <c r="AE1133" s="1318"/>
      <c r="AF1133" s="1318"/>
      <c r="AG1133" s="1318"/>
      <c r="AH1133" s="1318"/>
      <c r="AI1133" s="1318"/>
      <c r="AJ1133" s="344"/>
      <c r="AK1133" s="345"/>
      <c r="AL1133" s="340"/>
      <c r="AM1133" s="342" t="s">
        <v>1249</v>
      </c>
      <c r="AN1133" s="342"/>
      <c r="AO1133" s="342"/>
      <c r="AP1133" s="342"/>
      <c r="AQ1133" s="342"/>
      <c r="AR1133" s="342"/>
      <c r="AS1133" s="342"/>
      <c r="AT1133" s="342"/>
      <c r="AU1133" s="342"/>
      <c r="AV1133" s="342"/>
      <c r="AW1133" s="342"/>
      <c r="AX1133" s="342"/>
      <c r="AY1133" s="342"/>
      <c r="AZ1133" s="342"/>
      <c r="BA1133" s="342"/>
      <c r="BB1133" s="342"/>
      <c r="BC1133" s="342"/>
      <c r="BD1133" s="342"/>
      <c r="BE1133" s="342"/>
      <c r="BF1133" s="342"/>
      <c r="BG1133" s="1318">
        <f t="shared" si="79"/>
        <v>0</v>
      </c>
      <c r="BH1133" s="1318"/>
      <c r="BI1133" s="1318"/>
      <c r="BJ1133" s="1318"/>
      <c r="BK1133" s="1318"/>
      <c r="BL1133" s="1318"/>
      <c r="BM1133" s="355"/>
      <c r="BN1133" s="1318">
        <f t="shared" si="80"/>
        <v>0</v>
      </c>
      <c r="BO1133" s="1318"/>
      <c r="BP1133" s="1318"/>
      <c r="BQ1133" s="1318"/>
      <c r="BR1133" s="1318"/>
      <c r="BS1133" s="1318"/>
      <c r="BT1133" s="356"/>
      <c r="BU1133" s="357"/>
      <c r="BV1133" s="310"/>
      <c r="BW1133" s="310"/>
      <c r="BX1133" s="291">
        <f t="shared" si="76"/>
        <v>0</v>
      </c>
      <c r="BY1133" s="344"/>
      <c r="BZ1133" s="347">
        <f t="shared" si="81"/>
        <v>0</v>
      </c>
      <c r="CA1133" s="347"/>
    </row>
    <row r="1134" spans="1:79" ht="15" hidden="1" customHeight="1" x14ac:dyDescent="0.25">
      <c r="A1134" s="313"/>
      <c r="B1134" s="340"/>
      <c r="C1134" s="342" t="s">
        <v>1250</v>
      </c>
      <c r="D1134" s="342"/>
      <c r="E1134" s="342"/>
      <c r="F1134" s="342"/>
      <c r="G1134" s="342"/>
      <c r="H1134" s="342"/>
      <c r="I1134" s="342"/>
      <c r="J1134" s="342"/>
      <c r="K1134" s="342"/>
      <c r="L1134" s="342"/>
      <c r="M1134" s="342"/>
      <c r="N1134" s="342"/>
      <c r="O1134" s="342"/>
      <c r="P1134" s="342"/>
      <c r="Q1134" s="342"/>
      <c r="R1134" s="342"/>
      <c r="S1134" s="342"/>
      <c r="T1134" s="342"/>
      <c r="U1134" s="342"/>
      <c r="V1134" s="342"/>
      <c r="W1134" s="1318"/>
      <c r="X1134" s="1318"/>
      <c r="Y1134" s="1318"/>
      <c r="Z1134" s="1318"/>
      <c r="AA1134" s="1318"/>
      <c r="AB1134" s="1318"/>
      <c r="AC1134" s="355"/>
      <c r="AD1134" s="1318"/>
      <c r="AE1134" s="1318"/>
      <c r="AF1134" s="1318"/>
      <c r="AG1134" s="1318"/>
      <c r="AH1134" s="1318"/>
      <c r="AI1134" s="1318"/>
      <c r="AJ1134" s="344"/>
      <c r="AK1134" s="345"/>
      <c r="AL1134" s="340"/>
      <c r="AM1134" s="342" t="s">
        <v>1251</v>
      </c>
      <c r="AN1134" s="342"/>
      <c r="AO1134" s="342"/>
      <c r="AP1134" s="342"/>
      <c r="AQ1134" s="342"/>
      <c r="AR1134" s="342"/>
      <c r="AS1134" s="342"/>
      <c r="AT1134" s="342"/>
      <c r="AU1134" s="342"/>
      <c r="AV1134" s="342"/>
      <c r="AW1134" s="342"/>
      <c r="AX1134" s="342"/>
      <c r="AY1134" s="342"/>
      <c r="AZ1134" s="342"/>
      <c r="BA1134" s="342"/>
      <c r="BB1134" s="342"/>
      <c r="BC1134" s="342"/>
      <c r="BD1134" s="342"/>
      <c r="BE1134" s="342"/>
      <c r="BF1134" s="342"/>
      <c r="BG1134" s="1318">
        <f t="shared" si="79"/>
        <v>0</v>
      </c>
      <c r="BH1134" s="1318"/>
      <c r="BI1134" s="1318"/>
      <c r="BJ1134" s="1318"/>
      <c r="BK1134" s="1318"/>
      <c r="BL1134" s="1318"/>
      <c r="BM1134" s="355"/>
      <c r="BN1134" s="1318">
        <f t="shared" si="80"/>
        <v>0</v>
      </c>
      <c r="BO1134" s="1318"/>
      <c r="BP1134" s="1318"/>
      <c r="BQ1134" s="1318"/>
      <c r="BR1134" s="1318"/>
      <c r="BS1134" s="1318"/>
      <c r="BT1134" s="356"/>
      <c r="BU1134" s="357"/>
      <c r="BV1134" s="310"/>
      <c r="BW1134" s="310"/>
      <c r="BX1134" s="291">
        <f t="shared" ref="BX1134:BX1201" si="82">IF(ISNONTEXT($C1134),0,SUM(D1134:AI1134)-SUM(AN1134:BS1134))</f>
        <v>0</v>
      </c>
      <c r="BY1134" s="344"/>
      <c r="BZ1134" s="347">
        <f t="shared" si="81"/>
        <v>0</v>
      </c>
      <c r="CA1134" s="347"/>
    </row>
    <row r="1135" spans="1:79" ht="15" hidden="1" customHeight="1" x14ac:dyDescent="0.25">
      <c r="A1135" s="313"/>
      <c r="B1135" s="340"/>
      <c r="C1135" s="342" t="s">
        <v>1252</v>
      </c>
      <c r="D1135" s="342"/>
      <c r="E1135" s="342"/>
      <c r="F1135" s="342"/>
      <c r="G1135" s="342"/>
      <c r="H1135" s="342"/>
      <c r="I1135" s="342"/>
      <c r="J1135" s="342"/>
      <c r="K1135" s="342"/>
      <c r="L1135" s="342"/>
      <c r="M1135" s="342"/>
      <c r="N1135" s="342"/>
      <c r="O1135" s="342"/>
      <c r="P1135" s="342"/>
      <c r="Q1135" s="342"/>
      <c r="R1135" s="342"/>
      <c r="S1135" s="342"/>
      <c r="T1135" s="342"/>
      <c r="U1135" s="342"/>
      <c r="V1135" s="342"/>
      <c r="W1135" s="1318"/>
      <c r="X1135" s="1318"/>
      <c r="Y1135" s="1318"/>
      <c r="Z1135" s="1318"/>
      <c r="AA1135" s="1318"/>
      <c r="AB1135" s="1318"/>
      <c r="AC1135" s="355"/>
      <c r="AD1135" s="1318"/>
      <c r="AE1135" s="1318"/>
      <c r="AF1135" s="1318"/>
      <c r="AG1135" s="1318"/>
      <c r="AH1135" s="1318"/>
      <c r="AI1135" s="1318"/>
      <c r="AJ1135" s="344"/>
      <c r="AK1135" s="345"/>
      <c r="AL1135" s="340"/>
      <c r="AM1135" s="342" t="s">
        <v>1253</v>
      </c>
      <c r="AN1135" s="342"/>
      <c r="AO1135" s="342"/>
      <c r="AP1135" s="342"/>
      <c r="AQ1135" s="342"/>
      <c r="AR1135" s="342"/>
      <c r="AS1135" s="342"/>
      <c r="AT1135" s="342"/>
      <c r="AU1135" s="342"/>
      <c r="AV1135" s="342"/>
      <c r="AW1135" s="342"/>
      <c r="AX1135" s="342"/>
      <c r="AY1135" s="342"/>
      <c r="AZ1135" s="342"/>
      <c r="BA1135" s="342"/>
      <c r="BB1135" s="342"/>
      <c r="BC1135" s="342"/>
      <c r="BD1135" s="342"/>
      <c r="BE1135" s="342"/>
      <c r="BF1135" s="342"/>
      <c r="BG1135" s="1318">
        <f t="shared" si="79"/>
        <v>0</v>
      </c>
      <c r="BH1135" s="1318"/>
      <c r="BI1135" s="1318"/>
      <c r="BJ1135" s="1318"/>
      <c r="BK1135" s="1318"/>
      <c r="BL1135" s="1318"/>
      <c r="BM1135" s="355"/>
      <c r="BN1135" s="1318">
        <f t="shared" si="80"/>
        <v>0</v>
      </c>
      <c r="BO1135" s="1318"/>
      <c r="BP1135" s="1318"/>
      <c r="BQ1135" s="1318"/>
      <c r="BR1135" s="1318"/>
      <c r="BS1135" s="1318"/>
      <c r="BT1135" s="356"/>
      <c r="BU1135" s="357"/>
      <c r="BV1135" s="310"/>
      <c r="BW1135" s="310"/>
      <c r="BX1135" s="291">
        <f t="shared" si="82"/>
        <v>0</v>
      </c>
      <c r="BY1135" s="344"/>
      <c r="BZ1135" s="347">
        <f t="shared" si="81"/>
        <v>0</v>
      </c>
      <c r="CA1135" s="347"/>
    </row>
    <row r="1136" spans="1:79" ht="15" customHeight="1" x14ac:dyDescent="0.25">
      <c r="A1136" s="313"/>
      <c r="B1136" s="340"/>
      <c r="C1136" s="342" t="s">
        <v>1254</v>
      </c>
      <c r="D1136" s="342"/>
      <c r="E1136" s="342"/>
      <c r="F1136" s="342"/>
      <c r="G1136" s="342"/>
      <c r="H1136" s="342"/>
      <c r="I1136" s="342"/>
      <c r="J1136" s="342"/>
      <c r="K1136" s="342"/>
      <c r="L1136" s="342"/>
      <c r="M1136" s="342"/>
      <c r="N1136" s="342"/>
      <c r="O1136" s="342"/>
      <c r="P1136" s="342"/>
      <c r="Q1136" s="342"/>
      <c r="R1136" s="342"/>
      <c r="S1136" s="342"/>
      <c r="T1136" s="342"/>
      <c r="U1136" s="342"/>
      <c r="V1136" s="342"/>
      <c r="W1136" s="1318">
        <f>SUBTOTAL(109,W1137:AB1141)</f>
        <v>756631251</v>
      </c>
      <c r="X1136" s="1318"/>
      <c r="Y1136" s="1318"/>
      <c r="Z1136" s="1318"/>
      <c r="AA1136" s="1318"/>
      <c r="AB1136" s="1318"/>
      <c r="AC1136" s="355"/>
      <c r="AD1136" s="1318">
        <f>SUBTOTAL(109,AD1137:AI1141)</f>
        <v>710870440</v>
      </c>
      <c r="AE1136" s="1318"/>
      <c r="AF1136" s="1318"/>
      <c r="AG1136" s="1318"/>
      <c r="AH1136" s="1318"/>
      <c r="AI1136" s="1318"/>
      <c r="AJ1136" s="344"/>
      <c r="AK1136" s="345"/>
      <c r="AL1136" s="340"/>
      <c r="AM1136" s="342" t="s">
        <v>1234</v>
      </c>
      <c r="AN1136" s="342"/>
      <c r="AO1136" s="342"/>
      <c r="AP1136" s="342"/>
      <c r="AQ1136" s="342"/>
      <c r="AR1136" s="342"/>
      <c r="AS1136" s="342"/>
      <c r="AT1136" s="342"/>
      <c r="AU1136" s="342"/>
      <c r="AV1136" s="342"/>
      <c r="AW1136" s="342"/>
      <c r="AX1136" s="342"/>
      <c r="AY1136" s="342"/>
      <c r="AZ1136" s="342"/>
      <c r="BA1136" s="342"/>
      <c r="BB1136" s="342"/>
      <c r="BC1136" s="342"/>
      <c r="BD1136" s="342"/>
      <c r="BE1136" s="342"/>
      <c r="BF1136" s="342"/>
      <c r="BG1136" s="1318">
        <f t="shared" si="79"/>
        <v>756631251</v>
      </c>
      <c r="BH1136" s="1318"/>
      <c r="BI1136" s="1318"/>
      <c r="BJ1136" s="1318"/>
      <c r="BK1136" s="1318"/>
      <c r="BL1136" s="1318"/>
      <c r="BM1136" s="355"/>
      <c r="BN1136" s="1318">
        <f t="shared" si="80"/>
        <v>710870440</v>
      </c>
      <c r="BO1136" s="1318"/>
      <c r="BP1136" s="1318"/>
      <c r="BQ1136" s="1318"/>
      <c r="BR1136" s="1318"/>
      <c r="BS1136" s="1318"/>
      <c r="BT1136" s="356"/>
      <c r="BU1136" s="357"/>
      <c r="BV1136" s="310"/>
      <c r="BW1136" s="310"/>
      <c r="BX1136" s="291">
        <f t="shared" si="82"/>
        <v>0</v>
      </c>
      <c r="BY1136" s="344"/>
      <c r="BZ1136" s="347">
        <f t="shared" si="81"/>
        <v>0</v>
      </c>
      <c r="CA1136" s="347"/>
    </row>
    <row r="1137" spans="1:80" ht="15" customHeight="1" x14ac:dyDescent="0.25">
      <c r="A1137" s="313"/>
      <c r="B1137" s="340"/>
      <c r="C1137" s="607" t="s">
        <v>355</v>
      </c>
      <c r="D1137" s="436" t="s">
        <v>1255</v>
      </c>
      <c r="E1137" s="342"/>
      <c r="F1137" s="342"/>
      <c r="G1137" s="342"/>
      <c r="H1137" s="342"/>
      <c r="I1137" s="342"/>
      <c r="J1137" s="342"/>
      <c r="K1137" s="342"/>
      <c r="L1137" s="342"/>
      <c r="M1137" s="342"/>
      <c r="N1137" s="342"/>
      <c r="O1137" s="342"/>
      <c r="P1137" s="342"/>
      <c r="Q1137" s="342"/>
      <c r="R1137" s="342"/>
      <c r="S1137" s="342"/>
      <c r="T1137" s="342"/>
      <c r="U1137" s="342"/>
      <c r="V1137" s="342"/>
      <c r="W1137" s="1369">
        <f>AD1137</f>
        <v>150000000</v>
      </c>
      <c r="X1137" s="1369"/>
      <c r="Y1137" s="1369"/>
      <c r="Z1137" s="1369"/>
      <c r="AA1137" s="1369"/>
      <c r="AB1137" s="1369"/>
      <c r="AC1137" s="355"/>
      <c r="AD1137" s="1472">
        <v>150000000</v>
      </c>
      <c r="AE1137" s="1472"/>
      <c r="AF1137" s="1472"/>
      <c r="AG1137" s="1472"/>
      <c r="AH1137" s="1472"/>
      <c r="AI1137" s="1472"/>
      <c r="AJ1137" s="344"/>
      <c r="AK1137" s="345"/>
      <c r="AL1137" s="340"/>
      <c r="AM1137" s="342" t="s">
        <v>1249</v>
      </c>
      <c r="AN1137" s="342"/>
      <c r="AO1137" s="342"/>
      <c r="AP1137" s="342"/>
      <c r="AQ1137" s="342"/>
      <c r="AR1137" s="342"/>
      <c r="AS1137" s="342"/>
      <c r="AT1137" s="342"/>
      <c r="AU1137" s="342"/>
      <c r="AV1137" s="342"/>
      <c r="AW1137" s="342"/>
      <c r="AX1137" s="342"/>
      <c r="AY1137" s="342"/>
      <c r="AZ1137" s="342"/>
      <c r="BA1137" s="342"/>
      <c r="BB1137" s="342"/>
      <c r="BC1137" s="342"/>
      <c r="BD1137" s="342"/>
      <c r="BE1137" s="342"/>
      <c r="BF1137" s="342"/>
      <c r="BG1137" s="1318">
        <f>W1137</f>
        <v>150000000</v>
      </c>
      <c r="BH1137" s="1318"/>
      <c r="BI1137" s="1318"/>
      <c r="BJ1137" s="1318"/>
      <c r="BK1137" s="1318"/>
      <c r="BL1137" s="1318"/>
      <c r="BM1137" s="355"/>
      <c r="BN1137" s="1318">
        <f>AD1137</f>
        <v>150000000</v>
      </c>
      <c r="BO1137" s="1318"/>
      <c r="BP1137" s="1318"/>
      <c r="BQ1137" s="1318"/>
      <c r="BR1137" s="1318"/>
      <c r="BS1137" s="1318"/>
      <c r="BT1137" s="356"/>
      <c r="BU1137" s="357"/>
      <c r="BV1137" s="310"/>
      <c r="BW1137" s="310"/>
      <c r="BX1137" s="291">
        <f>IF(ISNONTEXT($C1137),0,SUM(D1137:AI1137)-SUM(AN1137:BS1137))</f>
        <v>0</v>
      </c>
      <c r="BY1137" s="344"/>
      <c r="BZ1137" s="347">
        <f t="shared" si="81"/>
        <v>0</v>
      </c>
      <c r="CA1137" s="347"/>
    </row>
    <row r="1138" spans="1:80" ht="15" customHeight="1" x14ac:dyDescent="0.25">
      <c r="A1138" s="313"/>
      <c r="B1138" s="340"/>
      <c r="C1138" s="607" t="s">
        <v>355</v>
      </c>
      <c r="D1138" s="436" t="s">
        <v>1256</v>
      </c>
      <c r="E1138" s="342"/>
      <c r="F1138" s="342"/>
      <c r="G1138" s="342"/>
      <c r="H1138" s="342"/>
      <c r="I1138" s="342"/>
      <c r="J1138" s="342"/>
      <c r="K1138" s="342"/>
      <c r="L1138" s="342"/>
      <c r="M1138" s="342"/>
      <c r="N1138" s="342"/>
      <c r="O1138" s="342"/>
      <c r="P1138" s="342"/>
      <c r="Q1138" s="342"/>
      <c r="R1138" s="342"/>
      <c r="S1138" s="342"/>
      <c r="T1138" s="342"/>
      <c r="U1138" s="342"/>
      <c r="V1138" s="342"/>
      <c r="W1138" s="1369">
        <f>BZ1138+80000000</f>
        <v>186128220</v>
      </c>
      <c r="X1138" s="1369"/>
      <c r="Y1138" s="1369"/>
      <c r="Z1138" s="1369"/>
      <c r="AA1138" s="1369"/>
      <c r="AB1138" s="1369"/>
      <c r="AC1138" s="355"/>
      <c r="AD1138" s="1472">
        <v>88708455</v>
      </c>
      <c r="AE1138" s="1472"/>
      <c r="AF1138" s="1472"/>
      <c r="AG1138" s="1472"/>
      <c r="AH1138" s="1472"/>
      <c r="AI1138" s="1472"/>
      <c r="AJ1138" s="344"/>
      <c r="AK1138" s="345"/>
      <c r="AL1138" s="340"/>
      <c r="AM1138" s="342" t="s">
        <v>1249</v>
      </c>
      <c r="AN1138" s="342"/>
      <c r="AO1138" s="342"/>
      <c r="AP1138" s="342"/>
      <c r="AQ1138" s="342"/>
      <c r="AR1138" s="342"/>
      <c r="AS1138" s="342"/>
      <c r="AT1138" s="342"/>
      <c r="AU1138" s="342"/>
      <c r="AV1138" s="342"/>
      <c r="AW1138" s="342"/>
      <c r="AX1138" s="342"/>
      <c r="AY1138" s="342"/>
      <c r="AZ1138" s="342"/>
      <c r="BA1138" s="342"/>
      <c r="BB1138" s="342"/>
      <c r="BC1138" s="342"/>
      <c r="BD1138" s="342"/>
      <c r="BE1138" s="342"/>
      <c r="BF1138" s="342"/>
      <c r="BG1138" s="1318">
        <f>W1138</f>
        <v>186128220</v>
      </c>
      <c r="BH1138" s="1318"/>
      <c r="BI1138" s="1318"/>
      <c r="BJ1138" s="1318"/>
      <c r="BK1138" s="1318"/>
      <c r="BL1138" s="1318"/>
      <c r="BM1138" s="355"/>
      <c r="BN1138" s="1318">
        <f>AD1138</f>
        <v>88708455</v>
      </c>
      <c r="BO1138" s="1318"/>
      <c r="BP1138" s="1318"/>
      <c r="BQ1138" s="1318"/>
      <c r="BR1138" s="1318"/>
      <c r="BS1138" s="1318"/>
      <c r="BT1138" s="356"/>
      <c r="BU1138" s="357"/>
      <c r="BV1138" s="310"/>
      <c r="BW1138" s="310"/>
      <c r="BX1138" s="291">
        <f>IF(ISNONTEXT($C1138),0,SUM(D1138:AI1138)-SUM(AN1138:BS1138))</f>
        <v>0</v>
      </c>
      <c r="BY1138" s="344"/>
      <c r="BZ1138" s="347">
        <f>SUM(CA1138:CB1138)</f>
        <v>106128220</v>
      </c>
      <c r="CA1138" s="347">
        <v>89066500</v>
      </c>
      <c r="CB1138" s="348">
        <v>17061720</v>
      </c>
    </row>
    <row r="1139" spans="1:80" ht="15" customHeight="1" x14ac:dyDescent="0.25">
      <c r="A1139" s="313"/>
      <c r="B1139" s="340"/>
      <c r="C1139" s="607" t="s">
        <v>355</v>
      </c>
      <c r="D1139" s="436" t="s">
        <v>1257</v>
      </c>
      <c r="E1139" s="342"/>
      <c r="F1139" s="342"/>
      <c r="G1139" s="342"/>
      <c r="H1139" s="342"/>
      <c r="I1139" s="342"/>
      <c r="J1139" s="342"/>
      <c r="K1139" s="342"/>
      <c r="L1139" s="342"/>
      <c r="M1139" s="342"/>
      <c r="N1139" s="342"/>
      <c r="O1139" s="342"/>
      <c r="P1139" s="342"/>
      <c r="Q1139" s="342"/>
      <c r="R1139" s="342"/>
      <c r="S1139" s="342"/>
      <c r="T1139" s="342"/>
      <c r="U1139" s="342"/>
      <c r="V1139" s="342"/>
      <c r="W1139" s="1369">
        <f>BZ1139</f>
        <v>76230185</v>
      </c>
      <c r="X1139" s="1369"/>
      <c r="Y1139" s="1369"/>
      <c r="Z1139" s="1369"/>
      <c r="AA1139" s="1369"/>
      <c r="AB1139" s="1369"/>
      <c r="AC1139" s="355"/>
      <c r="AD1139" s="1472">
        <v>93509375</v>
      </c>
      <c r="AE1139" s="1472"/>
      <c r="AF1139" s="1472"/>
      <c r="AG1139" s="1472"/>
      <c r="AH1139" s="1472"/>
      <c r="AI1139" s="1472"/>
      <c r="AJ1139" s="344"/>
      <c r="AK1139" s="345"/>
      <c r="AL1139" s="340"/>
      <c r="AM1139" s="342"/>
      <c r="AN1139" s="342"/>
      <c r="AO1139" s="342"/>
      <c r="AP1139" s="342"/>
      <c r="AQ1139" s="342"/>
      <c r="AR1139" s="342"/>
      <c r="AS1139" s="342"/>
      <c r="AT1139" s="342"/>
      <c r="AU1139" s="342"/>
      <c r="AV1139" s="342"/>
      <c r="AW1139" s="342"/>
      <c r="AX1139" s="342"/>
      <c r="AY1139" s="342"/>
      <c r="AZ1139" s="342"/>
      <c r="BA1139" s="342"/>
      <c r="BB1139" s="342"/>
      <c r="BC1139" s="342"/>
      <c r="BD1139" s="342"/>
      <c r="BE1139" s="342"/>
      <c r="BF1139" s="342"/>
      <c r="BG1139" s="355"/>
      <c r="BH1139" s="355"/>
      <c r="BI1139" s="355"/>
      <c r="BJ1139" s="355"/>
      <c r="BK1139" s="355"/>
      <c r="BL1139" s="355"/>
      <c r="BM1139" s="355"/>
      <c r="BN1139" s="355"/>
      <c r="BO1139" s="355"/>
      <c r="BP1139" s="355"/>
      <c r="BQ1139" s="355"/>
      <c r="BR1139" s="355"/>
      <c r="BS1139" s="355"/>
      <c r="BT1139" s="356"/>
      <c r="BU1139" s="357"/>
      <c r="BV1139" s="310"/>
      <c r="BW1139" s="310"/>
      <c r="BX1139" s="291"/>
      <c r="BY1139" s="344"/>
      <c r="BZ1139" s="347">
        <f>SUM(CA1139:CB1139)</f>
        <v>76230185</v>
      </c>
      <c r="CA1139" s="347">
        <v>45093185</v>
      </c>
      <c r="CB1139" s="348">
        <v>31137000</v>
      </c>
    </row>
    <row r="1140" spans="1:80" ht="15" customHeight="1" x14ac:dyDescent="0.25">
      <c r="A1140" s="313"/>
      <c r="B1140" s="340"/>
      <c r="C1140" s="607" t="s">
        <v>355</v>
      </c>
      <c r="D1140" s="436" t="s">
        <v>1258</v>
      </c>
      <c r="E1140" s="342"/>
      <c r="F1140" s="342"/>
      <c r="G1140" s="342"/>
      <c r="H1140" s="342"/>
      <c r="I1140" s="342"/>
      <c r="J1140" s="342"/>
      <c r="K1140" s="342"/>
      <c r="L1140" s="342"/>
      <c r="M1140" s="342"/>
      <c r="N1140" s="342"/>
      <c r="O1140" s="342"/>
      <c r="P1140" s="342"/>
      <c r="Q1140" s="342"/>
      <c r="R1140" s="342"/>
      <c r="S1140" s="342"/>
      <c r="T1140" s="342"/>
      <c r="U1140" s="342"/>
      <c r="V1140" s="342"/>
      <c r="W1140" s="1369">
        <v>205395460</v>
      </c>
      <c r="X1140" s="1369"/>
      <c r="Y1140" s="1369"/>
      <c r="Z1140" s="1369"/>
      <c r="AA1140" s="1369"/>
      <c r="AB1140" s="1369"/>
      <c r="AC1140" s="355"/>
      <c r="AD1140" s="1472">
        <v>279038160</v>
      </c>
      <c r="AE1140" s="1472"/>
      <c r="AF1140" s="1472"/>
      <c r="AG1140" s="1472"/>
      <c r="AH1140" s="1472"/>
      <c r="AI1140" s="1472"/>
      <c r="AJ1140" s="344"/>
      <c r="AK1140" s="345"/>
      <c r="AL1140" s="340"/>
      <c r="AM1140" s="342"/>
      <c r="AN1140" s="342"/>
      <c r="AO1140" s="342"/>
      <c r="AP1140" s="342"/>
      <c r="AQ1140" s="342"/>
      <c r="AR1140" s="342"/>
      <c r="AS1140" s="342"/>
      <c r="AT1140" s="342"/>
      <c r="AU1140" s="342"/>
      <c r="AV1140" s="342"/>
      <c r="AW1140" s="342"/>
      <c r="AX1140" s="342"/>
      <c r="AY1140" s="342"/>
      <c r="AZ1140" s="342"/>
      <c r="BA1140" s="342"/>
      <c r="BB1140" s="342"/>
      <c r="BC1140" s="342"/>
      <c r="BD1140" s="342"/>
      <c r="BE1140" s="342"/>
      <c r="BF1140" s="342"/>
      <c r="BG1140" s="355"/>
      <c r="BH1140" s="355"/>
      <c r="BI1140" s="355"/>
      <c r="BJ1140" s="355"/>
      <c r="BK1140" s="355"/>
      <c r="BL1140" s="355"/>
      <c r="BM1140" s="355"/>
      <c r="BN1140" s="355"/>
      <c r="BO1140" s="355"/>
      <c r="BP1140" s="355"/>
      <c r="BQ1140" s="355"/>
      <c r="BR1140" s="355"/>
      <c r="BS1140" s="355"/>
      <c r="BT1140" s="356"/>
      <c r="BU1140" s="357"/>
      <c r="BV1140" s="310"/>
      <c r="BW1140" s="310"/>
      <c r="BX1140" s="291"/>
      <c r="BY1140" s="344"/>
      <c r="BZ1140" s="347">
        <f>SUM(CA1140:CB1140)</f>
        <v>0</v>
      </c>
      <c r="CA1140" s="347"/>
    </row>
    <row r="1141" spans="1:80" ht="15" customHeight="1" x14ac:dyDescent="0.25">
      <c r="A1141" s="313"/>
      <c r="B1141" s="340"/>
      <c r="C1141" s="607" t="s">
        <v>355</v>
      </c>
      <c r="D1141" s="436" t="s">
        <v>1254</v>
      </c>
      <c r="E1141" s="342"/>
      <c r="F1141" s="342"/>
      <c r="G1141" s="342"/>
      <c r="H1141" s="342"/>
      <c r="I1141" s="342"/>
      <c r="J1141" s="342"/>
      <c r="K1141" s="342"/>
      <c r="L1141" s="342"/>
      <c r="M1141" s="342"/>
      <c r="N1141" s="342"/>
      <c r="O1141" s="342"/>
      <c r="P1141" s="342"/>
      <c r="Q1141" s="342"/>
      <c r="R1141" s="342"/>
      <c r="S1141" s="342"/>
      <c r="T1141" s="342"/>
      <c r="U1141" s="342"/>
      <c r="V1141" s="342"/>
      <c r="W1141" s="1369">
        <v>138877386</v>
      </c>
      <c r="X1141" s="1369"/>
      <c r="Y1141" s="1369"/>
      <c r="Z1141" s="1369"/>
      <c r="AA1141" s="1369"/>
      <c r="AB1141" s="1369"/>
      <c r="AC1141" s="355"/>
      <c r="AD1141" s="1472">
        <f>98063200+1551250</f>
        <v>99614450</v>
      </c>
      <c r="AE1141" s="1472"/>
      <c r="AF1141" s="1472"/>
      <c r="AG1141" s="1472"/>
      <c r="AH1141" s="1472"/>
      <c r="AI1141" s="1472"/>
      <c r="AJ1141" s="344"/>
      <c r="AK1141" s="345"/>
      <c r="AL1141" s="340"/>
      <c r="AM1141" s="342" t="s">
        <v>1249</v>
      </c>
      <c r="AN1141" s="342"/>
      <c r="AO1141" s="342"/>
      <c r="AP1141" s="342"/>
      <c r="AQ1141" s="342"/>
      <c r="AR1141" s="342"/>
      <c r="AS1141" s="342"/>
      <c r="AT1141" s="342"/>
      <c r="AU1141" s="342"/>
      <c r="AV1141" s="342"/>
      <c r="AW1141" s="342"/>
      <c r="AX1141" s="342"/>
      <c r="AY1141" s="342"/>
      <c r="AZ1141" s="342"/>
      <c r="BA1141" s="342"/>
      <c r="BB1141" s="342"/>
      <c r="BC1141" s="342"/>
      <c r="BD1141" s="342"/>
      <c r="BE1141" s="342"/>
      <c r="BF1141" s="342"/>
      <c r="BG1141" s="1318">
        <f>W1141</f>
        <v>138877386</v>
      </c>
      <c r="BH1141" s="1318"/>
      <c r="BI1141" s="1318"/>
      <c r="BJ1141" s="1318"/>
      <c r="BK1141" s="1318"/>
      <c r="BL1141" s="1318"/>
      <c r="BM1141" s="355"/>
      <c r="BN1141" s="1318">
        <f>AD1141</f>
        <v>99614450</v>
      </c>
      <c r="BO1141" s="1318"/>
      <c r="BP1141" s="1318"/>
      <c r="BQ1141" s="1318"/>
      <c r="BR1141" s="1318"/>
      <c r="BS1141" s="1318"/>
      <c r="BT1141" s="356"/>
      <c r="BU1141" s="357"/>
      <c r="BV1141" s="310"/>
      <c r="BW1141" s="310"/>
      <c r="BX1141" s="291">
        <f>IF(ISNONTEXT($C1141),0,SUM(D1141:AI1141)-SUM(AN1141:BS1141))</f>
        <v>0</v>
      </c>
      <c r="BY1141" s="344"/>
      <c r="BZ1141" s="347">
        <f>SUM(CA1141:CB1141)</f>
        <v>0</v>
      </c>
      <c r="CA1141" s="347"/>
    </row>
    <row r="1142" spans="1:80" ht="12.95" customHeight="1" x14ac:dyDescent="0.25">
      <c r="A1142" s="313"/>
      <c r="B1142" s="340"/>
      <c r="C1142" s="429"/>
      <c r="D1142" s="342"/>
      <c r="E1142" s="342"/>
      <c r="F1142" s="342"/>
      <c r="G1142" s="342"/>
      <c r="H1142" s="342"/>
      <c r="I1142" s="342"/>
      <c r="J1142" s="342"/>
      <c r="K1142" s="342"/>
      <c r="L1142" s="342"/>
      <c r="M1142" s="342"/>
      <c r="N1142" s="342"/>
      <c r="O1142" s="342"/>
      <c r="P1142" s="342"/>
      <c r="Q1142" s="342"/>
      <c r="R1142" s="342"/>
      <c r="S1142" s="342"/>
      <c r="T1142" s="342"/>
      <c r="U1142" s="342"/>
      <c r="V1142" s="342"/>
      <c r="W1142" s="1318"/>
      <c r="X1142" s="1318"/>
      <c r="Y1142" s="1318"/>
      <c r="Z1142" s="1318"/>
      <c r="AA1142" s="1318"/>
      <c r="AB1142" s="1318"/>
      <c r="AC1142" s="355"/>
      <c r="AD1142" s="1318"/>
      <c r="AE1142" s="1318"/>
      <c r="AF1142" s="1318"/>
      <c r="AG1142" s="1318"/>
      <c r="AH1142" s="1318"/>
      <c r="AI1142" s="1318"/>
      <c r="AJ1142" s="344"/>
      <c r="AK1142" s="345"/>
      <c r="AL1142" s="340"/>
      <c r="AM1142" s="429"/>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1318"/>
      <c r="BH1142" s="1318"/>
      <c r="BI1142" s="1318"/>
      <c r="BJ1142" s="1318"/>
      <c r="BK1142" s="1318"/>
      <c r="BL1142" s="1318"/>
      <c r="BM1142" s="355"/>
      <c r="BN1142" s="1318"/>
      <c r="BO1142" s="1318"/>
      <c r="BP1142" s="1318"/>
      <c r="BQ1142" s="1318"/>
      <c r="BR1142" s="1318"/>
      <c r="BS1142" s="1318"/>
      <c r="BT1142" s="356"/>
      <c r="BU1142" s="357"/>
      <c r="BV1142" s="310"/>
      <c r="BW1142" s="310"/>
      <c r="BX1142" s="291">
        <f>IF(ISNONTEXT($C1142),0,SUM(D1142:AI1142)-SUM(AN1142:BS1142))</f>
        <v>0</v>
      </c>
      <c r="BY1142" s="344"/>
      <c r="BZ1142" s="347"/>
      <c r="CA1142" s="347"/>
    </row>
    <row r="1143" spans="1:80" ht="15" customHeight="1" thickBot="1" x14ac:dyDescent="0.3">
      <c r="A1143" s="313"/>
      <c r="B1143" s="340"/>
      <c r="C1143" s="360" t="s">
        <v>752</v>
      </c>
      <c r="D1143" s="340"/>
      <c r="E1143" s="340"/>
      <c r="F1143" s="340"/>
      <c r="G1143" s="340"/>
      <c r="H1143" s="340"/>
      <c r="I1143" s="340"/>
      <c r="J1143" s="340"/>
      <c r="K1143" s="340"/>
      <c r="L1143" s="340"/>
      <c r="M1143" s="340"/>
      <c r="N1143" s="340"/>
      <c r="O1143" s="340"/>
      <c r="P1143" s="340"/>
      <c r="Q1143" s="340"/>
      <c r="R1143" s="340"/>
      <c r="S1143" s="340"/>
      <c r="T1143" s="340"/>
      <c r="U1143" s="342"/>
      <c r="V1143" s="342"/>
      <c r="W1143" s="1359">
        <f>SUBTOTAL(109,W1127:AB1142)</f>
        <v>892532338</v>
      </c>
      <c r="X1143" s="1359"/>
      <c r="Y1143" s="1359"/>
      <c r="Z1143" s="1359"/>
      <c r="AA1143" s="1359"/>
      <c r="AB1143" s="1359"/>
      <c r="AC1143" s="355"/>
      <c r="AD1143" s="1359">
        <f>SUBTOTAL(109,AD1127:AI1142)</f>
        <v>902619985</v>
      </c>
      <c r="AE1143" s="1359"/>
      <c r="AF1143" s="1359"/>
      <c r="AG1143" s="1359"/>
      <c r="AH1143" s="1359"/>
      <c r="AI1143" s="1359"/>
      <c r="AJ1143" s="344"/>
      <c r="AK1143" s="345"/>
      <c r="AL1143" s="340"/>
      <c r="AM1143" s="360" t="s">
        <v>752</v>
      </c>
      <c r="AN1143" s="340"/>
      <c r="AO1143" s="340"/>
      <c r="AP1143" s="340"/>
      <c r="AQ1143" s="340"/>
      <c r="AR1143" s="340"/>
      <c r="AS1143" s="340"/>
      <c r="AT1143" s="340"/>
      <c r="AU1143" s="340"/>
      <c r="AV1143" s="340"/>
      <c r="AW1143" s="340"/>
      <c r="AX1143" s="340"/>
      <c r="AY1143" s="340"/>
      <c r="AZ1143" s="340"/>
      <c r="BA1143" s="340"/>
      <c r="BB1143" s="340"/>
      <c r="BC1143" s="340"/>
      <c r="BD1143" s="340"/>
      <c r="BE1143" s="342"/>
      <c r="BF1143" s="342"/>
      <c r="BG1143" s="1359">
        <f>SUBTOTAL(109,BG1121:BL1136)</f>
        <v>892532338</v>
      </c>
      <c r="BH1143" s="1359"/>
      <c r="BI1143" s="1359"/>
      <c r="BJ1143" s="1359"/>
      <c r="BK1143" s="1359"/>
      <c r="BL1143" s="1359"/>
      <c r="BM1143" s="355"/>
      <c r="BN1143" s="1359">
        <f>SUBTOTAL(109,BN1121:BS1136)</f>
        <v>902619985</v>
      </c>
      <c r="BO1143" s="1359"/>
      <c r="BP1143" s="1359"/>
      <c r="BQ1143" s="1359"/>
      <c r="BR1143" s="1359"/>
      <c r="BS1143" s="1359"/>
      <c r="BT1143" s="356"/>
      <c r="BU1143" s="357"/>
      <c r="BV1143" s="310">
        <f>W1143-KN_CT319</f>
        <v>0</v>
      </c>
      <c r="BW1143" s="310">
        <f>AD1143-KT_CT319</f>
        <v>0</v>
      </c>
      <c r="BX1143" s="291">
        <f>IF(ISNONTEXT($C1143),0,SUM(D1143:AI1143)-SUM(AN1143:BS1143))</f>
        <v>0</v>
      </c>
      <c r="BY1143" s="344"/>
      <c r="BZ1143" s="347"/>
      <c r="CA1143" s="347"/>
    </row>
    <row r="1144" spans="1:80" ht="15" hidden="1" customHeight="1" thickTop="1" x14ac:dyDescent="0.25">
      <c r="A1144" s="313"/>
      <c r="B1144" s="340"/>
      <c r="C1144" s="342"/>
      <c r="D1144" s="342"/>
      <c r="E1144" s="342"/>
      <c r="F1144" s="342"/>
      <c r="G1144" s="342"/>
      <c r="H1144" s="342"/>
      <c r="I1144" s="342"/>
      <c r="J1144" s="342"/>
      <c r="K1144" s="342"/>
      <c r="L1144" s="342"/>
      <c r="M1144" s="342"/>
      <c r="N1144" s="342"/>
      <c r="O1144" s="342"/>
      <c r="P1144" s="342"/>
      <c r="Q1144" s="342"/>
      <c r="R1144" s="342"/>
      <c r="S1144" s="342"/>
      <c r="T1144" s="342"/>
      <c r="U1144" s="342"/>
      <c r="V1144" s="342"/>
      <c r="W1144" s="1318"/>
      <c r="X1144" s="1318"/>
      <c r="Y1144" s="1318"/>
      <c r="Z1144" s="1318"/>
      <c r="AA1144" s="1318"/>
      <c r="AB1144" s="1318"/>
      <c r="AC1144" s="355"/>
      <c r="AD1144" s="1318"/>
      <c r="AE1144" s="1318"/>
      <c r="AF1144" s="1318"/>
      <c r="AG1144" s="1318"/>
      <c r="AH1144" s="1318"/>
      <c r="AI1144" s="1318"/>
      <c r="AJ1144" s="344"/>
      <c r="AK1144" s="345"/>
      <c r="AL1144" s="340"/>
      <c r="AM1144" s="342"/>
      <c r="AN1144" s="342"/>
      <c r="AO1144" s="342"/>
      <c r="AP1144" s="342"/>
      <c r="AQ1144" s="342"/>
      <c r="AR1144" s="342"/>
      <c r="AS1144" s="342"/>
      <c r="AT1144" s="342"/>
      <c r="AU1144" s="342"/>
      <c r="AV1144" s="342"/>
      <c r="AW1144" s="342"/>
      <c r="AX1144" s="342"/>
      <c r="AY1144" s="342"/>
      <c r="AZ1144" s="342"/>
      <c r="BA1144" s="342"/>
      <c r="BB1144" s="342"/>
      <c r="BC1144" s="342"/>
      <c r="BD1144" s="342"/>
      <c r="BE1144" s="342"/>
      <c r="BF1144" s="342"/>
      <c r="BG1144" s="1318"/>
      <c r="BH1144" s="1318"/>
      <c r="BI1144" s="1318"/>
      <c r="BJ1144" s="1318"/>
      <c r="BK1144" s="1318"/>
      <c r="BL1144" s="1318"/>
      <c r="BM1144" s="355"/>
      <c r="BN1144" s="1318"/>
      <c r="BO1144" s="1318"/>
      <c r="BP1144" s="1318"/>
      <c r="BQ1144" s="1318"/>
      <c r="BR1144" s="1318"/>
      <c r="BS1144" s="1318"/>
      <c r="BT1144" s="356"/>
      <c r="BU1144" s="357"/>
      <c r="BV1144" s="310"/>
      <c r="BW1144" s="310"/>
      <c r="BX1144" s="291">
        <f>IF(ISNONTEXT($C1144),0,SUM(D1144:AI1144)-SUM(AN1144:BS1144))</f>
        <v>0</v>
      </c>
      <c r="BY1144" s="344"/>
      <c r="BZ1144" s="347"/>
      <c r="CA1144" s="347"/>
    </row>
    <row r="1145" spans="1:80" ht="15" hidden="1" customHeight="1" x14ac:dyDescent="0.25">
      <c r="A1145" s="313"/>
      <c r="B1145" s="340"/>
      <c r="C1145" s="342" t="s">
        <v>1259</v>
      </c>
      <c r="D1145" s="342"/>
      <c r="E1145" s="342"/>
      <c r="F1145" s="342"/>
      <c r="G1145" s="342"/>
      <c r="H1145" s="342"/>
      <c r="I1145" s="342"/>
      <c r="J1145" s="342"/>
      <c r="K1145" s="342"/>
      <c r="L1145" s="342"/>
      <c r="M1145" s="342"/>
      <c r="N1145" s="342"/>
      <c r="O1145" s="342"/>
      <c r="P1145" s="342"/>
      <c r="Q1145" s="342"/>
      <c r="R1145" s="342"/>
      <c r="S1145" s="342"/>
      <c r="T1145" s="342"/>
      <c r="U1145" s="342"/>
      <c r="V1145" s="342"/>
      <c r="W1145" s="1330"/>
      <c r="X1145" s="1330"/>
      <c r="Y1145" s="1330"/>
      <c r="Z1145" s="1330"/>
      <c r="AA1145" s="1330"/>
      <c r="AB1145" s="1330"/>
      <c r="AC1145" s="363"/>
      <c r="AD1145" s="1330"/>
      <c r="AE1145" s="1330"/>
      <c r="AF1145" s="1330"/>
      <c r="AG1145" s="1330"/>
      <c r="AH1145" s="1330"/>
      <c r="AI1145" s="1330"/>
      <c r="AJ1145" s="344"/>
      <c r="AK1145" s="345"/>
      <c r="AL1145" s="340"/>
      <c r="AM1145" s="342"/>
      <c r="AN1145" s="342"/>
      <c r="AO1145" s="342"/>
      <c r="AP1145" s="342"/>
      <c r="AQ1145" s="342"/>
      <c r="AR1145" s="342"/>
      <c r="AS1145" s="342"/>
      <c r="AT1145" s="342"/>
      <c r="AU1145" s="342"/>
      <c r="AV1145" s="342"/>
      <c r="AW1145" s="342"/>
      <c r="AX1145" s="342"/>
      <c r="AY1145" s="342"/>
      <c r="AZ1145" s="342"/>
      <c r="BA1145" s="342"/>
      <c r="BB1145" s="342"/>
      <c r="BC1145" s="342"/>
      <c r="BD1145" s="342"/>
      <c r="BE1145" s="342"/>
      <c r="BF1145" s="342"/>
      <c r="BG1145" s="1330"/>
      <c r="BH1145" s="1330"/>
      <c r="BI1145" s="1330"/>
      <c r="BJ1145" s="1330"/>
      <c r="BK1145" s="1330"/>
      <c r="BL1145" s="1330"/>
      <c r="BM1145" s="363"/>
      <c r="BN1145" s="1330"/>
      <c r="BO1145" s="1330"/>
      <c r="BP1145" s="1330"/>
      <c r="BQ1145" s="1330"/>
      <c r="BR1145" s="1330"/>
      <c r="BS1145" s="1330"/>
      <c r="BT1145" s="356"/>
      <c r="BU1145" s="357"/>
      <c r="BV1145" s="310"/>
      <c r="BW1145" s="310"/>
      <c r="BX1145" s="291">
        <f t="shared" si="82"/>
        <v>0</v>
      </c>
      <c r="BY1145" s="344"/>
      <c r="BZ1145" s="347"/>
      <c r="CA1145" s="347"/>
    </row>
    <row r="1146" spans="1:80" ht="15" hidden="1" customHeight="1" x14ac:dyDescent="0.25">
      <c r="A1146" s="313"/>
      <c r="B1146" s="340"/>
      <c r="C1146" s="608" t="s">
        <v>1260</v>
      </c>
      <c r="D1146" s="609"/>
      <c r="E1146" s="609"/>
      <c r="F1146" s="609"/>
      <c r="G1146" s="609"/>
      <c r="H1146" s="609"/>
      <c r="I1146" s="609"/>
      <c r="J1146" s="609"/>
      <c r="K1146" s="609"/>
      <c r="L1146" s="609"/>
      <c r="M1146" s="609"/>
      <c r="N1146" s="609"/>
      <c r="O1146" s="609"/>
      <c r="P1146" s="609"/>
      <c r="Q1146" s="609"/>
      <c r="R1146" s="609"/>
      <c r="S1146" s="609"/>
      <c r="T1146" s="609"/>
      <c r="U1146" s="609"/>
      <c r="V1146" s="609"/>
      <c r="W1146" s="1471"/>
      <c r="X1146" s="1471"/>
      <c r="Y1146" s="1471"/>
      <c r="Z1146" s="1471"/>
      <c r="AA1146" s="1471"/>
      <c r="AB1146" s="1471"/>
      <c r="AC1146" s="610"/>
      <c r="AD1146" s="1471"/>
      <c r="AE1146" s="1471"/>
      <c r="AF1146" s="1471"/>
      <c r="AG1146" s="1471"/>
      <c r="AH1146" s="1471"/>
      <c r="AI1146" s="1471"/>
      <c r="AJ1146" s="344"/>
      <c r="AK1146" s="345"/>
      <c r="AL1146" s="340"/>
      <c r="AM1146" s="608" t="s">
        <v>1261</v>
      </c>
      <c r="AN1146" s="609"/>
      <c r="AO1146" s="609"/>
      <c r="AP1146" s="609"/>
      <c r="AQ1146" s="609"/>
      <c r="AR1146" s="609"/>
      <c r="AS1146" s="609"/>
      <c r="AT1146" s="609"/>
      <c r="AU1146" s="609"/>
      <c r="AV1146" s="609"/>
      <c r="AW1146" s="609"/>
      <c r="AX1146" s="609"/>
      <c r="AY1146" s="609"/>
      <c r="AZ1146" s="609"/>
      <c r="BA1146" s="609"/>
      <c r="BB1146" s="609"/>
      <c r="BC1146" s="609"/>
      <c r="BD1146" s="609"/>
      <c r="BE1146" s="609"/>
      <c r="BF1146" s="609"/>
      <c r="BG1146" s="1318">
        <f>W1146</f>
        <v>0</v>
      </c>
      <c r="BH1146" s="1318"/>
      <c r="BI1146" s="1318"/>
      <c r="BJ1146" s="1318"/>
      <c r="BK1146" s="1318"/>
      <c r="BL1146" s="1318"/>
      <c r="BM1146" s="610"/>
      <c r="BN1146" s="1318">
        <f>AD1146</f>
        <v>0</v>
      </c>
      <c r="BO1146" s="1318"/>
      <c r="BP1146" s="1318"/>
      <c r="BQ1146" s="1318"/>
      <c r="BR1146" s="1318"/>
      <c r="BS1146" s="1318"/>
      <c r="BT1146" s="356"/>
      <c r="BU1146" s="357"/>
      <c r="BV1146" s="310"/>
      <c r="BW1146" s="310"/>
      <c r="BX1146" s="291">
        <f t="shared" si="82"/>
        <v>0</v>
      </c>
      <c r="BY1146" s="344"/>
      <c r="BZ1146" s="347"/>
      <c r="CA1146" s="347"/>
    </row>
    <row r="1147" spans="1:80" ht="15" hidden="1" customHeight="1" x14ac:dyDescent="0.25">
      <c r="A1147" s="313"/>
      <c r="B1147" s="340"/>
      <c r="C1147" s="608" t="s">
        <v>1254</v>
      </c>
      <c r="D1147" s="609"/>
      <c r="E1147" s="609"/>
      <c r="F1147" s="609"/>
      <c r="G1147" s="609"/>
      <c r="H1147" s="609"/>
      <c r="I1147" s="609"/>
      <c r="J1147" s="609"/>
      <c r="K1147" s="609"/>
      <c r="L1147" s="609"/>
      <c r="M1147" s="609"/>
      <c r="N1147" s="609"/>
      <c r="O1147" s="609"/>
      <c r="P1147" s="609"/>
      <c r="Q1147" s="609"/>
      <c r="R1147" s="609"/>
      <c r="S1147" s="609"/>
      <c r="T1147" s="609"/>
      <c r="U1147" s="609"/>
      <c r="V1147" s="609"/>
      <c r="W1147" s="1471"/>
      <c r="X1147" s="1471"/>
      <c r="Y1147" s="1471"/>
      <c r="Z1147" s="1471"/>
      <c r="AA1147" s="1471"/>
      <c r="AB1147" s="1471"/>
      <c r="AC1147" s="610"/>
      <c r="AD1147" s="1471"/>
      <c r="AE1147" s="1471"/>
      <c r="AF1147" s="1471"/>
      <c r="AG1147" s="1471"/>
      <c r="AH1147" s="1471"/>
      <c r="AI1147" s="1471"/>
      <c r="AJ1147" s="344"/>
      <c r="AK1147" s="345"/>
      <c r="AL1147" s="340"/>
      <c r="AM1147" s="608" t="s">
        <v>1234</v>
      </c>
      <c r="AN1147" s="609"/>
      <c r="AO1147" s="609"/>
      <c r="AP1147" s="609"/>
      <c r="AQ1147" s="609"/>
      <c r="AR1147" s="609"/>
      <c r="AS1147" s="609"/>
      <c r="AT1147" s="609"/>
      <c r="AU1147" s="609"/>
      <c r="AV1147" s="609"/>
      <c r="AW1147" s="609"/>
      <c r="AX1147" s="609"/>
      <c r="AY1147" s="609"/>
      <c r="AZ1147" s="609"/>
      <c r="BA1147" s="609"/>
      <c r="BB1147" s="609"/>
      <c r="BC1147" s="609"/>
      <c r="BD1147" s="609"/>
      <c r="BE1147" s="609"/>
      <c r="BF1147" s="609"/>
      <c r="BG1147" s="1318">
        <f>W1147</f>
        <v>0</v>
      </c>
      <c r="BH1147" s="1318"/>
      <c r="BI1147" s="1318"/>
      <c r="BJ1147" s="1318"/>
      <c r="BK1147" s="1318"/>
      <c r="BL1147" s="1318"/>
      <c r="BM1147" s="610"/>
      <c r="BN1147" s="1318">
        <f>AD1147</f>
        <v>0</v>
      </c>
      <c r="BO1147" s="1318"/>
      <c r="BP1147" s="1318"/>
      <c r="BQ1147" s="1318"/>
      <c r="BR1147" s="1318"/>
      <c r="BS1147" s="1318"/>
      <c r="BT1147" s="356"/>
      <c r="BU1147" s="357"/>
      <c r="BV1147" s="310"/>
      <c r="BW1147" s="310"/>
      <c r="BX1147" s="291">
        <f t="shared" si="82"/>
        <v>0</v>
      </c>
      <c r="BY1147" s="344"/>
      <c r="BZ1147" s="347"/>
      <c r="CA1147" s="347"/>
    </row>
    <row r="1148" spans="1:80" ht="12.95" customHeight="1" thickTop="1" x14ac:dyDescent="0.25">
      <c r="A1148" s="313"/>
      <c r="B1148" s="340"/>
      <c r="C1148" s="429"/>
      <c r="D1148" s="342"/>
      <c r="E1148" s="342"/>
      <c r="F1148" s="342"/>
      <c r="G1148" s="342"/>
      <c r="H1148" s="342"/>
      <c r="I1148" s="342"/>
      <c r="J1148" s="342"/>
      <c r="K1148" s="342"/>
      <c r="L1148" s="342"/>
      <c r="M1148" s="342"/>
      <c r="N1148" s="342"/>
      <c r="O1148" s="342"/>
      <c r="P1148" s="342"/>
      <c r="Q1148" s="342"/>
      <c r="R1148" s="342"/>
      <c r="S1148" s="342"/>
      <c r="T1148" s="342"/>
      <c r="U1148" s="342"/>
      <c r="V1148" s="342"/>
      <c r="W1148" s="1318"/>
      <c r="X1148" s="1318"/>
      <c r="Y1148" s="1318"/>
      <c r="Z1148" s="1318"/>
      <c r="AA1148" s="1318"/>
      <c r="AB1148" s="1318"/>
      <c r="AC1148" s="355"/>
      <c r="AD1148" s="1318"/>
      <c r="AE1148" s="1318"/>
      <c r="AF1148" s="1318"/>
      <c r="AG1148" s="1318"/>
      <c r="AH1148" s="1318"/>
      <c r="AI1148" s="1318"/>
      <c r="AJ1148" s="344"/>
      <c r="AK1148" s="345"/>
      <c r="AL1148" s="340"/>
      <c r="AM1148" s="429"/>
      <c r="AN1148" s="342"/>
      <c r="AO1148" s="342"/>
      <c r="AP1148" s="342"/>
      <c r="AQ1148" s="342"/>
      <c r="AR1148" s="342"/>
      <c r="AS1148" s="342"/>
      <c r="AT1148" s="342"/>
      <c r="AU1148" s="342"/>
      <c r="AV1148" s="342"/>
      <c r="AW1148" s="342"/>
      <c r="AX1148" s="342"/>
      <c r="AY1148" s="342"/>
      <c r="AZ1148" s="342"/>
      <c r="BA1148" s="342"/>
      <c r="BB1148" s="342"/>
      <c r="BC1148" s="342"/>
      <c r="BD1148" s="342"/>
      <c r="BE1148" s="342"/>
      <c r="BF1148" s="342"/>
      <c r="BG1148" s="1318"/>
      <c r="BH1148" s="1318"/>
      <c r="BI1148" s="1318"/>
      <c r="BJ1148" s="1318"/>
      <c r="BK1148" s="1318"/>
      <c r="BL1148" s="1318"/>
      <c r="BM1148" s="355"/>
      <c r="BN1148" s="1318"/>
      <c r="BO1148" s="1318"/>
      <c r="BP1148" s="1318"/>
      <c r="BQ1148" s="1318"/>
      <c r="BR1148" s="1318"/>
      <c r="BS1148" s="1318"/>
      <c r="BT1148" s="356"/>
      <c r="BU1148" s="357"/>
      <c r="BV1148" s="310"/>
      <c r="BW1148" s="310"/>
      <c r="BX1148" s="291">
        <f t="shared" si="82"/>
        <v>0</v>
      </c>
      <c r="BY1148" s="344"/>
      <c r="BZ1148" s="347"/>
      <c r="CA1148" s="347"/>
    </row>
    <row r="1149" spans="1:80" ht="15" customHeight="1" thickBot="1" x14ac:dyDescent="0.3">
      <c r="A1149" s="313"/>
      <c r="B1149" s="340"/>
      <c r="C1149" s="341" t="s">
        <v>1262</v>
      </c>
      <c r="D1149" s="340"/>
      <c r="E1149" s="340"/>
      <c r="F1149" s="340"/>
      <c r="G1149" s="340"/>
      <c r="H1149" s="340"/>
      <c r="I1149" s="340"/>
      <c r="J1149" s="340"/>
      <c r="K1149" s="340"/>
      <c r="L1149" s="340"/>
      <c r="M1149" s="340"/>
      <c r="N1149" s="340"/>
      <c r="O1149" s="340"/>
      <c r="P1149" s="340"/>
      <c r="Q1149" s="340"/>
      <c r="R1149" s="340"/>
      <c r="S1149" s="340"/>
      <c r="T1149" s="340"/>
      <c r="U1149" s="342"/>
      <c r="V1149" s="342"/>
      <c r="W1149" s="1359">
        <f>W1140</f>
        <v>205395460</v>
      </c>
      <c r="X1149" s="1359"/>
      <c r="Y1149" s="1359"/>
      <c r="Z1149" s="1359"/>
      <c r="AA1149" s="1359"/>
      <c r="AB1149" s="1359"/>
      <c r="AC1149" s="355"/>
      <c r="AD1149" s="1359">
        <v>279038160</v>
      </c>
      <c r="AE1149" s="1359"/>
      <c r="AF1149" s="1359"/>
      <c r="AG1149" s="1359"/>
      <c r="AH1149" s="1359"/>
      <c r="AI1149" s="1359"/>
      <c r="AJ1149" s="344"/>
      <c r="AK1149" s="345"/>
      <c r="AL1149" s="340"/>
      <c r="AM1149" s="360" t="s">
        <v>752</v>
      </c>
      <c r="AN1149" s="340"/>
      <c r="AO1149" s="340"/>
      <c r="AP1149" s="340"/>
      <c r="AQ1149" s="340"/>
      <c r="AR1149" s="340"/>
      <c r="AS1149" s="340"/>
      <c r="AT1149" s="340"/>
      <c r="AU1149" s="340"/>
      <c r="AV1149" s="340"/>
      <c r="AW1149" s="340"/>
      <c r="AX1149" s="340"/>
      <c r="AY1149" s="340"/>
      <c r="AZ1149" s="340"/>
      <c r="BA1149" s="340"/>
      <c r="BB1149" s="340"/>
      <c r="BC1149" s="340"/>
      <c r="BD1149" s="340"/>
      <c r="BE1149" s="342"/>
      <c r="BF1149" s="342"/>
      <c r="BG1149" s="1359">
        <f>SUBTOTAL(109,BG1127:BL1147)</f>
        <v>1367537944</v>
      </c>
      <c r="BH1149" s="1359"/>
      <c r="BI1149" s="1359"/>
      <c r="BJ1149" s="1359"/>
      <c r="BK1149" s="1359"/>
      <c r="BL1149" s="1359"/>
      <c r="BM1149" s="355"/>
      <c r="BN1149" s="1359">
        <f>SUBTOTAL(109,BN1127:BS1147)</f>
        <v>1240942890</v>
      </c>
      <c r="BO1149" s="1359"/>
      <c r="BP1149" s="1359"/>
      <c r="BQ1149" s="1359"/>
      <c r="BR1149" s="1359"/>
      <c r="BS1149" s="1359"/>
      <c r="BT1149" s="356"/>
      <c r="BU1149" s="357"/>
      <c r="BV1149" s="310"/>
      <c r="BW1149" s="310"/>
      <c r="BX1149" s="291">
        <f t="shared" si="82"/>
        <v>-2124047214</v>
      </c>
      <c r="BY1149" s="344"/>
      <c r="BZ1149" s="347"/>
      <c r="CA1149" s="347"/>
    </row>
    <row r="1150" spans="1:80" ht="15" customHeight="1" thickTop="1" x14ac:dyDescent="0.25">
      <c r="A1150" s="313"/>
      <c r="B1150" s="340"/>
      <c r="C1150" s="595" t="str">
        <f>CONCATENATE("(Xem thông tin chi tiết tại Thuyết minh ",STT_BenLQ,")")</f>
        <v>(Xem thông tin chi tiết tại Thuyết minh 37)</v>
      </c>
      <c r="D1150" s="392"/>
      <c r="E1150" s="392"/>
      <c r="F1150" s="392"/>
      <c r="G1150" s="392"/>
      <c r="H1150" s="392"/>
      <c r="I1150" s="392"/>
      <c r="J1150" s="392"/>
      <c r="K1150" s="392"/>
      <c r="L1150" s="392"/>
      <c r="M1150" s="392"/>
      <c r="N1150" s="392"/>
      <c r="O1150" s="392"/>
      <c r="P1150" s="392"/>
      <c r="Q1150" s="392"/>
      <c r="R1150" s="392"/>
      <c r="S1150" s="392"/>
      <c r="T1150" s="392"/>
      <c r="U1150" s="392"/>
      <c r="V1150" s="392"/>
      <c r="W1150" s="393"/>
      <c r="X1150" s="393"/>
      <c r="Y1150" s="393"/>
      <c r="Z1150" s="393"/>
      <c r="AA1150" s="393"/>
      <c r="AB1150" s="393"/>
      <c r="AC1150" s="343"/>
      <c r="AD1150" s="343"/>
      <c r="AE1150" s="343"/>
      <c r="AF1150" s="343"/>
      <c r="AG1150" s="343"/>
      <c r="AH1150" s="343"/>
      <c r="AI1150" s="343"/>
      <c r="AJ1150" s="344"/>
      <c r="AK1150" s="345"/>
      <c r="AL1150" s="340"/>
      <c r="AM1150" s="392"/>
      <c r="AN1150" s="392"/>
      <c r="AO1150" s="392"/>
      <c r="AP1150" s="392"/>
      <c r="AQ1150" s="392"/>
      <c r="AR1150" s="392"/>
      <c r="AS1150" s="392"/>
      <c r="AT1150" s="392"/>
      <c r="AU1150" s="392"/>
      <c r="AV1150" s="392"/>
      <c r="AW1150" s="392"/>
      <c r="AX1150" s="392"/>
      <c r="AY1150" s="392"/>
      <c r="AZ1150" s="392"/>
      <c r="BA1150" s="392"/>
      <c r="BB1150" s="392"/>
      <c r="BC1150" s="392"/>
      <c r="BD1150" s="392"/>
      <c r="BE1150" s="392"/>
      <c r="BF1150" s="392"/>
      <c r="BG1150" s="393"/>
      <c r="BH1150" s="393"/>
      <c r="BI1150" s="393"/>
      <c r="BJ1150" s="393"/>
      <c r="BK1150" s="393"/>
      <c r="BL1150" s="393"/>
      <c r="BM1150" s="343"/>
      <c r="BN1150" s="343"/>
      <c r="BO1150" s="343"/>
      <c r="BP1150" s="343"/>
      <c r="BQ1150" s="343"/>
      <c r="BR1150" s="343"/>
      <c r="BS1150" s="343"/>
      <c r="BT1150" s="356"/>
      <c r="BU1150" s="357"/>
      <c r="BV1150" s="310"/>
      <c r="BW1150" s="310"/>
      <c r="BX1150" s="291">
        <f t="shared" si="82"/>
        <v>0</v>
      </c>
      <c r="BY1150" s="344"/>
      <c r="BZ1150" s="347"/>
      <c r="CA1150" s="347"/>
    </row>
    <row r="1151" spans="1:80" ht="15" hidden="1" customHeight="1" x14ac:dyDescent="0.25">
      <c r="A1151" s="313"/>
      <c r="B1151" s="340"/>
      <c r="C1151" s="611" t="s">
        <v>1181</v>
      </c>
      <c r="D1151" s="598"/>
      <c r="E1151" s="598"/>
      <c r="F1151" s="598"/>
      <c r="G1151" s="598"/>
      <c r="H1151" s="598"/>
      <c r="I1151" s="598"/>
      <c r="J1151" s="598"/>
      <c r="K1151" s="598"/>
      <c r="L1151" s="598"/>
      <c r="M1151" s="598"/>
      <c r="N1151" s="598"/>
      <c r="O1151" s="598"/>
      <c r="P1151" s="598"/>
      <c r="Q1151" s="598"/>
      <c r="R1151" s="598"/>
      <c r="S1151" s="598"/>
      <c r="T1151" s="598"/>
      <c r="U1151" s="598"/>
      <c r="V1151" s="598"/>
      <c r="W1151" s="1471"/>
      <c r="X1151" s="1471"/>
      <c r="Y1151" s="1471"/>
      <c r="Z1151" s="1471"/>
      <c r="AA1151" s="1471"/>
      <c r="AB1151" s="1471"/>
      <c r="AC1151" s="612"/>
      <c r="AD1151" s="1471"/>
      <c r="AE1151" s="1471"/>
      <c r="AF1151" s="1471"/>
      <c r="AG1151" s="1471"/>
      <c r="AH1151" s="1471"/>
      <c r="AI1151" s="1471"/>
      <c r="AJ1151" s="344"/>
      <c r="AK1151" s="345"/>
      <c r="AL1151" s="340"/>
      <c r="AM1151" s="611" t="s">
        <v>1181</v>
      </c>
      <c r="AN1151" s="598"/>
      <c r="AO1151" s="598"/>
      <c r="AP1151" s="598"/>
      <c r="AQ1151" s="598"/>
      <c r="AR1151" s="598"/>
      <c r="AS1151" s="598"/>
      <c r="AT1151" s="598"/>
      <c r="AU1151" s="598"/>
      <c r="AV1151" s="598"/>
      <c r="AW1151" s="598"/>
      <c r="AX1151" s="598"/>
      <c r="AY1151" s="598"/>
      <c r="AZ1151" s="598"/>
      <c r="BA1151" s="598"/>
      <c r="BB1151" s="598"/>
      <c r="BC1151" s="598"/>
      <c r="BD1151" s="598"/>
      <c r="BE1151" s="598"/>
      <c r="BF1151" s="598"/>
      <c r="BG1151" s="1471">
        <f>W1151</f>
        <v>0</v>
      </c>
      <c r="BH1151" s="1471"/>
      <c r="BI1151" s="1471"/>
      <c r="BJ1151" s="1471"/>
      <c r="BK1151" s="1471"/>
      <c r="BL1151" s="1471"/>
      <c r="BM1151" s="612"/>
      <c r="BN1151" s="1471">
        <f>AD1151</f>
        <v>0</v>
      </c>
      <c r="BO1151" s="1471"/>
      <c r="BP1151" s="1471"/>
      <c r="BQ1151" s="1471"/>
      <c r="BR1151" s="1471"/>
      <c r="BS1151" s="1471"/>
      <c r="BT1151" s="356"/>
      <c r="BU1151" s="357"/>
      <c r="BV1151" s="310"/>
      <c r="BW1151" s="310"/>
      <c r="BX1151" s="291">
        <f t="shared" si="82"/>
        <v>0</v>
      </c>
      <c r="BY1151" s="344"/>
      <c r="BZ1151" s="347"/>
      <c r="CA1151" s="347"/>
    </row>
    <row r="1152" spans="1:80" ht="15" hidden="1" customHeight="1" x14ac:dyDescent="0.25">
      <c r="A1152" s="313"/>
      <c r="B1152" s="340"/>
      <c r="C1152" s="611" t="s">
        <v>1181</v>
      </c>
      <c r="D1152" s="598"/>
      <c r="E1152" s="598"/>
      <c r="F1152" s="598"/>
      <c r="G1152" s="598"/>
      <c r="H1152" s="598"/>
      <c r="I1152" s="598"/>
      <c r="J1152" s="598"/>
      <c r="K1152" s="598"/>
      <c r="L1152" s="598"/>
      <c r="M1152" s="598"/>
      <c r="N1152" s="598"/>
      <c r="O1152" s="598"/>
      <c r="P1152" s="598"/>
      <c r="Q1152" s="598"/>
      <c r="R1152" s="598"/>
      <c r="S1152" s="598"/>
      <c r="T1152" s="598"/>
      <c r="U1152" s="598"/>
      <c r="V1152" s="598"/>
      <c r="W1152" s="1471"/>
      <c r="X1152" s="1471"/>
      <c r="Y1152" s="1471"/>
      <c r="Z1152" s="1471"/>
      <c r="AA1152" s="1471"/>
      <c r="AB1152" s="1471"/>
      <c r="AC1152" s="612"/>
      <c r="AD1152" s="1471"/>
      <c r="AE1152" s="1471"/>
      <c r="AF1152" s="1471"/>
      <c r="AG1152" s="1471"/>
      <c r="AH1152" s="1471"/>
      <c r="AI1152" s="1471"/>
      <c r="AJ1152" s="344"/>
      <c r="AK1152" s="345"/>
      <c r="AL1152" s="340"/>
      <c r="AM1152" s="611" t="s">
        <v>1181</v>
      </c>
      <c r="AN1152" s="598"/>
      <c r="AO1152" s="598"/>
      <c r="AP1152" s="598"/>
      <c r="AQ1152" s="598"/>
      <c r="AR1152" s="598"/>
      <c r="AS1152" s="598"/>
      <c r="AT1152" s="598"/>
      <c r="AU1152" s="598"/>
      <c r="AV1152" s="598"/>
      <c r="AW1152" s="598"/>
      <c r="AX1152" s="598"/>
      <c r="AY1152" s="598"/>
      <c r="AZ1152" s="598"/>
      <c r="BA1152" s="598"/>
      <c r="BB1152" s="598"/>
      <c r="BC1152" s="598"/>
      <c r="BD1152" s="598"/>
      <c r="BE1152" s="598"/>
      <c r="BF1152" s="598"/>
      <c r="BG1152" s="1471">
        <f>W1152</f>
        <v>0</v>
      </c>
      <c r="BH1152" s="1471"/>
      <c r="BI1152" s="1471"/>
      <c r="BJ1152" s="1471"/>
      <c r="BK1152" s="1471"/>
      <c r="BL1152" s="1471"/>
      <c r="BM1152" s="612"/>
      <c r="BN1152" s="1471">
        <f>AD1152</f>
        <v>0</v>
      </c>
      <c r="BO1152" s="1471"/>
      <c r="BP1152" s="1471"/>
      <c r="BQ1152" s="1471"/>
      <c r="BR1152" s="1471"/>
      <c r="BS1152" s="1471"/>
      <c r="BT1152" s="356"/>
      <c r="BU1152" s="357"/>
      <c r="BV1152" s="310"/>
      <c r="BW1152" s="310"/>
      <c r="BX1152" s="291">
        <f t="shared" si="82"/>
        <v>0</v>
      </c>
      <c r="BY1152" s="344"/>
      <c r="BZ1152" s="347"/>
      <c r="CA1152" s="347"/>
    </row>
    <row r="1153" spans="1:84" ht="15" hidden="1" customHeight="1" x14ac:dyDescent="0.25">
      <c r="A1153" s="313"/>
      <c r="B1153" s="340"/>
      <c r="C1153" s="392"/>
      <c r="D1153" s="392"/>
      <c r="E1153" s="392"/>
      <c r="F1153" s="392"/>
      <c r="G1153" s="392"/>
      <c r="H1153" s="392"/>
      <c r="I1153" s="392"/>
      <c r="J1153" s="392"/>
      <c r="K1153" s="392"/>
      <c r="L1153" s="392"/>
      <c r="M1153" s="392"/>
      <c r="N1153" s="392"/>
      <c r="O1153" s="392"/>
      <c r="P1153" s="392"/>
      <c r="Q1153" s="392"/>
      <c r="R1153" s="392"/>
      <c r="S1153" s="392"/>
      <c r="T1153" s="392"/>
      <c r="U1153" s="392"/>
      <c r="V1153" s="392"/>
      <c r="W1153" s="393"/>
      <c r="X1153" s="393"/>
      <c r="Y1153" s="393"/>
      <c r="Z1153" s="393"/>
      <c r="AA1153" s="393"/>
      <c r="AB1153" s="393"/>
      <c r="AC1153" s="343"/>
      <c r="AD1153" s="343"/>
      <c r="AE1153" s="343"/>
      <c r="AF1153" s="343"/>
      <c r="AG1153" s="343"/>
      <c r="AH1153" s="343"/>
      <c r="AI1153" s="343"/>
      <c r="AJ1153" s="344"/>
      <c r="AK1153" s="345"/>
      <c r="AL1153" s="340"/>
      <c r="AM1153" s="392"/>
      <c r="AN1153" s="392"/>
      <c r="AO1153" s="392"/>
      <c r="AP1153" s="392"/>
      <c r="AQ1153" s="392"/>
      <c r="AR1153" s="392"/>
      <c r="AS1153" s="392"/>
      <c r="AT1153" s="392"/>
      <c r="AU1153" s="392"/>
      <c r="AV1153" s="392"/>
      <c r="AW1153" s="392"/>
      <c r="AX1153" s="392"/>
      <c r="AY1153" s="392"/>
      <c r="AZ1153" s="392"/>
      <c r="BA1153" s="392"/>
      <c r="BB1153" s="392"/>
      <c r="BC1153" s="392"/>
      <c r="BD1153" s="392"/>
      <c r="BE1153" s="392"/>
      <c r="BF1153" s="392"/>
      <c r="BG1153" s="393"/>
      <c r="BH1153" s="393"/>
      <c r="BI1153" s="393"/>
      <c r="BJ1153" s="393"/>
      <c r="BK1153" s="393"/>
      <c r="BL1153" s="393"/>
      <c r="BM1153" s="343"/>
      <c r="BN1153" s="343"/>
      <c r="BO1153" s="343"/>
      <c r="BP1153" s="343"/>
      <c r="BQ1153" s="343"/>
      <c r="BR1153" s="343"/>
      <c r="BS1153" s="343"/>
      <c r="BT1153" s="356"/>
      <c r="BU1153" s="357"/>
      <c r="BV1153" s="310"/>
      <c r="BW1153" s="310"/>
      <c r="BX1153" s="291">
        <f t="shared" si="82"/>
        <v>0</v>
      </c>
      <c r="BY1153" s="344"/>
      <c r="BZ1153" s="347"/>
      <c r="CA1153" s="347"/>
    </row>
    <row r="1154" spans="1:84" ht="15" hidden="1" customHeight="1" thickBot="1" x14ac:dyDescent="0.3">
      <c r="A1154" s="313"/>
      <c r="B1154" s="340"/>
      <c r="C1154" s="360" t="s">
        <v>752</v>
      </c>
      <c r="D1154" s="392"/>
      <c r="E1154" s="392"/>
      <c r="F1154" s="392"/>
      <c r="G1154" s="392"/>
      <c r="H1154" s="392"/>
      <c r="I1154" s="392"/>
      <c r="J1154" s="392"/>
      <c r="K1154" s="392"/>
      <c r="L1154" s="392"/>
      <c r="M1154" s="392"/>
      <c r="N1154" s="392"/>
      <c r="O1154" s="392"/>
      <c r="P1154" s="392"/>
      <c r="Q1154" s="392"/>
      <c r="R1154" s="392"/>
      <c r="S1154" s="392"/>
      <c r="T1154" s="392"/>
      <c r="U1154" s="392"/>
      <c r="V1154" s="392"/>
      <c r="W1154" s="1359">
        <f>SUBTOTAL(109,W1151:AB1152)</f>
        <v>0</v>
      </c>
      <c r="X1154" s="1359"/>
      <c r="Y1154" s="1359"/>
      <c r="Z1154" s="1359"/>
      <c r="AA1154" s="1359"/>
      <c r="AB1154" s="1359"/>
      <c r="AC1154" s="355"/>
      <c r="AD1154" s="1359">
        <f>SUBTOTAL(109,AD1151:AI1152)</f>
        <v>0</v>
      </c>
      <c r="AE1154" s="1359"/>
      <c r="AF1154" s="1359"/>
      <c r="AG1154" s="1359"/>
      <c r="AH1154" s="1359"/>
      <c r="AI1154" s="1359"/>
      <c r="AJ1154" s="344"/>
      <c r="AK1154" s="345"/>
      <c r="AL1154" s="340"/>
      <c r="AM1154" s="360" t="s">
        <v>752</v>
      </c>
      <c r="AN1154" s="392"/>
      <c r="AO1154" s="392"/>
      <c r="AP1154" s="392"/>
      <c r="AQ1154" s="392"/>
      <c r="AR1154" s="392"/>
      <c r="AS1154" s="392"/>
      <c r="AT1154" s="392"/>
      <c r="AU1154" s="392"/>
      <c r="AV1154" s="392"/>
      <c r="AW1154" s="392"/>
      <c r="AX1154" s="392"/>
      <c r="AY1154" s="392"/>
      <c r="AZ1154" s="392"/>
      <c r="BA1154" s="392"/>
      <c r="BB1154" s="392"/>
      <c r="BC1154" s="392"/>
      <c r="BD1154" s="392"/>
      <c r="BE1154" s="392"/>
      <c r="BF1154" s="392"/>
      <c r="BG1154" s="1359">
        <f>SUBTOTAL(109,BG1151:BL1152)</f>
        <v>0</v>
      </c>
      <c r="BH1154" s="1359"/>
      <c r="BI1154" s="1359"/>
      <c r="BJ1154" s="1359"/>
      <c r="BK1154" s="1359"/>
      <c r="BL1154" s="1359"/>
      <c r="BM1154" s="355"/>
      <c r="BN1154" s="1359">
        <f>SUBTOTAL(109,BN1151:BS1152)</f>
        <v>0</v>
      </c>
      <c r="BO1154" s="1359"/>
      <c r="BP1154" s="1359"/>
      <c r="BQ1154" s="1359"/>
      <c r="BR1154" s="1359"/>
      <c r="BS1154" s="1359"/>
      <c r="BT1154" s="356"/>
      <c r="BU1154" s="357"/>
      <c r="BV1154" s="310"/>
      <c r="BW1154" s="310"/>
      <c r="BX1154" s="291">
        <f t="shared" si="82"/>
        <v>0</v>
      </c>
      <c r="BY1154" s="344"/>
      <c r="BZ1154" s="347"/>
      <c r="CA1154" s="347"/>
    </row>
    <row r="1155" spans="1:84" ht="2.1" hidden="1" customHeight="1" thickTop="1" x14ac:dyDescent="0.25">
      <c r="A1155" s="604"/>
      <c r="B1155" s="603"/>
      <c r="C1155" s="606"/>
      <c r="D1155" s="392"/>
      <c r="E1155" s="392"/>
      <c r="F1155" s="392"/>
      <c r="G1155" s="392"/>
      <c r="H1155" s="392"/>
      <c r="I1155" s="392"/>
      <c r="J1155" s="392"/>
      <c r="K1155" s="392"/>
      <c r="L1155" s="392"/>
      <c r="M1155" s="392"/>
      <c r="N1155" s="392"/>
      <c r="O1155" s="392"/>
      <c r="P1155" s="392"/>
      <c r="Q1155" s="392"/>
      <c r="R1155" s="392"/>
      <c r="S1155" s="392"/>
      <c r="T1155" s="392"/>
      <c r="U1155" s="392"/>
      <c r="V1155" s="392"/>
      <c r="W1155" s="393"/>
      <c r="X1155" s="393"/>
      <c r="Y1155" s="393"/>
      <c r="Z1155" s="393"/>
      <c r="AA1155" s="393"/>
      <c r="AB1155" s="393"/>
      <c r="AC1155" s="343"/>
      <c r="AD1155" s="343"/>
      <c r="AE1155" s="343"/>
      <c r="AF1155" s="343"/>
      <c r="AG1155" s="343"/>
      <c r="AH1155" s="343"/>
      <c r="AI1155" s="343"/>
      <c r="AJ1155" s="344"/>
      <c r="AK1155" s="345"/>
      <c r="AL1155" s="340"/>
      <c r="AM1155" s="606"/>
      <c r="AN1155" s="392"/>
      <c r="AO1155" s="392"/>
      <c r="AP1155" s="392"/>
      <c r="AQ1155" s="392"/>
      <c r="AR1155" s="392"/>
      <c r="AS1155" s="392"/>
      <c r="AT1155" s="392"/>
      <c r="AU1155" s="392"/>
      <c r="AV1155" s="392"/>
      <c r="AW1155" s="392"/>
      <c r="AX1155" s="392"/>
      <c r="AY1155" s="392"/>
      <c r="AZ1155" s="392"/>
      <c r="BA1155" s="392"/>
      <c r="BB1155" s="392"/>
      <c r="BC1155" s="392"/>
      <c r="BD1155" s="392"/>
      <c r="BE1155" s="392"/>
      <c r="BF1155" s="392"/>
      <c r="BG1155" s="393"/>
      <c r="BH1155" s="393"/>
      <c r="BI1155" s="393"/>
      <c r="BJ1155" s="393"/>
      <c r="BK1155" s="393"/>
      <c r="BL1155" s="393"/>
      <c r="BM1155" s="343"/>
      <c r="BN1155" s="343"/>
      <c r="BO1155" s="343"/>
      <c r="BP1155" s="343"/>
      <c r="BQ1155" s="343"/>
      <c r="BR1155" s="343"/>
      <c r="BS1155" s="343"/>
      <c r="BT1155" s="356"/>
      <c r="BU1155" s="357"/>
      <c r="BV1155" s="310"/>
      <c r="BW1155" s="310"/>
      <c r="BX1155" s="291">
        <f t="shared" si="82"/>
        <v>0</v>
      </c>
      <c r="BY1155" s="344"/>
      <c r="BZ1155" s="347"/>
      <c r="CA1155" s="347"/>
    </row>
    <row r="1156" spans="1:84" ht="15" hidden="1" customHeight="1" x14ac:dyDescent="0.25">
      <c r="A1156" s="604"/>
      <c r="B1156" s="603"/>
      <c r="C1156" s="606"/>
      <c r="D1156" s="392"/>
      <c r="E1156" s="392"/>
      <c r="F1156" s="392"/>
      <c r="G1156" s="392"/>
      <c r="H1156" s="392"/>
      <c r="I1156" s="392"/>
      <c r="J1156" s="392"/>
      <c r="K1156" s="392"/>
      <c r="L1156" s="392"/>
      <c r="M1156" s="392"/>
      <c r="N1156" s="392"/>
      <c r="O1156" s="392"/>
      <c r="P1156" s="392"/>
      <c r="Q1156" s="392"/>
      <c r="R1156" s="392"/>
      <c r="S1156" s="392"/>
      <c r="T1156" s="392"/>
      <c r="U1156" s="392"/>
      <c r="V1156" s="392"/>
      <c r="W1156" s="393"/>
      <c r="X1156" s="393"/>
      <c r="Y1156" s="393"/>
      <c r="Z1156" s="393"/>
      <c r="AA1156" s="393"/>
      <c r="AB1156" s="393"/>
      <c r="AC1156" s="343"/>
      <c r="AD1156" s="343"/>
      <c r="AE1156" s="343"/>
      <c r="AF1156" s="343"/>
      <c r="AG1156" s="343"/>
      <c r="AH1156" s="343"/>
      <c r="AI1156" s="343"/>
      <c r="AJ1156" s="344"/>
      <c r="AK1156" s="345"/>
      <c r="AL1156" s="340"/>
      <c r="AM1156" s="606"/>
      <c r="AN1156" s="392"/>
      <c r="AO1156" s="392"/>
      <c r="AP1156" s="392"/>
      <c r="AQ1156" s="392"/>
      <c r="AR1156" s="392"/>
      <c r="AS1156" s="392"/>
      <c r="AT1156" s="392"/>
      <c r="AU1156" s="392"/>
      <c r="AV1156" s="392"/>
      <c r="AW1156" s="392"/>
      <c r="AX1156" s="392"/>
      <c r="AY1156" s="392"/>
      <c r="AZ1156" s="392"/>
      <c r="BA1156" s="392"/>
      <c r="BB1156" s="392"/>
      <c r="BC1156" s="392"/>
      <c r="BD1156" s="392"/>
      <c r="BE1156" s="392"/>
      <c r="BF1156" s="392"/>
      <c r="BG1156" s="393"/>
      <c r="BH1156" s="393"/>
      <c r="BI1156" s="393"/>
      <c r="BJ1156" s="393"/>
      <c r="BK1156" s="393"/>
      <c r="BL1156" s="393"/>
      <c r="BM1156" s="343"/>
      <c r="BN1156" s="343"/>
      <c r="BO1156" s="343"/>
      <c r="BP1156" s="343"/>
      <c r="BQ1156" s="343"/>
      <c r="BR1156" s="343"/>
      <c r="BS1156" s="343"/>
      <c r="BT1156" s="356"/>
      <c r="BU1156" s="357"/>
      <c r="BV1156" s="310"/>
      <c r="BW1156" s="310"/>
      <c r="BX1156" s="291">
        <f t="shared" si="82"/>
        <v>0</v>
      </c>
      <c r="BY1156" s="344"/>
      <c r="BZ1156" s="347"/>
      <c r="CA1156" s="347"/>
    </row>
    <row r="1157" spans="1:84" ht="15" hidden="1" customHeight="1" x14ac:dyDescent="0.25">
      <c r="A1157" s="604"/>
      <c r="B1157" s="603"/>
      <c r="C1157" s="606" t="s">
        <v>1263</v>
      </c>
      <c r="D1157" s="392"/>
      <c r="E1157" s="392"/>
      <c r="F1157" s="392"/>
      <c r="G1157" s="392"/>
      <c r="H1157" s="392"/>
      <c r="I1157" s="392"/>
      <c r="J1157" s="392"/>
      <c r="K1157" s="392"/>
      <c r="L1157" s="392"/>
      <c r="M1157" s="392"/>
      <c r="N1157" s="392"/>
      <c r="O1157" s="392"/>
      <c r="P1157" s="392"/>
      <c r="Q1157" s="392"/>
      <c r="R1157" s="392"/>
      <c r="S1157" s="392"/>
      <c r="T1157" s="392"/>
      <c r="U1157" s="392"/>
      <c r="V1157" s="392"/>
      <c r="W1157" s="393"/>
      <c r="X1157" s="393"/>
      <c r="Y1157" s="393"/>
      <c r="Z1157" s="393"/>
      <c r="AA1157" s="393"/>
      <c r="AB1157" s="393"/>
      <c r="AC1157" s="343"/>
      <c r="AD1157" s="343"/>
      <c r="AE1157" s="343"/>
      <c r="AF1157" s="343"/>
      <c r="AG1157" s="343"/>
      <c r="AH1157" s="343"/>
      <c r="AI1157" s="343"/>
      <c r="AJ1157" s="344"/>
      <c r="AK1157" s="345"/>
      <c r="AL1157" s="340"/>
      <c r="AM1157" s="606" t="s">
        <v>1263</v>
      </c>
      <c r="AN1157" s="392"/>
      <c r="AO1157" s="392"/>
      <c r="AP1157" s="392"/>
      <c r="AQ1157" s="392"/>
      <c r="AR1157" s="392"/>
      <c r="AS1157" s="392"/>
      <c r="AT1157" s="392"/>
      <c r="AU1157" s="392"/>
      <c r="AV1157" s="392"/>
      <c r="AW1157" s="392"/>
      <c r="AX1157" s="392"/>
      <c r="AY1157" s="392"/>
      <c r="AZ1157" s="392"/>
      <c r="BA1157" s="392"/>
      <c r="BB1157" s="392"/>
      <c r="BC1157" s="392"/>
      <c r="BD1157" s="392"/>
      <c r="BE1157" s="392"/>
      <c r="BF1157" s="392"/>
      <c r="BG1157" s="393"/>
      <c r="BH1157" s="393"/>
      <c r="BI1157" s="393"/>
      <c r="BJ1157" s="393"/>
      <c r="BK1157" s="393"/>
      <c r="BL1157" s="393"/>
      <c r="BM1157" s="343"/>
      <c r="BN1157" s="343"/>
      <c r="BO1157" s="343"/>
      <c r="BP1157" s="343"/>
      <c r="BQ1157" s="343"/>
      <c r="BR1157" s="343"/>
      <c r="BS1157" s="343"/>
      <c r="BT1157" s="356"/>
      <c r="BU1157" s="357"/>
      <c r="BV1157" s="310"/>
      <c r="BW1157" s="310"/>
      <c r="BX1157" s="291">
        <f t="shared" si="82"/>
        <v>0</v>
      </c>
      <c r="BY1157" s="344"/>
      <c r="BZ1157" s="347"/>
      <c r="CA1157" s="347"/>
    </row>
    <row r="1158" spans="1:84" ht="15" hidden="1" customHeight="1" x14ac:dyDescent="0.25">
      <c r="A1158" s="604"/>
      <c r="B1158" s="603"/>
      <c r="C1158" s="606"/>
      <c r="D1158" s="392"/>
      <c r="E1158" s="392"/>
      <c r="F1158" s="392"/>
      <c r="G1158" s="392"/>
      <c r="H1158" s="392"/>
      <c r="I1158" s="392"/>
      <c r="J1158" s="392"/>
      <c r="K1158" s="392"/>
      <c r="L1158" s="392"/>
      <c r="M1158" s="392"/>
      <c r="N1158" s="392"/>
      <c r="O1158" s="392"/>
      <c r="P1158" s="392"/>
      <c r="Q1158" s="392"/>
      <c r="R1158" s="392"/>
      <c r="S1158" s="392"/>
      <c r="T1158" s="392"/>
      <c r="U1158" s="392"/>
      <c r="V1158" s="392"/>
      <c r="W1158" s="393"/>
      <c r="X1158" s="393"/>
      <c r="Y1158" s="393"/>
      <c r="Z1158" s="393"/>
      <c r="AA1158" s="393"/>
      <c r="AB1158" s="393"/>
      <c r="AC1158" s="343"/>
      <c r="AD1158" s="343"/>
      <c r="AE1158" s="343"/>
      <c r="AF1158" s="343"/>
      <c r="AG1158" s="343"/>
      <c r="AH1158" s="343"/>
      <c r="AI1158" s="343"/>
      <c r="AJ1158" s="344"/>
      <c r="AK1158" s="345"/>
      <c r="AL1158" s="340"/>
      <c r="AM1158" s="392"/>
      <c r="AN1158" s="392"/>
      <c r="AO1158" s="392"/>
      <c r="AP1158" s="392"/>
      <c r="AQ1158" s="392"/>
      <c r="AR1158" s="392"/>
      <c r="AS1158" s="392"/>
      <c r="AT1158" s="392"/>
      <c r="AU1158" s="392"/>
      <c r="AV1158" s="392"/>
      <c r="AW1158" s="392"/>
      <c r="AX1158" s="392"/>
      <c r="AY1158" s="392"/>
      <c r="AZ1158" s="392"/>
      <c r="BA1158" s="392"/>
      <c r="BB1158" s="392"/>
      <c r="BC1158" s="392"/>
      <c r="BD1158" s="392"/>
      <c r="BE1158" s="392"/>
      <c r="BF1158" s="392"/>
      <c r="BG1158" s="490"/>
      <c r="BH1158" s="490"/>
      <c r="BI1158" s="490"/>
      <c r="BJ1158" s="490"/>
      <c r="BK1158" s="490"/>
      <c r="BL1158" s="490"/>
      <c r="BM1158" s="358"/>
      <c r="BN1158" s="355"/>
      <c r="BO1158" s="355"/>
      <c r="BP1158" s="355"/>
      <c r="BQ1158" s="355"/>
      <c r="BR1158" s="355"/>
      <c r="BS1158" s="355"/>
      <c r="BT1158" s="356"/>
      <c r="BU1158" s="357"/>
      <c r="BV1158" s="310"/>
      <c r="BW1158" s="310"/>
      <c r="BX1158" s="291">
        <f t="shared" si="82"/>
        <v>0</v>
      </c>
      <c r="BY1158" s="344"/>
      <c r="BZ1158" s="347"/>
      <c r="CA1158" s="347"/>
    </row>
    <row r="1159" spans="1:84" ht="15" hidden="1" customHeight="1" x14ac:dyDescent="0.25">
      <c r="A1159" s="313">
        <f>STT</f>
        <v>20</v>
      </c>
      <c r="B1159" s="340" t="s">
        <v>345</v>
      </c>
      <c r="C1159" s="341" t="s">
        <v>1264</v>
      </c>
      <c r="D1159" s="341"/>
      <c r="E1159" s="341"/>
      <c r="F1159" s="341"/>
      <c r="G1159" s="341"/>
      <c r="H1159" s="341"/>
      <c r="I1159" s="341"/>
      <c r="J1159" s="341"/>
      <c r="K1159" s="341"/>
      <c r="L1159" s="341"/>
      <c r="M1159" s="341"/>
      <c r="N1159" s="341"/>
      <c r="O1159" s="341"/>
      <c r="P1159" s="341"/>
      <c r="Q1159" s="341"/>
      <c r="R1159" s="341"/>
      <c r="S1159" s="341"/>
      <c r="T1159" s="341"/>
      <c r="U1159" s="342"/>
      <c r="V1159" s="342"/>
      <c r="W1159" s="343"/>
      <c r="X1159" s="343"/>
      <c r="Y1159" s="343"/>
      <c r="Z1159" s="343"/>
      <c r="AA1159" s="343"/>
      <c r="AB1159" s="343"/>
      <c r="AC1159" s="343"/>
      <c r="AD1159" s="343"/>
      <c r="AE1159" s="343"/>
      <c r="AF1159" s="343"/>
      <c r="AG1159" s="343"/>
      <c r="AH1159" s="343"/>
      <c r="AI1159" s="343"/>
      <c r="AJ1159" s="344"/>
      <c r="AK1159" s="345">
        <f>A1159</f>
        <v>20</v>
      </c>
      <c r="AL1159" s="340" t="s">
        <v>345</v>
      </c>
      <c r="AM1159" s="341" t="s">
        <v>1265</v>
      </c>
      <c r="AN1159" s="341"/>
      <c r="AO1159" s="341"/>
      <c r="AP1159" s="341"/>
      <c r="AQ1159" s="341"/>
      <c r="AR1159" s="341"/>
      <c r="AS1159" s="341"/>
      <c r="AT1159" s="341"/>
      <c r="AU1159" s="341"/>
      <c r="AV1159" s="341"/>
      <c r="AW1159" s="341"/>
      <c r="AX1159" s="341"/>
      <c r="AY1159" s="341"/>
      <c r="AZ1159" s="341"/>
      <c r="BA1159" s="341"/>
      <c r="BB1159" s="341"/>
      <c r="BC1159" s="341"/>
      <c r="BD1159" s="341"/>
      <c r="BE1159" s="342"/>
      <c r="BF1159" s="342"/>
      <c r="BG1159" s="342"/>
      <c r="BH1159" s="342"/>
      <c r="BI1159" s="342"/>
      <c r="BJ1159" s="342"/>
      <c r="BK1159" s="342"/>
      <c r="BL1159" s="342"/>
      <c r="BM1159" s="342"/>
      <c r="BN1159" s="342"/>
      <c r="BO1159" s="342"/>
      <c r="BP1159" s="342"/>
      <c r="BQ1159" s="342"/>
      <c r="BR1159" s="342"/>
      <c r="BS1159" s="342"/>
      <c r="BT1159" s="342"/>
      <c r="BU1159" s="346">
        <f>SUBTOTAL(103,A1159)</f>
        <v>0</v>
      </c>
      <c r="BV1159" s="310"/>
      <c r="BW1159" s="310"/>
      <c r="BX1159" s="291">
        <f t="shared" si="82"/>
        <v>0</v>
      </c>
      <c r="BY1159" s="344"/>
      <c r="BZ1159" s="347"/>
      <c r="CA1159" s="347"/>
    </row>
    <row r="1160" spans="1:84" ht="15" hidden="1" customHeight="1" x14ac:dyDescent="0.25">
      <c r="A1160" s="313"/>
      <c r="B1160" s="340"/>
      <c r="C1160" s="392"/>
      <c r="D1160" s="392"/>
      <c r="E1160" s="392"/>
      <c r="F1160" s="392"/>
      <c r="G1160" s="392"/>
      <c r="H1160" s="392"/>
      <c r="I1160" s="392"/>
      <c r="J1160" s="392"/>
      <c r="K1160" s="392"/>
      <c r="L1160" s="392"/>
      <c r="M1160" s="392"/>
      <c r="N1160" s="392"/>
      <c r="O1160" s="392"/>
      <c r="P1160" s="392"/>
      <c r="Q1160" s="392"/>
      <c r="R1160" s="392"/>
      <c r="S1160" s="392"/>
      <c r="T1160" s="392"/>
      <c r="U1160" s="392"/>
      <c r="V1160" s="392"/>
      <c r="W1160" s="1325" t="str">
        <f>Ky_Nay1_V</f>
        <v>31/12/2017</v>
      </c>
      <c r="X1160" s="1325"/>
      <c r="Y1160" s="1325"/>
      <c r="Z1160" s="1325"/>
      <c r="AA1160" s="1325"/>
      <c r="AB1160" s="1325"/>
      <c r="AC1160" s="351"/>
      <c r="AD1160" s="1325" t="str">
        <f>Ky_Truoc1_V</f>
        <v>01/01/2017</v>
      </c>
      <c r="AE1160" s="1325"/>
      <c r="AF1160" s="1325"/>
      <c r="AG1160" s="1325"/>
      <c r="AH1160" s="1325"/>
      <c r="AI1160" s="1325"/>
      <c r="AJ1160" s="344"/>
      <c r="AK1160" s="345"/>
      <c r="AL1160" s="340"/>
      <c r="AM1160" s="392"/>
      <c r="AN1160" s="392"/>
      <c r="AO1160" s="392"/>
      <c r="AP1160" s="392"/>
      <c r="AQ1160" s="392"/>
      <c r="AR1160" s="392"/>
      <c r="AS1160" s="392"/>
      <c r="AT1160" s="392"/>
      <c r="AU1160" s="392"/>
      <c r="AV1160" s="392"/>
      <c r="AW1160" s="392"/>
      <c r="AX1160" s="392"/>
      <c r="AY1160" s="392"/>
      <c r="AZ1160" s="392"/>
      <c r="BA1160" s="392"/>
      <c r="BB1160" s="392"/>
      <c r="BC1160" s="392"/>
      <c r="BD1160" s="392"/>
      <c r="BE1160" s="392"/>
      <c r="BF1160" s="392"/>
      <c r="BG1160" s="1325" t="str">
        <f>Ky_Nay1_E</f>
        <v>31/12/2017</v>
      </c>
      <c r="BH1160" s="1325"/>
      <c r="BI1160" s="1325"/>
      <c r="BJ1160" s="1325"/>
      <c r="BK1160" s="1325"/>
      <c r="BL1160" s="1325"/>
      <c r="BM1160" s="351"/>
      <c r="BN1160" s="1325" t="str">
        <f>Ky_Truoc1_E</f>
        <v>01/01/2017</v>
      </c>
      <c r="BO1160" s="1325"/>
      <c r="BP1160" s="1325"/>
      <c r="BQ1160" s="1325"/>
      <c r="BR1160" s="1325"/>
      <c r="BS1160" s="1325"/>
      <c r="BT1160" s="352"/>
      <c r="BU1160" s="353"/>
      <c r="BV1160" s="310"/>
      <c r="BW1160" s="310"/>
      <c r="BX1160" s="291">
        <f t="shared" si="82"/>
        <v>0</v>
      </c>
      <c r="BY1160" s="344"/>
      <c r="BZ1160" s="347"/>
      <c r="CA1160" s="347"/>
    </row>
    <row r="1161" spans="1:84" ht="15" hidden="1" customHeight="1" x14ac:dyDescent="0.25">
      <c r="A1161" s="313"/>
      <c r="B1161" s="340"/>
      <c r="C1161" s="392"/>
      <c r="D1161" s="392"/>
      <c r="E1161" s="392"/>
      <c r="F1161" s="392"/>
      <c r="G1161" s="392"/>
      <c r="H1161" s="392"/>
      <c r="I1161" s="392"/>
      <c r="J1161" s="392"/>
      <c r="K1161" s="392"/>
      <c r="L1161" s="392"/>
      <c r="M1161" s="392"/>
      <c r="N1161" s="392"/>
      <c r="O1161" s="392"/>
      <c r="P1161" s="392"/>
      <c r="Q1161" s="392"/>
      <c r="R1161" s="392"/>
      <c r="S1161" s="392"/>
      <c r="T1161" s="392"/>
      <c r="U1161" s="392"/>
      <c r="V1161" s="392"/>
      <c r="W1161" s="1401" t="str">
        <f>Don_Vi_Tinh_V</f>
        <v>VND</v>
      </c>
      <c r="X1161" s="1401"/>
      <c r="Y1161" s="1401"/>
      <c r="Z1161" s="1401"/>
      <c r="AA1161" s="1401"/>
      <c r="AB1161" s="1401"/>
      <c r="AC1161" s="351"/>
      <c r="AD1161" s="1401" t="str">
        <f>Don_Vi_Tinh_V</f>
        <v>VND</v>
      </c>
      <c r="AE1161" s="1401"/>
      <c r="AF1161" s="1401"/>
      <c r="AG1161" s="1401"/>
      <c r="AH1161" s="1401"/>
      <c r="AI1161" s="1401"/>
      <c r="AJ1161" s="344"/>
      <c r="AK1161" s="345"/>
      <c r="AL1161" s="340"/>
      <c r="AM1161" s="392"/>
      <c r="AN1161" s="392"/>
      <c r="AO1161" s="392"/>
      <c r="AP1161" s="392"/>
      <c r="AQ1161" s="392"/>
      <c r="AR1161" s="392"/>
      <c r="AS1161" s="392"/>
      <c r="AT1161" s="392"/>
      <c r="AU1161" s="392"/>
      <c r="AV1161" s="392"/>
      <c r="AW1161" s="392"/>
      <c r="AX1161" s="392"/>
      <c r="AY1161" s="392"/>
      <c r="AZ1161" s="392"/>
      <c r="BA1161" s="392"/>
      <c r="BB1161" s="392"/>
      <c r="BC1161" s="392"/>
      <c r="BD1161" s="392"/>
      <c r="BE1161" s="392"/>
      <c r="BF1161" s="392"/>
      <c r="BG1161" s="1401" t="str">
        <f>Don_Vi_Tinh_E</f>
        <v>VND</v>
      </c>
      <c r="BH1161" s="1401"/>
      <c r="BI1161" s="1401"/>
      <c r="BJ1161" s="1401"/>
      <c r="BK1161" s="1401"/>
      <c r="BL1161" s="1401"/>
      <c r="BM1161" s="351"/>
      <c r="BN1161" s="1401" t="str">
        <f>Don_Vi_Tinh_E</f>
        <v>VND</v>
      </c>
      <c r="BO1161" s="1401"/>
      <c r="BP1161" s="1401"/>
      <c r="BQ1161" s="1401"/>
      <c r="BR1161" s="1401"/>
      <c r="BS1161" s="1401"/>
      <c r="BT1161" s="352"/>
      <c r="BU1161" s="353"/>
      <c r="BV1161" s="310"/>
      <c r="BW1161" s="310"/>
      <c r="BX1161" s="291">
        <f t="shared" si="82"/>
        <v>0</v>
      </c>
      <c r="BY1161" s="344"/>
      <c r="BZ1161" s="347"/>
      <c r="CA1161" s="347"/>
    </row>
    <row r="1162" spans="1:84" ht="15" hidden="1" customHeight="1" x14ac:dyDescent="0.25">
      <c r="A1162" s="313"/>
      <c r="B1162" s="340"/>
      <c r="C1162" s="392"/>
      <c r="D1162" s="392"/>
      <c r="E1162" s="392"/>
      <c r="F1162" s="392"/>
      <c r="G1162" s="392"/>
      <c r="H1162" s="392"/>
      <c r="I1162" s="392"/>
      <c r="J1162" s="392"/>
      <c r="K1162" s="392"/>
      <c r="L1162" s="392"/>
      <c r="M1162" s="392"/>
      <c r="N1162" s="392"/>
      <c r="O1162" s="392"/>
      <c r="P1162" s="392"/>
      <c r="Q1162" s="392"/>
      <c r="R1162" s="392"/>
      <c r="S1162" s="392"/>
      <c r="T1162" s="392"/>
      <c r="U1162" s="392"/>
      <c r="V1162" s="392"/>
      <c r="W1162" s="1318"/>
      <c r="X1162" s="1318"/>
      <c r="Y1162" s="1318"/>
      <c r="Z1162" s="1318"/>
      <c r="AA1162" s="1318"/>
      <c r="AB1162" s="1318"/>
      <c r="AC1162" s="355"/>
      <c r="AD1162" s="1318"/>
      <c r="AE1162" s="1318"/>
      <c r="AF1162" s="1318"/>
      <c r="AG1162" s="1318"/>
      <c r="AH1162" s="1318"/>
      <c r="AI1162" s="1318"/>
      <c r="AJ1162" s="344"/>
      <c r="AK1162" s="345"/>
      <c r="AL1162" s="340"/>
      <c r="AM1162" s="392"/>
      <c r="AN1162" s="392"/>
      <c r="AO1162" s="392"/>
      <c r="AP1162" s="392"/>
      <c r="AQ1162" s="392"/>
      <c r="AR1162" s="392"/>
      <c r="AS1162" s="392"/>
      <c r="AT1162" s="392"/>
      <c r="AU1162" s="392"/>
      <c r="AV1162" s="392"/>
      <c r="AW1162" s="392"/>
      <c r="AX1162" s="392"/>
      <c r="AY1162" s="392"/>
      <c r="AZ1162" s="392"/>
      <c r="BA1162" s="392"/>
      <c r="BB1162" s="392"/>
      <c r="BC1162" s="392"/>
      <c r="BD1162" s="392"/>
      <c r="BE1162" s="392"/>
      <c r="BF1162" s="392"/>
      <c r="BG1162" s="1318"/>
      <c r="BH1162" s="1318"/>
      <c r="BI1162" s="1318"/>
      <c r="BJ1162" s="1318"/>
      <c r="BK1162" s="1318"/>
      <c r="BL1162" s="1318"/>
      <c r="BM1162" s="355"/>
      <c r="BN1162" s="1318"/>
      <c r="BO1162" s="1318"/>
      <c r="BP1162" s="1318"/>
      <c r="BQ1162" s="1318"/>
      <c r="BR1162" s="1318"/>
      <c r="BS1162" s="1318"/>
      <c r="BT1162" s="356"/>
      <c r="BU1162" s="357"/>
      <c r="BV1162" s="310"/>
      <c r="BW1162" s="310"/>
      <c r="BX1162" s="291">
        <f t="shared" si="82"/>
        <v>0</v>
      </c>
      <c r="BY1162" s="344"/>
      <c r="BZ1162" s="347"/>
      <c r="CA1162" s="347"/>
    </row>
    <row r="1163" spans="1:84" ht="15" hidden="1" customHeight="1" x14ac:dyDescent="0.25">
      <c r="A1163" s="313"/>
      <c r="B1163" s="340"/>
      <c r="C1163" s="471" t="s">
        <v>855</v>
      </c>
      <c r="D1163" s="392"/>
      <c r="E1163" s="392"/>
      <c r="F1163" s="392"/>
      <c r="G1163" s="392"/>
      <c r="H1163" s="392"/>
      <c r="I1163" s="392"/>
      <c r="J1163" s="392"/>
      <c r="K1163" s="392"/>
      <c r="L1163" s="392"/>
      <c r="M1163" s="392"/>
      <c r="N1163" s="392"/>
      <c r="O1163" s="392"/>
      <c r="P1163" s="392"/>
      <c r="Q1163" s="392"/>
      <c r="R1163" s="392"/>
      <c r="S1163" s="392"/>
      <c r="T1163" s="392"/>
      <c r="U1163" s="392"/>
      <c r="V1163" s="392"/>
      <c r="W1163" s="1330"/>
      <c r="X1163" s="1330"/>
      <c r="Y1163" s="1330"/>
      <c r="Z1163" s="1330"/>
      <c r="AA1163" s="1330"/>
      <c r="AB1163" s="1330"/>
      <c r="AC1163" s="363"/>
      <c r="AD1163" s="1330"/>
      <c r="AE1163" s="1330"/>
      <c r="AF1163" s="1330"/>
      <c r="AG1163" s="1330"/>
      <c r="AH1163" s="1330"/>
      <c r="AI1163" s="1330"/>
      <c r="AJ1163" s="344"/>
      <c r="AK1163" s="345"/>
      <c r="AL1163" s="340"/>
      <c r="AM1163" s="471"/>
      <c r="AN1163" s="392"/>
      <c r="AO1163" s="392"/>
      <c r="AP1163" s="392"/>
      <c r="AQ1163" s="392"/>
      <c r="AR1163" s="392"/>
      <c r="AS1163" s="392"/>
      <c r="AT1163" s="392"/>
      <c r="AU1163" s="392"/>
      <c r="AV1163" s="392"/>
      <c r="AW1163" s="392"/>
      <c r="AX1163" s="392"/>
      <c r="AY1163" s="392"/>
      <c r="AZ1163" s="392"/>
      <c r="BA1163" s="392"/>
      <c r="BB1163" s="392"/>
      <c r="BC1163" s="392"/>
      <c r="BD1163" s="392"/>
      <c r="BE1163" s="392"/>
      <c r="BF1163" s="392"/>
      <c r="BG1163" s="1330"/>
      <c r="BH1163" s="1330"/>
      <c r="BI1163" s="1330"/>
      <c r="BJ1163" s="1330"/>
      <c r="BK1163" s="1330"/>
      <c r="BL1163" s="1330"/>
      <c r="BM1163" s="363"/>
      <c r="BN1163" s="1330"/>
      <c r="BO1163" s="1330"/>
      <c r="BP1163" s="1330"/>
      <c r="BQ1163" s="1330"/>
      <c r="BR1163" s="1330"/>
      <c r="BS1163" s="1330"/>
      <c r="BT1163" s="356"/>
      <c r="BU1163" s="357"/>
      <c r="BV1163" s="310"/>
      <c r="BW1163" s="310"/>
      <c r="BX1163" s="291">
        <f t="shared" si="82"/>
        <v>0</v>
      </c>
      <c r="BY1163" s="344"/>
      <c r="BZ1163" s="347"/>
      <c r="CA1163" s="347"/>
    </row>
    <row r="1164" spans="1:84" s="423" customFormat="1" ht="15" hidden="1" customHeight="1" x14ac:dyDescent="0.25">
      <c r="A1164" s="313"/>
      <c r="B1164" s="340"/>
      <c r="C1164" s="613" t="s">
        <v>1266</v>
      </c>
      <c r="D1164" s="340"/>
      <c r="E1164" s="340"/>
      <c r="F1164" s="340"/>
      <c r="G1164" s="340"/>
      <c r="H1164" s="340"/>
      <c r="I1164" s="340"/>
      <c r="J1164" s="340"/>
      <c r="K1164" s="340"/>
      <c r="L1164" s="340"/>
      <c r="M1164" s="340"/>
      <c r="N1164" s="340"/>
      <c r="O1164" s="340"/>
      <c r="P1164" s="340"/>
      <c r="Q1164" s="340"/>
      <c r="R1164" s="340"/>
      <c r="S1164" s="340"/>
      <c r="T1164" s="340"/>
      <c r="U1164" s="342"/>
      <c r="V1164" s="342"/>
      <c r="W1164" s="1318"/>
      <c r="X1164" s="1318"/>
      <c r="Y1164" s="1318"/>
      <c r="Z1164" s="1318"/>
      <c r="AA1164" s="1318"/>
      <c r="AB1164" s="1318"/>
      <c r="AC1164" s="355"/>
      <c r="AD1164" s="1318"/>
      <c r="AE1164" s="1318"/>
      <c r="AF1164" s="1318"/>
      <c r="AG1164" s="1318"/>
      <c r="AH1164" s="1318"/>
      <c r="AI1164" s="1318"/>
      <c r="AJ1164" s="342"/>
      <c r="AK1164" s="345"/>
      <c r="AL1164" s="340"/>
      <c r="AM1164" s="613" t="s">
        <v>1267</v>
      </c>
      <c r="AN1164" s="340"/>
      <c r="AO1164" s="340"/>
      <c r="AP1164" s="340"/>
      <c r="AQ1164" s="340"/>
      <c r="AR1164" s="340"/>
      <c r="AS1164" s="340"/>
      <c r="AT1164" s="340"/>
      <c r="AU1164" s="340"/>
      <c r="AV1164" s="340"/>
      <c r="AW1164" s="340"/>
      <c r="AX1164" s="340"/>
      <c r="AY1164" s="340"/>
      <c r="AZ1164" s="340"/>
      <c r="BA1164" s="340"/>
      <c r="BB1164" s="340"/>
      <c r="BC1164" s="340"/>
      <c r="BD1164" s="340"/>
      <c r="BE1164" s="342"/>
      <c r="BF1164" s="342"/>
      <c r="BG1164" s="1318">
        <f>W1164</f>
        <v>0</v>
      </c>
      <c r="BH1164" s="1318"/>
      <c r="BI1164" s="1318"/>
      <c r="BJ1164" s="1318"/>
      <c r="BK1164" s="1318"/>
      <c r="BL1164" s="1318"/>
      <c r="BM1164" s="355"/>
      <c r="BN1164" s="1318">
        <f>AD1164</f>
        <v>0</v>
      </c>
      <c r="BO1164" s="1318"/>
      <c r="BP1164" s="1318"/>
      <c r="BQ1164" s="1318"/>
      <c r="BR1164" s="1318"/>
      <c r="BS1164" s="1318"/>
      <c r="BT1164" s="356"/>
      <c r="BU1164" s="357"/>
      <c r="BV1164" s="310"/>
      <c r="BW1164" s="310"/>
      <c r="BX1164" s="300">
        <f t="shared" si="82"/>
        <v>0</v>
      </c>
      <c r="BY1164" s="342"/>
      <c r="BZ1164" s="438"/>
      <c r="CA1164" s="438"/>
      <c r="CB1164" s="439"/>
      <c r="CC1164" s="439"/>
      <c r="CD1164" s="439"/>
      <c r="CE1164" s="439"/>
      <c r="CF1164" s="439"/>
    </row>
    <row r="1165" spans="1:84" s="423" customFormat="1" ht="15" hidden="1" customHeight="1" x14ac:dyDescent="0.25">
      <c r="A1165" s="313"/>
      <c r="B1165" s="340"/>
      <c r="C1165" s="613" t="s">
        <v>1268</v>
      </c>
      <c r="D1165" s="340"/>
      <c r="E1165" s="340"/>
      <c r="F1165" s="340"/>
      <c r="G1165" s="340"/>
      <c r="H1165" s="340"/>
      <c r="I1165" s="340"/>
      <c r="J1165" s="340"/>
      <c r="K1165" s="340"/>
      <c r="L1165" s="340"/>
      <c r="M1165" s="340"/>
      <c r="N1165" s="340"/>
      <c r="O1165" s="340"/>
      <c r="P1165" s="340"/>
      <c r="Q1165" s="340"/>
      <c r="R1165" s="340"/>
      <c r="S1165" s="340"/>
      <c r="T1165" s="340"/>
      <c r="U1165" s="342"/>
      <c r="V1165" s="342"/>
      <c r="W1165" s="1318"/>
      <c r="X1165" s="1318"/>
      <c r="Y1165" s="1318"/>
      <c r="Z1165" s="1318"/>
      <c r="AA1165" s="1318"/>
      <c r="AB1165" s="1318"/>
      <c r="AC1165" s="355"/>
      <c r="AD1165" s="1318"/>
      <c r="AE1165" s="1318"/>
      <c r="AF1165" s="1318"/>
      <c r="AG1165" s="1318"/>
      <c r="AH1165" s="1318"/>
      <c r="AI1165" s="1318"/>
      <c r="AJ1165" s="342"/>
      <c r="AK1165" s="345"/>
      <c r="AL1165" s="340"/>
      <c r="AM1165" s="613" t="s">
        <v>1269</v>
      </c>
      <c r="AN1165" s="340"/>
      <c r="AO1165" s="340"/>
      <c r="AP1165" s="340"/>
      <c r="AQ1165" s="340"/>
      <c r="AR1165" s="340"/>
      <c r="AS1165" s="340"/>
      <c r="AT1165" s="340"/>
      <c r="AU1165" s="340"/>
      <c r="AV1165" s="340"/>
      <c r="AW1165" s="340"/>
      <c r="AX1165" s="340"/>
      <c r="AY1165" s="340"/>
      <c r="AZ1165" s="340"/>
      <c r="BA1165" s="340"/>
      <c r="BB1165" s="340"/>
      <c r="BC1165" s="340"/>
      <c r="BD1165" s="340"/>
      <c r="BE1165" s="342"/>
      <c r="BF1165" s="342"/>
      <c r="BG1165" s="1318">
        <f>W1165</f>
        <v>0</v>
      </c>
      <c r="BH1165" s="1318"/>
      <c r="BI1165" s="1318"/>
      <c r="BJ1165" s="1318"/>
      <c r="BK1165" s="1318"/>
      <c r="BL1165" s="1318"/>
      <c r="BM1165" s="355"/>
      <c r="BN1165" s="1318">
        <f>AD1165</f>
        <v>0</v>
      </c>
      <c r="BO1165" s="1318"/>
      <c r="BP1165" s="1318"/>
      <c r="BQ1165" s="1318"/>
      <c r="BR1165" s="1318"/>
      <c r="BS1165" s="1318"/>
      <c r="BT1165" s="356"/>
      <c r="BU1165" s="357"/>
      <c r="BV1165" s="310"/>
      <c r="BW1165" s="310"/>
      <c r="BX1165" s="300">
        <f t="shared" si="82"/>
        <v>0</v>
      </c>
      <c r="BY1165" s="342"/>
      <c r="BZ1165" s="438"/>
      <c r="CA1165" s="438"/>
      <c r="CB1165" s="439"/>
      <c r="CC1165" s="439"/>
      <c r="CD1165" s="439"/>
      <c r="CE1165" s="439"/>
      <c r="CF1165" s="439"/>
    </row>
    <row r="1166" spans="1:84" s="423" customFormat="1" ht="15" hidden="1" customHeight="1" x14ac:dyDescent="0.25">
      <c r="A1166" s="313"/>
      <c r="B1166" s="340"/>
      <c r="C1166" s="613" t="s">
        <v>1270</v>
      </c>
      <c r="D1166" s="340"/>
      <c r="E1166" s="340"/>
      <c r="F1166" s="340"/>
      <c r="G1166" s="340"/>
      <c r="H1166" s="340"/>
      <c r="I1166" s="340"/>
      <c r="J1166" s="340"/>
      <c r="K1166" s="340"/>
      <c r="L1166" s="340"/>
      <c r="M1166" s="340"/>
      <c r="N1166" s="340"/>
      <c r="O1166" s="340"/>
      <c r="P1166" s="340"/>
      <c r="Q1166" s="340"/>
      <c r="R1166" s="340"/>
      <c r="S1166" s="340"/>
      <c r="T1166" s="340"/>
      <c r="U1166" s="342"/>
      <c r="V1166" s="342"/>
      <c r="W1166" s="1318"/>
      <c r="X1166" s="1318"/>
      <c r="Y1166" s="1318"/>
      <c r="Z1166" s="1318"/>
      <c r="AA1166" s="1318"/>
      <c r="AB1166" s="1318"/>
      <c r="AC1166" s="355"/>
      <c r="AD1166" s="1318"/>
      <c r="AE1166" s="1318"/>
      <c r="AF1166" s="1318"/>
      <c r="AG1166" s="1318"/>
      <c r="AH1166" s="1318"/>
      <c r="AI1166" s="1318"/>
      <c r="AJ1166" s="342"/>
      <c r="AK1166" s="345"/>
      <c r="AL1166" s="340"/>
      <c r="AM1166" s="613" t="s">
        <v>1271</v>
      </c>
      <c r="AN1166" s="340"/>
      <c r="AO1166" s="340"/>
      <c r="AP1166" s="340"/>
      <c r="AQ1166" s="340"/>
      <c r="AR1166" s="340"/>
      <c r="AS1166" s="340"/>
      <c r="AT1166" s="340"/>
      <c r="AU1166" s="340"/>
      <c r="AV1166" s="340"/>
      <c r="AW1166" s="340"/>
      <c r="AX1166" s="340"/>
      <c r="AY1166" s="340"/>
      <c r="AZ1166" s="340"/>
      <c r="BA1166" s="340"/>
      <c r="BB1166" s="340"/>
      <c r="BC1166" s="340"/>
      <c r="BD1166" s="340"/>
      <c r="BE1166" s="342"/>
      <c r="BF1166" s="342"/>
      <c r="BG1166" s="1318">
        <f>W1166</f>
        <v>0</v>
      </c>
      <c r="BH1166" s="1318"/>
      <c r="BI1166" s="1318"/>
      <c r="BJ1166" s="1318"/>
      <c r="BK1166" s="1318"/>
      <c r="BL1166" s="1318"/>
      <c r="BM1166" s="355"/>
      <c r="BN1166" s="1318">
        <f>AD1166</f>
        <v>0</v>
      </c>
      <c r="BO1166" s="1318"/>
      <c r="BP1166" s="1318"/>
      <c r="BQ1166" s="1318"/>
      <c r="BR1166" s="1318"/>
      <c r="BS1166" s="1318"/>
      <c r="BT1166" s="356"/>
      <c r="BU1166" s="357"/>
      <c r="BV1166" s="310"/>
      <c r="BW1166" s="310"/>
      <c r="BX1166" s="300">
        <f t="shared" si="82"/>
        <v>0</v>
      </c>
      <c r="BY1166" s="342"/>
      <c r="BZ1166" s="438"/>
      <c r="CA1166" s="438"/>
      <c r="CB1166" s="439"/>
      <c r="CC1166" s="439"/>
      <c r="CD1166" s="439"/>
      <c r="CE1166" s="439"/>
      <c r="CF1166" s="439"/>
    </row>
    <row r="1167" spans="1:84" s="423" customFormat="1" ht="15" hidden="1" customHeight="1" x14ac:dyDescent="0.25">
      <c r="A1167" s="313"/>
      <c r="B1167" s="340"/>
      <c r="C1167" s="613"/>
      <c r="D1167" s="340"/>
      <c r="E1167" s="340"/>
      <c r="F1167" s="340"/>
      <c r="G1167" s="340"/>
      <c r="H1167" s="340"/>
      <c r="I1167" s="340"/>
      <c r="J1167" s="340"/>
      <c r="K1167" s="340"/>
      <c r="L1167" s="340"/>
      <c r="M1167" s="340"/>
      <c r="N1167" s="340"/>
      <c r="O1167" s="340"/>
      <c r="P1167" s="340"/>
      <c r="Q1167" s="340"/>
      <c r="R1167" s="340"/>
      <c r="S1167" s="340"/>
      <c r="T1167" s="340"/>
      <c r="U1167" s="342"/>
      <c r="V1167" s="342"/>
      <c r="W1167" s="1318"/>
      <c r="X1167" s="1318"/>
      <c r="Y1167" s="1318"/>
      <c r="Z1167" s="1318"/>
      <c r="AA1167" s="1318"/>
      <c r="AB1167" s="1318"/>
      <c r="AC1167" s="355"/>
      <c r="AD1167" s="1318"/>
      <c r="AE1167" s="1318"/>
      <c r="AF1167" s="1318"/>
      <c r="AG1167" s="1318"/>
      <c r="AH1167" s="1318"/>
      <c r="AI1167" s="1318"/>
      <c r="AJ1167" s="342"/>
      <c r="AK1167" s="345"/>
      <c r="AL1167" s="340"/>
      <c r="AM1167" s="613"/>
      <c r="AN1167" s="340"/>
      <c r="AO1167" s="340"/>
      <c r="AP1167" s="340"/>
      <c r="AQ1167" s="340"/>
      <c r="AR1167" s="340"/>
      <c r="AS1167" s="340"/>
      <c r="AT1167" s="340"/>
      <c r="AU1167" s="340"/>
      <c r="AV1167" s="340"/>
      <c r="AW1167" s="340"/>
      <c r="AX1167" s="340"/>
      <c r="AY1167" s="340"/>
      <c r="AZ1167" s="340"/>
      <c r="BA1167" s="340"/>
      <c r="BB1167" s="340"/>
      <c r="BC1167" s="340"/>
      <c r="BD1167" s="340"/>
      <c r="BE1167" s="342"/>
      <c r="BF1167" s="342"/>
      <c r="BG1167" s="1318"/>
      <c r="BH1167" s="1318"/>
      <c r="BI1167" s="1318"/>
      <c r="BJ1167" s="1318"/>
      <c r="BK1167" s="1318"/>
      <c r="BL1167" s="1318"/>
      <c r="BM1167" s="355"/>
      <c r="BN1167" s="1318"/>
      <c r="BO1167" s="1318"/>
      <c r="BP1167" s="1318"/>
      <c r="BQ1167" s="1318"/>
      <c r="BR1167" s="1318"/>
      <c r="BS1167" s="1318"/>
      <c r="BT1167" s="356"/>
      <c r="BU1167" s="357"/>
      <c r="BV1167" s="310"/>
      <c r="BW1167" s="310"/>
      <c r="BX1167" s="300">
        <f>IF(ISNONTEXT($C1167),0,SUM(D1167:AI1167)-SUM(AN1167:BS1167))</f>
        <v>0</v>
      </c>
      <c r="BY1167" s="342"/>
      <c r="BZ1167" s="438"/>
      <c r="CA1167" s="438"/>
      <c r="CB1167" s="439"/>
      <c r="CC1167" s="439"/>
      <c r="CD1167" s="439"/>
      <c r="CE1167" s="439"/>
      <c r="CF1167" s="439"/>
    </row>
    <row r="1168" spans="1:84" ht="15" hidden="1" customHeight="1" thickBot="1" x14ac:dyDescent="0.3">
      <c r="A1168" s="313"/>
      <c r="B1168" s="340"/>
      <c r="C1168" s="360" t="s">
        <v>752</v>
      </c>
      <c r="D1168" s="392"/>
      <c r="E1168" s="392"/>
      <c r="F1168" s="392"/>
      <c r="G1168" s="392"/>
      <c r="H1168" s="392"/>
      <c r="I1168" s="392"/>
      <c r="J1168" s="392"/>
      <c r="K1168" s="392"/>
      <c r="L1168" s="392"/>
      <c r="M1168" s="392"/>
      <c r="N1168" s="392"/>
      <c r="O1168" s="392"/>
      <c r="P1168" s="392"/>
      <c r="Q1168" s="392"/>
      <c r="R1168" s="392"/>
      <c r="S1168" s="392"/>
      <c r="T1168" s="392"/>
      <c r="U1168" s="392"/>
      <c r="V1168" s="392"/>
      <c r="W1168" s="1470">
        <f>SUBTOTAL(109,W1163:AB1166)</f>
        <v>0</v>
      </c>
      <c r="X1168" s="1470"/>
      <c r="Y1168" s="1470"/>
      <c r="Z1168" s="1470"/>
      <c r="AA1168" s="1470"/>
      <c r="AB1168" s="1470"/>
      <c r="AC1168" s="343"/>
      <c r="AD1168" s="1470">
        <f>SUBTOTAL(109,AD1163:AI1166)</f>
        <v>0</v>
      </c>
      <c r="AE1168" s="1470"/>
      <c r="AF1168" s="1470"/>
      <c r="AG1168" s="1470"/>
      <c r="AH1168" s="1470"/>
      <c r="AI1168" s="1470"/>
      <c r="AJ1168" s="344"/>
      <c r="AK1168" s="345"/>
      <c r="AL1168" s="340"/>
      <c r="AM1168" s="360" t="s">
        <v>752</v>
      </c>
      <c r="AN1168" s="392"/>
      <c r="AO1168" s="392"/>
      <c r="AP1168" s="392"/>
      <c r="AQ1168" s="392"/>
      <c r="AR1168" s="392"/>
      <c r="AS1168" s="392"/>
      <c r="AT1168" s="392"/>
      <c r="AU1168" s="392"/>
      <c r="AV1168" s="392"/>
      <c r="AW1168" s="392"/>
      <c r="AX1168" s="392"/>
      <c r="AY1168" s="392"/>
      <c r="AZ1168" s="392"/>
      <c r="BA1168" s="392"/>
      <c r="BB1168" s="392"/>
      <c r="BC1168" s="392"/>
      <c r="BD1168" s="392"/>
      <c r="BE1168" s="392"/>
      <c r="BF1168" s="392"/>
      <c r="BG1168" s="1470">
        <f>SUBTOTAL(109,BG1156:BL1166)</f>
        <v>0</v>
      </c>
      <c r="BH1168" s="1470"/>
      <c r="BI1168" s="1470"/>
      <c r="BJ1168" s="1470"/>
      <c r="BK1168" s="1470"/>
      <c r="BL1168" s="1470"/>
      <c r="BM1168" s="343"/>
      <c r="BN1168" s="1470">
        <f>SUBTOTAL(109,BN1156:BS1166)</f>
        <v>0</v>
      </c>
      <c r="BO1168" s="1470"/>
      <c r="BP1168" s="1470"/>
      <c r="BQ1168" s="1470"/>
      <c r="BR1168" s="1470"/>
      <c r="BS1168" s="1470"/>
      <c r="BT1168" s="356"/>
      <c r="BU1168" s="357"/>
      <c r="BV1168" s="310">
        <f>W1168-KN_CT318</f>
        <v>0</v>
      </c>
      <c r="BW1168" s="310">
        <f>AD1168-KT_CT318</f>
        <v>0</v>
      </c>
      <c r="BX1168" s="291">
        <f>IF(ISNONTEXT($C1168),0,SUM(D1168:AI1168)-SUM(AN1168:BS1168))</f>
        <v>0</v>
      </c>
      <c r="BY1168" s="344"/>
      <c r="BZ1168" s="347"/>
      <c r="CA1168" s="347"/>
    </row>
    <row r="1169" spans="1:84" s="423" customFormat="1" ht="15" hidden="1" customHeight="1" thickTop="1" x14ac:dyDescent="0.25">
      <c r="A1169" s="313"/>
      <c r="B1169" s="340"/>
      <c r="C1169" s="613"/>
      <c r="D1169" s="340"/>
      <c r="E1169" s="340"/>
      <c r="F1169" s="340"/>
      <c r="G1169" s="340"/>
      <c r="H1169" s="340"/>
      <c r="I1169" s="340"/>
      <c r="J1169" s="340"/>
      <c r="K1169" s="340"/>
      <c r="L1169" s="340"/>
      <c r="M1169" s="340"/>
      <c r="N1169" s="340"/>
      <c r="O1169" s="340"/>
      <c r="P1169" s="340"/>
      <c r="Q1169" s="340"/>
      <c r="R1169" s="340"/>
      <c r="S1169" s="340"/>
      <c r="T1169" s="340"/>
      <c r="U1169" s="342"/>
      <c r="V1169" s="342"/>
      <c r="W1169" s="1318"/>
      <c r="X1169" s="1318"/>
      <c r="Y1169" s="1318"/>
      <c r="Z1169" s="1318"/>
      <c r="AA1169" s="1318"/>
      <c r="AB1169" s="1318"/>
      <c r="AC1169" s="355"/>
      <c r="AD1169" s="1318"/>
      <c r="AE1169" s="1318"/>
      <c r="AF1169" s="1318"/>
      <c r="AG1169" s="1318"/>
      <c r="AH1169" s="1318"/>
      <c r="AI1169" s="1318"/>
      <c r="AJ1169" s="342"/>
      <c r="AK1169" s="345"/>
      <c r="AL1169" s="340"/>
      <c r="AM1169" s="613"/>
      <c r="AN1169" s="340"/>
      <c r="AO1169" s="340"/>
      <c r="AP1169" s="340"/>
      <c r="AQ1169" s="340"/>
      <c r="AR1169" s="340"/>
      <c r="AS1169" s="340"/>
      <c r="AT1169" s="340"/>
      <c r="AU1169" s="340"/>
      <c r="AV1169" s="340"/>
      <c r="AW1169" s="340"/>
      <c r="AX1169" s="340"/>
      <c r="AY1169" s="340"/>
      <c r="AZ1169" s="340"/>
      <c r="BA1169" s="340"/>
      <c r="BB1169" s="340"/>
      <c r="BC1169" s="340"/>
      <c r="BD1169" s="340"/>
      <c r="BE1169" s="342"/>
      <c r="BF1169" s="342"/>
      <c r="BG1169" s="1318"/>
      <c r="BH1169" s="1318"/>
      <c r="BI1169" s="1318"/>
      <c r="BJ1169" s="1318"/>
      <c r="BK1169" s="1318"/>
      <c r="BL1169" s="1318"/>
      <c r="BM1169" s="355"/>
      <c r="BN1169" s="1318"/>
      <c r="BO1169" s="1318"/>
      <c r="BP1169" s="1318"/>
      <c r="BQ1169" s="1318"/>
      <c r="BR1169" s="1318"/>
      <c r="BS1169" s="1318"/>
      <c r="BT1169" s="356"/>
      <c r="BU1169" s="357"/>
      <c r="BV1169" s="310"/>
      <c r="BW1169" s="310"/>
      <c r="BX1169" s="300">
        <f>IF(ISNONTEXT($C1169),0,SUM(D1169:AI1169)-SUM(AN1169:BS1169))</f>
        <v>0</v>
      </c>
      <c r="BY1169" s="342"/>
      <c r="BZ1169" s="438"/>
      <c r="CA1169" s="438"/>
      <c r="CB1169" s="439"/>
      <c r="CC1169" s="439"/>
      <c r="CD1169" s="439"/>
      <c r="CE1169" s="439"/>
      <c r="CF1169" s="439"/>
    </row>
    <row r="1170" spans="1:84" s="423" customFormat="1" ht="15" hidden="1" customHeight="1" x14ac:dyDescent="0.25">
      <c r="A1170" s="313"/>
      <c r="B1170" s="340"/>
      <c r="C1170" s="614" t="s">
        <v>850</v>
      </c>
      <c r="D1170" s="392"/>
      <c r="E1170" s="392"/>
      <c r="F1170" s="392"/>
      <c r="G1170" s="392"/>
      <c r="H1170" s="392"/>
      <c r="I1170" s="392"/>
      <c r="J1170" s="392"/>
      <c r="K1170" s="392"/>
      <c r="L1170" s="392"/>
      <c r="M1170" s="392"/>
      <c r="N1170" s="392"/>
      <c r="O1170" s="392"/>
      <c r="P1170" s="392"/>
      <c r="Q1170" s="392"/>
      <c r="R1170" s="392"/>
      <c r="S1170" s="392"/>
      <c r="T1170" s="392"/>
      <c r="U1170" s="392"/>
      <c r="V1170" s="392"/>
      <c r="W1170" s="1330"/>
      <c r="X1170" s="1330"/>
      <c r="Y1170" s="1330"/>
      <c r="Z1170" s="1330"/>
      <c r="AA1170" s="1330"/>
      <c r="AB1170" s="1330"/>
      <c r="AC1170" s="363"/>
      <c r="AD1170" s="1330"/>
      <c r="AE1170" s="1330"/>
      <c r="AF1170" s="1330"/>
      <c r="AG1170" s="1330"/>
      <c r="AH1170" s="1330"/>
      <c r="AI1170" s="1330"/>
      <c r="AJ1170" s="342"/>
      <c r="AK1170" s="345"/>
      <c r="AL1170" s="340"/>
      <c r="AM1170" s="614"/>
      <c r="AN1170" s="392"/>
      <c r="AO1170" s="392"/>
      <c r="AP1170" s="392"/>
      <c r="AQ1170" s="392"/>
      <c r="AR1170" s="392"/>
      <c r="AS1170" s="392"/>
      <c r="AT1170" s="392"/>
      <c r="AU1170" s="392"/>
      <c r="AV1170" s="392"/>
      <c r="AW1170" s="392"/>
      <c r="AX1170" s="392"/>
      <c r="AY1170" s="392"/>
      <c r="AZ1170" s="392"/>
      <c r="BA1170" s="392"/>
      <c r="BB1170" s="392"/>
      <c r="BC1170" s="392"/>
      <c r="BD1170" s="392"/>
      <c r="BE1170" s="392"/>
      <c r="BF1170" s="392"/>
      <c r="BG1170" s="1330"/>
      <c r="BH1170" s="1330"/>
      <c r="BI1170" s="1330"/>
      <c r="BJ1170" s="1330"/>
      <c r="BK1170" s="1330"/>
      <c r="BL1170" s="1330"/>
      <c r="BM1170" s="363"/>
      <c r="BN1170" s="1330"/>
      <c r="BO1170" s="1330"/>
      <c r="BP1170" s="1330"/>
      <c r="BQ1170" s="1330"/>
      <c r="BR1170" s="1330"/>
      <c r="BS1170" s="1330"/>
      <c r="BT1170" s="356"/>
      <c r="BU1170" s="357"/>
      <c r="BV1170" s="310"/>
      <c r="BW1170" s="310"/>
      <c r="BX1170" s="300">
        <f t="shared" si="82"/>
        <v>0</v>
      </c>
      <c r="BY1170" s="342"/>
      <c r="BZ1170" s="438"/>
      <c r="CA1170" s="438"/>
      <c r="CB1170" s="439"/>
      <c r="CC1170" s="439"/>
      <c r="CD1170" s="439"/>
      <c r="CE1170" s="439"/>
      <c r="CF1170" s="439"/>
    </row>
    <row r="1171" spans="1:84" s="423" customFormat="1" ht="15" hidden="1" customHeight="1" x14ac:dyDescent="0.25">
      <c r="A1171" s="313"/>
      <c r="B1171" s="340"/>
      <c r="C1171" s="613" t="s">
        <v>1266</v>
      </c>
      <c r="D1171" s="392"/>
      <c r="E1171" s="392"/>
      <c r="F1171" s="392"/>
      <c r="G1171" s="392"/>
      <c r="H1171" s="392"/>
      <c r="I1171" s="392"/>
      <c r="J1171" s="392"/>
      <c r="K1171" s="392"/>
      <c r="L1171" s="392"/>
      <c r="M1171" s="392"/>
      <c r="N1171" s="392"/>
      <c r="O1171" s="392"/>
      <c r="P1171" s="392"/>
      <c r="Q1171" s="392"/>
      <c r="R1171" s="392"/>
      <c r="S1171" s="392"/>
      <c r="T1171" s="392"/>
      <c r="U1171" s="392"/>
      <c r="V1171" s="392"/>
      <c r="W1171" s="1318"/>
      <c r="X1171" s="1318"/>
      <c r="Y1171" s="1318"/>
      <c r="Z1171" s="1318"/>
      <c r="AA1171" s="1318"/>
      <c r="AB1171" s="1318"/>
      <c r="AC1171" s="343"/>
      <c r="AD1171" s="1318"/>
      <c r="AE1171" s="1318"/>
      <c r="AF1171" s="1318"/>
      <c r="AG1171" s="1318"/>
      <c r="AH1171" s="1318"/>
      <c r="AI1171" s="1318"/>
      <c r="AJ1171" s="342"/>
      <c r="AK1171" s="345"/>
      <c r="AL1171" s="340"/>
      <c r="AM1171" s="613" t="s">
        <v>1267</v>
      </c>
      <c r="AN1171" s="392"/>
      <c r="AO1171" s="392"/>
      <c r="AP1171" s="392"/>
      <c r="AQ1171" s="392"/>
      <c r="AR1171" s="392"/>
      <c r="AS1171" s="392"/>
      <c r="AT1171" s="392"/>
      <c r="AU1171" s="392"/>
      <c r="AV1171" s="392"/>
      <c r="AW1171" s="392"/>
      <c r="AX1171" s="392"/>
      <c r="AY1171" s="392"/>
      <c r="AZ1171" s="392"/>
      <c r="BA1171" s="392"/>
      <c r="BB1171" s="392"/>
      <c r="BC1171" s="392"/>
      <c r="BD1171" s="392"/>
      <c r="BE1171" s="392"/>
      <c r="BF1171" s="392"/>
      <c r="BG1171" s="1318">
        <f>W1171</f>
        <v>0</v>
      </c>
      <c r="BH1171" s="1318"/>
      <c r="BI1171" s="1318"/>
      <c r="BJ1171" s="1318"/>
      <c r="BK1171" s="1318"/>
      <c r="BL1171" s="1318"/>
      <c r="BM1171" s="343"/>
      <c r="BN1171" s="1318">
        <f>AD1171</f>
        <v>0</v>
      </c>
      <c r="BO1171" s="1318"/>
      <c r="BP1171" s="1318"/>
      <c r="BQ1171" s="1318"/>
      <c r="BR1171" s="1318"/>
      <c r="BS1171" s="1318"/>
      <c r="BT1171" s="356"/>
      <c r="BU1171" s="357"/>
      <c r="BV1171" s="310"/>
      <c r="BW1171" s="310"/>
      <c r="BX1171" s="300">
        <f t="shared" si="82"/>
        <v>0</v>
      </c>
      <c r="BY1171" s="342"/>
      <c r="BZ1171" s="438"/>
      <c r="CA1171" s="438"/>
      <c r="CB1171" s="439"/>
      <c r="CC1171" s="439"/>
      <c r="CD1171" s="439"/>
      <c r="CE1171" s="439"/>
      <c r="CF1171" s="439"/>
    </row>
    <row r="1172" spans="1:84" s="423" customFormat="1" ht="15" hidden="1" customHeight="1" x14ac:dyDescent="0.25">
      <c r="A1172" s="313"/>
      <c r="B1172" s="340"/>
      <c r="C1172" s="613" t="s">
        <v>1268</v>
      </c>
      <c r="D1172" s="392"/>
      <c r="E1172" s="392"/>
      <c r="F1172" s="392"/>
      <c r="G1172" s="392"/>
      <c r="H1172" s="392"/>
      <c r="I1172" s="392"/>
      <c r="J1172" s="392"/>
      <c r="K1172" s="392"/>
      <c r="L1172" s="392"/>
      <c r="M1172" s="392"/>
      <c r="N1172" s="392"/>
      <c r="O1172" s="392"/>
      <c r="P1172" s="392"/>
      <c r="Q1172" s="392"/>
      <c r="R1172" s="392"/>
      <c r="S1172" s="392"/>
      <c r="T1172" s="392"/>
      <c r="U1172" s="392"/>
      <c r="V1172" s="392"/>
      <c r="W1172" s="1318"/>
      <c r="X1172" s="1318"/>
      <c r="Y1172" s="1318"/>
      <c r="Z1172" s="1318"/>
      <c r="AA1172" s="1318"/>
      <c r="AB1172" s="1318"/>
      <c r="AC1172" s="343"/>
      <c r="AD1172" s="1318"/>
      <c r="AE1172" s="1318"/>
      <c r="AF1172" s="1318"/>
      <c r="AG1172" s="1318"/>
      <c r="AH1172" s="1318"/>
      <c r="AI1172" s="1318"/>
      <c r="AJ1172" s="342"/>
      <c r="AK1172" s="345"/>
      <c r="AL1172" s="340"/>
      <c r="AM1172" s="613" t="s">
        <v>1269</v>
      </c>
      <c r="AN1172" s="392"/>
      <c r="AO1172" s="392"/>
      <c r="AP1172" s="392"/>
      <c r="AQ1172" s="392"/>
      <c r="AR1172" s="392"/>
      <c r="AS1172" s="392"/>
      <c r="AT1172" s="392"/>
      <c r="AU1172" s="392"/>
      <c r="AV1172" s="392"/>
      <c r="AW1172" s="392"/>
      <c r="AX1172" s="392"/>
      <c r="AY1172" s="392"/>
      <c r="AZ1172" s="392"/>
      <c r="BA1172" s="392"/>
      <c r="BB1172" s="392"/>
      <c r="BC1172" s="392"/>
      <c r="BD1172" s="392"/>
      <c r="BE1172" s="392"/>
      <c r="BF1172" s="392"/>
      <c r="BG1172" s="1318">
        <f>W1172</f>
        <v>0</v>
      </c>
      <c r="BH1172" s="1318"/>
      <c r="BI1172" s="1318"/>
      <c r="BJ1172" s="1318"/>
      <c r="BK1172" s="1318"/>
      <c r="BL1172" s="1318"/>
      <c r="BM1172" s="343"/>
      <c r="BN1172" s="1318">
        <f>AD1172</f>
        <v>0</v>
      </c>
      <c r="BO1172" s="1318"/>
      <c r="BP1172" s="1318"/>
      <c r="BQ1172" s="1318"/>
      <c r="BR1172" s="1318"/>
      <c r="BS1172" s="1318"/>
      <c r="BT1172" s="356"/>
      <c r="BU1172" s="357"/>
      <c r="BV1172" s="310"/>
      <c r="BW1172" s="310"/>
      <c r="BX1172" s="300">
        <f t="shared" si="82"/>
        <v>0</v>
      </c>
      <c r="BY1172" s="342"/>
      <c r="BZ1172" s="438"/>
      <c r="CA1172" s="438"/>
      <c r="CB1172" s="439"/>
      <c r="CC1172" s="439"/>
      <c r="CD1172" s="439"/>
      <c r="CE1172" s="439"/>
      <c r="CF1172" s="439"/>
    </row>
    <row r="1173" spans="1:84" s="423" customFormat="1" ht="15" hidden="1" customHeight="1" x14ac:dyDescent="0.25">
      <c r="A1173" s="313"/>
      <c r="B1173" s="340"/>
      <c r="C1173" s="613" t="s">
        <v>1270</v>
      </c>
      <c r="D1173" s="392"/>
      <c r="E1173" s="392"/>
      <c r="F1173" s="392"/>
      <c r="G1173" s="392"/>
      <c r="H1173" s="392"/>
      <c r="I1173" s="392"/>
      <c r="J1173" s="392"/>
      <c r="K1173" s="392"/>
      <c r="L1173" s="392"/>
      <c r="M1173" s="392"/>
      <c r="N1173" s="392"/>
      <c r="O1173" s="392"/>
      <c r="P1173" s="392"/>
      <c r="Q1173" s="392"/>
      <c r="R1173" s="392"/>
      <c r="S1173" s="392"/>
      <c r="T1173" s="392"/>
      <c r="U1173" s="392"/>
      <c r="V1173" s="392"/>
      <c r="W1173" s="1318"/>
      <c r="X1173" s="1318"/>
      <c r="Y1173" s="1318"/>
      <c r="Z1173" s="1318"/>
      <c r="AA1173" s="1318"/>
      <c r="AB1173" s="1318"/>
      <c r="AC1173" s="343"/>
      <c r="AD1173" s="1318"/>
      <c r="AE1173" s="1318"/>
      <c r="AF1173" s="1318"/>
      <c r="AG1173" s="1318"/>
      <c r="AH1173" s="1318"/>
      <c r="AI1173" s="1318"/>
      <c r="AJ1173" s="342"/>
      <c r="AK1173" s="345"/>
      <c r="AL1173" s="340"/>
      <c r="AM1173" s="613" t="s">
        <v>1271</v>
      </c>
      <c r="AN1173" s="392"/>
      <c r="AO1173" s="392"/>
      <c r="AP1173" s="392"/>
      <c r="AQ1173" s="392"/>
      <c r="AR1173" s="392"/>
      <c r="AS1173" s="392"/>
      <c r="AT1173" s="392"/>
      <c r="AU1173" s="392"/>
      <c r="AV1173" s="392"/>
      <c r="AW1173" s="392"/>
      <c r="AX1173" s="392"/>
      <c r="AY1173" s="392"/>
      <c r="AZ1173" s="392"/>
      <c r="BA1173" s="392"/>
      <c r="BB1173" s="392"/>
      <c r="BC1173" s="392"/>
      <c r="BD1173" s="392"/>
      <c r="BE1173" s="392"/>
      <c r="BF1173" s="392"/>
      <c r="BG1173" s="1318">
        <f>W1173</f>
        <v>0</v>
      </c>
      <c r="BH1173" s="1318"/>
      <c r="BI1173" s="1318"/>
      <c r="BJ1173" s="1318"/>
      <c r="BK1173" s="1318"/>
      <c r="BL1173" s="1318"/>
      <c r="BM1173" s="343"/>
      <c r="BN1173" s="1318">
        <f>AD1173</f>
        <v>0</v>
      </c>
      <c r="BO1173" s="1318"/>
      <c r="BP1173" s="1318"/>
      <c r="BQ1173" s="1318"/>
      <c r="BR1173" s="1318"/>
      <c r="BS1173" s="1318"/>
      <c r="BT1173" s="356"/>
      <c r="BU1173" s="357"/>
      <c r="BV1173" s="310"/>
      <c r="BW1173" s="310"/>
      <c r="BX1173" s="300">
        <f t="shared" si="82"/>
        <v>0</v>
      </c>
      <c r="BY1173" s="342"/>
      <c r="BZ1173" s="438"/>
      <c r="CA1173" s="438"/>
      <c r="CB1173" s="439"/>
      <c r="CC1173" s="439"/>
      <c r="CD1173" s="439"/>
      <c r="CE1173" s="439"/>
      <c r="CF1173" s="439"/>
    </row>
    <row r="1174" spans="1:84" s="423" customFormat="1" ht="15" hidden="1" customHeight="1" x14ac:dyDescent="0.25">
      <c r="A1174" s="313"/>
      <c r="B1174" s="340"/>
      <c r="C1174" s="613"/>
      <c r="D1174" s="340"/>
      <c r="E1174" s="340"/>
      <c r="F1174" s="340"/>
      <c r="G1174" s="340"/>
      <c r="H1174" s="340"/>
      <c r="I1174" s="340"/>
      <c r="J1174" s="340"/>
      <c r="K1174" s="340"/>
      <c r="L1174" s="340"/>
      <c r="M1174" s="340"/>
      <c r="N1174" s="340"/>
      <c r="O1174" s="340"/>
      <c r="P1174" s="340"/>
      <c r="Q1174" s="340"/>
      <c r="R1174" s="340"/>
      <c r="S1174" s="340"/>
      <c r="T1174" s="340"/>
      <c r="U1174" s="342"/>
      <c r="V1174" s="342"/>
      <c r="W1174" s="1318"/>
      <c r="X1174" s="1318"/>
      <c r="Y1174" s="1318"/>
      <c r="Z1174" s="1318"/>
      <c r="AA1174" s="1318"/>
      <c r="AB1174" s="1318"/>
      <c r="AC1174" s="355"/>
      <c r="AD1174" s="1318"/>
      <c r="AE1174" s="1318"/>
      <c r="AF1174" s="1318"/>
      <c r="AG1174" s="1318"/>
      <c r="AH1174" s="1318"/>
      <c r="AI1174" s="1318"/>
      <c r="AJ1174" s="342"/>
      <c r="AK1174" s="345"/>
      <c r="AL1174" s="340"/>
      <c r="AM1174" s="613"/>
      <c r="AN1174" s="340"/>
      <c r="AO1174" s="340"/>
      <c r="AP1174" s="340"/>
      <c r="AQ1174" s="340"/>
      <c r="AR1174" s="340"/>
      <c r="AS1174" s="340"/>
      <c r="AT1174" s="340"/>
      <c r="AU1174" s="340"/>
      <c r="AV1174" s="340"/>
      <c r="AW1174" s="340"/>
      <c r="AX1174" s="340"/>
      <c r="AY1174" s="340"/>
      <c r="AZ1174" s="340"/>
      <c r="BA1174" s="340"/>
      <c r="BB1174" s="340"/>
      <c r="BC1174" s="340"/>
      <c r="BD1174" s="340"/>
      <c r="BE1174" s="342"/>
      <c r="BF1174" s="342"/>
      <c r="BG1174" s="1318"/>
      <c r="BH1174" s="1318"/>
      <c r="BI1174" s="1318"/>
      <c r="BJ1174" s="1318"/>
      <c r="BK1174" s="1318"/>
      <c r="BL1174" s="1318"/>
      <c r="BM1174" s="355"/>
      <c r="BN1174" s="1318"/>
      <c r="BO1174" s="1318"/>
      <c r="BP1174" s="1318"/>
      <c r="BQ1174" s="1318"/>
      <c r="BR1174" s="1318"/>
      <c r="BS1174" s="1318"/>
      <c r="BT1174" s="356"/>
      <c r="BU1174" s="357"/>
      <c r="BV1174" s="310"/>
      <c r="BW1174" s="310"/>
      <c r="BX1174" s="300">
        <f>IF(ISNONTEXT($C1174),0,SUM(D1174:AI1174)-SUM(AN1174:BS1174))</f>
        <v>0</v>
      </c>
      <c r="BY1174" s="342"/>
      <c r="BZ1174" s="438"/>
      <c r="CA1174" s="438"/>
      <c r="CB1174" s="439"/>
      <c r="CC1174" s="439"/>
      <c r="CD1174" s="439"/>
      <c r="CE1174" s="439"/>
      <c r="CF1174" s="439"/>
    </row>
    <row r="1175" spans="1:84" ht="15" hidden="1" customHeight="1" thickBot="1" x14ac:dyDescent="0.3">
      <c r="A1175" s="313"/>
      <c r="B1175" s="340"/>
      <c r="C1175" s="360" t="s">
        <v>752</v>
      </c>
      <c r="D1175" s="392"/>
      <c r="E1175" s="392"/>
      <c r="F1175" s="392"/>
      <c r="G1175" s="392"/>
      <c r="H1175" s="392"/>
      <c r="I1175" s="392"/>
      <c r="J1175" s="392"/>
      <c r="K1175" s="392"/>
      <c r="L1175" s="392"/>
      <c r="M1175" s="392"/>
      <c r="N1175" s="392"/>
      <c r="O1175" s="392"/>
      <c r="P1175" s="392"/>
      <c r="Q1175" s="392"/>
      <c r="R1175" s="392"/>
      <c r="S1175" s="392"/>
      <c r="T1175" s="392"/>
      <c r="U1175" s="392"/>
      <c r="V1175" s="392"/>
      <c r="W1175" s="1470">
        <f>SUBTOTAL(109,W1170:AB1173)</f>
        <v>0</v>
      </c>
      <c r="X1175" s="1470"/>
      <c r="Y1175" s="1470"/>
      <c r="Z1175" s="1470"/>
      <c r="AA1175" s="1470"/>
      <c r="AB1175" s="1470"/>
      <c r="AC1175" s="343"/>
      <c r="AD1175" s="1470">
        <f>SUBTOTAL(109,AD1170:AI1173)</f>
        <v>0</v>
      </c>
      <c r="AE1175" s="1470"/>
      <c r="AF1175" s="1470"/>
      <c r="AG1175" s="1470"/>
      <c r="AH1175" s="1470"/>
      <c r="AI1175" s="1470"/>
      <c r="AJ1175" s="344"/>
      <c r="AK1175" s="345"/>
      <c r="AL1175" s="340"/>
      <c r="AM1175" s="360" t="s">
        <v>752</v>
      </c>
      <c r="AN1175" s="392"/>
      <c r="AO1175" s="392"/>
      <c r="AP1175" s="392"/>
      <c r="AQ1175" s="392"/>
      <c r="AR1175" s="392"/>
      <c r="AS1175" s="392"/>
      <c r="AT1175" s="392"/>
      <c r="AU1175" s="392"/>
      <c r="AV1175" s="392"/>
      <c r="AW1175" s="392"/>
      <c r="AX1175" s="392"/>
      <c r="AY1175" s="392"/>
      <c r="AZ1175" s="392"/>
      <c r="BA1175" s="392"/>
      <c r="BB1175" s="392"/>
      <c r="BC1175" s="392"/>
      <c r="BD1175" s="392"/>
      <c r="BE1175" s="392"/>
      <c r="BF1175" s="392"/>
      <c r="BG1175" s="1470">
        <f>SUBTOTAL(109,BG1163:BL1173)</f>
        <v>0</v>
      </c>
      <c r="BH1175" s="1470"/>
      <c r="BI1175" s="1470"/>
      <c r="BJ1175" s="1470"/>
      <c r="BK1175" s="1470"/>
      <c r="BL1175" s="1470"/>
      <c r="BM1175" s="343"/>
      <c r="BN1175" s="1470">
        <f>SUBTOTAL(109,BN1163:BS1173)</f>
        <v>0</v>
      </c>
      <c r="BO1175" s="1470"/>
      <c r="BP1175" s="1470"/>
      <c r="BQ1175" s="1470"/>
      <c r="BR1175" s="1470"/>
      <c r="BS1175" s="1470"/>
      <c r="BT1175" s="356"/>
      <c r="BU1175" s="357"/>
      <c r="BV1175" s="310">
        <f>W1175-KN_CT336</f>
        <v>0</v>
      </c>
      <c r="BW1175" s="310">
        <f>AD1175-KT_CT336</f>
        <v>0</v>
      </c>
      <c r="BX1175" s="291">
        <f t="shared" si="82"/>
        <v>0</v>
      </c>
      <c r="BY1175" s="344"/>
      <c r="BZ1175" s="347"/>
      <c r="CA1175" s="347"/>
    </row>
    <row r="1176" spans="1:84" ht="15" hidden="1" customHeight="1" thickTop="1" x14ac:dyDescent="0.25">
      <c r="A1176" s="313"/>
      <c r="B1176" s="340"/>
      <c r="C1176" s="615"/>
      <c r="D1176" s="392"/>
      <c r="E1176" s="392"/>
      <c r="F1176" s="392"/>
      <c r="G1176" s="392"/>
      <c r="H1176" s="392"/>
      <c r="I1176" s="392"/>
      <c r="J1176" s="392"/>
      <c r="K1176" s="392"/>
      <c r="L1176" s="392"/>
      <c r="M1176" s="392"/>
      <c r="N1176" s="392"/>
      <c r="O1176" s="392"/>
      <c r="P1176" s="392"/>
      <c r="Q1176" s="392"/>
      <c r="R1176" s="392"/>
      <c r="S1176" s="392"/>
      <c r="T1176" s="392"/>
      <c r="U1176" s="392"/>
      <c r="V1176" s="392"/>
      <c r="W1176" s="393"/>
      <c r="X1176" s="393"/>
      <c r="Y1176" s="393"/>
      <c r="Z1176" s="393"/>
      <c r="AA1176" s="393"/>
      <c r="AB1176" s="393"/>
      <c r="AC1176" s="343"/>
      <c r="AD1176" s="343"/>
      <c r="AE1176" s="343"/>
      <c r="AF1176" s="343"/>
      <c r="AG1176" s="343"/>
      <c r="AH1176" s="343"/>
      <c r="AI1176" s="343"/>
      <c r="AJ1176" s="344"/>
      <c r="AK1176" s="345"/>
      <c r="AL1176" s="340"/>
      <c r="AM1176" s="615"/>
      <c r="AN1176" s="392"/>
      <c r="AO1176" s="392"/>
      <c r="AP1176" s="392"/>
      <c r="AQ1176" s="392"/>
      <c r="AR1176" s="392"/>
      <c r="AS1176" s="392"/>
      <c r="AT1176" s="392"/>
      <c r="AU1176" s="392"/>
      <c r="AV1176" s="392"/>
      <c r="AW1176" s="392"/>
      <c r="AX1176" s="392"/>
      <c r="AY1176" s="392"/>
      <c r="AZ1176" s="392"/>
      <c r="BA1176" s="392"/>
      <c r="BB1176" s="392"/>
      <c r="BC1176" s="392"/>
      <c r="BD1176" s="392"/>
      <c r="BE1176" s="392"/>
      <c r="BF1176" s="392"/>
      <c r="BG1176" s="393"/>
      <c r="BH1176" s="393"/>
      <c r="BI1176" s="393"/>
      <c r="BJ1176" s="393"/>
      <c r="BK1176" s="393"/>
      <c r="BL1176" s="393"/>
      <c r="BM1176" s="343"/>
      <c r="BN1176" s="343"/>
      <c r="BO1176" s="343"/>
      <c r="BP1176" s="343"/>
      <c r="BQ1176" s="343"/>
      <c r="BR1176" s="343"/>
      <c r="BS1176" s="343"/>
      <c r="BT1176" s="356"/>
      <c r="BU1176" s="357"/>
      <c r="BV1176" s="310"/>
      <c r="BW1176" s="310"/>
      <c r="BX1176" s="291">
        <f t="shared" si="82"/>
        <v>0</v>
      </c>
      <c r="BY1176" s="344"/>
      <c r="BZ1176" s="347"/>
      <c r="CA1176" s="347"/>
    </row>
    <row r="1177" spans="1:84" ht="15" hidden="1" customHeight="1" x14ac:dyDescent="0.25">
      <c r="A1177" s="313"/>
      <c r="B1177" s="340"/>
      <c r="C1177" s="616" t="s">
        <v>1272</v>
      </c>
      <c r="D1177" s="392"/>
      <c r="E1177" s="392"/>
      <c r="F1177" s="392"/>
      <c r="G1177" s="392"/>
      <c r="H1177" s="392"/>
      <c r="I1177" s="392"/>
      <c r="J1177" s="392"/>
      <c r="K1177" s="392"/>
      <c r="L1177" s="392"/>
      <c r="M1177" s="392"/>
      <c r="N1177" s="392"/>
      <c r="O1177" s="392"/>
      <c r="P1177" s="392"/>
      <c r="Q1177" s="392"/>
      <c r="R1177" s="392"/>
      <c r="S1177" s="392"/>
      <c r="T1177" s="392"/>
      <c r="U1177" s="392"/>
      <c r="V1177" s="392"/>
      <c r="W1177" s="393"/>
      <c r="X1177" s="393"/>
      <c r="Y1177" s="393"/>
      <c r="Z1177" s="393"/>
      <c r="AA1177" s="393"/>
      <c r="AB1177" s="393"/>
      <c r="AC1177" s="343"/>
      <c r="AD1177" s="343"/>
      <c r="AE1177" s="343"/>
      <c r="AF1177" s="343"/>
      <c r="AG1177" s="343"/>
      <c r="AH1177" s="343"/>
      <c r="AI1177" s="343"/>
      <c r="AJ1177" s="344"/>
      <c r="AK1177" s="345"/>
      <c r="AL1177" s="340"/>
      <c r="AM1177" s="616" t="s">
        <v>1273</v>
      </c>
      <c r="AN1177" s="392"/>
      <c r="AO1177" s="392"/>
      <c r="AP1177" s="392"/>
      <c r="AQ1177" s="392"/>
      <c r="AR1177" s="392"/>
      <c r="AS1177" s="392"/>
      <c r="AT1177" s="392"/>
      <c r="AU1177" s="392"/>
      <c r="AV1177" s="392"/>
      <c r="AW1177" s="392"/>
      <c r="AX1177" s="392"/>
      <c r="AY1177" s="392"/>
      <c r="AZ1177" s="392"/>
      <c r="BA1177" s="392"/>
      <c r="BB1177" s="392"/>
      <c r="BC1177" s="392"/>
      <c r="BD1177" s="392"/>
      <c r="BE1177" s="392"/>
      <c r="BF1177" s="392"/>
      <c r="BG1177" s="393"/>
      <c r="BH1177" s="393"/>
      <c r="BI1177" s="393"/>
      <c r="BJ1177" s="393"/>
      <c r="BK1177" s="393"/>
      <c r="BL1177" s="393"/>
      <c r="BM1177" s="343"/>
      <c r="BN1177" s="343"/>
      <c r="BO1177" s="343"/>
      <c r="BP1177" s="343"/>
      <c r="BQ1177" s="343"/>
      <c r="BR1177" s="343"/>
      <c r="BS1177" s="343"/>
      <c r="BT1177" s="356"/>
      <c r="BU1177" s="357"/>
      <c r="BV1177" s="310"/>
      <c r="BW1177" s="310"/>
      <c r="BX1177" s="291">
        <f t="shared" si="82"/>
        <v>0</v>
      </c>
      <c r="BY1177" s="344"/>
      <c r="BZ1177" s="347"/>
      <c r="CA1177" s="347"/>
    </row>
    <row r="1178" spans="1:84" ht="15" hidden="1" customHeight="1" x14ac:dyDescent="0.25">
      <c r="A1178" s="313"/>
      <c r="B1178" s="340"/>
      <c r="C1178" s="617" t="s">
        <v>1274</v>
      </c>
      <c r="D1178" s="392"/>
      <c r="E1178" s="392"/>
      <c r="F1178" s="392"/>
      <c r="G1178" s="392"/>
      <c r="H1178" s="392"/>
      <c r="I1178" s="392"/>
      <c r="J1178" s="392"/>
      <c r="K1178" s="392"/>
      <c r="L1178" s="392"/>
      <c r="M1178" s="392"/>
      <c r="N1178" s="392"/>
      <c r="O1178" s="392"/>
      <c r="P1178" s="392"/>
      <c r="Q1178" s="392"/>
      <c r="R1178" s="392"/>
      <c r="S1178" s="392"/>
      <c r="T1178" s="392"/>
      <c r="U1178" s="392"/>
      <c r="V1178" s="392"/>
      <c r="W1178" s="1318">
        <v>0</v>
      </c>
      <c r="X1178" s="1318"/>
      <c r="Y1178" s="1318"/>
      <c r="Z1178" s="1318"/>
      <c r="AA1178" s="1318"/>
      <c r="AB1178" s="1318"/>
      <c r="AC1178" s="343"/>
      <c r="AD1178" s="1318">
        <v>0</v>
      </c>
      <c r="AE1178" s="1318"/>
      <c r="AF1178" s="1318"/>
      <c r="AG1178" s="1318"/>
      <c r="AH1178" s="1318"/>
      <c r="AI1178" s="1318"/>
      <c r="AJ1178" s="344"/>
      <c r="AK1178" s="345"/>
      <c r="AL1178" s="340"/>
      <c r="AM1178" s="618" t="s">
        <v>1275</v>
      </c>
      <c r="AN1178" s="392"/>
      <c r="AO1178" s="392"/>
      <c r="AP1178" s="392"/>
      <c r="AQ1178" s="392"/>
      <c r="AR1178" s="392"/>
      <c r="AS1178" s="392"/>
      <c r="AT1178" s="392"/>
      <c r="AU1178" s="392"/>
      <c r="AV1178" s="392"/>
      <c r="AW1178" s="392"/>
      <c r="AX1178" s="392"/>
      <c r="AY1178" s="392"/>
      <c r="AZ1178" s="392"/>
      <c r="BA1178" s="392"/>
      <c r="BB1178" s="392"/>
      <c r="BC1178" s="392"/>
      <c r="BD1178" s="392"/>
      <c r="BE1178" s="392"/>
      <c r="BF1178" s="392"/>
      <c r="BG1178" s="1318">
        <v>0</v>
      </c>
      <c r="BH1178" s="1318"/>
      <c r="BI1178" s="1318"/>
      <c r="BJ1178" s="1318"/>
      <c r="BK1178" s="1318"/>
      <c r="BL1178" s="1318"/>
      <c r="BM1178" s="343"/>
      <c r="BN1178" s="1318">
        <v>0</v>
      </c>
      <c r="BO1178" s="1318"/>
      <c r="BP1178" s="1318"/>
      <c r="BQ1178" s="1318"/>
      <c r="BR1178" s="1318"/>
      <c r="BS1178" s="1318"/>
      <c r="BT1178" s="356"/>
      <c r="BU1178" s="357"/>
      <c r="BV1178" s="310"/>
      <c r="BW1178" s="310"/>
      <c r="BX1178" s="291">
        <f t="shared" si="82"/>
        <v>0</v>
      </c>
      <c r="BY1178" s="344"/>
      <c r="BZ1178" s="347"/>
      <c r="CA1178" s="347"/>
    </row>
    <row r="1179" spans="1:84" ht="15" hidden="1" customHeight="1" x14ac:dyDescent="0.25">
      <c r="A1179" s="313"/>
      <c r="B1179" s="340"/>
      <c r="C1179" s="611" t="s">
        <v>1181</v>
      </c>
      <c r="D1179" s="392"/>
      <c r="E1179" s="392"/>
      <c r="F1179" s="392"/>
      <c r="G1179" s="392"/>
      <c r="H1179" s="392"/>
      <c r="I1179" s="392"/>
      <c r="J1179" s="392"/>
      <c r="K1179" s="392"/>
      <c r="L1179" s="392"/>
      <c r="M1179" s="392"/>
      <c r="N1179" s="392"/>
      <c r="O1179" s="392"/>
      <c r="P1179" s="392"/>
      <c r="Q1179" s="392"/>
      <c r="R1179" s="392"/>
      <c r="S1179" s="392"/>
      <c r="T1179" s="392"/>
      <c r="U1179" s="392"/>
      <c r="V1179" s="392"/>
      <c r="W1179" s="1318">
        <v>0</v>
      </c>
      <c r="X1179" s="1318"/>
      <c r="Y1179" s="1318"/>
      <c r="Z1179" s="1318"/>
      <c r="AA1179" s="1318"/>
      <c r="AB1179" s="1318"/>
      <c r="AC1179" s="343"/>
      <c r="AD1179" s="1318">
        <v>0</v>
      </c>
      <c r="AE1179" s="1318"/>
      <c r="AF1179" s="1318"/>
      <c r="AG1179" s="1318"/>
      <c r="AH1179" s="1318"/>
      <c r="AI1179" s="1318"/>
      <c r="AJ1179" s="344"/>
      <c r="AK1179" s="345"/>
      <c r="AL1179" s="340"/>
      <c r="AM1179" s="619" t="s">
        <v>1275</v>
      </c>
      <c r="AN1179" s="392"/>
      <c r="AO1179" s="392"/>
      <c r="AP1179" s="392"/>
      <c r="AQ1179" s="392"/>
      <c r="AR1179" s="392"/>
      <c r="AS1179" s="392"/>
      <c r="AT1179" s="392"/>
      <c r="AU1179" s="392"/>
      <c r="AV1179" s="392"/>
      <c r="AW1179" s="392"/>
      <c r="AX1179" s="392"/>
      <c r="AY1179" s="392"/>
      <c r="AZ1179" s="392"/>
      <c r="BA1179" s="392"/>
      <c r="BB1179" s="392"/>
      <c r="BC1179" s="392"/>
      <c r="BD1179" s="392"/>
      <c r="BE1179" s="392"/>
      <c r="BF1179" s="392"/>
      <c r="BG1179" s="1318">
        <v>0</v>
      </c>
      <c r="BH1179" s="1318"/>
      <c r="BI1179" s="1318"/>
      <c r="BJ1179" s="1318"/>
      <c r="BK1179" s="1318"/>
      <c r="BL1179" s="1318"/>
      <c r="BM1179" s="343"/>
      <c r="BN1179" s="1318">
        <v>0</v>
      </c>
      <c r="BO1179" s="1318"/>
      <c r="BP1179" s="1318"/>
      <c r="BQ1179" s="1318"/>
      <c r="BR1179" s="1318"/>
      <c r="BS1179" s="1318"/>
      <c r="BT1179" s="356"/>
      <c r="BU1179" s="357"/>
      <c r="BV1179" s="310"/>
      <c r="BW1179" s="310"/>
      <c r="BX1179" s="291">
        <f t="shared" si="82"/>
        <v>0</v>
      </c>
      <c r="BY1179" s="344"/>
      <c r="BZ1179" s="347"/>
      <c r="CA1179" s="347"/>
    </row>
    <row r="1180" spans="1:84" ht="15" hidden="1" customHeight="1" x14ac:dyDescent="0.25">
      <c r="A1180" s="313"/>
      <c r="B1180" s="340"/>
      <c r="C1180" s="617"/>
      <c r="D1180" s="392"/>
      <c r="E1180" s="392"/>
      <c r="F1180" s="392"/>
      <c r="G1180" s="392"/>
      <c r="H1180" s="392"/>
      <c r="I1180" s="392"/>
      <c r="J1180" s="392"/>
      <c r="K1180" s="392"/>
      <c r="L1180" s="392"/>
      <c r="M1180" s="392"/>
      <c r="N1180" s="392"/>
      <c r="O1180" s="392"/>
      <c r="P1180" s="392"/>
      <c r="Q1180" s="392"/>
      <c r="R1180" s="392"/>
      <c r="S1180" s="392"/>
      <c r="T1180" s="392"/>
      <c r="U1180" s="392"/>
      <c r="V1180" s="392"/>
      <c r="W1180" s="1318"/>
      <c r="X1180" s="1318"/>
      <c r="Y1180" s="1318"/>
      <c r="Z1180" s="1318"/>
      <c r="AA1180" s="1318"/>
      <c r="AB1180" s="1318"/>
      <c r="AC1180" s="343"/>
      <c r="AD1180" s="1318"/>
      <c r="AE1180" s="1318"/>
      <c r="AF1180" s="1318"/>
      <c r="AG1180" s="1318"/>
      <c r="AH1180" s="1318"/>
      <c r="AI1180" s="1318"/>
      <c r="AJ1180" s="344"/>
      <c r="AK1180" s="345"/>
      <c r="AL1180" s="340"/>
      <c r="AM1180" s="617"/>
      <c r="AN1180" s="392"/>
      <c r="AO1180" s="392"/>
      <c r="AP1180" s="392"/>
      <c r="AQ1180" s="392"/>
      <c r="AR1180" s="392"/>
      <c r="AS1180" s="392"/>
      <c r="AT1180" s="392"/>
      <c r="AU1180" s="392"/>
      <c r="AV1180" s="392"/>
      <c r="AW1180" s="392"/>
      <c r="AX1180" s="392"/>
      <c r="AY1180" s="392"/>
      <c r="AZ1180" s="392"/>
      <c r="BA1180" s="392"/>
      <c r="BB1180" s="392"/>
      <c r="BC1180" s="392"/>
      <c r="BD1180" s="392"/>
      <c r="BE1180" s="392"/>
      <c r="BF1180" s="392"/>
      <c r="BG1180" s="1318"/>
      <c r="BH1180" s="1318"/>
      <c r="BI1180" s="1318"/>
      <c r="BJ1180" s="1318"/>
      <c r="BK1180" s="1318"/>
      <c r="BL1180" s="1318"/>
      <c r="BM1180" s="343"/>
      <c r="BN1180" s="1318"/>
      <c r="BO1180" s="1318"/>
      <c r="BP1180" s="1318"/>
      <c r="BQ1180" s="1318"/>
      <c r="BR1180" s="1318"/>
      <c r="BS1180" s="1318"/>
      <c r="BT1180" s="359"/>
      <c r="BU1180" s="346"/>
      <c r="BV1180" s="310"/>
      <c r="BW1180" s="310"/>
      <c r="BX1180" s="291">
        <f t="shared" si="82"/>
        <v>0</v>
      </c>
      <c r="BY1180" s="344"/>
      <c r="BZ1180" s="347"/>
      <c r="CA1180" s="347"/>
    </row>
    <row r="1181" spans="1:84" ht="15" hidden="1" customHeight="1" thickBot="1" x14ac:dyDescent="0.3">
      <c r="A1181" s="313"/>
      <c r="B1181" s="340"/>
      <c r="C1181" s="615"/>
      <c r="D1181" s="392"/>
      <c r="E1181" s="392"/>
      <c r="F1181" s="392"/>
      <c r="G1181" s="392"/>
      <c r="H1181" s="392"/>
      <c r="I1181" s="392"/>
      <c r="J1181" s="392"/>
      <c r="K1181" s="392"/>
      <c r="L1181" s="392"/>
      <c r="M1181" s="392"/>
      <c r="N1181" s="392"/>
      <c r="O1181" s="392"/>
      <c r="P1181" s="392"/>
      <c r="Q1181" s="392"/>
      <c r="R1181" s="392"/>
      <c r="S1181" s="392"/>
      <c r="T1181" s="392"/>
      <c r="U1181" s="392"/>
      <c r="V1181" s="392"/>
      <c r="W1181" s="1470">
        <f>SUBTOTAL(109,W1178:AB1179)</f>
        <v>0</v>
      </c>
      <c r="X1181" s="1470"/>
      <c r="Y1181" s="1470"/>
      <c r="Z1181" s="1470"/>
      <c r="AA1181" s="1470"/>
      <c r="AB1181" s="1470"/>
      <c r="AC1181" s="343"/>
      <c r="AD1181" s="1470">
        <f>SUBTOTAL(109,AD1178:AI1179)</f>
        <v>0</v>
      </c>
      <c r="AE1181" s="1470"/>
      <c r="AF1181" s="1470"/>
      <c r="AG1181" s="1470"/>
      <c r="AH1181" s="1470"/>
      <c r="AI1181" s="1470"/>
      <c r="AJ1181" s="344"/>
      <c r="AK1181" s="345"/>
      <c r="AL1181" s="340"/>
      <c r="AM1181" s="615"/>
      <c r="AN1181" s="392"/>
      <c r="AO1181" s="392"/>
      <c r="AP1181" s="392"/>
      <c r="AQ1181" s="392"/>
      <c r="AR1181" s="392"/>
      <c r="AS1181" s="392"/>
      <c r="AT1181" s="392"/>
      <c r="AU1181" s="392"/>
      <c r="AV1181" s="392"/>
      <c r="AW1181" s="392"/>
      <c r="AX1181" s="392"/>
      <c r="AY1181" s="392"/>
      <c r="AZ1181" s="392"/>
      <c r="BA1181" s="392"/>
      <c r="BB1181" s="392"/>
      <c r="BC1181" s="392"/>
      <c r="BD1181" s="392"/>
      <c r="BE1181" s="392"/>
      <c r="BF1181" s="392"/>
      <c r="BG1181" s="1470">
        <f>SUBTOTAL(109,BG1178:BL1179)</f>
        <v>0</v>
      </c>
      <c r="BH1181" s="1470"/>
      <c r="BI1181" s="1470"/>
      <c r="BJ1181" s="1470"/>
      <c r="BK1181" s="1470"/>
      <c r="BL1181" s="1470"/>
      <c r="BM1181" s="343"/>
      <c r="BN1181" s="1470">
        <f>SUBTOTAL(109,BN1178:BS1179)</f>
        <v>0</v>
      </c>
      <c r="BO1181" s="1470"/>
      <c r="BP1181" s="1470"/>
      <c r="BQ1181" s="1470"/>
      <c r="BR1181" s="1470"/>
      <c r="BS1181" s="1470"/>
      <c r="BT1181" s="359"/>
      <c r="BU1181" s="346"/>
      <c r="BV1181" s="310"/>
      <c r="BW1181" s="310"/>
      <c r="BX1181" s="291">
        <f t="shared" si="82"/>
        <v>0</v>
      </c>
      <c r="BY1181" s="344"/>
      <c r="BZ1181" s="347"/>
      <c r="CA1181" s="347"/>
    </row>
    <row r="1182" spans="1:84" ht="2.1" hidden="1" customHeight="1" thickTop="1" x14ac:dyDescent="0.25">
      <c r="A1182" s="313"/>
      <c r="B1182" s="340"/>
      <c r="C1182" s="340"/>
      <c r="D1182" s="340"/>
      <c r="E1182" s="340"/>
      <c r="F1182" s="340"/>
      <c r="G1182" s="340"/>
      <c r="H1182" s="340"/>
      <c r="I1182" s="340"/>
      <c r="J1182" s="340"/>
      <c r="K1182" s="340"/>
      <c r="L1182" s="340"/>
      <c r="M1182" s="340"/>
      <c r="N1182" s="340"/>
      <c r="O1182" s="340"/>
      <c r="P1182" s="340"/>
      <c r="Q1182" s="340"/>
      <c r="R1182" s="340"/>
      <c r="S1182" s="340"/>
      <c r="T1182" s="340"/>
      <c r="U1182" s="342"/>
      <c r="V1182" s="342"/>
      <c r="W1182" s="368"/>
      <c r="X1182" s="368"/>
      <c r="Y1182" s="368"/>
      <c r="Z1182" s="368"/>
      <c r="AA1182" s="368"/>
      <c r="AB1182" s="368"/>
      <c r="AC1182" s="343"/>
      <c r="AD1182" s="368"/>
      <c r="AE1182" s="368"/>
      <c r="AF1182" s="368"/>
      <c r="AG1182" s="368"/>
      <c r="AH1182" s="368"/>
      <c r="AI1182" s="368"/>
      <c r="AJ1182" s="344"/>
      <c r="AK1182" s="345"/>
      <c r="AL1182" s="340"/>
      <c r="AM1182" s="340"/>
      <c r="AN1182" s="340"/>
      <c r="AO1182" s="340"/>
      <c r="AP1182" s="340"/>
      <c r="AQ1182" s="340"/>
      <c r="AR1182" s="340"/>
      <c r="AS1182" s="340"/>
      <c r="AT1182" s="340"/>
      <c r="AU1182" s="340"/>
      <c r="AV1182" s="340"/>
      <c r="AW1182" s="340"/>
      <c r="AX1182" s="340"/>
      <c r="AY1182" s="340"/>
      <c r="AZ1182" s="340"/>
      <c r="BA1182" s="340"/>
      <c r="BB1182" s="340"/>
      <c r="BC1182" s="340"/>
      <c r="BD1182" s="340"/>
      <c r="BE1182" s="342"/>
      <c r="BF1182" s="342"/>
      <c r="BG1182" s="361"/>
      <c r="BH1182" s="361"/>
      <c r="BI1182" s="361"/>
      <c r="BJ1182" s="361"/>
      <c r="BK1182" s="361"/>
      <c r="BL1182" s="361"/>
      <c r="BM1182" s="342"/>
      <c r="BN1182" s="361"/>
      <c r="BO1182" s="361"/>
      <c r="BP1182" s="361"/>
      <c r="BQ1182" s="361"/>
      <c r="BR1182" s="361"/>
      <c r="BS1182" s="361"/>
      <c r="BT1182" s="361"/>
      <c r="BU1182" s="362"/>
      <c r="BV1182" s="310"/>
      <c r="BW1182" s="310"/>
      <c r="BX1182" s="291">
        <f t="shared" si="82"/>
        <v>0</v>
      </c>
      <c r="BY1182" s="344"/>
      <c r="BZ1182" s="347"/>
      <c r="CA1182" s="347"/>
    </row>
    <row r="1183" spans="1:84" ht="15" hidden="1" customHeight="1" x14ac:dyDescent="0.25">
      <c r="A1183" s="313"/>
      <c r="B1183" s="603"/>
      <c r="C1183" s="392"/>
      <c r="D1183" s="392"/>
      <c r="E1183" s="392"/>
      <c r="F1183" s="392"/>
      <c r="G1183" s="392"/>
      <c r="H1183" s="392"/>
      <c r="I1183" s="392"/>
      <c r="J1183" s="392"/>
      <c r="K1183" s="392"/>
      <c r="L1183" s="392"/>
      <c r="M1183" s="392"/>
      <c r="N1183" s="392"/>
      <c r="O1183" s="392"/>
      <c r="P1183" s="392"/>
      <c r="Q1183" s="392"/>
      <c r="R1183" s="392"/>
      <c r="S1183" s="392"/>
      <c r="T1183" s="392"/>
      <c r="U1183" s="392"/>
      <c r="V1183" s="392"/>
      <c r="W1183" s="393"/>
      <c r="X1183" s="393"/>
      <c r="Y1183" s="393"/>
      <c r="Z1183" s="393"/>
      <c r="AA1183" s="393"/>
      <c r="AB1183" s="393"/>
      <c r="AC1183" s="343"/>
      <c r="AD1183" s="343"/>
      <c r="AE1183" s="343"/>
      <c r="AF1183" s="343"/>
      <c r="AG1183" s="343"/>
      <c r="AH1183" s="343"/>
      <c r="AI1183" s="343"/>
      <c r="AJ1183" s="344"/>
      <c r="AK1183" s="345"/>
      <c r="AL1183" s="340"/>
      <c r="AM1183" s="392"/>
      <c r="AN1183" s="392"/>
      <c r="AO1183" s="392"/>
      <c r="AP1183" s="392"/>
      <c r="AQ1183" s="392"/>
      <c r="AR1183" s="392"/>
      <c r="AS1183" s="392"/>
      <c r="AT1183" s="392"/>
      <c r="AU1183" s="392"/>
      <c r="AV1183" s="392"/>
      <c r="AW1183" s="392"/>
      <c r="AX1183" s="392"/>
      <c r="AY1183" s="392"/>
      <c r="AZ1183" s="392"/>
      <c r="BA1183" s="392"/>
      <c r="BB1183" s="392"/>
      <c r="BC1183" s="392"/>
      <c r="BD1183" s="392"/>
      <c r="BE1183" s="392"/>
      <c r="BF1183" s="392"/>
      <c r="BG1183" s="490"/>
      <c r="BH1183" s="490"/>
      <c r="BI1183" s="490"/>
      <c r="BJ1183" s="490"/>
      <c r="BK1183" s="490"/>
      <c r="BL1183" s="490"/>
      <c r="BM1183" s="358"/>
      <c r="BN1183" s="355"/>
      <c r="BO1183" s="355"/>
      <c r="BP1183" s="355"/>
      <c r="BQ1183" s="355"/>
      <c r="BR1183" s="355"/>
      <c r="BS1183" s="355"/>
      <c r="BT1183" s="356"/>
      <c r="BU1183" s="357"/>
      <c r="BV1183" s="310"/>
      <c r="BW1183" s="310"/>
      <c r="BX1183" s="291">
        <f t="shared" si="82"/>
        <v>0</v>
      </c>
      <c r="BY1183" s="344"/>
      <c r="BZ1183" s="347"/>
      <c r="CA1183" s="347"/>
    </row>
    <row r="1184" spans="1:84" ht="15" hidden="1" customHeight="1" x14ac:dyDescent="0.25">
      <c r="A1184" s="313">
        <f>STT</f>
        <v>20</v>
      </c>
      <c r="B1184" s="373" t="s">
        <v>345</v>
      </c>
      <c r="C1184" s="471" t="s">
        <v>1276</v>
      </c>
      <c r="D1184" s="392"/>
      <c r="E1184" s="392"/>
      <c r="F1184" s="392"/>
      <c r="G1184" s="392"/>
      <c r="H1184" s="392"/>
      <c r="I1184" s="392"/>
      <c r="J1184" s="392"/>
      <c r="K1184" s="392"/>
      <c r="L1184" s="392"/>
      <c r="M1184" s="392"/>
      <c r="N1184" s="392"/>
      <c r="O1184" s="392"/>
      <c r="P1184" s="392"/>
      <c r="Q1184" s="392"/>
      <c r="R1184" s="392"/>
      <c r="S1184" s="392"/>
      <c r="T1184" s="392"/>
      <c r="U1184" s="392"/>
      <c r="V1184" s="392"/>
      <c r="W1184" s="393"/>
      <c r="X1184" s="393"/>
      <c r="Y1184" s="393"/>
      <c r="Z1184" s="393"/>
      <c r="AA1184" s="393"/>
      <c r="AB1184" s="393"/>
      <c r="AC1184" s="343"/>
      <c r="AD1184" s="343"/>
      <c r="AE1184" s="343"/>
      <c r="AF1184" s="343"/>
      <c r="AG1184" s="343"/>
      <c r="AH1184" s="343"/>
      <c r="AI1184" s="343"/>
      <c r="AJ1184" s="344"/>
      <c r="AK1184" s="345">
        <f>A1184</f>
        <v>20</v>
      </c>
      <c r="AL1184" s="340" t="s">
        <v>345</v>
      </c>
      <c r="AM1184" s="471" t="s">
        <v>1277</v>
      </c>
      <c r="AN1184" s="392"/>
      <c r="AO1184" s="392"/>
      <c r="AP1184" s="392"/>
      <c r="AQ1184" s="392"/>
      <c r="AR1184" s="392"/>
      <c r="AS1184" s="392"/>
      <c r="AT1184" s="392"/>
      <c r="AU1184" s="392"/>
      <c r="AV1184" s="392"/>
      <c r="AW1184" s="392"/>
      <c r="AX1184" s="392"/>
      <c r="AY1184" s="392"/>
      <c r="AZ1184" s="392"/>
      <c r="BA1184" s="392"/>
      <c r="BB1184" s="392"/>
      <c r="BC1184" s="392"/>
      <c r="BD1184" s="392"/>
      <c r="BE1184" s="392"/>
      <c r="BF1184" s="392"/>
      <c r="BG1184" s="490"/>
      <c r="BH1184" s="490"/>
      <c r="BI1184" s="490"/>
      <c r="BJ1184" s="490"/>
      <c r="BK1184" s="490"/>
      <c r="BL1184" s="490"/>
      <c r="BM1184" s="358"/>
      <c r="BN1184" s="355"/>
      <c r="BO1184" s="355"/>
      <c r="BP1184" s="355"/>
      <c r="BQ1184" s="355"/>
      <c r="BR1184" s="355"/>
      <c r="BS1184" s="355"/>
      <c r="BT1184" s="356"/>
      <c r="BU1184" s="346">
        <f>SUBTOTAL(103,A1184)</f>
        <v>0</v>
      </c>
      <c r="BV1184" s="310"/>
      <c r="BW1184" s="310"/>
      <c r="BX1184" s="291">
        <f t="shared" si="82"/>
        <v>0</v>
      </c>
      <c r="BY1184" s="344"/>
      <c r="BZ1184" s="347"/>
      <c r="CA1184" s="347"/>
    </row>
    <row r="1185" spans="1:84" ht="15" hidden="1" customHeight="1" x14ac:dyDescent="0.25">
      <c r="A1185" s="313"/>
      <c r="B1185" s="603"/>
      <c r="C1185" s="392"/>
      <c r="D1185" s="392"/>
      <c r="E1185" s="392"/>
      <c r="F1185" s="392"/>
      <c r="G1185" s="392"/>
      <c r="H1185" s="392"/>
      <c r="I1185" s="392"/>
      <c r="J1185" s="392"/>
      <c r="K1185" s="392"/>
      <c r="L1185" s="392"/>
      <c r="M1185" s="392"/>
      <c r="N1185" s="392"/>
      <c r="O1185" s="392"/>
      <c r="P1185" s="392"/>
      <c r="Q1185" s="392"/>
      <c r="R1185" s="392"/>
      <c r="S1185" s="392"/>
      <c r="T1185" s="392"/>
      <c r="U1185" s="392"/>
      <c r="V1185" s="392"/>
      <c r="W1185" s="393"/>
      <c r="X1185" s="393"/>
      <c r="Y1185" s="393"/>
      <c r="Z1185" s="393"/>
      <c r="AA1185" s="393"/>
      <c r="AB1185" s="393"/>
      <c r="AC1185" s="343"/>
      <c r="AD1185" s="343"/>
      <c r="AE1185" s="343"/>
      <c r="AF1185" s="343"/>
      <c r="AG1185" s="343"/>
      <c r="AH1185" s="343"/>
      <c r="AI1185" s="343"/>
      <c r="AJ1185" s="344"/>
      <c r="AK1185" s="345"/>
      <c r="AL1185" s="340"/>
      <c r="AM1185" s="392"/>
      <c r="AN1185" s="392"/>
      <c r="AO1185" s="392"/>
      <c r="AP1185" s="392"/>
      <c r="AQ1185" s="392"/>
      <c r="AR1185" s="392"/>
      <c r="AS1185" s="392"/>
      <c r="AT1185" s="392"/>
      <c r="AU1185" s="392"/>
      <c r="AV1185" s="392"/>
      <c r="AW1185" s="392"/>
      <c r="AX1185" s="392"/>
      <c r="AY1185" s="392"/>
      <c r="AZ1185" s="392"/>
      <c r="BA1185" s="392"/>
      <c r="BB1185" s="392"/>
      <c r="BC1185" s="392"/>
      <c r="BD1185" s="392"/>
      <c r="BE1185" s="392"/>
      <c r="BF1185" s="392"/>
      <c r="BG1185" s="490"/>
      <c r="BH1185" s="490"/>
      <c r="BI1185" s="490"/>
      <c r="BJ1185" s="490"/>
      <c r="BK1185" s="490"/>
      <c r="BL1185" s="490"/>
      <c r="BM1185" s="358"/>
      <c r="BN1185" s="355"/>
      <c r="BO1185" s="355"/>
      <c r="BP1185" s="355"/>
      <c r="BQ1185" s="355"/>
      <c r="BR1185" s="355"/>
      <c r="BS1185" s="355"/>
      <c r="BT1185" s="356"/>
      <c r="BU1185" s="357"/>
      <c r="BV1185" s="310"/>
      <c r="BW1185" s="310"/>
      <c r="BX1185" s="291">
        <f t="shared" si="82"/>
        <v>0</v>
      </c>
      <c r="BY1185" s="344"/>
      <c r="BZ1185" s="347"/>
      <c r="CA1185" s="347"/>
    </row>
    <row r="1186" spans="1:84" ht="15" hidden="1" customHeight="1" x14ac:dyDescent="0.25">
      <c r="A1186" s="313" t="str">
        <f>STT_TraiPhieuPhatHanh&amp;".1."</f>
        <v>20.1.</v>
      </c>
      <c r="B1186" s="603"/>
      <c r="C1186" s="471" t="s">
        <v>1278</v>
      </c>
      <c r="D1186" s="392"/>
      <c r="E1186" s="392"/>
      <c r="F1186" s="392"/>
      <c r="G1186" s="392"/>
      <c r="H1186" s="392"/>
      <c r="I1186" s="392"/>
      <c r="J1186" s="392"/>
      <c r="K1186" s="392"/>
      <c r="L1186" s="392"/>
      <c r="M1186" s="392"/>
      <c r="N1186" s="392"/>
      <c r="O1186" s="392"/>
      <c r="P1186" s="392"/>
      <c r="Q1186" s="392"/>
      <c r="R1186" s="392"/>
      <c r="S1186" s="392"/>
      <c r="T1186" s="392"/>
      <c r="U1186" s="392"/>
      <c r="V1186" s="392"/>
      <c r="W1186" s="393"/>
      <c r="X1186" s="393"/>
      <c r="Y1186" s="393"/>
      <c r="Z1186" s="393"/>
      <c r="AA1186" s="393"/>
      <c r="AB1186" s="393"/>
      <c r="AC1186" s="343"/>
      <c r="AD1186" s="343"/>
      <c r="AE1186" s="343"/>
      <c r="AF1186" s="343"/>
      <c r="AG1186" s="343"/>
      <c r="AH1186" s="343"/>
      <c r="AI1186" s="343"/>
      <c r="AJ1186" s="344"/>
      <c r="AK1186" s="345" t="str">
        <f>A1186</f>
        <v>20.1.</v>
      </c>
      <c r="AL1186" s="340"/>
      <c r="AM1186" s="471" t="s">
        <v>1279</v>
      </c>
      <c r="AN1186" s="392"/>
      <c r="AO1186" s="392"/>
      <c r="AP1186" s="392"/>
      <c r="AQ1186" s="392"/>
      <c r="AR1186" s="392"/>
      <c r="AS1186" s="392"/>
      <c r="AT1186" s="392"/>
      <c r="AU1186" s="392"/>
      <c r="AV1186" s="392"/>
      <c r="AW1186" s="392"/>
      <c r="AX1186" s="392"/>
      <c r="AY1186" s="392"/>
      <c r="AZ1186" s="392"/>
      <c r="BA1186" s="392"/>
      <c r="BB1186" s="392"/>
      <c r="BC1186" s="392"/>
      <c r="BD1186" s="392"/>
      <c r="BE1186" s="392"/>
      <c r="BF1186" s="392"/>
      <c r="BG1186" s="490"/>
      <c r="BH1186" s="490"/>
      <c r="BI1186" s="490"/>
      <c r="BJ1186" s="490"/>
      <c r="BK1186" s="490"/>
      <c r="BL1186" s="490"/>
      <c r="BM1186" s="358"/>
      <c r="BN1186" s="355"/>
      <c r="BO1186" s="355"/>
      <c r="BP1186" s="355"/>
      <c r="BQ1186" s="355"/>
      <c r="BR1186" s="355"/>
      <c r="BS1186" s="355"/>
      <c r="BT1186" s="356"/>
      <c r="BU1186" s="357"/>
      <c r="BV1186" s="310"/>
      <c r="BW1186" s="310"/>
      <c r="BX1186" s="291">
        <f t="shared" si="82"/>
        <v>0</v>
      </c>
      <c r="BY1186" s="344"/>
      <c r="BZ1186" s="347"/>
      <c r="CA1186" s="347"/>
    </row>
    <row r="1187" spans="1:84" ht="15" hidden="1" customHeight="1" x14ac:dyDescent="0.25">
      <c r="A1187" s="313"/>
      <c r="B1187" s="603"/>
      <c r="C1187" s="390" t="s">
        <v>1280</v>
      </c>
      <c r="D1187" s="392"/>
      <c r="E1187" s="392"/>
      <c r="F1187" s="392"/>
      <c r="G1187" s="392"/>
      <c r="H1187" s="392"/>
      <c r="I1187" s="392"/>
      <c r="J1187" s="392"/>
      <c r="K1187" s="392"/>
      <c r="L1187" s="392"/>
      <c r="M1187" s="392"/>
      <c r="N1187" s="392"/>
      <c r="O1187" s="392"/>
      <c r="P1187" s="392"/>
      <c r="Q1187" s="392"/>
      <c r="R1187" s="392"/>
      <c r="S1187" s="392"/>
      <c r="T1187" s="392"/>
      <c r="U1187" s="392"/>
      <c r="V1187" s="392"/>
      <c r="W1187" s="393"/>
      <c r="X1187" s="393"/>
      <c r="Y1187" s="393"/>
      <c r="Z1187" s="393"/>
      <c r="AA1187" s="393"/>
      <c r="AB1187" s="393"/>
      <c r="AC1187" s="343"/>
      <c r="AD1187" s="343"/>
      <c r="AE1187" s="343"/>
      <c r="AF1187" s="343"/>
      <c r="AG1187" s="343"/>
      <c r="AH1187" s="343"/>
      <c r="AI1187" s="343"/>
      <c r="AJ1187" s="344"/>
      <c r="AK1187" s="345"/>
      <c r="AL1187" s="340"/>
      <c r="AM1187" s="390" t="s">
        <v>1280</v>
      </c>
      <c r="AN1187" s="392"/>
      <c r="AO1187" s="392"/>
      <c r="AP1187" s="392"/>
      <c r="AQ1187" s="392"/>
      <c r="AR1187" s="392"/>
      <c r="AS1187" s="392"/>
      <c r="AT1187" s="392"/>
      <c r="AU1187" s="392"/>
      <c r="AV1187" s="392"/>
      <c r="AW1187" s="392"/>
      <c r="AX1187" s="392"/>
      <c r="AY1187" s="392"/>
      <c r="AZ1187" s="392"/>
      <c r="BA1187" s="392"/>
      <c r="BB1187" s="392"/>
      <c r="BC1187" s="392"/>
      <c r="BD1187" s="392"/>
      <c r="BE1187" s="392"/>
      <c r="BF1187" s="392"/>
      <c r="BG1187" s="490"/>
      <c r="BH1187" s="490"/>
      <c r="BI1187" s="490"/>
      <c r="BJ1187" s="490"/>
      <c r="BK1187" s="490"/>
      <c r="BL1187" s="490"/>
      <c r="BM1187" s="358"/>
      <c r="BN1187" s="355"/>
      <c r="BO1187" s="355"/>
      <c r="BP1187" s="355"/>
      <c r="BQ1187" s="355"/>
      <c r="BR1187" s="355"/>
      <c r="BS1187" s="355"/>
      <c r="BT1187" s="356"/>
      <c r="BU1187" s="357"/>
      <c r="BV1187" s="310"/>
      <c r="BW1187" s="310"/>
      <c r="BX1187" s="291">
        <f t="shared" si="82"/>
        <v>0</v>
      </c>
      <c r="BY1187" s="344"/>
      <c r="BZ1187" s="347"/>
      <c r="CA1187" s="347"/>
    </row>
    <row r="1188" spans="1:84" ht="15" hidden="1" customHeight="1" x14ac:dyDescent="0.25">
      <c r="A1188" s="313"/>
      <c r="B1188" s="603"/>
      <c r="C1188" s="390"/>
      <c r="D1188" s="392"/>
      <c r="E1188" s="392"/>
      <c r="F1188" s="392"/>
      <c r="G1188" s="392"/>
      <c r="H1188" s="392"/>
      <c r="I1188" s="392"/>
      <c r="J1188" s="392"/>
      <c r="K1188" s="392"/>
      <c r="L1188" s="392"/>
      <c r="M1188" s="392"/>
      <c r="N1188" s="392"/>
      <c r="O1188" s="392"/>
      <c r="P1188" s="392"/>
      <c r="Q1188" s="392"/>
      <c r="R1188" s="392"/>
      <c r="S1188" s="392"/>
      <c r="T1188" s="392"/>
      <c r="U1188" s="392"/>
      <c r="V1188" s="392"/>
      <c r="W1188" s="393"/>
      <c r="X1188" s="393"/>
      <c r="Y1188" s="393"/>
      <c r="Z1188" s="393"/>
      <c r="AA1188" s="393"/>
      <c r="AB1188" s="393"/>
      <c r="AC1188" s="343"/>
      <c r="AD1188" s="343"/>
      <c r="AE1188" s="343"/>
      <c r="AF1188" s="343"/>
      <c r="AG1188" s="343"/>
      <c r="AH1188" s="343"/>
      <c r="AI1188" s="343"/>
      <c r="AJ1188" s="344"/>
      <c r="AK1188" s="345"/>
      <c r="AL1188" s="340"/>
      <c r="AM1188" s="390"/>
      <c r="AN1188" s="392"/>
      <c r="AO1188" s="392"/>
      <c r="AP1188" s="392"/>
      <c r="AQ1188" s="392"/>
      <c r="AR1188" s="392"/>
      <c r="AS1188" s="392"/>
      <c r="AT1188" s="392"/>
      <c r="AU1188" s="392"/>
      <c r="AV1188" s="392"/>
      <c r="AW1188" s="392"/>
      <c r="AX1188" s="392"/>
      <c r="AY1188" s="392"/>
      <c r="AZ1188" s="392"/>
      <c r="BA1188" s="392"/>
      <c r="BB1188" s="392"/>
      <c r="BC1188" s="392"/>
      <c r="BD1188" s="392"/>
      <c r="BE1188" s="392"/>
      <c r="BF1188" s="392"/>
      <c r="BG1188" s="490"/>
      <c r="BH1188" s="490"/>
      <c r="BI1188" s="490"/>
      <c r="BJ1188" s="490"/>
      <c r="BK1188" s="490"/>
      <c r="BL1188" s="490"/>
      <c r="BM1188" s="358"/>
      <c r="BN1188" s="355"/>
      <c r="BO1188" s="355"/>
      <c r="BP1188" s="355"/>
      <c r="BQ1188" s="355"/>
      <c r="BR1188" s="355"/>
      <c r="BS1188" s="355"/>
      <c r="BT1188" s="356"/>
      <c r="BU1188" s="357"/>
      <c r="BV1188" s="310"/>
      <c r="BW1188" s="310"/>
      <c r="BX1188" s="291">
        <f t="shared" si="82"/>
        <v>0</v>
      </c>
      <c r="BY1188" s="344"/>
      <c r="BZ1188" s="347"/>
      <c r="CA1188" s="347"/>
    </row>
    <row r="1189" spans="1:84" s="423" customFormat="1" ht="15" hidden="1" customHeight="1" x14ac:dyDescent="0.25">
      <c r="A1189" s="313" t="str">
        <f>STT_TraiPhieuPhatHanh&amp;"."&amp;SUBTOTAL(103,A1186)+1&amp;"."</f>
        <v>20.1.</v>
      </c>
      <c r="B1189" s="603"/>
      <c r="C1189" s="620" t="s">
        <v>602</v>
      </c>
      <c r="D1189" s="392"/>
      <c r="E1189" s="392"/>
      <c r="F1189" s="392"/>
      <c r="G1189" s="392"/>
      <c r="H1189" s="392"/>
      <c r="I1189" s="392"/>
      <c r="J1189" s="392"/>
      <c r="K1189" s="392"/>
      <c r="L1189" s="392"/>
      <c r="M1189" s="392"/>
      <c r="N1189" s="392"/>
      <c r="O1189" s="392"/>
      <c r="P1189" s="392"/>
      <c r="Q1189" s="392"/>
      <c r="R1189" s="392"/>
      <c r="S1189" s="392"/>
      <c r="T1189" s="392"/>
      <c r="U1189" s="392"/>
      <c r="V1189" s="392"/>
      <c r="W1189" s="393"/>
      <c r="X1189" s="393"/>
      <c r="Y1189" s="393"/>
      <c r="Z1189" s="393"/>
      <c r="AA1189" s="393"/>
      <c r="AB1189" s="393"/>
      <c r="AC1189" s="343"/>
      <c r="AD1189" s="343"/>
      <c r="AE1189" s="343"/>
      <c r="AF1189" s="343"/>
      <c r="AG1189" s="343"/>
      <c r="AH1189" s="343"/>
      <c r="AI1189" s="343"/>
      <c r="AJ1189" s="342"/>
      <c r="AK1189" s="345" t="str">
        <f>A1189</f>
        <v>20.1.</v>
      </c>
      <c r="AL1189" s="340"/>
      <c r="AM1189" s="471" t="s">
        <v>1281</v>
      </c>
      <c r="AN1189" s="392"/>
      <c r="AO1189" s="392"/>
      <c r="AP1189" s="392"/>
      <c r="AQ1189" s="392"/>
      <c r="AR1189" s="392"/>
      <c r="AS1189" s="392"/>
      <c r="AT1189" s="392"/>
      <c r="AU1189" s="392"/>
      <c r="AV1189" s="392"/>
      <c r="AW1189" s="392"/>
      <c r="AX1189" s="392"/>
      <c r="AY1189" s="392"/>
      <c r="AZ1189" s="392"/>
      <c r="BA1189" s="392"/>
      <c r="BB1189" s="392"/>
      <c r="BC1189" s="392"/>
      <c r="BD1189" s="392"/>
      <c r="BE1189" s="392"/>
      <c r="BF1189" s="392"/>
      <c r="BG1189" s="490"/>
      <c r="BH1189" s="490"/>
      <c r="BI1189" s="490"/>
      <c r="BJ1189" s="490"/>
      <c r="BK1189" s="490"/>
      <c r="BL1189" s="490"/>
      <c r="BM1189" s="358"/>
      <c r="BN1189" s="355"/>
      <c r="BO1189" s="355"/>
      <c r="BP1189" s="355"/>
      <c r="BQ1189" s="355"/>
      <c r="BR1189" s="355"/>
      <c r="BS1189" s="355"/>
      <c r="BT1189" s="356"/>
      <c r="BU1189" s="357"/>
      <c r="BV1189" s="310"/>
      <c r="BW1189" s="310"/>
      <c r="BX1189" s="300">
        <f t="shared" si="82"/>
        <v>0</v>
      </c>
      <c r="BY1189" s="342"/>
      <c r="BZ1189" s="438"/>
      <c r="CA1189" s="438"/>
      <c r="CB1189" s="439"/>
      <c r="CC1189" s="439"/>
      <c r="CD1189" s="439"/>
      <c r="CE1189" s="439"/>
      <c r="CF1189" s="439"/>
    </row>
    <row r="1190" spans="1:84" s="423" customFormat="1" ht="15" hidden="1" customHeight="1" x14ac:dyDescent="0.25">
      <c r="A1190" s="311"/>
      <c r="B1190" s="621"/>
      <c r="C1190" s="622"/>
      <c r="D1190" s="509"/>
      <c r="E1190" s="509"/>
      <c r="F1190" s="509"/>
      <c r="G1190" s="509"/>
      <c r="H1190" s="509"/>
      <c r="I1190" s="509"/>
      <c r="J1190" s="509"/>
      <c r="K1190" s="509"/>
      <c r="L1190" s="509"/>
      <c r="M1190" s="509"/>
      <c r="N1190" s="509"/>
      <c r="O1190" s="509"/>
      <c r="P1190" s="509"/>
      <c r="Q1190" s="509"/>
      <c r="R1190" s="509"/>
      <c r="S1190" s="509"/>
      <c r="T1190" s="509"/>
      <c r="U1190" s="509"/>
      <c r="V1190" s="509"/>
      <c r="W1190" s="553"/>
      <c r="X1190" s="553"/>
      <c r="Y1190" s="553"/>
      <c r="Z1190" s="553"/>
      <c r="AA1190" s="553"/>
      <c r="AB1190" s="553"/>
      <c r="AC1190" s="357"/>
      <c r="AD1190" s="357"/>
      <c r="AE1190" s="357"/>
      <c r="AF1190" s="357"/>
      <c r="AG1190" s="357"/>
      <c r="AH1190" s="357"/>
      <c r="AI1190" s="357"/>
      <c r="AJ1190" s="342"/>
      <c r="AK1190" s="345"/>
      <c r="AL1190" s="340"/>
      <c r="AM1190" s="623"/>
      <c r="AN1190" s="392"/>
      <c r="AO1190" s="392"/>
      <c r="AP1190" s="392"/>
      <c r="AQ1190" s="392"/>
      <c r="AR1190" s="392"/>
      <c r="AS1190" s="392"/>
      <c r="AT1190" s="392"/>
      <c r="AU1190" s="392"/>
      <c r="AV1190" s="392"/>
      <c r="AW1190" s="392"/>
      <c r="AX1190" s="392"/>
      <c r="AY1190" s="392"/>
      <c r="AZ1190" s="392"/>
      <c r="BA1190" s="392"/>
      <c r="BB1190" s="392"/>
      <c r="BC1190" s="392"/>
      <c r="BD1190" s="392"/>
      <c r="BE1190" s="392"/>
      <c r="BF1190" s="392"/>
      <c r="BG1190" s="490"/>
      <c r="BH1190" s="490"/>
      <c r="BI1190" s="490"/>
      <c r="BJ1190" s="490"/>
      <c r="BK1190" s="490"/>
      <c r="BL1190" s="490"/>
      <c r="BM1190" s="358"/>
      <c r="BN1190" s="355"/>
      <c r="BO1190" s="355"/>
      <c r="BP1190" s="355"/>
      <c r="BQ1190" s="355"/>
      <c r="BR1190" s="355"/>
      <c r="BS1190" s="355"/>
      <c r="BT1190" s="356"/>
      <c r="BU1190" s="357"/>
      <c r="BV1190" s="310"/>
      <c r="BW1190" s="310"/>
      <c r="BX1190" s="300">
        <f t="shared" si="82"/>
        <v>0</v>
      </c>
      <c r="BY1190" s="342"/>
      <c r="BZ1190" s="438"/>
      <c r="CA1190" s="438"/>
      <c r="CB1190" s="439"/>
      <c r="CC1190" s="439"/>
      <c r="CD1190" s="439"/>
      <c r="CE1190" s="439"/>
      <c r="CF1190" s="439"/>
    </row>
    <row r="1191" spans="1:84" s="423" customFormat="1" ht="15" hidden="1" customHeight="1" x14ac:dyDescent="0.25">
      <c r="A1191" s="624"/>
      <c r="B1191" s="625"/>
      <c r="C1191" s="626" t="s">
        <v>1282</v>
      </c>
      <c r="D1191" s="509"/>
      <c r="E1191" s="509"/>
      <c r="F1191" s="509"/>
      <c r="G1191" s="509"/>
      <c r="H1191" s="509"/>
      <c r="I1191" s="509"/>
      <c r="J1191" s="509"/>
      <c r="K1191" s="509"/>
      <c r="L1191" s="509"/>
      <c r="M1191" s="509"/>
      <c r="N1191" s="509"/>
      <c r="O1191" s="509"/>
      <c r="P1191" s="509"/>
      <c r="Q1191" s="509"/>
      <c r="R1191" s="509"/>
      <c r="S1191" s="509"/>
      <c r="T1191" s="509"/>
      <c r="U1191" s="509"/>
      <c r="V1191" s="509"/>
      <c r="W1191" s="553"/>
      <c r="X1191" s="553"/>
      <c r="Y1191" s="553"/>
      <c r="Z1191" s="553"/>
      <c r="AA1191" s="553"/>
      <c r="AB1191" s="553"/>
      <c r="AC1191" s="357"/>
      <c r="AD1191" s="357"/>
      <c r="AE1191" s="357"/>
      <c r="AF1191" s="357"/>
      <c r="AG1191" s="357"/>
      <c r="AH1191" s="357"/>
      <c r="AI1191" s="357"/>
      <c r="AJ1191" s="342"/>
      <c r="AK1191" s="345"/>
      <c r="AL1191" s="340"/>
      <c r="AM1191" s="471" t="s">
        <v>1283</v>
      </c>
      <c r="AN1191" s="392"/>
      <c r="AO1191" s="392"/>
      <c r="AP1191" s="392"/>
      <c r="AQ1191" s="392"/>
      <c r="AR1191" s="392"/>
      <c r="AS1191" s="392"/>
      <c r="AT1191" s="392"/>
      <c r="AU1191" s="392"/>
      <c r="AV1191" s="392"/>
      <c r="AW1191" s="392"/>
      <c r="AX1191" s="392"/>
      <c r="AY1191" s="392"/>
      <c r="AZ1191" s="392"/>
      <c r="BA1191" s="392"/>
      <c r="BB1191" s="392"/>
      <c r="BC1191" s="392"/>
      <c r="BD1191" s="392"/>
      <c r="BE1191" s="392"/>
      <c r="BF1191" s="392"/>
      <c r="BG1191" s="490"/>
      <c r="BH1191" s="490"/>
      <c r="BI1191" s="490"/>
      <c r="BJ1191" s="490"/>
      <c r="BK1191" s="490"/>
      <c r="BL1191" s="490"/>
      <c r="BM1191" s="358"/>
      <c r="BN1191" s="355"/>
      <c r="BO1191" s="355"/>
      <c r="BP1191" s="355"/>
      <c r="BQ1191" s="355"/>
      <c r="BR1191" s="355"/>
      <c r="BS1191" s="355"/>
      <c r="BT1191" s="356"/>
      <c r="BU1191" s="357"/>
      <c r="BV1191" s="310"/>
      <c r="BW1191" s="310"/>
      <c r="BX1191" s="300">
        <f t="shared" si="82"/>
        <v>0</v>
      </c>
      <c r="BY1191" s="342"/>
      <c r="BZ1191" s="438"/>
      <c r="CA1191" s="438"/>
      <c r="CB1191" s="439"/>
      <c r="CC1191" s="439"/>
      <c r="CD1191" s="439"/>
      <c r="CE1191" s="439"/>
      <c r="CF1191" s="439"/>
    </row>
    <row r="1192" spans="1:84" s="423" customFormat="1" ht="15" hidden="1" customHeight="1" x14ac:dyDescent="0.25">
      <c r="A1192" s="311"/>
      <c r="B1192" s="621"/>
      <c r="C1192" s="627" t="s">
        <v>355</v>
      </c>
      <c r="D1192" s="1468" t="s">
        <v>1284</v>
      </c>
      <c r="E1192" s="1468"/>
      <c r="F1192" s="1468"/>
      <c r="G1192" s="1468"/>
      <c r="H1192" s="1468"/>
      <c r="I1192" s="1468"/>
      <c r="J1192" s="1468"/>
      <c r="K1192" s="1468"/>
      <c r="L1192" s="1468"/>
      <c r="M1192" s="1468"/>
      <c r="N1192" s="1468"/>
      <c r="O1192" s="1468"/>
      <c r="P1192" s="1468"/>
      <c r="Q1192" s="1468"/>
      <c r="R1192" s="1468"/>
      <c r="S1192" s="1468"/>
      <c r="T1192" s="1468"/>
      <c r="U1192" s="1468"/>
      <c r="V1192" s="1468"/>
      <c r="W1192" s="1468"/>
      <c r="X1192" s="1468"/>
      <c r="Y1192" s="1468"/>
      <c r="Z1192" s="1468"/>
      <c r="AA1192" s="1468"/>
      <c r="AB1192" s="1468"/>
      <c r="AC1192" s="1468"/>
      <c r="AD1192" s="1468"/>
      <c r="AE1192" s="1468"/>
      <c r="AF1192" s="1468"/>
      <c r="AG1192" s="1468"/>
      <c r="AH1192" s="1468"/>
      <c r="AI1192" s="1468"/>
      <c r="AJ1192" s="342"/>
      <c r="AK1192" s="345"/>
      <c r="AL1192" s="340"/>
      <c r="AM1192" s="627" t="s">
        <v>355</v>
      </c>
      <c r="AN1192" s="1468" t="s">
        <v>1285</v>
      </c>
      <c r="AO1192" s="1468"/>
      <c r="AP1192" s="1468"/>
      <c r="AQ1192" s="1468"/>
      <c r="AR1192" s="1468"/>
      <c r="AS1192" s="1468"/>
      <c r="AT1192" s="1468"/>
      <c r="AU1192" s="1468"/>
      <c r="AV1192" s="1468"/>
      <c r="AW1192" s="1468"/>
      <c r="AX1192" s="1468"/>
      <c r="AY1192" s="1468"/>
      <c r="AZ1192" s="1468"/>
      <c r="BA1192" s="1468"/>
      <c r="BB1192" s="1468"/>
      <c r="BC1192" s="1468"/>
      <c r="BD1192" s="1468"/>
      <c r="BE1192" s="1468"/>
      <c r="BF1192" s="1468"/>
      <c r="BG1192" s="1468"/>
      <c r="BH1192" s="1468"/>
      <c r="BI1192" s="1468"/>
      <c r="BJ1192" s="1468"/>
      <c r="BK1192" s="1468"/>
      <c r="BL1192" s="1468"/>
      <c r="BM1192" s="1468"/>
      <c r="BN1192" s="1468"/>
      <c r="BO1192" s="1468"/>
      <c r="BP1192" s="1468"/>
      <c r="BQ1192" s="1468"/>
      <c r="BR1192" s="1468"/>
      <c r="BS1192" s="1468"/>
      <c r="BT1192" s="356"/>
      <c r="BU1192" s="357"/>
      <c r="BV1192" s="310"/>
      <c r="BW1192" s="310"/>
      <c r="BX1192" s="300">
        <f t="shared" si="82"/>
        <v>0</v>
      </c>
      <c r="BY1192" s="342"/>
      <c r="BZ1192" s="438"/>
      <c r="CA1192" s="438"/>
      <c r="CB1192" s="439"/>
      <c r="CC1192" s="439"/>
      <c r="CD1192" s="439"/>
      <c r="CE1192" s="439"/>
      <c r="CF1192" s="439"/>
    </row>
    <row r="1193" spans="1:84" s="423" customFormat="1" ht="15" hidden="1" customHeight="1" x14ac:dyDescent="0.25">
      <c r="A1193" s="311"/>
      <c r="B1193" s="621"/>
      <c r="C1193" s="627" t="s">
        <v>355</v>
      </c>
      <c r="D1193" s="1468" t="s">
        <v>1286</v>
      </c>
      <c r="E1193" s="1468"/>
      <c r="F1193" s="1468"/>
      <c r="G1193" s="1468"/>
      <c r="H1193" s="1468"/>
      <c r="I1193" s="1468"/>
      <c r="J1193" s="1468"/>
      <c r="K1193" s="1468"/>
      <c r="L1193" s="1468"/>
      <c r="M1193" s="1468"/>
      <c r="N1193" s="1468"/>
      <c r="O1193" s="1468"/>
      <c r="P1193" s="1468"/>
      <c r="Q1193" s="1468"/>
      <c r="R1193" s="1468"/>
      <c r="S1193" s="1468"/>
      <c r="T1193" s="1468"/>
      <c r="U1193" s="1468"/>
      <c r="V1193" s="1468"/>
      <c r="W1193" s="1468"/>
      <c r="X1193" s="1468"/>
      <c r="Y1193" s="1468"/>
      <c r="Z1193" s="1468"/>
      <c r="AA1193" s="1468"/>
      <c r="AB1193" s="1468"/>
      <c r="AC1193" s="1468"/>
      <c r="AD1193" s="1468"/>
      <c r="AE1193" s="1468"/>
      <c r="AF1193" s="1468"/>
      <c r="AG1193" s="1468"/>
      <c r="AH1193" s="1468"/>
      <c r="AI1193" s="1468"/>
      <c r="AJ1193" s="342"/>
      <c r="AK1193" s="345"/>
      <c r="AL1193" s="340"/>
      <c r="AM1193" s="627" t="s">
        <v>355</v>
      </c>
      <c r="AN1193" s="1468" t="s">
        <v>1287</v>
      </c>
      <c r="AO1193" s="1468"/>
      <c r="AP1193" s="1468"/>
      <c r="AQ1193" s="1468"/>
      <c r="AR1193" s="1468"/>
      <c r="AS1193" s="1468"/>
      <c r="AT1193" s="1468"/>
      <c r="AU1193" s="1468"/>
      <c r="AV1193" s="1468"/>
      <c r="AW1193" s="1468"/>
      <c r="AX1193" s="1468"/>
      <c r="AY1193" s="1468"/>
      <c r="AZ1193" s="1468"/>
      <c r="BA1193" s="1468"/>
      <c r="BB1193" s="1468"/>
      <c r="BC1193" s="1468"/>
      <c r="BD1193" s="1468"/>
      <c r="BE1193" s="1468"/>
      <c r="BF1193" s="1468"/>
      <c r="BG1193" s="1468"/>
      <c r="BH1193" s="1468"/>
      <c r="BI1193" s="1468"/>
      <c r="BJ1193" s="1468"/>
      <c r="BK1193" s="1468"/>
      <c r="BL1193" s="1468"/>
      <c r="BM1193" s="1468"/>
      <c r="BN1193" s="1468"/>
      <c r="BO1193" s="1468"/>
      <c r="BP1193" s="1468"/>
      <c r="BQ1193" s="1468"/>
      <c r="BR1193" s="1468"/>
      <c r="BS1193" s="1468"/>
      <c r="BT1193" s="356"/>
      <c r="BU1193" s="357"/>
      <c r="BV1193" s="310"/>
      <c r="BW1193" s="310"/>
      <c r="BX1193" s="300">
        <f t="shared" si="82"/>
        <v>0</v>
      </c>
      <c r="BY1193" s="342"/>
      <c r="BZ1193" s="438"/>
      <c r="CA1193" s="438"/>
      <c r="CB1193" s="439"/>
      <c r="CC1193" s="439"/>
      <c r="CD1193" s="439"/>
      <c r="CE1193" s="439"/>
      <c r="CF1193" s="439"/>
    </row>
    <row r="1194" spans="1:84" s="423" customFormat="1" ht="15" hidden="1" customHeight="1" x14ac:dyDescent="0.25">
      <c r="A1194" s="311"/>
      <c r="B1194" s="621"/>
      <c r="C1194" s="627" t="s">
        <v>355</v>
      </c>
      <c r="D1194" s="1468" t="s">
        <v>1288</v>
      </c>
      <c r="E1194" s="1468"/>
      <c r="F1194" s="1468"/>
      <c r="G1194" s="1468"/>
      <c r="H1194" s="1468"/>
      <c r="I1194" s="1468"/>
      <c r="J1194" s="1468"/>
      <c r="K1194" s="1468"/>
      <c r="L1194" s="1468"/>
      <c r="M1194" s="1468"/>
      <c r="N1194" s="1468"/>
      <c r="O1194" s="1468"/>
      <c r="P1194" s="1468"/>
      <c r="Q1194" s="1468"/>
      <c r="R1194" s="1468"/>
      <c r="S1194" s="1468"/>
      <c r="T1194" s="1468"/>
      <c r="U1194" s="1468"/>
      <c r="V1194" s="1468"/>
      <c r="W1194" s="1468"/>
      <c r="X1194" s="1468"/>
      <c r="Y1194" s="1468"/>
      <c r="Z1194" s="1468"/>
      <c r="AA1194" s="1468"/>
      <c r="AB1194" s="1468"/>
      <c r="AC1194" s="1468"/>
      <c r="AD1194" s="1468"/>
      <c r="AE1194" s="1468"/>
      <c r="AF1194" s="1468"/>
      <c r="AG1194" s="1468"/>
      <c r="AH1194" s="1468"/>
      <c r="AI1194" s="1468"/>
      <c r="AJ1194" s="342"/>
      <c r="AK1194" s="345"/>
      <c r="AL1194" s="340"/>
      <c r="AM1194" s="627" t="s">
        <v>355</v>
      </c>
      <c r="AN1194" s="1468" t="s">
        <v>1289</v>
      </c>
      <c r="AO1194" s="1468"/>
      <c r="AP1194" s="1468"/>
      <c r="AQ1194" s="1468"/>
      <c r="AR1194" s="1468"/>
      <c r="AS1194" s="1468"/>
      <c r="AT1194" s="1468"/>
      <c r="AU1194" s="1468"/>
      <c r="AV1194" s="1468"/>
      <c r="AW1194" s="1468"/>
      <c r="AX1194" s="1468"/>
      <c r="AY1194" s="1468"/>
      <c r="AZ1194" s="1468"/>
      <c r="BA1194" s="1468"/>
      <c r="BB1194" s="1468"/>
      <c r="BC1194" s="1468"/>
      <c r="BD1194" s="1468"/>
      <c r="BE1194" s="1468"/>
      <c r="BF1194" s="1468"/>
      <c r="BG1194" s="1468"/>
      <c r="BH1194" s="1468"/>
      <c r="BI1194" s="1468"/>
      <c r="BJ1194" s="1468"/>
      <c r="BK1194" s="1468"/>
      <c r="BL1194" s="1468"/>
      <c r="BM1194" s="1468"/>
      <c r="BN1194" s="1468"/>
      <c r="BO1194" s="1468"/>
      <c r="BP1194" s="1468"/>
      <c r="BQ1194" s="1468"/>
      <c r="BR1194" s="1468"/>
      <c r="BS1194" s="1468"/>
      <c r="BT1194" s="356"/>
      <c r="BU1194" s="357"/>
      <c r="BV1194" s="310"/>
      <c r="BW1194" s="310"/>
      <c r="BX1194" s="300">
        <f t="shared" si="82"/>
        <v>0</v>
      </c>
      <c r="BY1194" s="342"/>
      <c r="BZ1194" s="438"/>
      <c r="CA1194" s="438"/>
      <c r="CB1194" s="439"/>
      <c r="CC1194" s="439"/>
      <c r="CD1194" s="439"/>
      <c r="CE1194" s="439"/>
      <c r="CF1194" s="439"/>
    </row>
    <row r="1195" spans="1:84" s="423" customFormat="1" ht="15" hidden="1" customHeight="1" x14ac:dyDescent="0.25">
      <c r="A1195" s="311"/>
      <c r="B1195" s="621"/>
      <c r="C1195" s="627" t="s">
        <v>355</v>
      </c>
      <c r="D1195" s="1468" t="s">
        <v>1290</v>
      </c>
      <c r="E1195" s="1468"/>
      <c r="F1195" s="1468"/>
      <c r="G1195" s="1468"/>
      <c r="H1195" s="1468"/>
      <c r="I1195" s="1468"/>
      <c r="J1195" s="1468"/>
      <c r="K1195" s="1468"/>
      <c r="L1195" s="1468"/>
      <c r="M1195" s="1468"/>
      <c r="N1195" s="1468"/>
      <c r="O1195" s="1468"/>
      <c r="P1195" s="1468"/>
      <c r="Q1195" s="1468"/>
      <c r="R1195" s="1468"/>
      <c r="S1195" s="1468"/>
      <c r="T1195" s="1468"/>
      <c r="U1195" s="1468"/>
      <c r="V1195" s="1468"/>
      <c r="W1195" s="1468"/>
      <c r="X1195" s="1468"/>
      <c r="Y1195" s="1468"/>
      <c r="Z1195" s="1468"/>
      <c r="AA1195" s="1468"/>
      <c r="AB1195" s="1468"/>
      <c r="AC1195" s="1468"/>
      <c r="AD1195" s="1468"/>
      <c r="AE1195" s="1468"/>
      <c r="AF1195" s="1468"/>
      <c r="AG1195" s="1468"/>
      <c r="AH1195" s="1468"/>
      <c r="AI1195" s="1468"/>
      <c r="AJ1195" s="342"/>
      <c r="AK1195" s="345"/>
      <c r="AL1195" s="340"/>
      <c r="AM1195" s="627" t="s">
        <v>355</v>
      </c>
      <c r="AN1195" s="1468" t="s">
        <v>1291</v>
      </c>
      <c r="AO1195" s="1468"/>
      <c r="AP1195" s="1468"/>
      <c r="AQ1195" s="1468"/>
      <c r="AR1195" s="1468"/>
      <c r="AS1195" s="1468"/>
      <c r="AT1195" s="1468"/>
      <c r="AU1195" s="1468"/>
      <c r="AV1195" s="1468"/>
      <c r="AW1195" s="1468"/>
      <c r="AX1195" s="1468"/>
      <c r="AY1195" s="1468"/>
      <c r="AZ1195" s="1468"/>
      <c r="BA1195" s="1468"/>
      <c r="BB1195" s="1468"/>
      <c r="BC1195" s="1468"/>
      <c r="BD1195" s="1468"/>
      <c r="BE1195" s="1468"/>
      <c r="BF1195" s="1468"/>
      <c r="BG1195" s="1468"/>
      <c r="BH1195" s="1468"/>
      <c r="BI1195" s="1468"/>
      <c r="BJ1195" s="1468"/>
      <c r="BK1195" s="1468"/>
      <c r="BL1195" s="1468"/>
      <c r="BM1195" s="1468"/>
      <c r="BN1195" s="1468"/>
      <c r="BO1195" s="1468"/>
      <c r="BP1195" s="1468"/>
      <c r="BQ1195" s="1468"/>
      <c r="BR1195" s="1468"/>
      <c r="BS1195" s="1468"/>
      <c r="BT1195" s="356"/>
      <c r="BU1195" s="357"/>
      <c r="BV1195" s="310"/>
      <c r="BW1195" s="310"/>
      <c r="BX1195" s="300">
        <f t="shared" si="82"/>
        <v>0</v>
      </c>
      <c r="BY1195" s="342"/>
      <c r="BZ1195" s="438"/>
      <c r="CA1195" s="438"/>
      <c r="CB1195" s="439"/>
      <c r="CC1195" s="439"/>
      <c r="CD1195" s="439"/>
      <c r="CE1195" s="439"/>
      <c r="CF1195" s="439"/>
    </row>
    <row r="1196" spans="1:84" s="423" customFormat="1" ht="15" hidden="1" customHeight="1" x14ac:dyDescent="0.25">
      <c r="A1196" s="311"/>
      <c r="B1196" s="621"/>
      <c r="C1196" s="627" t="s">
        <v>355</v>
      </c>
      <c r="D1196" s="1468" t="s">
        <v>1292</v>
      </c>
      <c r="E1196" s="1468"/>
      <c r="F1196" s="1468"/>
      <c r="G1196" s="1468"/>
      <c r="H1196" s="1468"/>
      <c r="I1196" s="1468"/>
      <c r="J1196" s="1468"/>
      <c r="K1196" s="1468"/>
      <c r="L1196" s="1468"/>
      <c r="M1196" s="1468"/>
      <c r="N1196" s="1468"/>
      <c r="O1196" s="1468"/>
      <c r="P1196" s="1468"/>
      <c r="Q1196" s="1468"/>
      <c r="R1196" s="1468"/>
      <c r="S1196" s="1468"/>
      <c r="T1196" s="1468"/>
      <c r="U1196" s="1468"/>
      <c r="V1196" s="1468"/>
      <c r="W1196" s="1468"/>
      <c r="X1196" s="1468"/>
      <c r="Y1196" s="1468"/>
      <c r="Z1196" s="1468"/>
      <c r="AA1196" s="1468"/>
      <c r="AB1196" s="1468"/>
      <c r="AC1196" s="1468"/>
      <c r="AD1196" s="1468"/>
      <c r="AE1196" s="1468"/>
      <c r="AF1196" s="1468"/>
      <c r="AG1196" s="1468"/>
      <c r="AH1196" s="1468"/>
      <c r="AI1196" s="1468"/>
      <c r="AJ1196" s="342"/>
      <c r="AK1196" s="345"/>
      <c r="AL1196" s="340"/>
      <c r="AM1196" s="627" t="s">
        <v>355</v>
      </c>
      <c r="AN1196" s="1468" t="s">
        <v>1293</v>
      </c>
      <c r="AO1196" s="1468"/>
      <c r="AP1196" s="1468"/>
      <c r="AQ1196" s="1468"/>
      <c r="AR1196" s="1468"/>
      <c r="AS1196" s="1468"/>
      <c r="AT1196" s="1468"/>
      <c r="AU1196" s="1468"/>
      <c r="AV1196" s="1468"/>
      <c r="AW1196" s="1468"/>
      <c r="AX1196" s="1468"/>
      <c r="AY1196" s="1468"/>
      <c r="AZ1196" s="1468"/>
      <c r="BA1196" s="1468"/>
      <c r="BB1196" s="1468"/>
      <c r="BC1196" s="1468"/>
      <c r="BD1196" s="1468"/>
      <c r="BE1196" s="1468"/>
      <c r="BF1196" s="1468"/>
      <c r="BG1196" s="1468"/>
      <c r="BH1196" s="1468"/>
      <c r="BI1196" s="1468"/>
      <c r="BJ1196" s="1468"/>
      <c r="BK1196" s="1468"/>
      <c r="BL1196" s="1468"/>
      <c r="BM1196" s="1468"/>
      <c r="BN1196" s="1468"/>
      <c r="BO1196" s="1468"/>
      <c r="BP1196" s="1468"/>
      <c r="BQ1196" s="1468"/>
      <c r="BR1196" s="1468"/>
      <c r="BS1196" s="1468"/>
      <c r="BT1196" s="356"/>
      <c r="BU1196" s="357"/>
      <c r="BV1196" s="310"/>
      <c r="BW1196" s="310"/>
      <c r="BX1196" s="300">
        <f t="shared" si="82"/>
        <v>0</v>
      </c>
      <c r="BY1196" s="342"/>
      <c r="BZ1196" s="438"/>
      <c r="CA1196" s="438"/>
      <c r="CB1196" s="439"/>
      <c r="CC1196" s="439"/>
      <c r="CD1196" s="439"/>
      <c r="CE1196" s="439"/>
      <c r="CF1196" s="439"/>
    </row>
    <row r="1197" spans="1:84" s="423" customFormat="1" ht="15" hidden="1" customHeight="1" x14ac:dyDescent="0.25">
      <c r="A1197" s="311"/>
      <c r="B1197" s="621"/>
      <c r="C1197" s="627" t="s">
        <v>355</v>
      </c>
      <c r="D1197" s="1468" t="s">
        <v>1294</v>
      </c>
      <c r="E1197" s="1468"/>
      <c r="F1197" s="1468"/>
      <c r="G1197" s="1468"/>
      <c r="H1197" s="1468"/>
      <c r="I1197" s="1468"/>
      <c r="J1197" s="1468"/>
      <c r="K1197" s="1468"/>
      <c r="L1197" s="1468"/>
      <c r="M1197" s="1468"/>
      <c r="N1197" s="1468"/>
      <c r="O1197" s="1468"/>
      <c r="P1197" s="1468"/>
      <c r="Q1197" s="1468"/>
      <c r="R1197" s="1468"/>
      <c r="S1197" s="1468"/>
      <c r="T1197" s="1468"/>
      <c r="U1197" s="1468"/>
      <c r="V1197" s="1468"/>
      <c r="W1197" s="1468"/>
      <c r="X1197" s="1468"/>
      <c r="Y1197" s="1468"/>
      <c r="Z1197" s="1468"/>
      <c r="AA1197" s="1468"/>
      <c r="AB1197" s="1468"/>
      <c r="AC1197" s="1468"/>
      <c r="AD1197" s="1468"/>
      <c r="AE1197" s="1468"/>
      <c r="AF1197" s="1468"/>
      <c r="AG1197" s="1468"/>
      <c r="AH1197" s="1468"/>
      <c r="AI1197" s="1468"/>
      <c r="AJ1197" s="342"/>
      <c r="AK1197" s="345"/>
      <c r="AL1197" s="340"/>
      <c r="AM1197" s="627" t="s">
        <v>355</v>
      </c>
      <c r="AN1197" s="1468" t="s">
        <v>1295</v>
      </c>
      <c r="AO1197" s="1468"/>
      <c r="AP1197" s="1468"/>
      <c r="AQ1197" s="1468"/>
      <c r="AR1197" s="1468"/>
      <c r="AS1197" s="1468"/>
      <c r="AT1197" s="1468"/>
      <c r="AU1197" s="1468"/>
      <c r="AV1197" s="1468"/>
      <c r="AW1197" s="1468"/>
      <c r="AX1197" s="1468"/>
      <c r="AY1197" s="1468"/>
      <c r="AZ1197" s="1468"/>
      <c r="BA1197" s="1468"/>
      <c r="BB1197" s="1468"/>
      <c r="BC1197" s="1468"/>
      <c r="BD1197" s="1468"/>
      <c r="BE1197" s="1468"/>
      <c r="BF1197" s="1468"/>
      <c r="BG1197" s="1468"/>
      <c r="BH1197" s="1468"/>
      <c r="BI1197" s="1468"/>
      <c r="BJ1197" s="1468"/>
      <c r="BK1197" s="1468"/>
      <c r="BL1197" s="1468"/>
      <c r="BM1197" s="1468"/>
      <c r="BN1197" s="1468"/>
      <c r="BO1197" s="1468"/>
      <c r="BP1197" s="1468"/>
      <c r="BQ1197" s="1468"/>
      <c r="BR1197" s="1468"/>
      <c r="BS1197" s="1468"/>
      <c r="BT1197" s="356"/>
      <c r="BU1197" s="357"/>
      <c r="BV1197" s="310"/>
      <c r="BW1197" s="310"/>
      <c r="BX1197" s="300">
        <f t="shared" si="82"/>
        <v>0</v>
      </c>
      <c r="BY1197" s="342"/>
      <c r="BZ1197" s="438"/>
      <c r="CA1197" s="438"/>
      <c r="CB1197" s="439"/>
      <c r="CC1197" s="439"/>
      <c r="CD1197" s="439"/>
      <c r="CE1197" s="439"/>
      <c r="CF1197" s="439"/>
    </row>
    <row r="1198" spans="1:84" s="423" customFormat="1" ht="15" hidden="1" customHeight="1" x14ac:dyDescent="0.25">
      <c r="A1198" s="311"/>
      <c r="B1198" s="621"/>
      <c r="C1198" s="627"/>
      <c r="D1198" s="1468"/>
      <c r="E1198" s="1468"/>
      <c r="F1198" s="1468"/>
      <c r="G1198" s="1468"/>
      <c r="H1198" s="1468"/>
      <c r="I1198" s="1468"/>
      <c r="J1198" s="1468"/>
      <c r="K1198" s="1468"/>
      <c r="L1198" s="1468"/>
      <c r="M1198" s="1468"/>
      <c r="N1198" s="1468"/>
      <c r="O1198" s="1468"/>
      <c r="P1198" s="1468"/>
      <c r="Q1198" s="1468"/>
      <c r="R1198" s="1468"/>
      <c r="S1198" s="1468"/>
      <c r="T1198" s="1468"/>
      <c r="U1198" s="1468"/>
      <c r="V1198" s="1468"/>
      <c r="W1198" s="1468"/>
      <c r="X1198" s="1468"/>
      <c r="Y1198" s="1468"/>
      <c r="Z1198" s="1468"/>
      <c r="AA1198" s="1468"/>
      <c r="AB1198" s="1468"/>
      <c r="AC1198" s="1468"/>
      <c r="AD1198" s="1468"/>
      <c r="AE1198" s="1468"/>
      <c r="AF1198" s="1468"/>
      <c r="AG1198" s="1468"/>
      <c r="AH1198" s="1468"/>
      <c r="AI1198" s="1468"/>
      <c r="AJ1198" s="342"/>
      <c r="AK1198" s="345"/>
      <c r="AL1198" s="340"/>
      <c r="AM1198" s="627"/>
      <c r="AN1198" s="1468"/>
      <c r="AO1198" s="1468"/>
      <c r="AP1198" s="1468"/>
      <c r="AQ1198" s="1468"/>
      <c r="AR1198" s="1468"/>
      <c r="AS1198" s="1468"/>
      <c r="AT1198" s="1468"/>
      <c r="AU1198" s="1468"/>
      <c r="AV1198" s="1468"/>
      <c r="AW1198" s="1468"/>
      <c r="AX1198" s="1468"/>
      <c r="AY1198" s="1468"/>
      <c r="AZ1198" s="1468"/>
      <c r="BA1198" s="1468"/>
      <c r="BB1198" s="1468"/>
      <c r="BC1198" s="1468"/>
      <c r="BD1198" s="1468"/>
      <c r="BE1198" s="1468"/>
      <c r="BF1198" s="1468"/>
      <c r="BG1198" s="1468"/>
      <c r="BH1198" s="1468"/>
      <c r="BI1198" s="1468"/>
      <c r="BJ1198" s="1468"/>
      <c r="BK1198" s="1468"/>
      <c r="BL1198" s="1468"/>
      <c r="BM1198" s="1468"/>
      <c r="BN1198" s="1468"/>
      <c r="BO1198" s="1468"/>
      <c r="BP1198" s="1468"/>
      <c r="BQ1198" s="1468"/>
      <c r="BR1198" s="1468"/>
      <c r="BS1198" s="1468"/>
      <c r="BT1198" s="356"/>
      <c r="BU1198" s="357"/>
      <c r="BV1198" s="310"/>
      <c r="BW1198" s="310"/>
      <c r="BX1198" s="300">
        <f t="shared" si="82"/>
        <v>0</v>
      </c>
      <c r="BY1198" s="342"/>
      <c r="BZ1198" s="438"/>
      <c r="CA1198" s="438"/>
      <c r="CB1198" s="439"/>
      <c r="CC1198" s="439"/>
      <c r="CD1198" s="439"/>
      <c r="CE1198" s="439"/>
      <c r="CF1198" s="439"/>
    </row>
    <row r="1199" spans="1:84" s="423" customFormat="1" ht="15" hidden="1" customHeight="1" x14ac:dyDescent="0.25">
      <c r="A1199" s="624"/>
      <c r="B1199" s="625"/>
      <c r="C1199" s="1469" t="s">
        <v>1296</v>
      </c>
      <c r="D1199" s="1469"/>
      <c r="E1199" s="1469"/>
      <c r="F1199" s="1469"/>
      <c r="G1199" s="1469"/>
      <c r="H1199" s="1469"/>
      <c r="I1199" s="1469"/>
      <c r="J1199" s="1469"/>
      <c r="K1199" s="1469"/>
      <c r="L1199" s="1469"/>
      <c r="M1199" s="1469"/>
      <c r="N1199" s="1469"/>
      <c r="O1199" s="1469"/>
      <c r="P1199" s="1469"/>
      <c r="Q1199" s="1469"/>
      <c r="R1199" s="1469"/>
      <c r="S1199" s="1469"/>
      <c r="T1199" s="1469"/>
      <c r="U1199" s="1469"/>
      <c r="V1199" s="1469"/>
      <c r="W1199" s="1469"/>
      <c r="X1199" s="1469"/>
      <c r="Y1199" s="1469"/>
      <c r="Z1199" s="1469"/>
      <c r="AA1199" s="1469"/>
      <c r="AB1199" s="1469"/>
      <c r="AC1199" s="1469"/>
      <c r="AD1199" s="1469"/>
      <c r="AE1199" s="1469"/>
      <c r="AF1199" s="1469"/>
      <c r="AG1199" s="1469"/>
      <c r="AH1199" s="1469"/>
      <c r="AI1199" s="1469"/>
      <c r="AJ1199" s="342"/>
      <c r="AK1199" s="345"/>
      <c r="AL1199" s="340"/>
      <c r="AM1199" s="1469" t="s">
        <v>1297</v>
      </c>
      <c r="AN1199" s="1469"/>
      <c r="AO1199" s="1469"/>
      <c r="AP1199" s="1469"/>
      <c r="AQ1199" s="1469"/>
      <c r="AR1199" s="1469"/>
      <c r="AS1199" s="1469"/>
      <c r="AT1199" s="1469"/>
      <c r="AU1199" s="1469"/>
      <c r="AV1199" s="1469"/>
      <c r="AW1199" s="1469"/>
      <c r="AX1199" s="1469"/>
      <c r="AY1199" s="1469"/>
      <c r="AZ1199" s="1469"/>
      <c r="BA1199" s="1469"/>
      <c r="BB1199" s="1469"/>
      <c r="BC1199" s="1469"/>
      <c r="BD1199" s="1469"/>
      <c r="BE1199" s="1469"/>
      <c r="BF1199" s="1469"/>
      <c r="BG1199" s="1469"/>
      <c r="BH1199" s="1469"/>
      <c r="BI1199" s="1469"/>
      <c r="BJ1199" s="1469"/>
      <c r="BK1199" s="1469"/>
      <c r="BL1199" s="1469"/>
      <c r="BM1199" s="1469"/>
      <c r="BN1199" s="1469"/>
      <c r="BO1199" s="1469"/>
      <c r="BP1199" s="1469"/>
      <c r="BQ1199" s="1469"/>
      <c r="BR1199" s="1469"/>
      <c r="BS1199" s="1469"/>
      <c r="BT1199" s="356"/>
      <c r="BU1199" s="357"/>
      <c r="BV1199" s="310"/>
      <c r="BW1199" s="310"/>
      <c r="BX1199" s="300">
        <f t="shared" si="82"/>
        <v>0</v>
      </c>
      <c r="BY1199" s="342"/>
      <c r="BZ1199" s="438"/>
      <c r="CA1199" s="438"/>
      <c r="CB1199" s="439"/>
      <c r="CC1199" s="439"/>
      <c r="CD1199" s="439"/>
      <c r="CE1199" s="439"/>
      <c r="CF1199" s="439"/>
    </row>
    <row r="1200" spans="1:84" s="423" customFormat="1" ht="15" hidden="1" customHeight="1" x14ac:dyDescent="0.25">
      <c r="A1200" s="311"/>
      <c r="B1200" s="621"/>
      <c r="C1200" s="627" t="s">
        <v>355</v>
      </c>
      <c r="D1200" s="1468" t="s">
        <v>1284</v>
      </c>
      <c r="E1200" s="1468"/>
      <c r="F1200" s="1468"/>
      <c r="G1200" s="1468"/>
      <c r="H1200" s="1468"/>
      <c r="I1200" s="1468"/>
      <c r="J1200" s="1468"/>
      <c r="K1200" s="1468"/>
      <c r="L1200" s="1468"/>
      <c r="M1200" s="1468"/>
      <c r="N1200" s="1468"/>
      <c r="O1200" s="1468"/>
      <c r="P1200" s="1468"/>
      <c r="Q1200" s="1468"/>
      <c r="R1200" s="1468"/>
      <c r="S1200" s="1468"/>
      <c r="T1200" s="1468"/>
      <c r="U1200" s="1468"/>
      <c r="V1200" s="1468"/>
      <c r="W1200" s="1468"/>
      <c r="X1200" s="1468"/>
      <c r="Y1200" s="1468"/>
      <c r="Z1200" s="1468"/>
      <c r="AA1200" s="1468"/>
      <c r="AB1200" s="1468"/>
      <c r="AC1200" s="1468"/>
      <c r="AD1200" s="1468"/>
      <c r="AE1200" s="1468"/>
      <c r="AF1200" s="1468"/>
      <c r="AG1200" s="1468"/>
      <c r="AH1200" s="1468"/>
      <c r="AI1200" s="1468"/>
      <c r="AJ1200" s="342"/>
      <c r="AK1200" s="345"/>
      <c r="AL1200" s="340"/>
      <c r="AM1200" s="627" t="s">
        <v>355</v>
      </c>
      <c r="AN1200" s="1468" t="s">
        <v>1285</v>
      </c>
      <c r="AO1200" s="1468"/>
      <c r="AP1200" s="1468"/>
      <c r="AQ1200" s="1468"/>
      <c r="AR1200" s="1468"/>
      <c r="AS1200" s="1468"/>
      <c r="AT1200" s="1468"/>
      <c r="AU1200" s="1468"/>
      <c r="AV1200" s="1468"/>
      <c r="AW1200" s="1468"/>
      <c r="AX1200" s="1468"/>
      <c r="AY1200" s="1468"/>
      <c r="AZ1200" s="1468"/>
      <c r="BA1200" s="1468"/>
      <c r="BB1200" s="1468"/>
      <c r="BC1200" s="1468"/>
      <c r="BD1200" s="1468"/>
      <c r="BE1200" s="1468"/>
      <c r="BF1200" s="1468"/>
      <c r="BG1200" s="1468"/>
      <c r="BH1200" s="1468"/>
      <c r="BI1200" s="1468"/>
      <c r="BJ1200" s="1468"/>
      <c r="BK1200" s="1468"/>
      <c r="BL1200" s="1468"/>
      <c r="BM1200" s="1468"/>
      <c r="BN1200" s="1468"/>
      <c r="BO1200" s="1468"/>
      <c r="BP1200" s="1468"/>
      <c r="BQ1200" s="1468"/>
      <c r="BR1200" s="1468"/>
      <c r="BS1200" s="1468"/>
      <c r="BT1200" s="356"/>
      <c r="BU1200" s="357"/>
      <c r="BV1200" s="310"/>
      <c r="BW1200" s="310"/>
      <c r="BX1200" s="300">
        <f t="shared" si="82"/>
        <v>0</v>
      </c>
      <c r="BY1200" s="342"/>
      <c r="BZ1200" s="438"/>
      <c r="CA1200" s="438"/>
      <c r="CB1200" s="439"/>
      <c r="CC1200" s="439"/>
      <c r="CD1200" s="439"/>
      <c r="CE1200" s="439"/>
      <c r="CF1200" s="439"/>
    </row>
    <row r="1201" spans="1:84" s="423" customFormat="1" ht="15" hidden="1" customHeight="1" x14ac:dyDescent="0.25">
      <c r="A1201" s="311"/>
      <c r="B1201" s="621"/>
      <c r="C1201" s="627" t="s">
        <v>355</v>
      </c>
      <c r="D1201" s="1468" t="s">
        <v>1286</v>
      </c>
      <c r="E1201" s="1468"/>
      <c r="F1201" s="1468"/>
      <c r="G1201" s="1468"/>
      <c r="H1201" s="1468"/>
      <c r="I1201" s="1468"/>
      <c r="J1201" s="1468"/>
      <c r="K1201" s="1468"/>
      <c r="L1201" s="1468"/>
      <c r="M1201" s="1468"/>
      <c r="N1201" s="1468"/>
      <c r="O1201" s="1468"/>
      <c r="P1201" s="1468"/>
      <c r="Q1201" s="1468"/>
      <c r="R1201" s="1468"/>
      <c r="S1201" s="1468"/>
      <c r="T1201" s="1468"/>
      <c r="U1201" s="1468"/>
      <c r="V1201" s="1468"/>
      <c r="W1201" s="1468"/>
      <c r="X1201" s="1468"/>
      <c r="Y1201" s="1468"/>
      <c r="Z1201" s="1468"/>
      <c r="AA1201" s="1468"/>
      <c r="AB1201" s="1468"/>
      <c r="AC1201" s="1468"/>
      <c r="AD1201" s="1468"/>
      <c r="AE1201" s="1468"/>
      <c r="AF1201" s="1468"/>
      <c r="AG1201" s="1468"/>
      <c r="AH1201" s="1468"/>
      <c r="AI1201" s="1468"/>
      <c r="AJ1201" s="342"/>
      <c r="AK1201" s="345"/>
      <c r="AL1201" s="340"/>
      <c r="AM1201" s="627" t="s">
        <v>355</v>
      </c>
      <c r="AN1201" s="1468" t="s">
        <v>1287</v>
      </c>
      <c r="AO1201" s="1468"/>
      <c r="AP1201" s="1468"/>
      <c r="AQ1201" s="1468"/>
      <c r="AR1201" s="1468"/>
      <c r="AS1201" s="1468"/>
      <c r="AT1201" s="1468"/>
      <c r="AU1201" s="1468"/>
      <c r="AV1201" s="1468"/>
      <c r="AW1201" s="1468"/>
      <c r="AX1201" s="1468"/>
      <c r="AY1201" s="1468"/>
      <c r="AZ1201" s="1468"/>
      <c r="BA1201" s="1468"/>
      <c r="BB1201" s="1468"/>
      <c r="BC1201" s="1468"/>
      <c r="BD1201" s="1468"/>
      <c r="BE1201" s="1468"/>
      <c r="BF1201" s="1468"/>
      <c r="BG1201" s="1468"/>
      <c r="BH1201" s="1468"/>
      <c r="BI1201" s="1468"/>
      <c r="BJ1201" s="1468"/>
      <c r="BK1201" s="1468"/>
      <c r="BL1201" s="1468"/>
      <c r="BM1201" s="1468"/>
      <c r="BN1201" s="1468"/>
      <c r="BO1201" s="1468"/>
      <c r="BP1201" s="1468"/>
      <c r="BQ1201" s="1468"/>
      <c r="BR1201" s="1468"/>
      <c r="BS1201" s="1468"/>
      <c r="BT1201" s="356"/>
      <c r="BU1201" s="357"/>
      <c r="BV1201" s="310"/>
      <c r="BW1201" s="310"/>
      <c r="BX1201" s="300">
        <f t="shared" si="82"/>
        <v>0</v>
      </c>
      <c r="BY1201" s="342"/>
      <c r="BZ1201" s="438"/>
      <c r="CA1201" s="438"/>
      <c r="CB1201" s="439"/>
      <c r="CC1201" s="439"/>
      <c r="CD1201" s="439"/>
      <c r="CE1201" s="439"/>
      <c r="CF1201" s="439"/>
    </row>
    <row r="1202" spans="1:84" s="423" customFormat="1" ht="15" hidden="1" customHeight="1" x14ac:dyDescent="0.25">
      <c r="A1202" s="311"/>
      <c r="B1202" s="621"/>
      <c r="C1202" s="627" t="s">
        <v>355</v>
      </c>
      <c r="D1202" s="1468" t="s">
        <v>1288</v>
      </c>
      <c r="E1202" s="1468"/>
      <c r="F1202" s="1468"/>
      <c r="G1202" s="1468"/>
      <c r="H1202" s="1468"/>
      <c r="I1202" s="1468"/>
      <c r="J1202" s="1468"/>
      <c r="K1202" s="1468"/>
      <c r="L1202" s="1468"/>
      <c r="M1202" s="1468"/>
      <c r="N1202" s="1468"/>
      <c r="O1202" s="1468"/>
      <c r="P1202" s="1468"/>
      <c r="Q1202" s="1468"/>
      <c r="R1202" s="1468"/>
      <c r="S1202" s="1468"/>
      <c r="T1202" s="1468"/>
      <c r="U1202" s="1468"/>
      <c r="V1202" s="1468"/>
      <c r="W1202" s="1468"/>
      <c r="X1202" s="1468"/>
      <c r="Y1202" s="1468"/>
      <c r="Z1202" s="1468"/>
      <c r="AA1202" s="1468"/>
      <c r="AB1202" s="1468"/>
      <c r="AC1202" s="1468"/>
      <c r="AD1202" s="1468"/>
      <c r="AE1202" s="1468"/>
      <c r="AF1202" s="1468"/>
      <c r="AG1202" s="1468"/>
      <c r="AH1202" s="1468"/>
      <c r="AI1202" s="1468"/>
      <c r="AJ1202" s="342"/>
      <c r="AK1202" s="345"/>
      <c r="AL1202" s="340"/>
      <c r="AM1202" s="627" t="s">
        <v>355</v>
      </c>
      <c r="AN1202" s="1468" t="s">
        <v>1289</v>
      </c>
      <c r="AO1202" s="1468"/>
      <c r="AP1202" s="1468"/>
      <c r="AQ1202" s="1468"/>
      <c r="AR1202" s="1468"/>
      <c r="AS1202" s="1468"/>
      <c r="AT1202" s="1468"/>
      <c r="AU1202" s="1468"/>
      <c r="AV1202" s="1468"/>
      <c r="AW1202" s="1468"/>
      <c r="AX1202" s="1468"/>
      <c r="AY1202" s="1468"/>
      <c r="AZ1202" s="1468"/>
      <c r="BA1202" s="1468"/>
      <c r="BB1202" s="1468"/>
      <c r="BC1202" s="1468"/>
      <c r="BD1202" s="1468"/>
      <c r="BE1202" s="1468"/>
      <c r="BF1202" s="1468"/>
      <c r="BG1202" s="1468"/>
      <c r="BH1202" s="1468"/>
      <c r="BI1202" s="1468"/>
      <c r="BJ1202" s="1468"/>
      <c r="BK1202" s="1468"/>
      <c r="BL1202" s="1468"/>
      <c r="BM1202" s="1468"/>
      <c r="BN1202" s="1468"/>
      <c r="BO1202" s="1468"/>
      <c r="BP1202" s="1468"/>
      <c r="BQ1202" s="1468"/>
      <c r="BR1202" s="1468"/>
      <c r="BS1202" s="1468"/>
      <c r="BT1202" s="356"/>
      <c r="BU1202" s="357"/>
      <c r="BV1202" s="310"/>
      <c r="BW1202" s="310"/>
      <c r="BX1202" s="300">
        <f t="shared" ref="BX1202:BX1268" si="83">IF(ISNONTEXT($C1202),0,SUM(D1202:AI1202)-SUM(AN1202:BS1202))</f>
        <v>0</v>
      </c>
      <c r="BY1202" s="342"/>
      <c r="BZ1202" s="438"/>
      <c r="CA1202" s="438"/>
      <c r="CB1202" s="439"/>
      <c r="CC1202" s="439"/>
      <c r="CD1202" s="439"/>
      <c r="CE1202" s="439"/>
      <c r="CF1202" s="439"/>
    </row>
    <row r="1203" spans="1:84" s="423" customFormat="1" ht="15" hidden="1" customHeight="1" x14ac:dyDescent="0.25">
      <c r="A1203" s="311"/>
      <c r="B1203" s="621"/>
      <c r="C1203" s="627" t="s">
        <v>355</v>
      </c>
      <c r="D1203" s="1468" t="s">
        <v>1290</v>
      </c>
      <c r="E1203" s="1468"/>
      <c r="F1203" s="1468"/>
      <c r="G1203" s="1468"/>
      <c r="H1203" s="1468"/>
      <c r="I1203" s="1468"/>
      <c r="J1203" s="1468"/>
      <c r="K1203" s="1468"/>
      <c r="L1203" s="1468"/>
      <c r="M1203" s="1468"/>
      <c r="N1203" s="1468"/>
      <c r="O1203" s="1468"/>
      <c r="P1203" s="1468"/>
      <c r="Q1203" s="1468"/>
      <c r="R1203" s="1468"/>
      <c r="S1203" s="1468"/>
      <c r="T1203" s="1468"/>
      <c r="U1203" s="1468"/>
      <c r="V1203" s="1468"/>
      <c r="W1203" s="1468"/>
      <c r="X1203" s="1468"/>
      <c r="Y1203" s="1468"/>
      <c r="Z1203" s="1468"/>
      <c r="AA1203" s="1468"/>
      <c r="AB1203" s="1468"/>
      <c r="AC1203" s="1468"/>
      <c r="AD1203" s="1468"/>
      <c r="AE1203" s="1468"/>
      <c r="AF1203" s="1468"/>
      <c r="AG1203" s="1468"/>
      <c r="AH1203" s="1468"/>
      <c r="AI1203" s="1468"/>
      <c r="AJ1203" s="342"/>
      <c r="AK1203" s="345"/>
      <c r="AL1203" s="340"/>
      <c r="AM1203" s="627" t="s">
        <v>355</v>
      </c>
      <c r="AN1203" s="1468" t="s">
        <v>1291</v>
      </c>
      <c r="AO1203" s="1468"/>
      <c r="AP1203" s="1468"/>
      <c r="AQ1203" s="1468"/>
      <c r="AR1203" s="1468"/>
      <c r="AS1203" s="1468"/>
      <c r="AT1203" s="1468"/>
      <c r="AU1203" s="1468"/>
      <c r="AV1203" s="1468"/>
      <c r="AW1203" s="1468"/>
      <c r="AX1203" s="1468"/>
      <c r="AY1203" s="1468"/>
      <c r="AZ1203" s="1468"/>
      <c r="BA1203" s="1468"/>
      <c r="BB1203" s="1468"/>
      <c r="BC1203" s="1468"/>
      <c r="BD1203" s="1468"/>
      <c r="BE1203" s="1468"/>
      <c r="BF1203" s="1468"/>
      <c r="BG1203" s="1468"/>
      <c r="BH1203" s="1468"/>
      <c r="BI1203" s="1468"/>
      <c r="BJ1203" s="1468"/>
      <c r="BK1203" s="1468"/>
      <c r="BL1203" s="1468"/>
      <c r="BM1203" s="1468"/>
      <c r="BN1203" s="1468"/>
      <c r="BO1203" s="1468"/>
      <c r="BP1203" s="1468"/>
      <c r="BQ1203" s="1468"/>
      <c r="BR1203" s="1468"/>
      <c r="BS1203" s="1468"/>
      <c r="BT1203" s="356"/>
      <c r="BU1203" s="357"/>
      <c r="BV1203" s="310"/>
      <c r="BW1203" s="310"/>
      <c r="BX1203" s="300">
        <f t="shared" si="83"/>
        <v>0</v>
      </c>
      <c r="BY1203" s="342"/>
      <c r="BZ1203" s="438"/>
      <c r="CA1203" s="438"/>
      <c r="CB1203" s="439"/>
      <c r="CC1203" s="439"/>
      <c r="CD1203" s="439"/>
      <c r="CE1203" s="439"/>
      <c r="CF1203" s="439"/>
    </row>
    <row r="1204" spans="1:84" s="423" customFormat="1" ht="15" hidden="1" customHeight="1" x14ac:dyDescent="0.25">
      <c r="A1204" s="311"/>
      <c r="B1204" s="621"/>
      <c r="C1204" s="627" t="s">
        <v>355</v>
      </c>
      <c r="D1204" s="1468" t="s">
        <v>1292</v>
      </c>
      <c r="E1204" s="1468"/>
      <c r="F1204" s="1468"/>
      <c r="G1204" s="1468"/>
      <c r="H1204" s="1468"/>
      <c r="I1204" s="1468"/>
      <c r="J1204" s="1468"/>
      <c r="K1204" s="1468"/>
      <c r="L1204" s="1468"/>
      <c r="M1204" s="1468"/>
      <c r="N1204" s="1468"/>
      <c r="O1204" s="1468"/>
      <c r="P1204" s="1468"/>
      <c r="Q1204" s="1468"/>
      <c r="R1204" s="1468"/>
      <c r="S1204" s="1468"/>
      <c r="T1204" s="1468"/>
      <c r="U1204" s="1468"/>
      <c r="V1204" s="1468"/>
      <c r="W1204" s="1468"/>
      <c r="X1204" s="1468"/>
      <c r="Y1204" s="1468"/>
      <c r="Z1204" s="1468"/>
      <c r="AA1204" s="1468"/>
      <c r="AB1204" s="1468"/>
      <c r="AC1204" s="1468"/>
      <c r="AD1204" s="1468"/>
      <c r="AE1204" s="1468"/>
      <c r="AF1204" s="1468"/>
      <c r="AG1204" s="1468"/>
      <c r="AH1204" s="1468"/>
      <c r="AI1204" s="1468"/>
      <c r="AJ1204" s="342"/>
      <c r="AK1204" s="345"/>
      <c r="AL1204" s="340"/>
      <c r="AM1204" s="627" t="s">
        <v>355</v>
      </c>
      <c r="AN1204" s="1468" t="s">
        <v>1293</v>
      </c>
      <c r="AO1204" s="1468"/>
      <c r="AP1204" s="1468"/>
      <c r="AQ1204" s="1468"/>
      <c r="AR1204" s="1468"/>
      <c r="AS1204" s="1468"/>
      <c r="AT1204" s="1468"/>
      <c r="AU1204" s="1468"/>
      <c r="AV1204" s="1468"/>
      <c r="AW1204" s="1468"/>
      <c r="AX1204" s="1468"/>
      <c r="AY1204" s="1468"/>
      <c r="AZ1204" s="1468"/>
      <c r="BA1204" s="1468"/>
      <c r="BB1204" s="1468"/>
      <c r="BC1204" s="1468"/>
      <c r="BD1204" s="1468"/>
      <c r="BE1204" s="1468"/>
      <c r="BF1204" s="1468"/>
      <c r="BG1204" s="1468"/>
      <c r="BH1204" s="1468"/>
      <c r="BI1204" s="1468"/>
      <c r="BJ1204" s="1468"/>
      <c r="BK1204" s="1468"/>
      <c r="BL1204" s="1468"/>
      <c r="BM1204" s="1468"/>
      <c r="BN1204" s="1468"/>
      <c r="BO1204" s="1468"/>
      <c r="BP1204" s="1468"/>
      <c r="BQ1204" s="1468"/>
      <c r="BR1204" s="1468"/>
      <c r="BS1204" s="1468"/>
      <c r="BT1204" s="356"/>
      <c r="BU1204" s="357"/>
      <c r="BV1204" s="310"/>
      <c r="BW1204" s="310"/>
      <c r="BX1204" s="300">
        <f t="shared" si="83"/>
        <v>0</v>
      </c>
      <c r="BY1204" s="342"/>
      <c r="BZ1204" s="438"/>
      <c r="CA1204" s="438"/>
      <c r="CB1204" s="439"/>
      <c r="CC1204" s="439"/>
      <c r="CD1204" s="439"/>
      <c r="CE1204" s="439"/>
      <c r="CF1204" s="439"/>
    </row>
    <row r="1205" spans="1:84" s="423" customFormat="1" ht="15" hidden="1" customHeight="1" x14ac:dyDescent="0.25">
      <c r="A1205" s="311"/>
      <c r="B1205" s="621"/>
      <c r="C1205" s="627" t="s">
        <v>355</v>
      </c>
      <c r="D1205" s="1468" t="s">
        <v>1294</v>
      </c>
      <c r="E1205" s="1468"/>
      <c r="F1205" s="1468"/>
      <c r="G1205" s="1468"/>
      <c r="H1205" s="1468"/>
      <c r="I1205" s="1468"/>
      <c r="J1205" s="1468"/>
      <c r="K1205" s="1468"/>
      <c r="L1205" s="1468"/>
      <c r="M1205" s="1468"/>
      <c r="N1205" s="1468"/>
      <c r="O1205" s="1468"/>
      <c r="P1205" s="1468"/>
      <c r="Q1205" s="1468"/>
      <c r="R1205" s="1468"/>
      <c r="S1205" s="1468"/>
      <c r="T1205" s="1468"/>
      <c r="U1205" s="1468"/>
      <c r="V1205" s="1468"/>
      <c r="W1205" s="1468"/>
      <c r="X1205" s="1468"/>
      <c r="Y1205" s="1468"/>
      <c r="Z1205" s="1468"/>
      <c r="AA1205" s="1468"/>
      <c r="AB1205" s="1468"/>
      <c r="AC1205" s="1468"/>
      <c r="AD1205" s="1468"/>
      <c r="AE1205" s="1468"/>
      <c r="AF1205" s="1468"/>
      <c r="AG1205" s="1468"/>
      <c r="AH1205" s="1468"/>
      <c r="AI1205" s="1468"/>
      <c r="AJ1205" s="342"/>
      <c r="AK1205" s="345"/>
      <c r="AL1205" s="340"/>
      <c r="AM1205" s="627" t="s">
        <v>355</v>
      </c>
      <c r="AN1205" s="1468" t="s">
        <v>1295</v>
      </c>
      <c r="AO1205" s="1468"/>
      <c r="AP1205" s="1468"/>
      <c r="AQ1205" s="1468"/>
      <c r="AR1205" s="1468"/>
      <c r="AS1205" s="1468"/>
      <c r="AT1205" s="1468"/>
      <c r="AU1205" s="1468"/>
      <c r="AV1205" s="1468"/>
      <c r="AW1205" s="1468"/>
      <c r="AX1205" s="1468"/>
      <c r="AY1205" s="1468"/>
      <c r="AZ1205" s="1468"/>
      <c r="BA1205" s="1468"/>
      <c r="BB1205" s="1468"/>
      <c r="BC1205" s="1468"/>
      <c r="BD1205" s="1468"/>
      <c r="BE1205" s="1468"/>
      <c r="BF1205" s="1468"/>
      <c r="BG1205" s="1468"/>
      <c r="BH1205" s="1468"/>
      <c r="BI1205" s="1468"/>
      <c r="BJ1205" s="1468"/>
      <c r="BK1205" s="1468"/>
      <c r="BL1205" s="1468"/>
      <c r="BM1205" s="1468"/>
      <c r="BN1205" s="1468"/>
      <c r="BO1205" s="1468"/>
      <c r="BP1205" s="1468"/>
      <c r="BQ1205" s="1468"/>
      <c r="BR1205" s="1468"/>
      <c r="BS1205" s="1468"/>
      <c r="BT1205" s="356"/>
      <c r="BU1205" s="357"/>
      <c r="BV1205" s="310"/>
      <c r="BW1205" s="310"/>
      <c r="BX1205" s="300">
        <f t="shared" si="83"/>
        <v>0</v>
      </c>
      <c r="BY1205" s="342"/>
      <c r="BZ1205" s="438"/>
      <c r="CA1205" s="438"/>
      <c r="CB1205" s="439"/>
      <c r="CC1205" s="439"/>
      <c r="CD1205" s="439"/>
      <c r="CE1205" s="439"/>
      <c r="CF1205" s="439"/>
    </row>
    <row r="1206" spans="1:84" s="423" customFormat="1" ht="15" hidden="1" customHeight="1" x14ac:dyDescent="0.25">
      <c r="A1206" s="311"/>
      <c r="B1206" s="621"/>
      <c r="C1206" s="627"/>
      <c r="D1206" s="1468"/>
      <c r="E1206" s="1468"/>
      <c r="F1206" s="1468"/>
      <c r="G1206" s="1468"/>
      <c r="H1206" s="1468"/>
      <c r="I1206" s="1468"/>
      <c r="J1206" s="1468"/>
      <c r="K1206" s="1468"/>
      <c r="L1206" s="1468"/>
      <c r="M1206" s="1468"/>
      <c r="N1206" s="1468"/>
      <c r="O1206" s="1468"/>
      <c r="P1206" s="1468"/>
      <c r="Q1206" s="1468"/>
      <c r="R1206" s="1468"/>
      <c r="S1206" s="1468"/>
      <c r="T1206" s="1468"/>
      <c r="U1206" s="1468"/>
      <c r="V1206" s="1468"/>
      <c r="W1206" s="1468"/>
      <c r="X1206" s="1468"/>
      <c r="Y1206" s="1468"/>
      <c r="Z1206" s="1468"/>
      <c r="AA1206" s="1468"/>
      <c r="AB1206" s="1468"/>
      <c r="AC1206" s="1468"/>
      <c r="AD1206" s="1468"/>
      <c r="AE1206" s="1468"/>
      <c r="AF1206" s="1468"/>
      <c r="AG1206" s="1468"/>
      <c r="AH1206" s="1468"/>
      <c r="AI1206" s="1468"/>
      <c r="AJ1206" s="342"/>
      <c r="AK1206" s="345"/>
      <c r="AL1206" s="340"/>
      <c r="AM1206" s="627"/>
      <c r="AN1206" s="1468"/>
      <c r="AO1206" s="1468"/>
      <c r="AP1206" s="1468"/>
      <c r="AQ1206" s="1468"/>
      <c r="AR1206" s="1468"/>
      <c r="AS1206" s="1468"/>
      <c r="AT1206" s="1468"/>
      <c r="AU1206" s="1468"/>
      <c r="AV1206" s="1468"/>
      <c r="AW1206" s="1468"/>
      <c r="AX1206" s="1468"/>
      <c r="AY1206" s="1468"/>
      <c r="AZ1206" s="1468"/>
      <c r="BA1206" s="1468"/>
      <c r="BB1206" s="1468"/>
      <c r="BC1206" s="1468"/>
      <c r="BD1206" s="1468"/>
      <c r="BE1206" s="1468"/>
      <c r="BF1206" s="1468"/>
      <c r="BG1206" s="1468"/>
      <c r="BH1206" s="1468"/>
      <c r="BI1206" s="1468"/>
      <c r="BJ1206" s="1468"/>
      <c r="BK1206" s="1468"/>
      <c r="BL1206" s="1468"/>
      <c r="BM1206" s="1468"/>
      <c r="BN1206" s="1468"/>
      <c r="BO1206" s="1468"/>
      <c r="BP1206" s="1468"/>
      <c r="BQ1206" s="1468"/>
      <c r="BR1206" s="1468"/>
      <c r="BS1206" s="1468"/>
      <c r="BT1206" s="356"/>
      <c r="BU1206" s="357"/>
      <c r="BV1206" s="310"/>
      <c r="BW1206" s="310"/>
      <c r="BX1206" s="300">
        <f t="shared" si="83"/>
        <v>0</v>
      </c>
      <c r="BY1206" s="342"/>
      <c r="BZ1206" s="438"/>
      <c r="CA1206" s="438"/>
      <c r="CB1206" s="439"/>
      <c r="CC1206" s="439"/>
      <c r="CD1206" s="439"/>
      <c r="CE1206" s="439"/>
      <c r="CF1206" s="439"/>
    </row>
    <row r="1207" spans="1:84" s="423" customFormat="1" ht="15" hidden="1" customHeight="1" x14ac:dyDescent="0.25">
      <c r="A1207" s="624"/>
      <c r="B1207" s="625"/>
      <c r="C1207" s="1469" t="s">
        <v>1298</v>
      </c>
      <c r="D1207" s="1469"/>
      <c r="E1207" s="1469"/>
      <c r="F1207" s="1469"/>
      <c r="G1207" s="1469"/>
      <c r="H1207" s="1469"/>
      <c r="I1207" s="1469"/>
      <c r="J1207" s="1469"/>
      <c r="K1207" s="1469"/>
      <c r="L1207" s="1469"/>
      <c r="M1207" s="1469"/>
      <c r="N1207" s="1469"/>
      <c r="O1207" s="1469"/>
      <c r="P1207" s="1469"/>
      <c r="Q1207" s="1469"/>
      <c r="R1207" s="1469"/>
      <c r="S1207" s="1469"/>
      <c r="T1207" s="1469"/>
      <c r="U1207" s="1469"/>
      <c r="V1207" s="1469"/>
      <c r="W1207" s="1469"/>
      <c r="X1207" s="1469"/>
      <c r="Y1207" s="1469"/>
      <c r="Z1207" s="1469"/>
      <c r="AA1207" s="1469"/>
      <c r="AB1207" s="1469"/>
      <c r="AC1207" s="1469"/>
      <c r="AD1207" s="1469"/>
      <c r="AE1207" s="1469"/>
      <c r="AF1207" s="1469"/>
      <c r="AG1207" s="1469"/>
      <c r="AH1207" s="1469"/>
      <c r="AI1207" s="1469"/>
      <c r="AJ1207" s="342"/>
      <c r="AK1207" s="345"/>
      <c r="AL1207" s="340"/>
      <c r="AM1207" s="1469" t="s">
        <v>1299</v>
      </c>
      <c r="AN1207" s="1469"/>
      <c r="AO1207" s="1469"/>
      <c r="AP1207" s="1469"/>
      <c r="AQ1207" s="1469"/>
      <c r="AR1207" s="1469"/>
      <c r="AS1207" s="1469"/>
      <c r="AT1207" s="1469"/>
      <c r="AU1207" s="1469"/>
      <c r="AV1207" s="1469"/>
      <c r="AW1207" s="1469"/>
      <c r="AX1207" s="1469"/>
      <c r="AY1207" s="1469"/>
      <c r="AZ1207" s="1469"/>
      <c r="BA1207" s="1469"/>
      <c r="BB1207" s="1469"/>
      <c r="BC1207" s="1469"/>
      <c r="BD1207" s="1469"/>
      <c r="BE1207" s="1469"/>
      <c r="BF1207" s="1469"/>
      <c r="BG1207" s="1469"/>
      <c r="BH1207" s="1469"/>
      <c r="BI1207" s="1469"/>
      <c r="BJ1207" s="1469"/>
      <c r="BK1207" s="1469"/>
      <c r="BL1207" s="1469"/>
      <c r="BM1207" s="1469"/>
      <c r="BN1207" s="1469"/>
      <c r="BO1207" s="1469"/>
      <c r="BP1207" s="1469"/>
      <c r="BQ1207" s="1469"/>
      <c r="BR1207" s="1469"/>
      <c r="BS1207" s="1469"/>
      <c r="BT1207" s="356"/>
      <c r="BU1207" s="357"/>
      <c r="BV1207" s="310"/>
      <c r="BW1207" s="310"/>
      <c r="BX1207" s="300">
        <f t="shared" si="83"/>
        <v>0</v>
      </c>
      <c r="BY1207" s="342"/>
      <c r="BZ1207" s="438"/>
      <c r="CA1207" s="438"/>
      <c r="CB1207" s="439"/>
      <c r="CC1207" s="439"/>
      <c r="CD1207" s="439"/>
      <c r="CE1207" s="439"/>
      <c r="CF1207" s="439"/>
    </row>
    <row r="1208" spans="1:84" s="423" customFormat="1" ht="15" hidden="1" customHeight="1" x14ac:dyDescent="0.25">
      <c r="A1208" s="311"/>
      <c r="B1208" s="621"/>
      <c r="C1208" s="627" t="s">
        <v>355</v>
      </c>
      <c r="D1208" s="1468" t="s">
        <v>1300</v>
      </c>
      <c r="E1208" s="1468"/>
      <c r="F1208" s="1468"/>
      <c r="G1208" s="1468"/>
      <c r="H1208" s="1468"/>
      <c r="I1208" s="1468"/>
      <c r="J1208" s="1468"/>
      <c r="K1208" s="1468"/>
      <c r="L1208" s="1468"/>
      <c r="M1208" s="1468"/>
      <c r="N1208" s="1468"/>
      <c r="O1208" s="1468"/>
      <c r="P1208" s="1468"/>
      <c r="Q1208" s="1468"/>
      <c r="R1208" s="1468"/>
      <c r="S1208" s="1468"/>
      <c r="T1208" s="1468"/>
      <c r="U1208" s="1468"/>
      <c r="V1208" s="1468"/>
      <c r="W1208" s="1468"/>
      <c r="X1208" s="1468"/>
      <c r="Y1208" s="1468"/>
      <c r="Z1208" s="1468"/>
      <c r="AA1208" s="1468"/>
      <c r="AB1208" s="1468"/>
      <c r="AC1208" s="1468"/>
      <c r="AD1208" s="1468"/>
      <c r="AE1208" s="1468"/>
      <c r="AF1208" s="1468"/>
      <c r="AG1208" s="1468"/>
      <c r="AH1208" s="1468"/>
      <c r="AI1208" s="1468"/>
      <c r="AJ1208" s="342"/>
      <c r="AK1208" s="345"/>
      <c r="AL1208" s="340"/>
      <c r="AM1208" s="627" t="s">
        <v>355</v>
      </c>
      <c r="AN1208" s="1468" t="s">
        <v>1301</v>
      </c>
      <c r="AO1208" s="1468"/>
      <c r="AP1208" s="1468"/>
      <c r="AQ1208" s="1468"/>
      <c r="AR1208" s="1468"/>
      <c r="AS1208" s="1468"/>
      <c r="AT1208" s="1468"/>
      <c r="AU1208" s="1468"/>
      <c r="AV1208" s="1468"/>
      <c r="AW1208" s="1468"/>
      <c r="AX1208" s="1468"/>
      <c r="AY1208" s="1468"/>
      <c r="AZ1208" s="1468"/>
      <c r="BA1208" s="1468"/>
      <c r="BB1208" s="1468"/>
      <c r="BC1208" s="1468"/>
      <c r="BD1208" s="1468"/>
      <c r="BE1208" s="1468"/>
      <c r="BF1208" s="1468"/>
      <c r="BG1208" s="1468"/>
      <c r="BH1208" s="1468"/>
      <c r="BI1208" s="1468"/>
      <c r="BJ1208" s="1468"/>
      <c r="BK1208" s="1468"/>
      <c r="BL1208" s="1468"/>
      <c r="BM1208" s="1468"/>
      <c r="BN1208" s="1468"/>
      <c r="BO1208" s="1468"/>
      <c r="BP1208" s="1468"/>
      <c r="BQ1208" s="1468"/>
      <c r="BR1208" s="1468"/>
      <c r="BS1208" s="1468"/>
      <c r="BT1208" s="356"/>
      <c r="BU1208" s="357"/>
      <c r="BV1208" s="310"/>
      <c r="BW1208" s="310"/>
      <c r="BX1208" s="300">
        <f t="shared" si="83"/>
        <v>0</v>
      </c>
      <c r="BY1208" s="342"/>
      <c r="BZ1208" s="438"/>
      <c r="CA1208" s="438"/>
      <c r="CB1208" s="439"/>
      <c r="CC1208" s="439"/>
      <c r="CD1208" s="439"/>
      <c r="CE1208" s="439"/>
      <c r="CF1208" s="439"/>
    </row>
    <row r="1209" spans="1:84" s="423" customFormat="1" ht="15" hidden="1" customHeight="1" x14ac:dyDescent="0.25">
      <c r="A1209" s="311"/>
      <c r="B1209" s="621"/>
      <c r="C1209" s="627" t="s">
        <v>355</v>
      </c>
      <c r="D1209" s="1468" t="s">
        <v>1302</v>
      </c>
      <c r="E1209" s="1468"/>
      <c r="F1209" s="1468"/>
      <c r="G1209" s="1468"/>
      <c r="H1209" s="1468"/>
      <c r="I1209" s="1468"/>
      <c r="J1209" s="1468"/>
      <c r="K1209" s="1468"/>
      <c r="L1209" s="1468"/>
      <c r="M1209" s="1468"/>
      <c r="N1209" s="1468"/>
      <c r="O1209" s="1468"/>
      <c r="P1209" s="1468"/>
      <c r="Q1209" s="1468"/>
      <c r="R1209" s="1468"/>
      <c r="S1209" s="1468"/>
      <c r="T1209" s="1468"/>
      <c r="U1209" s="1468"/>
      <c r="V1209" s="1468"/>
      <c r="W1209" s="1468"/>
      <c r="X1209" s="1468"/>
      <c r="Y1209" s="1468"/>
      <c r="Z1209" s="1468"/>
      <c r="AA1209" s="1468"/>
      <c r="AB1209" s="1468"/>
      <c r="AC1209" s="1468"/>
      <c r="AD1209" s="1468"/>
      <c r="AE1209" s="1468"/>
      <c r="AF1209" s="1468"/>
      <c r="AG1209" s="1468"/>
      <c r="AH1209" s="1468"/>
      <c r="AI1209" s="1468"/>
      <c r="AJ1209" s="342"/>
      <c r="AK1209" s="345"/>
      <c r="AL1209" s="340"/>
      <c r="AM1209" s="627" t="s">
        <v>355</v>
      </c>
      <c r="AN1209" s="1468" t="s">
        <v>1303</v>
      </c>
      <c r="AO1209" s="1468"/>
      <c r="AP1209" s="1468"/>
      <c r="AQ1209" s="1468"/>
      <c r="AR1209" s="1468"/>
      <c r="AS1209" s="1468"/>
      <c r="AT1209" s="1468"/>
      <c r="AU1209" s="1468"/>
      <c r="AV1209" s="1468"/>
      <c r="AW1209" s="1468"/>
      <c r="AX1209" s="1468"/>
      <c r="AY1209" s="1468"/>
      <c r="AZ1209" s="1468"/>
      <c r="BA1209" s="1468"/>
      <c r="BB1209" s="1468"/>
      <c r="BC1209" s="1468"/>
      <c r="BD1209" s="1468"/>
      <c r="BE1209" s="1468"/>
      <c r="BF1209" s="1468"/>
      <c r="BG1209" s="1468"/>
      <c r="BH1209" s="1468"/>
      <c r="BI1209" s="1468"/>
      <c r="BJ1209" s="1468"/>
      <c r="BK1209" s="1468"/>
      <c r="BL1209" s="1468"/>
      <c r="BM1209" s="1468"/>
      <c r="BN1209" s="1468"/>
      <c r="BO1209" s="1468"/>
      <c r="BP1209" s="1468"/>
      <c r="BQ1209" s="1468"/>
      <c r="BR1209" s="1468"/>
      <c r="BS1209" s="1468"/>
      <c r="BT1209" s="356"/>
      <c r="BU1209" s="357"/>
      <c r="BV1209" s="310"/>
      <c r="BW1209" s="310"/>
      <c r="BX1209" s="300">
        <f t="shared" si="83"/>
        <v>0</v>
      </c>
      <c r="BY1209" s="342"/>
      <c r="BZ1209" s="438"/>
      <c r="CA1209" s="438"/>
      <c r="CB1209" s="439"/>
      <c r="CC1209" s="439"/>
      <c r="CD1209" s="439"/>
      <c r="CE1209" s="439"/>
      <c r="CF1209" s="439"/>
    </row>
    <row r="1210" spans="1:84" s="423" customFormat="1" ht="15" hidden="1" customHeight="1" x14ac:dyDescent="0.25">
      <c r="A1210" s="311"/>
      <c r="B1210" s="621"/>
      <c r="C1210" s="627" t="s">
        <v>355</v>
      </c>
      <c r="D1210" s="1468" t="s">
        <v>1304</v>
      </c>
      <c r="E1210" s="1468"/>
      <c r="F1210" s="1468"/>
      <c r="G1210" s="1468"/>
      <c r="H1210" s="1468"/>
      <c r="I1210" s="1468"/>
      <c r="J1210" s="1468"/>
      <c r="K1210" s="1468"/>
      <c r="L1210" s="1468"/>
      <c r="M1210" s="1468"/>
      <c r="N1210" s="1468"/>
      <c r="O1210" s="1468"/>
      <c r="P1210" s="1468"/>
      <c r="Q1210" s="1468"/>
      <c r="R1210" s="1468"/>
      <c r="S1210" s="1468"/>
      <c r="T1210" s="1468"/>
      <c r="U1210" s="1468"/>
      <c r="V1210" s="1468"/>
      <c r="W1210" s="1468"/>
      <c r="X1210" s="1468"/>
      <c r="Y1210" s="1468"/>
      <c r="Z1210" s="1468"/>
      <c r="AA1210" s="1468"/>
      <c r="AB1210" s="1468"/>
      <c r="AC1210" s="1468"/>
      <c r="AD1210" s="1468"/>
      <c r="AE1210" s="1468"/>
      <c r="AF1210" s="1468"/>
      <c r="AG1210" s="1468"/>
      <c r="AH1210" s="1468"/>
      <c r="AI1210" s="1468"/>
      <c r="AJ1210" s="342"/>
      <c r="AK1210" s="345"/>
      <c r="AL1210" s="340"/>
      <c r="AM1210" s="627" t="s">
        <v>355</v>
      </c>
      <c r="AN1210" s="1468" t="s">
        <v>1305</v>
      </c>
      <c r="AO1210" s="1468"/>
      <c r="AP1210" s="1468"/>
      <c r="AQ1210" s="1468"/>
      <c r="AR1210" s="1468"/>
      <c r="AS1210" s="1468"/>
      <c r="AT1210" s="1468"/>
      <c r="AU1210" s="1468"/>
      <c r="AV1210" s="1468"/>
      <c r="AW1210" s="1468"/>
      <c r="AX1210" s="1468"/>
      <c r="AY1210" s="1468"/>
      <c r="AZ1210" s="1468"/>
      <c r="BA1210" s="1468"/>
      <c r="BB1210" s="1468"/>
      <c r="BC1210" s="1468"/>
      <c r="BD1210" s="1468"/>
      <c r="BE1210" s="1468"/>
      <c r="BF1210" s="1468"/>
      <c r="BG1210" s="1468"/>
      <c r="BH1210" s="1468"/>
      <c r="BI1210" s="1468"/>
      <c r="BJ1210" s="1468"/>
      <c r="BK1210" s="1468"/>
      <c r="BL1210" s="1468"/>
      <c r="BM1210" s="1468"/>
      <c r="BN1210" s="1468"/>
      <c r="BO1210" s="1468"/>
      <c r="BP1210" s="1468"/>
      <c r="BQ1210" s="1468"/>
      <c r="BR1210" s="1468"/>
      <c r="BS1210" s="1468"/>
      <c r="BT1210" s="356"/>
      <c r="BU1210" s="357"/>
      <c r="BV1210" s="310"/>
      <c r="BW1210" s="310"/>
      <c r="BX1210" s="300">
        <f t="shared" si="83"/>
        <v>0</v>
      </c>
      <c r="BY1210" s="342"/>
      <c r="BZ1210" s="438"/>
      <c r="CA1210" s="438"/>
      <c r="CB1210" s="439"/>
      <c r="CC1210" s="439"/>
      <c r="CD1210" s="439"/>
      <c r="CE1210" s="439"/>
      <c r="CF1210" s="439"/>
    </row>
    <row r="1211" spans="1:84" s="423" customFormat="1" ht="15" hidden="1" customHeight="1" x14ac:dyDescent="0.25">
      <c r="A1211" s="311"/>
      <c r="B1211" s="621"/>
      <c r="C1211" s="627"/>
      <c r="D1211" s="1468"/>
      <c r="E1211" s="1468"/>
      <c r="F1211" s="1468"/>
      <c r="G1211" s="1468"/>
      <c r="H1211" s="1468"/>
      <c r="I1211" s="1468"/>
      <c r="J1211" s="1468"/>
      <c r="K1211" s="1468"/>
      <c r="L1211" s="1468"/>
      <c r="M1211" s="1468"/>
      <c r="N1211" s="1468"/>
      <c r="O1211" s="1468"/>
      <c r="P1211" s="1468"/>
      <c r="Q1211" s="1468"/>
      <c r="R1211" s="1468"/>
      <c r="S1211" s="1468"/>
      <c r="T1211" s="1468"/>
      <c r="U1211" s="1468"/>
      <c r="V1211" s="1468"/>
      <c r="W1211" s="1468"/>
      <c r="X1211" s="1468"/>
      <c r="Y1211" s="1468"/>
      <c r="Z1211" s="1468"/>
      <c r="AA1211" s="1468"/>
      <c r="AB1211" s="1468"/>
      <c r="AC1211" s="1468"/>
      <c r="AD1211" s="1468"/>
      <c r="AE1211" s="1468"/>
      <c r="AF1211" s="1468"/>
      <c r="AG1211" s="1468"/>
      <c r="AH1211" s="1468"/>
      <c r="AI1211" s="1468"/>
      <c r="AJ1211" s="342"/>
      <c r="AK1211" s="345"/>
      <c r="AL1211" s="340"/>
      <c r="AM1211" s="627"/>
      <c r="AN1211" s="1468"/>
      <c r="AO1211" s="1468"/>
      <c r="AP1211" s="1468"/>
      <c r="AQ1211" s="1468"/>
      <c r="AR1211" s="1468"/>
      <c r="AS1211" s="1468"/>
      <c r="AT1211" s="1468"/>
      <c r="AU1211" s="1468"/>
      <c r="AV1211" s="1468"/>
      <c r="AW1211" s="1468"/>
      <c r="AX1211" s="1468"/>
      <c r="AY1211" s="1468"/>
      <c r="AZ1211" s="1468"/>
      <c r="BA1211" s="1468"/>
      <c r="BB1211" s="1468"/>
      <c r="BC1211" s="1468"/>
      <c r="BD1211" s="1468"/>
      <c r="BE1211" s="1468"/>
      <c r="BF1211" s="1468"/>
      <c r="BG1211" s="1468"/>
      <c r="BH1211" s="1468"/>
      <c r="BI1211" s="1468"/>
      <c r="BJ1211" s="1468"/>
      <c r="BK1211" s="1468"/>
      <c r="BL1211" s="1468"/>
      <c r="BM1211" s="1468"/>
      <c r="BN1211" s="1468"/>
      <c r="BO1211" s="1468"/>
      <c r="BP1211" s="1468"/>
      <c r="BQ1211" s="1468"/>
      <c r="BR1211" s="1468"/>
      <c r="BS1211" s="1468"/>
      <c r="BT1211" s="356"/>
      <c r="BU1211" s="357"/>
      <c r="BV1211" s="310"/>
      <c r="BW1211" s="310"/>
      <c r="BX1211" s="300">
        <f t="shared" si="83"/>
        <v>0</v>
      </c>
      <c r="BY1211" s="342"/>
      <c r="BZ1211" s="438"/>
      <c r="CA1211" s="438"/>
      <c r="CB1211" s="439"/>
      <c r="CC1211" s="439"/>
      <c r="CD1211" s="439"/>
      <c r="CE1211" s="439"/>
      <c r="CF1211" s="439"/>
    </row>
    <row r="1212" spans="1:84" s="423" customFormat="1" ht="15" hidden="1" customHeight="1" x14ac:dyDescent="0.25">
      <c r="A1212" s="624"/>
      <c r="B1212" s="625"/>
      <c r="C1212" s="1469" t="s">
        <v>1306</v>
      </c>
      <c r="D1212" s="1469"/>
      <c r="E1212" s="1469"/>
      <c r="F1212" s="1469"/>
      <c r="G1212" s="1469"/>
      <c r="H1212" s="1469"/>
      <c r="I1212" s="1469"/>
      <c r="J1212" s="1469"/>
      <c r="K1212" s="1469"/>
      <c r="L1212" s="1469"/>
      <c r="M1212" s="1469"/>
      <c r="N1212" s="1469"/>
      <c r="O1212" s="1469"/>
      <c r="P1212" s="1469"/>
      <c r="Q1212" s="1469"/>
      <c r="R1212" s="1469"/>
      <c r="S1212" s="1469"/>
      <c r="T1212" s="1469"/>
      <c r="U1212" s="1469"/>
      <c r="V1212" s="1469"/>
      <c r="W1212" s="1469"/>
      <c r="X1212" s="1469"/>
      <c r="Y1212" s="1469"/>
      <c r="Z1212" s="1469"/>
      <c r="AA1212" s="1469"/>
      <c r="AB1212" s="1469"/>
      <c r="AC1212" s="1469"/>
      <c r="AD1212" s="1469"/>
      <c r="AE1212" s="1469"/>
      <c r="AF1212" s="1469"/>
      <c r="AG1212" s="1469"/>
      <c r="AH1212" s="1469"/>
      <c r="AI1212" s="1469"/>
      <c r="AJ1212" s="342"/>
      <c r="AK1212" s="345"/>
      <c r="AL1212" s="340"/>
      <c r="AM1212" s="1469" t="s">
        <v>1307</v>
      </c>
      <c r="AN1212" s="1469"/>
      <c r="AO1212" s="1469"/>
      <c r="AP1212" s="1469"/>
      <c r="AQ1212" s="1469"/>
      <c r="AR1212" s="1469"/>
      <c r="AS1212" s="1469"/>
      <c r="AT1212" s="1469"/>
      <c r="AU1212" s="1469"/>
      <c r="AV1212" s="1469"/>
      <c r="AW1212" s="1469"/>
      <c r="AX1212" s="1469"/>
      <c r="AY1212" s="1469"/>
      <c r="AZ1212" s="1469"/>
      <c r="BA1212" s="1469"/>
      <c r="BB1212" s="1469"/>
      <c r="BC1212" s="1469"/>
      <c r="BD1212" s="1469"/>
      <c r="BE1212" s="1469"/>
      <c r="BF1212" s="1469"/>
      <c r="BG1212" s="1469"/>
      <c r="BH1212" s="1469"/>
      <c r="BI1212" s="1469"/>
      <c r="BJ1212" s="1469"/>
      <c r="BK1212" s="1469"/>
      <c r="BL1212" s="1469"/>
      <c r="BM1212" s="1469"/>
      <c r="BN1212" s="1469"/>
      <c r="BO1212" s="1469"/>
      <c r="BP1212" s="1469"/>
      <c r="BQ1212" s="1469"/>
      <c r="BR1212" s="1469"/>
      <c r="BS1212" s="1469"/>
      <c r="BT1212" s="356"/>
      <c r="BU1212" s="357"/>
      <c r="BV1212" s="310"/>
      <c r="BW1212" s="310"/>
      <c r="BX1212" s="300">
        <f t="shared" si="83"/>
        <v>0</v>
      </c>
      <c r="BY1212" s="342"/>
      <c r="BZ1212" s="438"/>
      <c r="CA1212" s="438"/>
      <c r="CB1212" s="439"/>
      <c r="CC1212" s="439"/>
      <c r="CD1212" s="439"/>
      <c r="CE1212" s="439"/>
      <c r="CF1212" s="439"/>
    </row>
    <row r="1213" spans="1:84" s="423" customFormat="1" ht="15" hidden="1" customHeight="1" x14ac:dyDescent="0.25">
      <c r="A1213" s="311"/>
      <c r="B1213" s="621"/>
      <c r="C1213" s="627" t="s">
        <v>355</v>
      </c>
      <c r="D1213" s="1468" t="s">
        <v>1308</v>
      </c>
      <c r="E1213" s="1468"/>
      <c r="F1213" s="1468"/>
      <c r="G1213" s="1468"/>
      <c r="H1213" s="1468"/>
      <c r="I1213" s="1468"/>
      <c r="J1213" s="1468"/>
      <c r="K1213" s="1468"/>
      <c r="L1213" s="1468"/>
      <c r="M1213" s="1468"/>
      <c r="N1213" s="1468"/>
      <c r="O1213" s="1468"/>
      <c r="P1213" s="1468"/>
      <c r="Q1213" s="1468"/>
      <c r="R1213" s="1468"/>
      <c r="S1213" s="1468"/>
      <c r="T1213" s="1468"/>
      <c r="U1213" s="1468"/>
      <c r="V1213" s="1468"/>
      <c r="W1213" s="1468"/>
      <c r="X1213" s="1468"/>
      <c r="Y1213" s="1468"/>
      <c r="Z1213" s="1468"/>
      <c r="AA1213" s="1468"/>
      <c r="AB1213" s="1468"/>
      <c r="AC1213" s="1468"/>
      <c r="AD1213" s="1468"/>
      <c r="AE1213" s="1468"/>
      <c r="AF1213" s="1468"/>
      <c r="AG1213" s="1468"/>
      <c r="AH1213" s="1468"/>
      <c r="AI1213" s="1468"/>
      <c r="AJ1213" s="342"/>
      <c r="AK1213" s="345"/>
      <c r="AL1213" s="340"/>
      <c r="AM1213" s="627" t="s">
        <v>355</v>
      </c>
      <c r="AN1213" s="1468" t="s">
        <v>1309</v>
      </c>
      <c r="AO1213" s="1468"/>
      <c r="AP1213" s="1468"/>
      <c r="AQ1213" s="1468"/>
      <c r="AR1213" s="1468"/>
      <c r="AS1213" s="1468"/>
      <c r="AT1213" s="1468"/>
      <c r="AU1213" s="1468"/>
      <c r="AV1213" s="1468"/>
      <c r="AW1213" s="1468"/>
      <c r="AX1213" s="1468"/>
      <c r="AY1213" s="1468"/>
      <c r="AZ1213" s="1468"/>
      <c r="BA1213" s="1468"/>
      <c r="BB1213" s="1468"/>
      <c r="BC1213" s="1468"/>
      <c r="BD1213" s="1468"/>
      <c r="BE1213" s="1468"/>
      <c r="BF1213" s="1468"/>
      <c r="BG1213" s="1468"/>
      <c r="BH1213" s="1468"/>
      <c r="BI1213" s="1468"/>
      <c r="BJ1213" s="1468"/>
      <c r="BK1213" s="1468"/>
      <c r="BL1213" s="1468"/>
      <c r="BM1213" s="1468"/>
      <c r="BN1213" s="1468"/>
      <c r="BO1213" s="1468"/>
      <c r="BP1213" s="1468"/>
      <c r="BQ1213" s="1468"/>
      <c r="BR1213" s="1468"/>
      <c r="BS1213" s="1468"/>
      <c r="BT1213" s="356"/>
      <c r="BU1213" s="357"/>
      <c r="BV1213" s="310"/>
      <c r="BW1213" s="310"/>
      <c r="BX1213" s="300">
        <f t="shared" si="83"/>
        <v>0</v>
      </c>
      <c r="BY1213" s="342"/>
      <c r="BZ1213" s="438"/>
      <c r="CA1213" s="438"/>
      <c r="CB1213" s="439"/>
      <c r="CC1213" s="439"/>
      <c r="CD1213" s="439"/>
      <c r="CE1213" s="439"/>
      <c r="CF1213" s="439"/>
    </row>
    <row r="1214" spans="1:84" s="423" customFormat="1" ht="15" hidden="1" customHeight="1" x14ac:dyDescent="0.25">
      <c r="A1214" s="311"/>
      <c r="B1214" s="621"/>
      <c r="C1214" s="627" t="s">
        <v>355</v>
      </c>
      <c r="D1214" s="1468" t="s">
        <v>1310</v>
      </c>
      <c r="E1214" s="1468"/>
      <c r="F1214" s="1468"/>
      <c r="G1214" s="1468"/>
      <c r="H1214" s="1468"/>
      <c r="I1214" s="1468"/>
      <c r="J1214" s="1468"/>
      <c r="K1214" s="1468"/>
      <c r="L1214" s="1468"/>
      <c r="M1214" s="1468"/>
      <c r="N1214" s="1468"/>
      <c r="O1214" s="1468"/>
      <c r="P1214" s="1468"/>
      <c r="Q1214" s="1468"/>
      <c r="R1214" s="1468"/>
      <c r="S1214" s="1468"/>
      <c r="T1214" s="1468"/>
      <c r="U1214" s="1468"/>
      <c r="V1214" s="1468"/>
      <c r="W1214" s="1468"/>
      <c r="X1214" s="1468"/>
      <c r="Y1214" s="1468"/>
      <c r="Z1214" s="1468"/>
      <c r="AA1214" s="1468"/>
      <c r="AB1214" s="1468"/>
      <c r="AC1214" s="1468"/>
      <c r="AD1214" s="1468"/>
      <c r="AE1214" s="1468"/>
      <c r="AF1214" s="1468"/>
      <c r="AG1214" s="1468"/>
      <c r="AH1214" s="1468"/>
      <c r="AI1214" s="1468"/>
      <c r="AJ1214" s="342"/>
      <c r="AK1214" s="345"/>
      <c r="AL1214" s="340"/>
      <c r="AM1214" s="627" t="s">
        <v>355</v>
      </c>
      <c r="AN1214" s="1468" t="s">
        <v>1311</v>
      </c>
      <c r="AO1214" s="1468"/>
      <c r="AP1214" s="1468"/>
      <c r="AQ1214" s="1468"/>
      <c r="AR1214" s="1468"/>
      <c r="AS1214" s="1468"/>
      <c r="AT1214" s="1468"/>
      <c r="AU1214" s="1468"/>
      <c r="AV1214" s="1468"/>
      <c r="AW1214" s="1468"/>
      <c r="AX1214" s="1468"/>
      <c r="AY1214" s="1468"/>
      <c r="AZ1214" s="1468"/>
      <c r="BA1214" s="1468"/>
      <c r="BB1214" s="1468"/>
      <c r="BC1214" s="1468"/>
      <c r="BD1214" s="1468"/>
      <c r="BE1214" s="1468"/>
      <c r="BF1214" s="1468"/>
      <c r="BG1214" s="1468"/>
      <c r="BH1214" s="1468"/>
      <c r="BI1214" s="1468"/>
      <c r="BJ1214" s="1468"/>
      <c r="BK1214" s="1468"/>
      <c r="BL1214" s="1468"/>
      <c r="BM1214" s="1468"/>
      <c r="BN1214" s="1468"/>
      <c r="BO1214" s="1468"/>
      <c r="BP1214" s="1468"/>
      <c r="BQ1214" s="1468"/>
      <c r="BR1214" s="1468"/>
      <c r="BS1214" s="1468"/>
      <c r="BT1214" s="356"/>
      <c r="BU1214" s="357"/>
      <c r="BV1214" s="310"/>
      <c r="BW1214" s="310"/>
      <c r="BX1214" s="300">
        <f t="shared" si="83"/>
        <v>0</v>
      </c>
      <c r="BY1214" s="342"/>
      <c r="BZ1214" s="438"/>
      <c r="CA1214" s="438"/>
      <c r="CB1214" s="439"/>
      <c r="CC1214" s="439"/>
      <c r="CD1214" s="439"/>
      <c r="CE1214" s="439"/>
      <c r="CF1214" s="439"/>
    </row>
    <row r="1215" spans="1:84" s="423" customFormat="1" ht="15" hidden="1" customHeight="1" x14ac:dyDescent="0.25">
      <c r="A1215" s="311"/>
      <c r="B1215" s="621"/>
      <c r="C1215" s="627"/>
      <c r="D1215" s="1468"/>
      <c r="E1215" s="1468"/>
      <c r="F1215" s="1468"/>
      <c r="G1215" s="1468"/>
      <c r="H1215" s="1468"/>
      <c r="I1215" s="1468"/>
      <c r="J1215" s="1468"/>
      <c r="K1215" s="1468"/>
      <c r="L1215" s="1468"/>
      <c r="M1215" s="1468"/>
      <c r="N1215" s="1468"/>
      <c r="O1215" s="1468"/>
      <c r="P1215" s="1468"/>
      <c r="Q1215" s="1468"/>
      <c r="R1215" s="1468"/>
      <c r="S1215" s="1468"/>
      <c r="T1215" s="1468"/>
      <c r="U1215" s="1468"/>
      <c r="V1215" s="1468"/>
      <c r="W1215" s="1468"/>
      <c r="X1215" s="1468"/>
      <c r="Y1215" s="1468"/>
      <c r="Z1215" s="1468"/>
      <c r="AA1215" s="1468"/>
      <c r="AB1215" s="1468"/>
      <c r="AC1215" s="1468"/>
      <c r="AD1215" s="1468"/>
      <c r="AE1215" s="1468"/>
      <c r="AF1215" s="1468"/>
      <c r="AG1215" s="1468"/>
      <c r="AH1215" s="1468"/>
      <c r="AI1215" s="1468"/>
      <c r="AJ1215" s="342"/>
      <c r="AK1215" s="345"/>
      <c r="AL1215" s="340"/>
      <c r="AM1215" s="627"/>
      <c r="AN1215" s="1468"/>
      <c r="AO1215" s="1468"/>
      <c r="AP1215" s="1468"/>
      <c r="AQ1215" s="1468"/>
      <c r="AR1215" s="1468"/>
      <c r="AS1215" s="1468"/>
      <c r="AT1215" s="1468"/>
      <c r="AU1215" s="1468"/>
      <c r="AV1215" s="1468"/>
      <c r="AW1215" s="1468"/>
      <c r="AX1215" s="1468"/>
      <c r="AY1215" s="1468"/>
      <c r="AZ1215" s="1468"/>
      <c r="BA1215" s="1468"/>
      <c r="BB1215" s="1468"/>
      <c r="BC1215" s="1468"/>
      <c r="BD1215" s="1468"/>
      <c r="BE1215" s="1468"/>
      <c r="BF1215" s="1468"/>
      <c r="BG1215" s="1468"/>
      <c r="BH1215" s="1468"/>
      <c r="BI1215" s="1468"/>
      <c r="BJ1215" s="1468"/>
      <c r="BK1215" s="1468"/>
      <c r="BL1215" s="1468"/>
      <c r="BM1215" s="1468"/>
      <c r="BN1215" s="1468"/>
      <c r="BO1215" s="1468"/>
      <c r="BP1215" s="1468"/>
      <c r="BQ1215" s="1468"/>
      <c r="BR1215" s="1468"/>
      <c r="BS1215" s="1468"/>
      <c r="BT1215" s="356"/>
      <c r="BU1215" s="357"/>
      <c r="BV1215" s="310"/>
      <c r="BW1215" s="310"/>
      <c r="BX1215" s="300">
        <f t="shared" si="83"/>
        <v>0</v>
      </c>
      <c r="BY1215" s="342"/>
      <c r="BZ1215" s="438"/>
      <c r="CA1215" s="438"/>
      <c r="CB1215" s="439"/>
      <c r="CC1215" s="439"/>
      <c r="CD1215" s="439"/>
      <c r="CE1215" s="439"/>
      <c r="CF1215" s="439"/>
    </row>
    <row r="1216" spans="1:84" s="423" customFormat="1" ht="15" hidden="1" customHeight="1" x14ac:dyDescent="0.25">
      <c r="A1216" s="311"/>
      <c r="B1216" s="621"/>
      <c r="C1216" s="1469" t="s">
        <v>1312</v>
      </c>
      <c r="D1216" s="1469"/>
      <c r="E1216" s="1469"/>
      <c r="F1216" s="1469"/>
      <c r="G1216" s="1469"/>
      <c r="H1216" s="1469"/>
      <c r="I1216" s="1469"/>
      <c r="J1216" s="1469"/>
      <c r="K1216" s="1469"/>
      <c r="L1216" s="1469"/>
      <c r="M1216" s="1469"/>
      <c r="N1216" s="1469"/>
      <c r="O1216" s="1469"/>
      <c r="P1216" s="1469"/>
      <c r="Q1216" s="1469"/>
      <c r="R1216" s="1469"/>
      <c r="S1216" s="1469"/>
      <c r="T1216" s="1469"/>
      <c r="U1216" s="1469"/>
      <c r="V1216" s="1469"/>
      <c r="W1216" s="1469"/>
      <c r="X1216" s="1469"/>
      <c r="Y1216" s="1469"/>
      <c r="Z1216" s="1469"/>
      <c r="AA1216" s="1469"/>
      <c r="AB1216" s="1469"/>
      <c r="AC1216" s="1469"/>
      <c r="AD1216" s="1469"/>
      <c r="AE1216" s="1469"/>
      <c r="AF1216" s="1469"/>
      <c r="AG1216" s="1469"/>
      <c r="AH1216" s="1469"/>
      <c r="AI1216" s="1469"/>
      <c r="AJ1216" s="342"/>
      <c r="AK1216" s="345"/>
      <c r="AL1216" s="340"/>
      <c r="AM1216" s="1469" t="s">
        <v>1313</v>
      </c>
      <c r="AN1216" s="1469"/>
      <c r="AO1216" s="1469"/>
      <c r="AP1216" s="1469"/>
      <c r="AQ1216" s="1469"/>
      <c r="AR1216" s="1469"/>
      <c r="AS1216" s="1469"/>
      <c r="AT1216" s="1469"/>
      <c r="AU1216" s="1469"/>
      <c r="AV1216" s="1469"/>
      <c r="AW1216" s="1469"/>
      <c r="AX1216" s="1469"/>
      <c r="AY1216" s="1469"/>
      <c r="AZ1216" s="1469"/>
      <c r="BA1216" s="1469"/>
      <c r="BB1216" s="1469"/>
      <c r="BC1216" s="1469"/>
      <c r="BD1216" s="1469"/>
      <c r="BE1216" s="1469"/>
      <c r="BF1216" s="1469"/>
      <c r="BG1216" s="1469"/>
      <c r="BH1216" s="1469"/>
      <c r="BI1216" s="1469"/>
      <c r="BJ1216" s="1469"/>
      <c r="BK1216" s="1469"/>
      <c r="BL1216" s="1469"/>
      <c r="BM1216" s="1469"/>
      <c r="BN1216" s="1469"/>
      <c r="BO1216" s="1469"/>
      <c r="BP1216" s="1469"/>
      <c r="BQ1216" s="1469"/>
      <c r="BR1216" s="1469"/>
      <c r="BS1216" s="1469"/>
      <c r="BT1216" s="356"/>
      <c r="BU1216" s="357"/>
      <c r="BV1216" s="310"/>
      <c r="BW1216" s="310"/>
      <c r="BX1216" s="300">
        <f t="shared" si="83"/>
        <v>0</v>
      </c>
      <c r="BY1216" s="342"/>
      <c r="BZ1216" s="438"/>
      <c r="CA1216" s="438"/>
      <c r="CB1216" s="439"/>
      <c r="CC1216" s="439"/>
      <c r="CD1216" s="439"/>
      <c r="CE1216" s="439"/>
      <c r="CF1216" s="439"/>
    </row>
    <row r="1217" spans="1:84" s="423" customFormat="1" ht="15" hidden="1" customHeight="1" x14ac:dyDescent="0.25">
      <c r="A1217" s="311"/>
      <c r="B1217" s="621"/>
      <c r="C1217" s="627" t="s">
        <v>355</v>
      </c>
      <c r="D1217" s="1468" t="s">
        <v>1284</v>
      </c>
      <c r="E1217" s="1468"/>
      <c r="F1217" s="1468"/>
      <c r="G1217" s="1468"/>
      <c r="H1217" s="1468"/>
      <c r="I1217" s="1468"/>
      <c r="J1217" s="1468"/>
      <c r="K1217" s="1468"/>
      <c r="L1217" s="1468"/>
      <c r="M1217" s="1468"/>
      <c r="N1217" s="1468"/>
      <c r="O1217" s="1468"/>
      <c r="P1217" s="1468"/>
      <c r="Q1217" s="1468"/>
      <c r="R1217" s="1468"/>
      <c r="S1217" s="1468"/>
      <c r="T1217" s="1468"/>
      <c r="U1217" s="1468"/>
      <c r="V1217" s="1468"/>
      <c r="W1217" s="1468"/>
      <c r="X1217" s="1468"/>
      <c r="Y1217" s="1468"/>
      <c r="Z1217" s="1468"/>
      <c r="AA1217" s="1468"/>
      <c r="AB1217" s="1468"/>
      <c r="AC1217" s="1468"/>
      <c r="AD1217" s="1468"/>
      <c r="AE1217" s="1468"/>
      <c r="AF1217" s="1468"/>
      <c r="AG1217" s="1468"/>
      <c r="AH1217" s="1468"/>
      <c r="AI1217" s="1468"/>
      <c r="AJ1217" s="342"/>
      <c r="AK1217" s="345"/>
      <c r="AL1217" s="340"/>
      <c r="AM1217" s="627" t="s">
        <v>355</v>
      </c>
      <c r="AN1217" s="1468" t="s">
        <v>1314</v>
      </c>
      <c r="AO1217" s="1468"/>
      <c r="AP1217" s="1468"/>
      <c r="AQ1217" s="1468"/>
      <c r="AR1217" s="1468"/>
      <c r="AS1217" s="1468"/>
      <c r="AT1217" s="1468"/>
      <c r="AU1217" s="1468"/>
      <c r="AV1217" s="1468"/>
      <c r="AW1217" s="1468"/>
      <c r="AX1217" s="1468"/>
      <c r="AY1217" s="1468"/>
      <c r="AZ1217" s="1468"/>
      <c r="BA1217" s="1468"/>
      <c r="BB1217" s="1468"/>
      <c r="BC1217" s="1468"/>
      <c r="BD1217" s="1468"/>
      <c r="BE1217" s="1468"/>
      <c r="BF1217" s="1468"/>
      <c r="BG1217" s="1468"/>
      <c r="BH1217" s="1468"/>
      <c r="BI1217" s="1468"/>
      <c r="BJ1217" s="1468"/>
      <c r="BK1217" s="1468"/>
      <c r="BL1217" s="1468"/>
      <c r="BM1217" s="1468"/>
      <c r="BN1217" s="1468"/>
      <c r="BO1217" s="1468"/>
      <c r="BP1217" s="1468"/>
      <c r="BQ1217" s="1468"/>
      <c r="BR1217" s="1468"/>
      <c r="BS1217" s="1468"/>
      <c r="BT1217" s="356"/>
      <c r="BU1217" s="357"/>
      <c r="BV1217" s="310"/>
      <c r="BW1217" s="310"/>
      <c r="BX1217" s="300">
        <f t="shared" si="83"/>
        <v>0</v>
      </c>
      <c r="BY1217" s="342"/>
      <c r="BZ1217" s="438"/>
      <c r="CA1217" s="438"/>
      <c r="CB1217" s="439"/>
      <c r="CC1217" s="439"/>
      <c r="CD1217" s="439"/>
      <c r="CE1217" s="439"/>
      <c r="CF1217" s="439"/>
    </row>
    <row r="1218" spans="1:84" s="423" customFormat="1" ht="15" hidden="1" customHeight="1" x14ac:dyDescent="0.25">
      <c r="A1218" s="311"/>
      <c r="B1218" s="621"/>
      <c r="C1218" s="627" t="s">
        <v>355</v>
      </c>
      <c r="D1218" s="1468" t="s">
        <v>1286</v>
      </c>
      <c r="E1218" s="1468"/>
      <c r="F1218" s="1468"/>
      <c r="G1218" s="1468"/>
      <c r="H1218" s="1468"/>
      <c r="I1218" s="1468"/>
      <c r="J1218" s="1468"/>
      <c r="K1218" s="1468"/>
      <c r="L1218" s="1468"/>
      <c r="M1218" s="1468"/>
      <c r="N1218" s="1468"/>
      <c r="O1218" s="1468"/>
      <c r="P1218" s="1468"/>
      <c r="Q1218" s="1468"/>
      <c r="R1218" s="1468"/>
      <c r="S1218" s="1468"/>
      <c r="T1218" s="1468"/>
      <c r="U1218" s="1468"/>
      <c r="V1218" s="1468"/>
      <c r="W1218" s="1468"/>
      <c r="X1218" s="1468"/>
      <c r="Y1218" s="1468"/>
      <c r="Z1218" s="1468"/>
      <c r="AA1218" s="1468"/>
      <c r="AB1218" s="1468"/>
      <c r="AC1218" s="1468"/>
      <c r="AD1218" s="1468"/>
      <c r="AE1218" s="1468"/>
      <c r="AF1218" s="1468"/>
      <c r="AG1218" s="1468"/>
      <c r="AH1218" s="1468"/>
      <c r="AI1218" s="1468"/>
      <c r="AJ1218" s="342"/>
      <c r="AK1218" s="345"/>
      <c r="AL1218" s="340"/>
      <c r="AM1218" s="627" t="s">
        <v>355</v>
      </c>
      <c r="AN1218" s="1468" t="s">
        <v>1287</v>
      </c>
      <c r="AO1218" s="1468"/>
      <c r="AP1218" s="1468"/>
      <c r="AQ1218" s="1468"/>
      <c r="AR1218" s="1468"/>
      <c r="AS1218" s="1468"/>
      <c r="AT1218" s="1468"/>
      <c r="AU1218" s="1468"/>
      <c r="AV1218" s="1468"/>
      <c r="AW1218" s="1468"/>
      <c r="AX1218" s="1468"/>
      <c r="AY1218" s="1468"/>
      <c r="AZ1218" s="1468"/>
      <c r="BA1218" s="1468"/>
      <c r="BB1218" s="1468"/>
      <c r="BC1218" s="1468"/>
      <c r="BD1218" s="1468"/>
      <c r="BE1218" s="1468"/>
      <c r="BF1218" s="1468"/>
      <c r="BG1218" s="1468"/>
      <c r="BH1218" s="1468"/>
      <c r="BI1218" s="1468"/>
      <c r="BJ1218" s="1468"/>
      <c r="BK1218" s="1468"/>
      <c r="BL1218" s="1468"/>
      <c r="BM1218" s="1468"/>
      <c r="BN1218" s="1468"/>
      <c r="BO1218" s="1468"/>
      <c r="BP1218" s="1468"/>
      <c r="BQ1218" s="1468"/>
      <c r="BR1218" s="1468"/>
      <c r="BS1218" s="1468"/>
      <c r="BT1218" s="356"/>
      <c r="BU1218" s="357"/>
      <c r="BV1218" s="310"/>
      <c r="BW1218" s="310"/>
      <c r="BX1218" s="300">
        <f t="shared" si="83"/>
        <v>0</v>
      </c>
      <c r="BY1218" s="342"/>
      <c r="BZ1218" s="438"/>
      <c r="CA1218" s="438"/>
      <c r="CB1218" s="439"/>
      <c r="CC1218" s="439"/>
      <c r="CD1218" s="439"/>
      <c r="CE1218" s="439"/>
      <c r="CF1218" s="439"/>
    </row>
    <row r="1219" spans="1:84" s="423" customFormat="1" ht="15" hidden="1" customHeight="1" x14ac:dyDescent="0.25">
      <c r="A1219" s="311"/>
      <c r="B1219" s="621"/>
      <c r="C1219" s="627" t="s">
        <v>355</v>
      </c>
      <c r="D1219" s="1468" t="s">
        <v>1288</v>
      </c>
      <c r="E1219" s="1468"/>
      <c r="F1219" s="1468"/>
      <c r="G1219" s="1468"/>
      <c r="H1219" s="1468"/>
      <c r="I1219" s="1468"/>
      <c r="J1219" s="1468"/>
      <c r="K1219" s="1468"/>
      <c r="L1219" s="1468"/>
      <c r="M1219" s="1468"/>
      <c r="N1219" s="1468"/>
      <c r="O1219" s="1468"/>
      <c r="P1219" s="1468"/>
      <c r="Q1219" s="1468"/>
      <c r="R1219" s="1468"/>
      <c r="S1219" s="1468"/>
      <c r="T1219" s="1468"/>
      <c r="U1219" s="1468"/>
      <c r="V1219" s="1468"/>
      <c r="W1219" s="1468"/>
      <c r="X1219" s="1468"/>
      <c r="Y1219" s="1468"/>
      <c r="Z1219" s="1468"/>
      <c r="AA1219" s="1468"/>
      <c r="AB1219" s="1468"/>
      <c r="AC1219" s="1468"/>
      <c r="AD1219" s="1468"/>
      <c r="AE1219" s="1468"/>
      <c r="AF1219" s="1468"/>
      <c r="AG1219" s="1468"/>
      <c r="AH1219" s="1468"/>
      <c r="AI1219" s="1468"/>
      <c r="AJ1219" s="342"/>
      <c r="AK1219" s="345"/>
      <c r="AL1219" s="340"/>
      <c r="AM1219" s="627" t="s">
        <v>355</v>
      </c>
      <c r="AN1219" s="1468" t="s">
        <v>1315</v>
      </c>
      <c r="AO1219" s="1468"/>
      <c r="AP1219" s="1468"/>
      <c r="AQ1219" s="1468"/>
      <c r="AR1219" s="1468"/>
      <c r="AS1219" s="1468"/>
      <c r="AT1219" s="1468"/>
      <c r="AU1219" s="1468"/>
      <c r="AV1219" s="1468"/>
      <c r="AW1219" s="1468"/>
      <c r="AX1219" s="1468"/>
      <c r="AY1219" s="1468"/>
      <c r="AZ1219" s="1468"/>
      <c r="BA1219" s="1468"/>
      <c r="BB1219" s="1468"/>
      <c r="BC1219" s="1468"/>
      <c r="BD1219" s="1468"/>
      <c r="BE1219" s="1468"/>
      <c r="BF1219" s="1468"/>
      <c r="BG1219" s="1468"/>
      <c r="BH1219" s="1468"/>
      <c r="BI1219" s="1468"/>
      <c r="BJ1219" s="1468"/>
      <c r="BK1219" s="1468"/>
      <c r="BL1219" s="1468"/>
      <c r="BM1219" s="1468"/>
      <c r="BN1219" s="1468"/>
      <c r="BO1219" s="1468"/>
      <c r="BP1219" s="1468"/>
      <c r="BQ1219" s="1468"/>
      <c r="BR1219" s="1468"/>
      <c r="BS1219" s="1468"/>
      <c r="BT1219" s="356"/>
      <c r="BU1219" s="357"/>
      <c r="BV1219" s="310"/>
      <c r="BW1219" s="310"/>
      <c r="BX1219" s="300">
        <f t="shared" si="83"/>
        <v>0</v>
      </c>
      <c r="BY1219" s="342"/>
      <c r="BZ1219" s="438"/>
      <c r="CA1219" s="438"/>
      <c r="CB1219" s="439"/>
      <c r="CC1219" s="439"/>
      <c r="CD1219" s="439"/>
      <c r="CE1219" s="439"/>
      <c r="CF1219" s="439"/>
    </row>
    <row r="1220" spans="1:84" s="423" customFormat="1" ht="15" hidden="1" customHeight="1" x14ac:dyDescent="0.25">
      <c r="A1220" s="311"/>
      <c r="B1220" s="621"/>
      <c r="C1220" s="627" t="s">
        <v>355</v>
      </c>
      <c r="D1220" s="1468" t="s">
        <v>1290</v>
      </c>
      <c r="E1220" s="1468"/>
      <c r="F1220" s="1468"/>
      <c r="G1220" s="1468"/>
      <c r="H1220" s="1468"/>
      <c r="I1220" s="1468"/>
      <c r="J1220" s="1468"/>
      <c r="K1220" s="1468"/>
      <c r="L1220" s="1468"/>
      <c r="M1220" s="1468"/>
      <c r="N1220" s="1468"/>
      <c r="O1220" s="1468"/>
      <c r="P1220" s="1468"/>
      <c r="Q1220" s="1468"/>
      <c r="R1220" s="1468"/>
      <c r="S1220" s="1468"/>
      <c r="T1220" s="1468"/>
      <c r="U1220" s="1468"/>
      <c r="V1220" s="1468"/>
      <c r="W1220" s="1468"/>
      <c r="X1220" s="1468"/>
      <c r="Y1220" s="1468"/>
      <c r="Z1220" s="1468"/>
      <c r="AA1220" s="1468"/>
      <c r="AB1220" s="1468"/>
      <c r="AC1220" s="1468"/>
      <c r="AD1220" s="1468"/>
      <c r="AE1220" s="1468"/>
      <c r="AF1220" s="1468"/>
      <c r="AG1220" s="1468"/>
      <c r="AH1220" s="1468"/>
      <c r="AI1220" s="1468"/>
      <c r="AJ1220" s="342"/>
      <c r="AK1220" s="345"/>
      <c r="AL1220" s="340"/>
      <c r="AM1220" s="627" t="s">
        <v>355</v>
      </c>
      <c r="AN1220" s="1468" t="s">
        <v>1291</v>
      </c>
      <c r="AO1220" s="1468"/>
      <c r="AP1220" s="1468"/>
      <c r="AQ1220" s="1468"/>
      <c r="AR1220" s="1468"/>
      <c r="AS1220" s="1468"/>
      <c r="AT1220" s="1468"/>
      <c r="AU1220" s="1468"/>
      <c r="AV1220" s="1468"/>
      <c r="AW1220" s="1468"/>
      <c r="AX1220" s="1468"/>
      <c r="AY1220" s="1468"/>
      <c r="AZ1220" s="1468"/>
      <c r="BA1220" s="1468"/>
      <c r="BB1220" s="1468"/>
      <c r="BC1220" s="1468"/>
      <c r="BD1220" s="1468"/>
      <c r="BE1220" s="1468"/>
      <c r="BF1220" s="1468"/>
      <c r="BG1220" s="1468"/>
      <c r="BH1220" s="1468"/>
      <c r="BI1220" s="1468"/>
      <c r="BJ1220" s="1468"/>
      <c r="BK1220" s="1468"/>
      <c r="BL1220" s="1468"/>
      <c r="BM1220" s="1468"/>
      <c r="BN1220" s="1468"/>
      <c r="BO1220" s="1468"/>
      <c r="BP1220" s="1468"/>
      <c r="BQ1220" s="1468"/>
      <c r="BR1220" s="1468"/>
      <c r="BS1220" s="1468"/>
      <c r="BT1220" s="356"/>
      <c r="BU1220" s="357"/>
      <c r="BV1220" s="310"/>
      <c r="BW1220" s="310"/>
      <c r="BX1220" s="300">
        <f t="shared" si="83"/>
        <v>0</v>
      </c>
      <c r="BY1220" s="342"/>
      <c r="BZ1220" s="438"/>
      <c r="CA1220" s="438"/>
      <c r="CB1220" s="439"/>
      <c r="CC1220" s="439"/>
      <c r="CD1220" s="439"/>
      <c r="CE1220" s="439"/>
      <c r="CF1220" s="439"/>
    </row>
    <row r="1221" spans="1:84" s="423" customFormat="1" ht="15" hidden="1" customHeight="1" x14ac:dyDescent="0.25">
      <c r="A1221" s="311"/>
      <c r="B1221" s="621"/>
      <c r="C1221" s="627" t="s">
        <v>355</v>
      </c>
      <c r="D1221" s="1468" t="s">
        <v>1292</v>
      </c>
      <c r="E1221" s="1468"/>
      <c r="F1221" s="1468"/>
      <c r="G1221" s="1468"/>
      <c r="H1221" s="1468"/>
      <c r="I1221" s="1468"/>
      <c r="J1221" s="1468"/>
      <c r="K1221" s="1468"/>
      <c r="L1221" s="1468"/>
      <c r="M1221" s="1468"/>
      <c r="N1221" s="1468"/>
      <c r="O1221" s="1468"/>
      <c r="P1221" s="1468"/>
      <c r="Q1221" s="1468"/>
      <c r="R1221" s="1468"/>
      <c r="S1221" s="1468"/>
      <c r="T1221" s="1468"/>
      <c r="U1221" s="1468"/>
      <c r="V1221" s="1468"/>
      <c r="W1221" s="1468"/>
      <c r="X1221" s="1468"/>
      <c r="Y1221" s="1468"/>
      <c r="Z1221" s="1468"/>
      <c r="AA1221" s="1468"/>
      <c r="AB1221" s="1468"/>
      <c r="AC1221" s="1468"/>
      <c r="AD1221" s="1468"/>
      <c r="AE1221" s="1468"/>
      <c r="AF1221" s="1468"/>
      <c r="AG1221" s="1468"/>
      <c r="AH1221" s="1468"/>
      <c r="AI1221" s="1468"/>
      <c r="AJ1221" s="342"/>
      <c r="AK1221" s="345"/>
      <c r="AL1221" s="340"/>
      <c r="AM1221" s="627" t="s">
        <v>355</v>
      </c>
      <c r="AN1221" s="1468" t="s">
        <v>1293</v>
      </c>
      <c r="AO1221" s="1468"/>
      <c r="AP1221" s="1468"/>
      <c r="AQ1221" s="1468"/>
      <c r="AR1221" s="1468"/>
      <c r="AS1221" s="1468"/>
      <c r="AT1221" s="1468"/>
      <c r="AU1221" s="1468"/>
      <c r="AV1221" s="1468"/>
      <c r="AW1221" s="1468"/>
      <c r="AX1221" s="1468"/>
      <c r="AY1221" s="1468"/>
      <c r="AZ1221" s="1468"/>
      <c r="BA1221" s="1468"/>
      <c r="BB1221" s="1468"/>
      <c r="BC1221" s="1468"/>
      <c r="BD1221" s="1468"/>
      <c r="BE1221" s="1468"/>
      <c r="BF1221" s="1468"/>
      <c r="BG1221" s="1468"/>
      <c r="BH1221" s="1468"/>
      <c r="BI1221" s="1468"/>
      <c r="BJ1221" s="1468"/>
      <c r="BK1221" s="1468"/>
      <c r="BL1221" s="1468"/>
      <c r="BM1221" s="1468"/>
      <c r="BN1221" s="1468"/>
      <c r="BO1221" s="1468"/>
      <c r="BP1221" s="1468"/>
      <c r="BQ1221" s="1468"/>
      <c r="BR1221" s="1468"/>
      <c r="BS1221" s="1468"/>
      <c r="BT1221" s="356"/>
      <c r="BU1221" s="357"/>
      <c r="BV1221" s="310"/>
      <c r="BW1221" s="310"/>
      <c r="BX1221" s="300">
        <f t="shared" si="83"/>
        <v>0</v>
      </c>
      <c r="BY1221" s="342"/>
      <c r="BZ1221" s="438"/>
      <c r="CA1221" s="438"/>
      <c r="CB1221" s="439"/>
      <c r="CC1221" s="439"/>
      <c r="CD1221" s="439"/>
      <c r="CE1221" s="439"/>
      <c r="CF1221" s="439"/>
    </row>
    <row r="1222" spans="1:84" s="423" customFormat="1" ht="15" hidden="1" customHeight="1" x14ac:dyDescent="0.25">
      <c r="A1222" s="311"/>
      <c r="B1222" s="621"/>
      <c r="C1222" s="627" t="s">
        <v>355</v>
      </c>
      <c r="D1222" s="1468" t="s">
        <v>1294</v>
      </c>
      <c r="E1222" s="1468"/>
      <c r="F1222" s="1468"/>
      <c r="G1222" s="1468"/>
      <c r="H1222" s="1468"/>
      <c r="I1222" s="1468"/>
      <c r="J1222" s="1468"/>
      <c r="K1222" s="1468"/>
      <c r="L1222" s="1468"/>
      <c r="M1222" s="1468"/>
      <c r="N1222" s="1468"/>
      <c r="O1222" s="1468"/>
      <c r="P1222" s="1468"/>
      <c r="Q1222" s="1468"/>
      <c r="R1222" s="1468"/>
      <c r="S1222" s="1468"/>
      <c r="T1222" s="1468"/>
      <c r="U1222" s="1468"/>
      <c r="V1222" s="1468"/>
      <c r="W1222" s="1468"/>
      <c r="X1222" s="1468"/>
      <c r="Y1222" s="1468"/>
      <c r="Z1222" s="1468"/>
      <c r="AA1222" s="1468"/>
      <c r="AB1222" s="1468"/>
      <c r="AC1222" s="1468"/>
      <c r="AD1222" s="1468"/>
      <c r="AE1222" s="1468"/>
      <c r="AF1222" s="1468"/>
      <c r="AG1222" s="1468"/>
      <c r="AH1222" s="1468"/>
      <c r="AI1222" s="1468"/>
      <c r="AJ1222" s="342"/>
      <c r="AK1222" s="345"/>
      <c r="AL1222" s="340"/>
      <c r="AM1222" s="627" t="s">
        <v>355</v>
      </c>
      <c r="AN1222" s="1468" t="s">
        <v>1295</v>
      </c>
      <c r="AO1222" s="1468"/>
      <c r="AP1222" s="1468"/>
      <c r="AQ1222" s="1468"/>
      <c r="AR1222" s="1468"/>
      <c r="AS1222" s="1468"/>
      <c r="AT1222" s="1468"/>
      <c r="AU1222" s="1468"/>
      <c r="AV1222" s="1468"/>
      <c r="AW1222" s="1468"/>
      <c r="AX1222" s="1468"/>
      <c r="AY1222" s="1468"/>
      <c r="AZ1222" s="1468"/>
      <c r="BA1222" s="1468"/>
      <c r="BB1222" s="1468"/>
      <c r="BC1222" s="1468"/>
      <c r="BD1222" s="1468"/>
      <c r="BE1222" s="1468"/>
      <c r="BF1222" s="1468"/>
      <c r="BG1222" s="1468"/>
      <c r="BH1222" s="1468"/>
      <c r="BI1222" s="1468"/>
      <c r="BJ1222" s="1468"/>
      <c r="BK1222" s="1468"/>
      <c r="BL1222" s="1468"/>
      <c r="BM1222" s="1468"/>
      <c r="BN1222" s="1468"/>
      <c r="BO1222" s="1468"/>
      <c r="BP1222" s="1468"/>
      <c r="BQ1222" s="1468"/>
      <c r="BR1222" s="1468"/>
      <c r="BS1222" s="1468"/>
      <c r="BT1222" s="356"/>
      <c r="BU1222" s="357"/>
      <c r="BV1222" s="310"/>
      <c r="BW1222" s="310"/>
      <c r="BX1222" s="300">
        <f t="shared" si="83"/>
        <v>0</v>
      </c>
      <c r="BY1222" s="342"/>
      <c r="BZ1222" s="438"/>
      <c r="CA1222" s="438"/>
      <c r="CB1222" s="439"/>
      <c r="CC1222" s="439"/>
      <c r="CD1222" s="439"/>
      <c r="CE1222" s="439"/>
      <c r="CF1222" s="439"/>
    </row>
    <row r="1223" spans="1:84" s="423" customFormat="1" ht="15" hidden="1" customHeight="1" x14ac:dyDescent="0.25">
      <c r="A1223" s="311"/>
      <c r="B1223" s="621"/>
      <c r="C1223" s="627"/>
      <c r="D1223" s="1468"/>
      <c r="E1223" s="1468"/>
      <c r="F1223" s="1468"/>
      <c r="G1223" s="1468"/>
      <c r="H1223" s="1468"/>
      <c r="I1223" s="1468"/>
      <c r="J1223" s="1468"/>
      <c r="K1223" s="1468"/>
      <c r="L1223" s="1468"/>
      <c r="M1223" s="1468"/>
      <c r="N1223" s="1468"/>
      <c r="O1223" s="1468"/>
      <c r="P1223" s="1468"/>
      <c r="Q1223" s="1468"/>
      <c r="R1223" s="1468"/>
      <c r="S1223" s="1468"/>
      <c r="T1223" s="1468"/>
      <c r="U1223" s="1468"/>
      <c r="V1223" s="1468"/>
      <c r="W1223" s="1468"/>
      <c r="X1223" s="1468"/>
      <c r="Y1223" s="1468"/>
      <c r="Z1223" s="1468"/>
      <c r="AA1223" s="1468"/>
      <c r="AB1223" s="1468"/>
      <c r="AC1223" s="1468"/>
      <c r="AD1223" s="1468"/>
      <c r="AE1223" s="1468"/>
      <c r="AF1223" s="1468"/>
      <c r="AG1223" s="1468"/>
      <c r="AH1223" s="1468"/>
      <c r="AI1223" s="1468"/>
      <c r="AJ1223" s="342"/>
      <c r="AK1223" s="345"/>
      <c r="AL1223" s="340"/>
      <c r="AM1223" s="627"/>
      <c r="AN1223" s="1468"/>
      <c r="AO1223" s="1468"/>
      <c r="AP1223" s="1468"/>
      <c r="AQ1223" s="1468"/>
      <c r="AR1223" s="1468"/>
      <c r="AS1223" s="1468"/>
      <c r="AT1223" s="1468"/>
      <c r="AU1223" s="1468"/>
      <c r="AV1223" s="1468"/>
      <c r="AW1223" s="1468"/>
      <c r="AX1223" s="1468"/>
      <c r="AY1223" s="1468"/>
      <c r="AZ1223" s="1468"/>
      <c r="BA1223" s="1468"/>
      <c r="BB1223" s="1468"/>
      <c r="BC1223" s="1468"/>
      <c r="BD1223" s="1468"/>
      <c r="BE1223" s="1468"/>
      <c r="BF1223" s="1468"/>
      <c r="BG1223" s="1468"/>
      <c r="BH1223" s="1468"/>
      <c r="BI1223" s="1468"/>
      <c r="BJ1223" s="1468"/>
      <c r="BK1223" s="1468"/>
      <c r="BL1223" s="1468"/>
      <c r="BM1223" s="1468"/>
      <c r="BN1223" s="1468"/>
      <c r="BO1223" s="1468"/>
      <c r="BP1223" s="1468"/>
      <c r="BQ1223" s="1468"/>
      <c r="BR1223" s="1468"/>
      <c r="BS1223" s="1468"/>
      <c r="BT1223" s="356"/>
      <c r="BU1223" s="357"/>
      <c r="BV1223" s="310"/>
      <c r="BW1223" s="310"/>
      <c r="BX1223" s="300">
        <f t="shared" si="83"/>
        <v>0</v>
      </c>
      <c r="BY1223" s="342"/>
      <c r="BZ1223" s="438"/>
      <c r="CA1223" s="438"/>
      <c r="CB1223" s="439"/>
      <c r="CC1223" s="439"/>
      <c r="CD1223" s="439"/>
      <c r="CE1223" s="439"/>
      <c r="CF1223" s="439"/>
    </row>
    <row r="1224" spans="1:84" s="423" customFormat="1" ht="15" hidden="1" customHeight="1" x14ac:dyDescent="0.25">
      <c r="A1224" s="311"/>
      <c r="B1224" s="621"/>
      <c r="C1224" s="1469" t="s">
        <v>1316</v>
      </c>
      <c r="D1224" s="1469"/>
      <c r="E1224" s="1469"/>
      <c r="F1224" s="1469"/>
      <c r="G1224" s="1469"/>
      <c r="H1224" s="1469"/>
      <c r="I1224" s="1469"/>
      <c r="J1224" s="1469"/>
      <c r="K1224" s="1469"/>
      <c r="L1224" s="1469"/>
      <c r="M1224" s="1469"/>
      <c r="N1224" s="1469"/>
      <c r="O1224" s="1469"/>
      <c r="P1224" s="1469"/>
      <c r="Q1224" s="1469"/>
      <c r="R1224" s="1469"/>
      <c r="S1224" s="1469"/>
      <c r="T1224" s="1469"/>
      <c r="U1224" s="1469"/>
      <c r="V1224" s="1469"/>
      <c r="W1224" s="1469"/>
      <c r="X1224" s="1469"/>
      <c r="Y1224" s="1469"/>
      <c r="Z1224" s="1469"/>
      <c r="AA1224" s="1469"/>
      <c r="AB1224" s="1469"/>
      <c r="AC1224" s="1469"/>
      <c r="AD1224" s="1469"/>
      <c r="AE1224" s="1469"/>
      <c r="AF1224" s="1469"/>
      <c r="AG1224" s="1469"/>
      <c r="AH1224" s="1469"/>
      <c r="AI1224" s="1469"/>
      <c r="AJ1224" s="342"/>
      <c r="AK1224" s="345"/>
      <c r="AL1224" s="340"/>
      <c r="AM1224" s="1469" t="s">
        <v>1317</v>
      </c>
      <c r="AN1224" s="1469"/>
      <c r="AO1224" s="1469"/>
      <c r="AP1224" s="1469"/>
      <c r="AQ1224" s="1469"/>
      <c r="AR1224" s="1469"/>
      <c r="AS1224" s="1469"/>
      <c r="AT1224" s="1469"/>
      <c r="AU1224" s="1469"/>
      <c r="AV1224" s="1469"/>
      <c r="AW1224" s="1469"/>
      <c r="AX1224" s="1469"/>
      <c r="AY1224" s="1469"/>
      <c r="AZ1224" s="1469"/>
      <c r="BA1224" s="1469"/>
      <c r="BB1224" s="1469"/>
      <c r="BC1224" s="1469"/>
      <c r="BD1224" s="1469"/>
      <c r="BE1224" s="1469"/>
      <c r="BF1224" s="1469"/>
      <c r="BG1224" s="1469"/>
      <c r="BH1224" s="1469"/>
      <c r="BI1224" s="1469"/>
      <c r="BJ1224" s="1469"/>
      <c r="BK1224" s="1469"/>
      <c r="BL1224" s="1469"/>
      <c r="BM1224" s="1469"/>
      <c r="BN1224" s="1469"/>
      <c r="BO1224" s="1469"/>
      <c r="BP1224" s="1469"/>
      <c r="BQ1224" s="1469"/>
      <c r="BR1224" s="1469"/>
      <c r="BS1224" s="1469"/>
      <c r="BT1224" s="356"/>
      <c r="BU1224" s="357"/>
      <c r="BV1224" s="310"/>
      <c r="BW1224" s="310"/>
      <c r="BX1224" s="300">
        <f t="shared" si="83"/>
        <v>0</v>
      </c>
      <c r="BY1224" s="342"/>
      <c r="BZ1224" s="438"/>
      <c r="CA1224" s="438"/>
      <c r="CB1224" s="439"/>
      <c r="CC1224" s="439"/>
      <c r="CD1224" s="439"/>
      <c r="CE1224" s="439"/>
      <c r="CF1224" s="439"/>
    </row>
    <row r="1225" spans="1:84" s="423" customFormat="1" ht="15" hidden="1" customHeight="1" x14ac:dyDescent="0.25">
      <c r="A1225" s="311"/>
      <c r="B1225" s="621"/>
      <c r="C1225" s="627" t="s">
        <v>355</v>
      </c>
      <c r="D1225" s="1468"/>
      <c r="E1225" s="1468"/>
      <c r="F1225" s="1468"/>
      <c r="G1225" s="1468"/>
      <c r="H1225" s="1468"/>
      <c r="I1225" s="1468"/>
      <c r="J1225" s="1468"/>
      <c r="K1225" s="1468"/>
      <c r="L1225" s="1468"/>
      <c r="M1225" s="1468"/>
      <c r="N1225" s="1468"/>
      <c r="O1225" s="1468"/>
      <c r="P1225" s="1468"/>
      <c r="Q1225" s="1468"/>
      <c r="R1225" s="1468"/>
      <c r="S1225" s="1468"/>
      <c r="T1225" s="1468"/>
      <c r="U1225" s="1468"/>
      <c r="V1225" s="1468"/>
      <c r="W1225" s="1468"/>
      <c r="X1225" s="1468"/>
      <c r="Y1225" s="1468"/>
      <c r="Z1225" s="1468"/>
      <c r="AA1225" s="1468"/>
      <c r="AB1225" s="1468"/>
      <c r="AC1225" s="1468"/>
      <c r="AD1225" s="1468"/>
      <c r="AE1225" s="1468"/>
      <c r="AF1225" s="1468"/>
      <c r="AG1225" s="1468"/>
      <c r="AH1225" s="1468"/>
      <c r="AI1225" s="1468"/>
      <c r="AJ1225" s="342"/>
      <c r="AK1225" s="345"/>
      <c r="AL1225" s="340"/>
      <c r="AM1225" s="627" t="s">
        <v>355</v>
      </c>
      <c r="AN1225" s="392"/>
      <c r="AO1225" s="392"/>
      <c r="AP1225" s="392"/>
      <c r="AQ1225" s="392"/>
      <c r="AR1225" s="392"/>
      <c r="AS1225" s="392"/>
      <c r="AT1225" s="392"/>
      <c r="AU1225" s="392"/>
      <c r="AV1225" s="392"/>
      <c r="AW1225" s="392"/>
      <c r="AX1225" s="392"/>
      <c r="AY1225" s="392"/>
      <c r="AZ1225" s="392"/>
      <c r="BA1225" s="392"/>
      <c r="BB1225" s="392"/>
      <c r="BC1225" s="392"/>
      <c r="BD1225" s="392"/>
      <c r="BE1225" s="392"/>
      <c r="BF1225" s="392"/>
      <c r="BG1225" s="490"/>
      <c r="BH1225" s="490"/>
      <c r="BI1225" s="490"/>
      <c r="BJ1225" s="490"/>
      <c r="BK1225" s="490"/>
      <c r="BL1225" s="490"/>
      <c r="BM1225" s="358"/>
      <c r="BN1225" s="355"/>
      <c r="BO1225" s="355"/>
      <c r="BP1225" s="355"/>
      <c r="BQ1225" s="355"/>
      <c r="BR1225" s="355"/>
      <c r="BS1225" s="355"/>
      <c r="BT1225" s="356"/>
      <c r="BU1225" s="357"/>
      <c r="BV1225" s="310"/>
      <c r="BW1225" s="310"/>
      <c r="BX1225" s="300">
        <f t="shared" si="83"/>
        <v>0</v>
      </c>
      <c r="BY1225" s="342"/>
      <c r="BZ1225" s="438"/>
      <c r="CA1225" s="438"/>
      <c r="CB1225" s="439"/>
      <c r="CC1225" s="439"/>
      <c r="CD1225" s="439"/>
      <c r="CE1225" s="439"/>
      <c r="CF1225" s="439"/>
    </row>
    <row r="1226" spans="1:84" s="423" customFormat="1" ht="15" hidden="1" customHeight="1" x14ac:dyDescent="0.25">
      <c r="A1226" s="311"/>
      <c r="B1226" s="621"/>
      <c r="C1226" s="627" t="s">
        <v>355</v>
      </c>
      <c r="D1226" s="1468"/>
      <c r="E1226" s="1468"/>
      <c r="F1226" s="1468"/>
      <c r="G1226" s="1468"/>
      <c r="H1226" s="1468"/>
      <c r="I1226" s="1468"/>
      <c r="J1226" s="1468"/>
      <c r="K1226" s="1468"/>
      <c r="L1226" s="1468"/>
      <c r="M1226" s="1468"/>
      <c r="N1226" s="1468"/>
      <c r="O1226" s="1468"/>
      <c r="P1226" s="1468"/>
      <c r="Q1226" s="1468"/>
      <c r="R1226" s="1468"/>
      <c r="S1226" s="1468"/>
      <c r="T1226" s="1468"/>
      <c r="U1226" s="1468"/>
      <c r="V1226" s="1468"/>
      <c r="W1226" s="1468"/>
      <c r="X1226" s="1468"/>
      <c r="Y1226" s="1468"/>
      <c r="Z1226" s="1468"/>
      <c r="AA1226" s="1468"/>
      <c r="AB1226" s="1468"/>
      <c r="AC1226" s="1468"/>
      <c r="AD1226" s="1468"/>
      <c r="AE1226" s="1468"/>
      <c r="AF1226" s="1468"/>
      <c r="AG1226" s="1468"/>
      <c r="AH1226" s="1468"/>
      <c r="AI1226" s="1468"/>
      <c r="AJ1226" s="342"/>
      <c r="AK1226" s="345"/>
      <c r="AL1226" s="340"/>
      <c r="AM1226" s="627" t="s">
        <v>355</v>
      </c>
      <c r="AN1226" s="392"/>
      <c r="AO1226" s="392"/>
      <c r="AP1226" s="392"/>
      <c r="AQ1226" s="392"/>
      <c r="AR1226" s="392"/>
      <c r="AS1226" s="392"/>
      <c r="AT1226" s="392"/>
      <c r="AU1226" s="392"/>
      <c r="AV1226" s="392"/>
      <c r="AW1226" s="392"/>
      <c r="AX1226" s="392"/>
      <c r="AY1226" s="392"/>
      <c r="AZ1226" s="392"/>
      <c r="BA1226" s="392"/>
      <c r="BB1226" s="392"/>
      <c r="BC1226" s="392"/>
      <c r="BD1226" s="392"/>
      <c r="BE1226" s="392"/>
      <c r="BF1226" s="392"/>
      <c r="BG1226" s="490"/>
      <c r="BH1226" s="490"/>
      <c r="BI1226" s="490"/>
      <c r="BJ1226" s="490"/>
      <c r="BK1226" s="490"/>
      <c r="BL1226" s="490"/>
      <c r="BM1226" s="358"/>
      <c r="BN1226" s="355"/>
      <c r="BO1226" s="355"/>
      <c r="BP1226" s="355"/>
      <c r="BQ1226" s="355"/>
      <c r="BR1226" s="355"/>
      <c r="BS1226" s="355"/>
      <c r="BT1226" s="356"/>
      <c r="BU1226" s="357"/>
      <c r="BV1226" s="310"/>
      <c r="BW1226" s="310"/>
      <c r="BX1226" s="300">
        <f t="shared" si="83"/>
        <v>0</v>
      </c>
      <c r="BY1226" s="342"/>
      <c r="BZ1226" s="438"/>
      <c r="CA1226" s="438"/>
      <c r="CB1226" s="439"/>
      <c r="CC1226" s="439"/>
      <c r="CD1226" s="439"/>
      <c r="CE1226" s="439"/>
      <c r="CF1226" s="439"/>
    </row>
    <row r="1227" spans="1:84" ht="2.1" hidden="1" customHeight="1" x14ac:dyDescent="0.25">
      <c r="A1227" s="313"/>
      <c r="B1227" s="603"/>
      <c r="C1227" s="392"/>
      <c r="D1227" s="392"/>
      <c r="E1227" s="392"/>
      <c r="F1227" s="392"/>
      <c r="G1227" s="392"/>
      <c r="H1227" s="392"/>
      <c r="I1227" s="392"/>
      <c r="J1227" s="392"/>
      <c r="K1227" s="392"/>
      <c r="L1227" s="392"/>
      <c r="M1227" s="392"/>
      <c r="N1227" s="392"/>
      <c r="O1227" s="392"/>
      <c r="P1227" s="392"/>
      <c r="Q1227" s="392"/>
      <c r="R1227" s="392"/>
      <c r="S1227" s="392"/>
      <c r="T1227" s="392"/>
      <c r="U1227" s="392"/>
      <c r="V1227" s="392"/>
      <c r="W1227" s="393"/>
      <c r="X1227" s="393"/>
      <c r="Y1227" s="393"/>
      <c r="Z1227" s="393"/>
      <c r="AA1227" s="393"/>
      <c r="AB1227" s="393"/>
      <c r="AC1227" s="343"/>
      <c r="AD1227" s="343"/>
      <c r="AE1227" s="343"/>
      <c r="AF1227" s="343"/>
      <c r="AG1227" s="343"/>
      <c r="AH1227" s="343"/>
      <c r="AI1227" s="343"/>
      <c r="AJ1227" s="344"/>
      <c r="AK1227" s="345"/>
      <c r="AL1227" s="340"/>
      <c r="AM1227" s="392"/>
      <c r="AN1227" s="392"/>
      <c r="AO1227" s="392"/>
      <c r="AP1227" s="392"/>
      <c r="AQ1227" s="392"/>
      <c r="AR1227" s="392"/>
      <c r="AS1227" s="392"/>
      <c r="AT1227" s="392"/>
      <c r="AU1227" s="392"/>
      <c r="AV1227" s="392"/>
      <c r="AW1227" s="392"/>
      <c r="AX1227" s="392"/>
      <c r="AY1227" s="392"/>
      <c r="AZ1227" s="392"/>
      <c r="BA1227" s="392"/>
      <c r="BB1227" s="392"/>
      <c r="BC1227" s="392"/>
      <c r="BD1227" s="392"/>
      <c r="BE1227" s="392"/>
      <c r="BF1227" s="392"/>
      <c r="BG1227" s="490"/>
      <c r="BH1227" s="490"/>
      <c r="BI1227" s="490"/>
      <c r="BJ1227" s="490"/>
      <c r="BK1227" s="490"/>
      <c r="BL1227" s="490"/>
      <c r="BM1227" s="358"/>
      <c r="BN1227" s="355"/>
      <c r="BO1227" s="355"/>
      <c r="BP1227" s="355"/>
      <c r="BQ1227" s="355"/>
      <c r="BR1227" s="355"/>
      <c r="BS1227" s="355"/>
      <c r="BT1227" s="356"/>
      <c r="BU1227" s="357"/>
      <c r="BV1227" s="310"/>
      <c r="BW1227" s="310"/>
      <c r="BX1227" s="291">
        <f t="shared" si="83"/>
        <v>0</v>
      </c>
      <c r="BY1227" s="344"/>
      <c r="BZ1227" s="347"/>
      <c r="CA1227" s="347"/>
    </row>
    <row r="1228" spans="1:84" ht="12.95" hidden="1" customHeight="1" x14ac:dyDescent="0.25">
      <c r="A1228" s="313"/>
      <c r="B1228" s="603"/>
      <c r="C1228" s="392"/>
      <c r="D1228" s="392"/>
      <c r="E1228" s="392"/>
      <c r="F1228" s="392"/>
      <c r="G1228" s="392"/>
      <c r="H1228" s="392"/>
      <c r="I1228" s="392"/>
      <c r="J1228" s="392"/>
      <c r="K1228" s="392"/>
      <c r="L1228" s="392"/>
      <c r="M1228" s="392"/>
      <c r="N1228" s="392"/>
      <c r="O1228" s="392"/>
      <c r="P1228" s="392"/>
      <c r="Q1228" s="392"/>
      <c r="R1228" s="392"/>
      <c r="S1228" s="392"/>
      <c r="T1228" s="392"/>
      <c r="U1228" s="392"/>
      <c r="V1228" s="392"/>
      <c r="W1228" s="393"/>
      <c r="X1228" s="393"/>
      <c r="Y1228" s="393"/>
      <c r="Z1228" s="393"/>
      <c r="AA1228" s="393"/>
      <c r="AB1228" s="393"/>
      <c r="AC1228" s="343"/>
      <c r="AD1228" s="343"/>
      <c r="AE1228" s="343"/>
      <c r="AF1228" s="343"/>
      <c r="AG1228" s="343"/>
      <c r="AH1228" s="343"/>
      <c r="AI1228" s="343"/>
      <c r="AJ1228" s="344"/>
      <c r="AK1228" s="345"/>
      <c r="AL1228" s="340"/>
      <c r="AM1228" s="392"/>
      <c r="AN1228" s="392"/>
      <c r="AO1228" s="392"/>
      <c r="AP1228" s="392"/>
      <c r="AQ1228" s="392"/>
      <c r="AR1228" s="392"/>
      <c r="AS1228" s="392"/>
      <c r="AT1228" s="392"/>
      <c r="AU1228" s="392"/>
      <c r="AV1228" s="392"/>
      <c r="AW1228" s="392"/>
      <c r="AX1228" s="392"/>
      <c r="AY1228" s="392"/>
      <c r="AZ1228" s="392"/>
      <c r="BA1228" s="392"/>
      <c r="BB1228" s="392"/>
      <c r="BC1228" s="392"/>
      <c r="BD1228" s="392"/>
      <c r="BE1228" s="392"/>
      <c r="BF1228" s="392"/>
      <c r="BG1228" s="490"/>
      <c r="BH1228" s="490"/>
      <c r="BI1228" s="490"/>
      <c r="BJ1228" s="490"/>
      <c r="BK1228" s="490"/>
      <c r="BL1228" s="490"/>
      <c r="BM1228" s="358"/>
      <c r="BN1228" s="355"/>
      <c r="BO1228" s="355"/>
      <c r="BP1228" s="355"/>
      <c r="BQ1228" s="355"/>
      <c r="BR1228" s="355"/>
      <c r="BS1228" s="355"/>
      <c r="BT1228" s="356"/>
      <c r="BU1228" s="357"/>
      <c r="BV1228" s="310"/>
      <c r="BW1228" s="310"/>
      <c r="BX1228" s="291">
        <f t="shared" si="83"/>
        <v>0</v>
      </c>
      <c r="BY1228" s="344"/>
      <c r="BZ1228" s="347"/>
      <c r="CA1228" s="347"/>
    </row>
    <row r="1229" spans="1:84" ht="15" hidden="1" customHeight="1" x14ac:dyDescent="0.25">
      <c r="A1229" s="313">
        <f>STT</f>
        <v>20</v>
      </c>
      <c r="B1229" s="373" t="s">
        <v>345</v>
      </c>
      <c r="C1229" s="471" t="s">
        <v>1318</v>
      </c>
      <c r="D1229" s="392"/>
      <c r="E1229" s="392"/>
      <c r="F1229" s="392"/>
      <c r="G1229" s="392"/>
      <c r="H1229" s="392"/>
      <c r="I1229" s="392"/>
      <c r="J1229" s="392"/>
      <c r="K1229" s="392"/>
      <c r="L1229" s="392"/>
      <c r="M1229" s="392"/>
      <c r="N1229" s="392"/>
      <c r="O1229" s="392"/>
      <c r="P1229" s="392"/>
      <c r="Q1229" s="392"/>
      <c r="R1229" s="392"/>
      <c r="S1229" s="392"/>
      <c r="T1229" s="392"/>
      <c r="U1229" s="392"/>
      <c r="V1229" s="392"/>
      <c r="W1229" s="393"/>
      <c r="X1229" s="393"/>
      <c r="Y1229" s="393"/>
      <c r="Z1229" s="393"/>
      <c r="AA1229" s="393"/>
      <c r="AB1229" s="393"/>
      <c r="AC1229" s="343"/>
      <c r="AD1229" s="343"/>
      <c r="AE1229" s="343"/>
      <c r="AF1229" s="343"/>
      <c r="AG1229" s="343"/>
      <c r="AH1229" s="343"/>
      <c r="AI1229" s="343"/>
      <c r="AJ1229" s="344"/>
      <c r="AK1229" s="345">
        <f>A1229</f>
        <v>20</v>
      </c>
      <c r="AL1229" s="340" t="s">
        <v>345</v>
      </c>
      <c r="AM1229" s="471" t="s">
        <v>1319</v>
      </c>
      <c r="AN1229" s="392"/>
      <c r="AO1229" s="392"/>
      <c r="AP1229" s="392"/>
      <c r="AQ1229" s="392"/>
      <c r="AR1229" s="392"/>
      <c r="AS1229" s="392"/>
      <c r="AT1229" s="392"/>
      <c r="AU1229" s="392"/>
      <c r="AV1229" s="392"/>
      <c r="AW1229" s="392"/>
      <c r="AX1229" s="392"/>
      <c r="AY1229" s="392"/>
      <c r="AZ1229" s="392"/>
      <c r="BA1229" s="392"/>
      <c r="BB1229" s="392"/>
      <c r="BC1229" s="392"/>
      <c r="BD1229" s="392"/>
      <c r="BE1229" s="392"/>
      <c r="BF1229" s="392"/>
      <c r="BG1229" s="490"/>
      <c r="BH1229" s="490"/>
      <c r="BI1229" s="490"/>
      <c r="BJ1229" s="490"/>
      <c r="BK1229" s="490"/>
      <c r="BL1229" s="490"/>
      <c r="BM1229" s="358"/>
      <c r="BN1229" s="355"/>
      <c r="BO1229" s="355"/>
      <c r="BP1229" s="355"/>
      <c r="BQ1229" s="355"/>
      <c r="BR1229" s="355"/>
      <c r="BS1229" s="355"/>
      <c r="BT1229" s="356"/>
      <c r="BU1229" s="346">
        <f>SUBTOTAL(103,A1229)</f>
        <v>0</v>
      </c>
      <c r="BV1229" s="310"/>
      <c r="BW1229" s="310"/>
      <c r="BX1229" s="291">
        <f t="shared" si="83"/>
        <v>0</v>
      </c>
      <c r="BY1229" s="344"/>
      <c r="BZ1229" s="347"/>
      <c r="CA1229" s="347"/>
    </row>
    <row r="1230" spans="1:84" ht="15" hidden="1" customHeight="1" x14ac:dyDescent="0.25">
      <c r="A1230" s="313"/>
      <c r="B1230" s="603"/>
      <c r="C1230" s="392"/>
      <c r="D1230" s="392"/>
      <c r="E1230" s="392"/>
      <c r="F1230" s="392"/>
      <c r="G1230" s="392"/>
      <c r="H1230" s="392"/>
      <c r="I1230" s="392"/>
      <c r="J1230" s="392"/>
      <c r="K1230" s="392"/>
      <c r="L1230" s="392"/>
      <c r="M1230" s="392"/>
      <c r="N1230" s="392"/>
      <c r="O1230" s="392"/>
      <c r="P1230" s="392"/>
      <c r="Q1230" s="392"/>
      <c r="R1230" s="392"/>
      <c r="S1230" s="392"/>
      <c r="T1230" s="392"/>
      <c r="U1230" s="392"/>
      <c r="V1230" s="392"/>
      <c r="W1230" s="393"/>
      <c r="X1230" s="393"/>
      <c r="Y1230" s="393"/>
      <c r="Z1230" s="393"/>
      <c r="AA1230" s="393"/>
      <c r="AB1230" s="393"/>
      <c r="AC1230" s="343"/>
      <c r="AD1230" s="343"/>
      <c r="AE1230" s="343"/>
      <c r="AF1230" s="343"/>
      <c r="AG1230" s="343"/>
      <c r="AH1230" s="343"/>
      <c r="AI1230" s="343"/>
      <c r="AJ1230" s="344"/>
      <c r="AK1230" s="345"/>
      <c r="AL1230" s="340"/>
      <c r="AM1230" s="392"/>
      <c r="AN1230" s="392"/>
      <c r="AO1230" s="392"/>
      <c r="AP1230" s="392"/>
      <c r="AQ1230" s="392"/>
      <c r="AR1230" s="392"/>
      <c r="AS1230" s="392"/>
      <c r="AT1230" s="392"/>
      <c r="AU1230" s="392"/>
      <c r="AV1230" s="392"/>
      <c r="AW1230" s="392"/>
      <c r="AX1230" s="392"/>
      <c r="AY1230" s="392"/>
      <c r="AZ1230" s="392"/>
      <c r="BA1230" s="392"/>
      <c r="BB1230" s="392"/>
      <c r="BC1230" s="392"/>
      <c r="BD1230" s="392"/>
      <c r="BE1230" s="392"/>
      <c r="BF1230" s="392"/>
      <c r="BG1230" s="490"/>
      <c r="BH1230" s="490"/>
      <c r="BI1230" s="490"/>
      <c r="BJ1230" s="490"/>
      <c r="BK1230" s="490"/>
      <c r="BL1230" s="490"/>
      <c r="BM1230" s="358"/>
      <c r="BN1230" s="355"/>
      <c r="BO1230" s="355"/>
      <c r="BP1230" s="355"/>
      <c r="BQ1230" s="355"/>
      <c r="BR1230" s="355"/>
      <c r="BS1230" s="355"/>
      <c r="BT1230" s="356"/>
      <c r="BU1230" s="357"/>
      <c r="BV1230" s="310"/>
      <c r="BW1230" s="310"/>
      <c r="BX1230" s="291">
        <f t="shared" si="83"/>
        <v>0</v>
      </c>
      <c r="BY1230" s="344"/>
      <c r="BZ1230" s="347"/>
      <c r="CA1230" s="347"/>
    </row>
    <row r="1231" spans="1:84" ht="15" hidden="1" customHeight="1" x14ac:dyDescent="0.25">
      <c r="A1231" s="313"/>
      <c r="B1231" s="603"/>
      <c r="C1231" s="392" t="s">
        <v>1320</v>
      </c>
      <c r="D1231" s="392"/>
      <c r="E1231" s="392"/>
      <c r="F1231" s="392"/>
      <c r="G1231" s="392"/>
      <c r="H1231" s="392"/>
      <c r="I1231" s="392"/>
      <c r="J1231" s="392"/>
      <c r="K1231" s="392"/>
      <c r="L1231" s="392"/>
      <c r="M1231" s="392"/>
      <c r="N1231" s="392"/>
      <c r="O1231" s="392"/>
      <c r="P1231" s="392"/>
      <c r="Q1231" s="392"/>
      <c r="R1231" s="392"/>
      <c r="S1231" s="392"/>
      <c r="T1231" s="392"/>
      <c r="U1231" s="392"/>
      <c r="V1231" s="392"/>
      <c r="W1231" s="393"/>
      <c r="X1231" s="393"/>
      <c r="Y1231" s="393"/>
      <c r="Z1231" s="393"/>
      <c r="AA1231" s="393"/>
      <c r="AB1231" s="393"/>
      <c r="AC1231" s="343"/>
      <c r="AD1231" s="343"/>
      <c r="AE1231" s="343"/>
      <c r="AF1231" s="343"/>
      <c r="AG1231" s="343"/>
      <c r="AH1231" s="343"/>
      <c r="AI1231" s="343"/>
      <c r="AJ1231" s="344"/>
      <c r="AK1231" s="345"/>
      <c r="AL1231" s="340"/>
      <c r="AM1231" s="392" t="s">
        <v>1321</v>
      </c>
      <c r="AN1231" s="392"/>
      <c r="AO1231" s="392"/>
      <c r="AP1231" s="392"/>
      <c r="AQ1231" s="392"/>
      <c r="AR1231" s="392"/>
      <c r="AS1231" s="392"/>
      <c r="AT1231" s="392"/>
      <c r="AU1231" s="392"/>
      <c r="AV1231" s="392"/>
      <c r="AW1231" s="392"/>
      <c r="AX1231" s="392"/>
      <c r="AY1231" s="392"/>
      <c r="AZ1231" s="392"/>
      <c r="BA1231" s="392"/>
      <c r="BB1231" s="392"/>
      <c r="BC1231" s="392"/>
      <c r="BD1231" s="392"/>
      <c r="BE1231" s="392"/>
      <c r="BF1231" s="392"/>
      <c r="BG1231" s="490"/>
      <c r="BH1231" s="490"/>
      <c r="BI1231" s="490"/>
      <c r="BJ1231" s="490"/>
      <c r="BK1231" s="490"/>
      <c r="BL1231" s="490"/>
      <c r="BM1231" s="358"/>
      <c r="BN1231" s="355"/>
      <c r="BO1231" s="355"/>
      <c r="BP1231" s="355"/>
      <c r="BQ1231" s="355"/>
      <c r="BR1231" s="355"/>
      <c r="BS1231" s="355"/>
      <c r="BT1231" s="356"/>
      <c r="BU1231" s="357"/>
      <c r="BV1231" s="310"/>
      <c r="BW1231" s="310"/>
      <c r="BX1231" s="291">
        <f t="shared" si="83"/>
        <v>0</v>
      </c>
      <c r="BY1231" s="344"/>
      <c r="BZ1231" s="347"/>
      <c r="CA1231" s="347"/>
    </row>
    <row r="1232" spans="1:84" ht="15" hidden="1" customHeight="1" x14ac:dyDescent="0.25">
      <c r="A1232" s="313"/>
      <c r="B1232" s="603"/>
      <c r="C1232" s="392" t="s">
        <v>1322</v>
      </c>
      <c r="D1232" s="392"/>
      <c r="E1232" s="392"/>
      <c r="F1232" s="392"/>
      <c r="G1232" s="392"/>
      <c r="H1232" s="392"/>
      <c r="I1232" s="392"/>
      <c r="J1232" s="392"/>
      <c r="K1232" s="392"/>
      <c r="L1232" s="392"/>
      <c r="M1232" s="392"/>
      <c r="N1232" s="392"/>
      <c r="O1232" s="392"/>
      <c r="P1232" s="392"/>
      <c r="Q1232" s="392"/>
      <c r="R1232" s="392"/>
      <c r="S1232" s="392"/>
      <c r="T1232" s="392"/>
      <c r="U1232" s="392"/>
      <c r="V1232" s="392"/>
      <c r="W1232" s="393"/>
      <c r="X1232" s="393"/>
      <c r="Y1232" s="393"/>
      <c r="Z1232" s="393"/>
      <c r="AA1232" s="393"/>
      <c r="AB1232" s="393"/>
      <c r="AC1232" s="343"/>
      <c r="AD1232" s="343"/>
      <c r="AE1232" s="343"/>
      <c r="AF1232" s="343"/>
      <c r="AG1232" s="343"/>
      <c r="AH1232" s="343"/>
      <c r="AI1232" s="343"/>
      <c r="AJ1232" s="344"/>
      <c r="AK1232" s="345"/>
      <c r="AL1232" s="340"/>
      <c r="AM1232" s="392" t="s">
        <v>1323</v>
      </c>
      <c r="AN1232" s="392"/>
      <c r="AO1232" s="392"/>
      <c r="AP1232" s="392"/>
      <c r="AQ1232" s="392"/>
      <c r="AR1232" s="392"/>
      <c r="AS1232" s="392"/>
      <c r="AT1232" s="392"/>
      <c r="AU1232" s="392"/>
      <c r="AV1232" s="392"/>
      <c r="AW1232" s="392"/>
      <c r="AX1232" s="392"/>
      <c r="AY1232" s="392"/>
      <c r="AZ1232" s="392"/>
      <c r="BA1232" s="392"/>
      <c r="BB1232" s="392"/>
      <c r="BC1232" s="392"/>
      <c r="BD1232" s="392"/>
      <c r="BE1232" s="392"/>
      <c r="BF1232" s="392"/>
      <c r="BG1232" s="490"/>
      <c r="BH1232" s="490"/>
      <c r="BI1232" s="490"/>
      <c r="BJ1232" s="490"/>
      <c r="BK1232" s="490"/>
      <c r="BL1232" s="490"/>
      <c r="BM1232" s="358"/>
      <c r="BN1232" s="355"/>
      <c r="BO1232" s="355"/>
      <c r="BP1232" s="355"/>
      <c r="BQ1232" s="355"/>
      <c r="BR1232" s="355"/>
      <c r="BS1232" s="355"/>
      <c r="BT1232" s="356"/>
      <c r="BU1232" s="357"/>
      <c r="BV1232" s="310"/>
      <c r="BW1232" s="310"/>
      <c r="BX1232" s="291">
        <f t="shared" si="83"/>
        <v>0</v>
      </c>
      <c r="BY1232" s="344"/>
      <c r="BZ1232" s="347"/>
      <c r="CA1232" s="347"/>
    </row>
    <row r="1233" spans="1:84" ht="15" hidden="1" customHeight="1" x14ac:dyDescent="0.25">
      <c r="A1233" s="313"/>
      <c r="B1233" s="603"/>
      <c r="C1233" s="392" t="s">
        <v>1324</v>
      </c>
      <c r="D1233" s="392"/>
      <c r="E1233" s="392"/>
      <c r="F1233" s="392"/>
      <c r="G1233" s="392"/>
      <c r="H1233" s="392"/>
      <c r="I1233" s="392"/>
      <c r="J1233" s="392"/>
      <c r="K1233" s="392"/>
      <c r="L1233" s="392"/>
      <c r="M1233" s="392"/>
      <c r="N1233" s="392"/>
      <c r="O1233" s="392"/>
      <c r="P1233" s="392"/>
      <c r="Q1233" s="392"/>
      <c r="R1233" s="392"/>
      <c r="S1233" s="392"/>
      <c r="T1233" s="392"/>
      <c r="U1233" s="392"/>
      <c r="V1233" s="392"/>
      <c r="W1233" s="393"/>
      <c r="X1233" s="393"/>
      <c r="Y1233" s="393"/>
      <c r="Z1233" s="393"/>
      <c r="AA1233" s="393"/>
      <c r="AB1233" s="393"/>
      <c r="AC1233" s="343"/>
      <c r="AD1233" s="343"/>
      <c r="AE1233" s="343"/>
      <c r="AF1233" s="343"/>
      <c r="AG1233" s="343"/>
      <c r="AH1233" s="343"/>
      <c r="AI1233" s="343"/>
      <c r="AJ1233" s="344"/>
      <c r="AK1233" s="345"/>
      <c r="AL1233" s="340"/>
      <c r="AM1233" s="392" t="s">
        <v>1325</v>
      </c>
      <c r="AN1233" s="392"/>
      <c r="AO1233" s="392"/>
      <c r="AP1233" s="392"/>
      <c r="AQ1233" s="392"/>
      <c r="AR1233" s="392"/>
      <c r="AS1233" s="392"/>
      <c r="AT1233" s="392"/>
      <c r="AU1233" s="392"/>
      <c r="AV1233" s="392"/>
      <c r="AW1233" s="392"/>
      <c r="AX1233" s="392"/>
      <c r="AY1233" s="392"/>
      <c r="AZ1233" s="392"/>
      <c r="BA1233" s="392"/>
      <c r="BB1233" s="392"/>
      <c r="BC1233" s="392"/>
      <c r="BD1233" s="392"/>
      <c r="BE1233" s="392"/>
      <c r="BF1233" s="392"/>
      <c r="BG1233" s="490"/>
      <c r="BH1233" s="490"/>
      <c r="BI1233" s="490"/>
      <c r="BJ1233" s="490"/>
      <c r="BK1233" s="490"/>
      <c r="BL1233" s="490"/>
      <c r="BM1233" s="358"/>
      <c r="BN1233" s="355"/>
      <c r="BO1233" s="355"/>
      <c r="BP1233" s="355"/>
      <c r="BQ1233" s="355"/>
      <c r="BR1233" s="355"/>
      <c r="BS1233" s="355"/>
      <c r="BT1233" s="356"/>
      <c r="BU1233" s="357"/>
      <c r="BV1233" s="310"/>
      <c r="BW1233" s="310"/>
      <c r="BX1233" s="291">
        <f t="shared" si="83"/>
        <v>0</v>
      </c>
      <c r="BY1233" s="344"/>
      <c r="BZ1233" s="347"/>
      <c r="CA1233" s="347"/>
    </row>
    <row r="1234" spans="1:84" ht="15" hidden="1" customHeight="1" x14ac:dyDescent="0.25">
      <c r="A1234" s="313"/>
      <c r="B1234" s="603"/>
      <c r="C1234" s="392" t="s">
        <v>1326</v>
      </c>
      <c r="D1234" s="392"/>
      <c r="E1234" s="392"/>
      <c r="F1234" s="392"/>
      <c r="G1234" s="392"/>
      <c r="H1234" s="392"/>
      <c r="I1234" s="392"/>
      <c r="J1234" s="392"/>
      <c r="K1234" s="392"/>
      <c r="L1234" s="392"/>
      <c r="M1234" s="392"/>
      <c r="N1234" s="392"/>
      <c r="O1234" s="392"/>
      <c r="P1234" s="392"/>
      <c r="Q1234" s="392"/>
      <c r="R1234" s="392"/>
      <c r="S1234" s="392"/>
      <c r="T1234" s="392"/>
      <c r="U1234" s="392"/>
      <c r="V1234" s="392"/>
      <c r="W1234" s="393"/>
      <c r="X1234" s="393"/>
      <c r="Y1234" s="393"/>
      <c r="Z1234" s="393"/>
      <c r="AA1234" s="393"/>
      <c r="AB1234" s="393"/>
      <c r="AC1234" s="343"/>
      <c r="AD1234" s="343"/>
      <c r="AE1234" s="343"/>
      <c r="AF1234" s="343"/>
      <c r="AG1234" s="343"/>
      <c r="AH1234" s="343"/>
      <c r="AI1234" s="343"/>
      <c r="AJ1234" s="344"/>
      <c r="AK1234" s="345"/>
      <c r="AL1234" s="340"/>
      <c r="AM1234" s="392" t="s">
        <v>1327</v>
      </c>
      <c r="AN1234" s="392"/>
      <c r="AO1234" s="392"/>
      <c r="AP1234" s="392"/>
      <c r="AQ1234" s="392"/>
      <c r="AR1234" s="392"/>
      <c r="AS1234" s="392"/>
      <c r="AT1234" s="392"/>
      <c r="AU1234" s="392"/>
      <c r="AV1234" s="392"/>
      <c r="AW1234" s="392"/>
      <c r="AX1234" s="392"/>
      <c r="AY1234" s="392"/>
      <c r="AZ1234" s="392"/>
      <c r="BA1234" s="392"/>
      <c r="BB1234" s="392"/>
      <c r="BC1234" s="392"/>
      <c r="BD1234" s="392"/>
      <c r="BE1234" s="392"/>
      <c r="BF1234" s="392"/>
      <c r="BG1234" s="490"/>
      <c r="BH1234" s="490"/>
      <c r="BI1234" s="490"/>
      <c r="BJ1234" s="490"/>
      <c r="BK1234" s="490"/>
      <c r="BL1234" s="490"/>
      <c r="BM1234" s="358"/>
      <c r="BN1234" s="355"/>
      <c r="BO1234" s="355"/>
      <c r="BP1234" s="355"/>
      <c r="BQ1234" s="355"/>
      <c r="BR1234" s="355"/>
      <c r="BS1234" s="355"/>
      <c r="BT1234" s="356"/>
      <c r="BU1234" s="357"/>
      <c r="BV1234" s="310"/>
      <c r="BW1234" s="310"/>
      <c r="BX1234" s="291">
        <f t="shared" si="83"/>
        <v>0</v>
      </c>
      <c r="BY1234" s="344"/>
      <c r="BZ1234" s="347"/>
      <c r="CA1234" s="347"/>
    </row>
    <row r="1235" spans="1:84" ht="15" hidden="1" customHeight="1" x14ac:dyDescent="0.25">
      <c r="A1235" s="313"/>
      <c r="B1235" s="603"/>
      <c r="C1235" s="392" t="s">
        <v>1328</v>
      </c>
      <c r="D1235" s="392"/>
      <c r="E1235" s="392"/>
      <c r="F1235" s="392"/>
      <c r="G1235" s="392"/>
      <c r="H1235" s="392"/>
      <c r="I1235" s="392"/>
      <c r="J1235" s="392"/>
      <c r="K1235" s="392"/>
      <c r="L1235" s="392"/>
      <c r="M1235" s="392"/>
      <c r="N1235" s="392"/>
      <c r="O1235" s="392"/>
      <c r="P1235" s="392"/>
      <c r="Q1235" s="392"/>
      <c r="R1235" s="392"/>
      <c r="S1235" s="392"/>
      <c r="T1235" s="392"/>
      <c r="U1235" s="392"/>
      <c r="V1235" s="392"/>
      <c r="W1235" s="393"/>
      <c r="X1235" s="393"/>
      <c r="Y1235" s="393"/>
      <c r="Z1235" s="393"/>
      <c r="AA1235" s="393"/>
      <c r="AB1235" s="393"/>
      <c r="AC1235" s="343"/>
      <c r="AD1235" s="343"/>
      <c r="AE1235" s="343"/>
      <c r="AF1235" s="343"/>
      <c r="AG1235" s="343"/>
      <c r="AH1235" s="343"/>
      <c r="AI1235" s="343"/>
      <c r="AJ1235" s="344"/>
      <c r="AK1235" s="345"/>
      <c r="AL1235" s="340"/>
      <c r="AM1235" s="392" t="s">
        <v>1329</v>
      </c>
      <c r="AN1235" s="392"/>
      <c r="AO1235" s="392"/>
      <c r="AP1235" s="392"/>
      <c r="AQ1235" s="392"/>
      <c r="AR1235" s="392"/>
      <c r="AS1235" s="392"/>
      <c r="AT1235" s="392"/>
      <c r="AU1235" s="392"/>
      <c r="AV1235" s="392"/>
      <c r="AW1235" s="392"/>
      <c r="AX1235" s="392"/>
      <c r="AY1235" s="392"/>
      <c r="AZ1235" s="392"/>
      <c r="BA1235" s="392"/>
      <c r="BB1235" s="392"/>
      <c r="BC1235" s="392"/>
      <c r="BD1235" s="392"/>
      <c r="BE1235" s="392"/>
      <c r="BF1235" s="392"/>
      <c r="BG1235" s="490"/>
      <c r="BH1235" s="490"/>
      <c r="BI1235" s="490"/>
      <c r="BJ1235" s="490"/>
      <c r="BK1235" s="490"/>
      <c r="BL1235" s="490"/>
      <c r="BM1235" s="358"/>
      <c r="BN1235" s="355"/>
      <c r="BO1235" s="355"/>
      <c r="BP1235" s="355"/>
      <c r="BQ1235" s="355"/>
      <c r="BR1235" s="355"/>
      <c r="BS1235" s="355"/>
      <c r="BT1235" s="356"/>
      <c r="BU1235" s="357"/>
      <c r="BV1235" s="310"/>
      <c r="BW1235" s="310"/>
      <c r="BX1235" s="291">
        <f t="shared" si="83"/>
        <v>0</v>
      </c>
      <c r="BY1235" s="344"/>
      <c r="BZ1235" s="347"/>
      <c r="CA1235" s="347"/>
    </row>
    <row r="1236" spans="1:84" ht="2.1" hidden="1" customHeight="1" x14ac:dyDescent="0.25">
      <c r="A1236" s="313"/>
      <c r="B1236" s="603"/>
      <c r="C1236" s="392"/>
      <c r="D1236" s="392"/>
      <c r="E1236" s="392"/>
      <c r="F1236" s="392"/>
      <c r="G1236" s="392"/>
      <c r="H1236" s="392"/>
      <c r="I1236" s="392"/>
      <c r="J1236" s="392"/>
      <c r="K1236" s="392"/>
      <c r="L1236" s="392"/>
      <c r="M1236" s="392"/>
      <c r="N1236" s="392"/>
      <c r="O1236" s="392"/>
      <c r="P1236" s="392"/>
      <c r="Q1236" s="392"/>
      <c r="R1236" s="392"/>
      <c r="S1236" s="392"/>
      <c r="T1236" s="392"/>
      <c r="U1236" s="392"/>
      <c r="V1236" s="392"/>
      <c r="W1236" s="393"/>
      <c r="X1236" s="393"/>
      <c r="Y1236" s="393"/>
      <c r="Z1236" s="393"/>
      <c r="AA1236" s="393"/>
      <c r="AB1236" s="393"/>
      <c r="AC1236" s="343"/>
      <c r="AD1236" s="343"/>
      <c r="AE1236" s="343"/>
      <c r="AF1236" s="343"/>
      <c r="AG1236" s="343"/>
      <c r="AH1236" s="343"/>
      <c r="AI1236" s="343"/>
      <c r="AJ1236" s="344"/>
      <c r="AK1236" s="345"/>
      <c r="AL1236" s="340"/>
      <c r="AM1236" s="392"/>
      <c r="AN1236" s="392"/>
      <c r="AO1236" s="392"/>
      <c r="AP1236" s="392"/>
      <c r="AQ1236" s="392"/>
      <c r="AR1236" s="392"/>
      <c r="AS1236" s="392"/>
      <c r="AT1236" s="392"/>
      <c r="AU1236" s="392"/>
      <c r="AV1236" s="392"/>
      <c r="AW1236" s="392"/>
      <c r="AX1236" s="392"/>
      <c r="AY1236" s="392"/>
      <c r="AZ1236" s="392"/>
      <c r="BA1236" s="392"/>
      <c r="BB1236" s="392"/>
      <c r="BC1236" s="392"/>
      <c r="BD1236" s="392"/>
      <c r="BE1236" s="392"/>
      <c r="BF1236" s="392"/>
      <c r="BG1236" s="490"/>
      <c r="BH1236" s="490"/>
      <c r="BI1236" s="490"/>
      <c r="BJ1236" s="490"/>
      <c r="BK1236" s="490"/>
      <c r="BL1236" s="490"/>
      <c r="BM1236" s="358"/>
      <c r="BN1236" s="355"/>
      <c r="BO1236" s="355"/>
      <c r="BP1236" s="355"/>
      <c r="BQ1236" s="355"/>
      <c r="BR1236" s="355"/>
      <c r="BS1236" s="355"/>
      <c r="BT1236" s="356"/>
      <c r="BU1236" s="357"/>
      <c r="BV1236" s="310"/>
      <c r="BW1236" s="310"/>
      <c r="BX1236" s="291">
        <f t="shared" si="83"/>
        <v>0</v>
      </c>
      <c r="BY1236" s="344"/>
      <c r="BZ1236" s="347"/>
      <c r="CA1236" s="347"/>
    </row>
    <row r="1237" spans="1:84" ht="12.95" hidden="1" customHeight="1" x14ac:dyDescent="0.25">
      <c r="A1237" s="313"/>
      <c r="B1237" s="603"/>
      <c r="C1237" s="392"/>
      <c r="D1237" s="392"/>
      <c r="E1237" s="392"/>
      <c r="F1237" s="392"/>
      <c r="G1237" s="392"/>
      <c r="H1237" s="392"/>
      <c r="I1237" s="392"/>
      <c r="J1237" s="392"/>
      <c r="K1237" s="392"/>
      <c r="L1237" s="392"/>
      <c r="M1237" s="392"/>
      <c r="N1237" s="392"/>
      <c r="O1237" s="392"/>
      <c r="P1237" s="392"/>
      <c r="Q1237" s="392"/>
      <c r="R1237" s="392"/>
      <c r="S1237" s="392"/>
      <c r="T1237" s="392"/>
      <c r="U1237" s="392"/>
      <c r="V1237" s="392"/>
      <c r="W1237" s="393"/>
      <c r="X1237" s="393"/>
      <c r="Y1237" s="393"/>
      <c r="Z1237" s="393"/>
      <c r="AA1237" s="393"/>
      <c r="AB1237" s="393"/>
      <c r="AC1237" s="343"/>
      <c r="AD1237" s="343"/>
      <c r="AE1237" s="343"/>
      <c r="AF1237" s="343"/>
      <c r="AG1237" s="343"/>
      <c r="AH1237" s="343"/>
      <c r="AI1237" s="343"/>
      <c r="AJ1237" s="344"/>
      <c r="AK1237" s="345"/>
      <c r="AL1237" s="340"/>
      <c r="AM1237" s="392"/>
      <c r="AN1237" s="392"/>
      <c r="AO1237" s="392"/>
      <c r="AP1237" s="392"/>
      <c r="AQ1237" s="392"/>
      <c r="AR1237" s="392"/>
      <c r="AS1237" s="392"/>
      <c r="AT1237" s="392"/>
      <c r="AU1237" s="392"/>
      <c r="AV1237" s="392"/>
      <c r="AW1237" s="392"/>
      <c r="AX1237" s="392"/>
      <c r="AY1237" s="392"/>
      <c r="AZ1237" s="392"/>
      <c r="BA1237" s="392"/>
      <c r="BB1237" s="392"/>
      <c r="BC1237" s="392"/>
      <c r="BD1237" s="392"/>
      <c r="BE1237" s="392"/>
      <c r="BF1237" s="392"/>
      <c r="BG1237" s="490"/>
      <c r="BH1237" s="490"/>
      <c r="BI1237" s="490"/>
      <c r="BJ1237" s="490"/>
      <c r="BK1237" s="490"/>
      <c r="BL1237" s="490"/>
      <c r="BM1237" s="358"/>
      <c r="BN1237" s="355"/>
      <c r="BO1237" s="355"/>
      <c r="BP1237" s="355"/>
      <c r="BQ1237" s="355"/>
      <c r="BR1237" s="355"/>
      <c r="BS1237" s="355"/>
      <c r="BT1237" s="356"/>
      <c r="BU1237" s="357"/>
      <c r="BV1237" s="310"/>
      <c r="BW1237" s="310"/>
      <c r="BX1237" s="291">
        <f t="shared" si="83"/>
        <v>0</v>
      </c>
      <c r="BY1237" s="344"/>
      <c r="BZ1237" s="347"/>
      <c r="CA1237" s="347"/>
    </row>
    <row r="1238" spans="1:84" ht="15" hidden="1" customHeight="1" x14ac:dyDescent="0.25">
      <c r="A1238" s="313">
        <f>STT</f>
        <v>20</v>
      </c>
      <c r="B1238" s="340" t="s">
        <v>345</v>
      </c>
      <c r="C1238" s="341" t="s">
        <v>1330</v>
      </c>
      <c r="D1238" s="407"/>
      <c r="E1238" s="407"/>
      <c r="F1238" s="407"/>
      <c r="G1238" s="407"/>
      <c r="H1238" s="407"/>
      <c r="I1238" s="407"/>
      <c r="J1238" s="407"/>
      <c r="K1238" s="407"/>
      <c r="L1238" s="407"/>
      <c r="M1238" s="407"/>
      <c r="N1238" s="407"/>
      <c r="O1238" s="407"/>
      <c r="P1238" s="407"/>
      <c r="Q1238" s="407"/>
      <c r="R1238" s="407"/>
      <c r="S1238" s="407"/>
      <c r="T1238" s="407"/>
      <c r="U1238" s="407"/>
      <c r="V1238" s="407"/>
      <c r="W1238" s="393"/>
      <c r="X1238" s="393"/>
      <c r="Y1238" s="393"/>
      <c r="Z1238" s="393"/>
      <c r="AA1238" s="393"/>
      <c r="AB1238" s="393"/>
      <c r="AC1238" s="343"/>
      <c r="AD1238" s="343"/>
      <c r="AE1238" s="343"/>
      <c r="AF1238" s="343"/>
      <c r="AG1238" s="343"/>
      <c r="AH1238" s="343"/>
      <c r="AI1238" s="343"/>
      <c r="AJ1238" s="344"/>
      <c r="AK1238" s="345">
        <f>A1238</f>
        <v>20</v>
      </c>
      <c r="AL1238" s="340" t="s">
        <v>345</v>
      </c>
      <c r="AM1238" s="471" t="s">
        <v>1331</v>
      </c>
      <c r="AN1238" s="392"/>
      <c r="AO1238" s="392"/>
      <c r="AP1238" s="392"/>
      <c r="AQ1238" s="392"/>
      <c r="AR1238" s="392"/>
      <c r="AS1238" s="392"/>
      <c r="AT1238" s="392"/>
      <c r="AU1238" s="392"/>
      <c r="AV1238" s="392"/>
      <c r="AW1238" s="392"/>
      <c r="AX1238" s="392"/>
      <c r="AY1238" s="392"/>
      <c r="AZ1238" s="392"/>
      <c r="BA1238" s="392"/>
      <c r="BB1238" s="392"/>
      <c r="BC1238" s="392"/>
      <c r="BD1238" s="392"/>
      <c r="BE1238" s="392"/>
      <c r="BF1238" s="392"/>
      <c r="BG1238" s="392"/>
      <c r="BH1238" s="392"/>
      <c r="BI1238" s="392"/>
      <c r="BJ1238" s="392"/>
      <c r="BK1238" s="392"/>
      <c r="BL1238" s="392"/>
      <c r="BM1238" s="342"/>
      <c r="BN1238" s="356"/>
      <c r="BO1238" s="356"/>
      <c r="BP1238" s="356"/>
      <c r="BQ1238" s="356"/>
      <c r="BR1238" s="356"/>
      <c r="BS1238" s="356"/>
      <c r="BT1238" s="356"/>
      <c r="BU1238" s="346">
        <f>SUBTOTAL(103,A1238)</f>
        <v>0</v>
      </c>
      <c r="BV1238" s="310"/>
      <c r="BW1238" s="310"/>
      <c r="BX1238" s="291">
        <f t="shared" si="83"/>
        <v>0</v>
      </c>
      <c r="BY1238" s="344"/>
      <c r="BZ1238" s="347"/>
      <c r="CA1238" s="347"/>
    </row>
    <row r="1239" spans="1:84" ht="15" hidden="1" customHeight="1" x14ac:dyDescent="0.25">
      <c r="A1239" s="313"/>
      <c r="B1239" s="340"/>
      <c r="C1239" s="350"/>
      <c r="D1239" s="350"/>
      <c r="E1239" s="350"/>
      <c r="F1239" s="350"/>
      <c r="G1239" s="350"/>
      <c r="H1239" s="350"/>
      <c r="I1239" s="350"/>
      <c r="J1239" s="350"/>
      <c r="K1239" s="350"/>
      <c r="L1239" s="350"/>
      <c r="M1239" s="350"/>
      <c r="N1239" s="350"/>
      <c r="O1239" s="350"/>
      <c r="P1239" s="350"/>
      <c r="Q1239" s="350"/>
      <c r="R1239" s="350"/>
      <c r="S1239" s="350"/>
      <c r="T1239" s="350"/>
      <c r="U1239" s="342"/>
      <c r="V1239" s="342"/>
      <c r="W1239" s="1325" t="str">
        <f>Ky_Nay1_V</f>
        <v>31/12/2017</v>
      </c>
      <c r="X1239" s="1325"/>
      <c r="Y1239" s="1325"/>
      <c r="Z1239" s="1325"/>
      <c r="AA1239" s="1325"/>
      <c r="AB1239" s="1325"/>
      <c r="AC1239" s="351"/>
      <c r="AD1239" s="1325" t="str">
        <f>Ky_Truoc1_V</f>
        <v>01/01/2017</v>
      </c>
      <c r="AE1239" s="1325"/>
      <c r="AF1239" s="1325"/>
      <c r="AG1239" s="1325"/>
      <c r="AH1239" s="1325"/>
      <c r="AI1239" s="1325"/>
      <c r="AJ1239" s="344"/>
      <c r="AK1239" s="345"/>
      <c r="AL1239" s="340"/>
      <c r="AM1239" s="350"/>
      <c r="AN1239" s="350"/>
      <c r="AO1239" s="350"/>
      <c r="AP1239" s="350"/>
      <c r="AQ1239" s="350"/>
      <c r="AR1239" s="350"/>
      <c r="AS1239" s="350"/>
      <c r="AT1239" s="350"/>
      <c r="AU1239" s="350"/>
      <c r="AV1239" s="350"/>
      <c r="AW1239" s="350"/>
      <c r="AX1239" s="350"/>
      <c r="AY1239" s="350"/>
      <c r="AZ1239" s="350"/>
      <c r="BA1239" s="350"/>
      <c r="BB1239" s="350"/>
      <c r="BC1239" s="350"/>
      <c r="BD1239" s="350"/>
      <c r="BE1239" s="342"/>
      <c r="BF1239" s="342"/>
      <c r="BG1239" s="1325" t="str">
        <f>Ky_Nay1_E</f>
        <v>31/12/2017</v>
      </c>
      <c r="BH1239" s="1325"/>
      <c r="BI1239" s="1325"/>
      <c r="BJ1239" s="1325"/>
      <c r="BK1239" s="1325"/>
      <c r="BL1239" s="1325"/>
      <c r="BM1239" s="351"/>
      <c r="BN1239" s="1325" t="str">
        <f>Ky_Truoc1_E</f>
        <v>01/01/2017</v>
      </c>
      <c r="BO1239" s="1325"/>
      <c r="BP1239" s="1325"/>
      <c r="BQ1239" s="1325"/>
      <c r="BR1239" s="1325"/>
      <c r="BS1239" s="1325"/>
      <c r="BT1239" s="356"/>
      <c r="BU1239" s="357"/>
      <c r="BV1239" s="310"/>
      <c r="BW1239" s="310"/>
      <c r="BX1239" s="291">
        <f t="shared" si="83"/>
        <v>0</v>
      </c>
      <c r="BY1239" s="344"/>
      <c r="BZ1239" s="347"/>
      <c r="CA1239" s="347"/>
    </row>
    <row r="1240" spans="1:84" s="423" customFormat="1" ht="15" hidden="1" customHeight="1" x14ac:dyDescent="0.25">
      <c r="A1240" s="313"/>
      <c r="B1240" s="340"/>
      <c r="C1240" s="350"/>
      <c r="D1240" s="350"/>
      <c r="E1240" s="350"/>
      <c r="F1240" s="350"/>
      <c r="G1240" s="350"/>
      <c r="H1240" s="350"/>
      <c r="I1240" s="350"/>
      <c r="J1240" s="350"/>
      <c r="K1240" s="350"/>
      <c r="L1240" s="350"/>
      <c r="M1240" s="350"/>
      <c r="N1240" s="350"/>
      <c r="O1240" s="350"/>
      <c r="P1240" s="350"/>
      <c r="Q1240" s="350"/>
      <c r="R1240" s="350"/>
      <c r="S1240" s="350"/>
      <c r="T1240" s="350"/>
      <c r="U1240" s="342"/>
      <c r="V1240" s="342"/>
      <c r="W1240" s="1327" t="str">
        <f>Don_Vi_Tinh_V</f>
        <v>VND</v>
      </c>
      <c r="X1240" s="1327"/>
      <c r="Y1240" s="1327"/>
      <c r="Z1240" s="1327"/>
      <c r="AA1240" s="1327"/>
      <c r="AB1240" s="1327"/>
      <c r="AC1240" s="351"/>
      <c r="AD1240" s="1327" t="str">
        <f>Don_Vi_Tinh_V</f>
        <v>VND</v>
      </c>
      <c r="AE1240" s="1327"/>
      <c r="AF1240" s="1327"/>
      <c r="AG1240" s="1327"/>
      <c r="AH1240" s="1327"/>
      <c r="AI1240" s="1327"/>
      <c r="AJ1240" s="342"/>
      <c r="AK1240" s="345"/>
      <c r="AL1240" s="340"/>
      <c r="AM1240" s="350"/>
      <c r="AN1240" s="350"/>
      <c r="AO1240" s="350"/>
      <c r="AP1240" s="350"/>
      <c r="AQ1240" s="350"/>
      <c r="AR1240" s="350"/>
      <c r="AS1240" s="350"/>
      <c r="AT1240" s="350"/>
      <c r="AU1240" s="350"/>
      <c r="AV1240" s="350"/>
      <c r="AW1240" s="350"/>
      <c r="AX1240" s="350"/>
      <c r="AY1240" s="350"/>
      <c r="AZ1240" s="350"/>
      <c r="BA1240" s="350"/>
      <c r="BB1240" s="350"/>
      <c r="BC1240" s="350"/>
      <c r="BD1240" s="350"/>
      <c r="BE1240" s="342"/>
      <c r="BF1240" s="342"/>
      <c r="BG1240" s="1327" t="str">
        <f>Don_Vi_Tinh_E</f>
        <v>VND</v>
      </c>
      <c r="BH1240" s="1327"/>
      <c r="BI1240" s="1327"/>
      <c r="BJ1240" s="1327"/>
      <c r="BK1240" s="1327"/>
      <c r="BL1240" s="1327"/>
      <c r="BM1240" s="351"/>
      <c r="BN1240" s="1327" t="str">
        <f>Don_Vi_Tinh_E</f>
        <v>VND</v>
      </c>
      <c r="BO1240" s="1327"/>
      <c r="BP1240" s="1327"/>
      <c r="BQ1240" s="1327"/>
      <c r="BR1240" s="1327"/>
      <c r="BS1240" s="1327"/>
      <c r="BT1240" s="356"/>
      <c r="BU1240" s="357"/>
      <c r="BV1240" s="310"/>
      <c r="BW1240" s="310"/>
      <c r="BX1240" s="291">
        <f t="shared" si="83"/>
        <v>0</v>
      </c>
      <c r="BY1240" s="342"/>
      <c r="BZ1240" s="438"/>
      <c r="CA1240" s="438"/>
      <c r="CB1240" s="439"/>
      <c r="CC1240" s="439"/>
      <c r="CD1240" s="439"/>
      <c r="CE1240" s="439"/>
      <c r="CF1240" s="439"/>
    </row>
    <row r="1241" spans="1:84" ht="15" hidden="1" customHeight="1" x14ac:dyDescent="0.25">
      <c r="A1241" s="313"/>
      <c r="B1241" s="340"/>
      <c r="C1241" s="354"/>
      <c r="D1241" s="340"/>
      <c r="E1241" s="340"/>
      <c r="F1241" s="340"/>
      <c r="G1241" s="340"/>
      <c r="H1241" s="340"/>
      <c r="I1241" s="340"/>
      <c r="J1241" s="340"/>
      <c r="K1241" s="340"/>
      <c r="L1241" s="340"/>
      <c r="M1241" s="340"/>
      <c r="N1241" s="340"/>
      <c r="O1241" s="340"/>
      <c r="P1241" s="340"/>
      <c r="Q1241" s="340"/>
      <c r="R1241" s="340"/>
      <c r="S1241" s="340"/>
      <c r="T1241" s="340"/>
      <c r="U1241" s="342"/>
      <c r="V1241" s="342"/>
      <c r="W1241" s="1318"/>
      <c r="X1241" s="1318"/>
      <c r="Y1241" s="1318"/>
      <c r="Z1241" s="1318"/>
      <c r="AA1241" s="1318"/>
      <c r="AB1241" s="1318"/>
      <c r="AC1241" s="355"/>
      <c r="AD1241" s="1318"/>
      <c r="AE1241" s="1318"/>
      <c r="AF1241" s="1318"/>
      <c r="AG1241" s="1318"/>
      <c r="AH1241" s="1318"/>
      <c r="AI1241" s="1318"/>
      <c r="AJ1241" s="344"/>
      <c r="AK1241" s="345"/>
      <c r="AL1241" s="340"/>
      <c r="AM1241" s="354"/>
      <c r="AN1241" s="340"/>
      <c r="AO1241" s="340"/>
      <c r="AP1241" s="340"/>
      <c r="AQ1241" s="340"/>
      <c r="AR1241" s="340"/>
      <c r="AS1241" s="340"/>
      <c r="AT1241" s="340"/>
      <c r="AU1241" s="340"/>
      <c r="AV1241" s="340"/>
      <c r="AW1241" s="340"/>
      <c r="AX1241" s="340"/>
      <c r="AY1241" s="340"/>
      <c r="AZ1241" s="340"/>
      <c r="BA1241" s="340"/>
      <c r="BB1241" s="340"/>
      <c r="BC1241" s="340"/>
      <c r="BD1241" s="340"/>
      <c r="BE1241" s="342"/>
      <c r="BF1241" s="342"/>
      <c r="BG1241" s="1318"/>
      <c r="BH1241" s="1318"/>
      <c r="BI1241" s="1318"/>
      <c r="BJ1241" s="1318"/>
      <c r="BK1241" s="1318"/>
      <c r="BL1241" s="1318"/>
      <c r="BM1241" s="355"/>
      <c r="BN1241" s="1318"/>
      <c r="BO1241" s="1318"/>
      <c r="BP1241" s="1318"/>
      <c r="BQ1241" s="1318"/>
      <c r="BR1241" s="1318"/>
      <c r="BS1241" s="1318"/>
      <c r="BT1241" s="356"/>
      <c r="BU1241" s="357"/>
      <c r="BV1241" s="310"/>
      <c r="BW1241" s="310"/>
      <c r="BX1241" s="291">
        <f t="shared" si="83"/>
        <v>0</v>
      </c>
      <c r="BY1241" s="344"/>
      <c r="BZ1241" s="347"/>
      <c r="CA1241" s="347"/>
    </row>
    <row r="1242" spans="1:84" ht="15" hidden="1" customHeight="1" x14ac:dyDescent="0.25">
      <c r="A1242" s="313"/>
      <c r="B1242" s="340"/>
      <c r="C1242" s="340" t="s">
        <v>855</v>
      </c>
      <c r="D1242" s="340"/>
      <c r="E1242" s="340"/>
      <c r="F1242" s="340"/>
      <c r="G1242" s="340"/>
      <c r="H1242" s="340"/>
      <c r="I1242" s="340"/>
      <c r="J1242" s="340"/>
      <c r="K1242" s="340"/>
      <c r="L1242" s="340"/>
      <c r="M1242" s="340"/>
      <c r="N1242" s="340"/>
      <c r="O1242" s="340"/>
      <c r="P1242" s="340"/>
      <c r="Q1242" s="340"/>
      <c r="R1242" s="340"/>
      <c r="S1242" s="340"/>
      <c r="T1242" s="340"/>
      <c r="U1242" s="342"/>
      <c r="V1242" s="342"/>
      <c r="W1242" s="1330"/>
      <c r="X1242" s="1330"/>
      <c r="Y1242" s="1330"/>
      <c r="Z1242" s="1330"/>
      <c r="AA1242" s="1330"/>
      <c r="AB1242" s="1330"/>
      <c r="AC1242" s="363"/>
      <c r="AD1242" s="1330"/>
      <c r="AE1242" s="1330"/>
      <c r="AF1242" s="1330"/>
      <c r="AG1242" s="1330"/>
      <c r="AH1242" s="1330"/>
      <c r="AI1242" s="1330"/>
      <c r="AJ1242" s="344"/>
      <c r="AK1242" s="345"/>
      <c r="AL1242" s="340"/>
      <c r="AM1242" s="340"/>
      <c r="AN1242" s="340"/>
      <c r="AO1242" s="340"/>
      <c r="AP1242" s="340"/>
      <c r="AQ1242" s="340"/>
      <c r="AR1242" s="340"/>
      <c r="AS1242" s="340"/>
      <c r="AT1242" s="340"/>
      <c r="AU1242" s="340"/>
      <c r="AV1242" s="340"/>
      <c r="AW1242" s="340"/>
      <c r="AX1242" s="340"/>
      <c r="AY1242" s="340"/>
      <c r="AZ1242" s="340"/>
      <c r="BA1242" s="340"/>
      <c r="BB1242" s="340"/>
      <c r="BC1242" s="340"/>
      <c r="BD1242" s="340"/>
      <c r="BE1242" s="342"/>
      <c r="BF1242" s="342"/>
      <c r="BG1242" s="1330"/>
      <c r="BH1242" s="1330"/>
      <c r="BI1242" s="1330"/>
      <c r="BJ1242" s="1330"/>
      <c r="BK1242" s="1330"/>
      <c r="BL1242" s="1330"/>
      <c r="BM1242" s="363"/>
      <c r="BN1242" s="1330"/>
      <c r="BO1242" s="1330"/>
      <c r="BP1242" s="1330"/>
      <c r="BQ1242" s="1330"/>
      <c r="BR1242" s="1330"/>
      <c r="BS1242" s="1330"/>
      <c r="BT1242" s="356"/>
      <c r="BU1242" s="357"/>
      <c r="BV1242" s="310"/>
      <c r="BW1242" s="310"/>
      <c r="BX1242" s="291">
        <f t="shared" si="83"/>
        <v>0</v>
      </c>
      <c r="BY1242" s="344"/>
      <c r="BZ1242" s="347"/>
      <c r="CA1242" s="347"/>
    </row>
    <row r="1243" spans="1:84" s="423" customFormat="1" ht="15" hidden="1" customHeight="1" x14ac:dyDescent="0.25">
      <c r="A1243" s="313"/>
      <c r="B1243" s="340"/>
      <c r="C1243" s="613" t="s">
        <v>1332</v>
      </c>
      <c r="D1243" s="340"/>
      <c r="E1243" s="340"/>
      <c r="F1243" s="340"/>
      <c r="G1243" s="340"/>
      <c r="H1243" s="340"/>
      <c r="I1243" s="340"/>
      <c r="J1243" s="340"/>
      <c r="K1243" s="340"/>
      <c r="L1243" s="340"/>
      <c r="M1243" s="340"/>
      <c r="N1243" s="340"/>
      <c r="O1243" s="340"/>
      <c r="P1243" s="340"/>
      <c r="Q1243" s="340"/>
      <c r="R1243" s="340"/>
      <c r="S1243" s="340"/>
      <c r="T1243" s="340"/>
      <c r="U1243" s="342"/>
      <c r="V1243" s="342"/>
      <c r="W1243" s="1318">
        <f>KN_3521n</f>
        <v>0</v>
      </c>
      <c r="X1243" s="1318"/>
      <c r="Y1243" s="1318"/>
      <c r="Z1243" s="1318"/>
      <c r="AA1243" s="1318"/>
      <c r="AB1243" s="1318"/>
      <c r="AC1243" s="355"/>
      <c r="AD1243" s="1318">
        <f>KT_3521n</f>
        <v>0</v>
      </c>
      <c r="AE1243" s="1318"/>
      <c r="AF1243" s="1318"/>
      <c r="AG1243" s="1318"/>
      <c r="AH1243" s="1318"/>
      <c r="AI1243" s="1318"/>
      <c r="AJ1243" s="342"/>
      <c r="AK1243" s="345"/>
      <c r="AL1243" s="340"/>
      <c r="AM1243" s="613" t="s">
        <v>1333</v>
      </c>
      <c r="AN1243" s="340"/>
      <c r="AO1243" s="340"/>
      <c r="AP1243" s="340"/>
      <c r="AQ1243" s="340"/>
      <c r="AR1243" s="340"/>
      <c r="AS1243" s="340"/>
      <c r="AT1243" s="340"/>
      <c r="AU1243" s="340"/>
      <c r="AV1243" s="340"/>
      <c r="AW1243" s="340"/>
      <c r="AX1243" s="340"/>
      <c r="AY1243" s="340"/>
      <c r="AZ1243" s="340"/>
      <c r="BA1243" s="340"/>
      <c r="BB1243" s="340"/>
      <c r="BC1243" s="340"/>
      <c r="BD1243" s="340"/>
      <c r="BE1243" s="342"/>
      <c r="BF1243" s="342"/>
      <c r="BG1243" s="1318">
        <f>W1243</f>
        <v>0</v>
      </c>
      <c r="BH1243" s="1318"/>
      <c r="BI1243" s="1318"/>
      <c r="BJ1243" s="1318"/>
      <c r="BK1243" s="1318"/>
      <c r="BL1243" s="1318"/>
      <c r="BM1243" s="355"/>
      <c r="BN1243" s="1318">
        <f>AD1243</f>
        <v>0</v>
      </c>
      <c r="BO1243" s="1318"/>
      <c r="BP1243" s="1318"/>
      <c r="BQ1243" s="1318"/>
      <c r="BR1243" s="1318"/>
      <c r="BS1243" s="1318"/>
      <c r="BT1243" s="342"/>
      <c r="BU1243" s="346"/>
      <c r="BV1243" s="310"/>
      <c r="BW1243" s="310"/>
      <c r="BX1243" s="300">
        <f t="shared" si="83"/>
        <v>0</v>
      </c>
      <c r="BY1243" s="342"/>
      <c r="BZ1243" s="438"/>
      <c r="CA1243" s="438"/>
      <c r="CB1243" s="439"/>
      <c r="CC1243" s="439"/>
      <c r="CD1243" s="439"/>
      <c r="CE1243" s="439"/>
      <c r="CF1243" s="439"/>
    </row>
    <row r="1244" spans="1:84" s="423" customFormat="1" ht="15" hidden="1" customHeight="1" x14ac:dyDescent="0.25">
      <c r="A1244" s="313"/>
      <c r="B1244" s="340"/>
      <c r="C1244" s="613" t="s">
        <v>1334</v>
      </c>
      <c r="D1244" s="340"/>
      <c r="E1244" s="340"/>
      <c r="F1244" s="340"/>
      <c r="G1244" s="340"/>
      <c r="H1244" s="340"/>
      <c r="I1244" s="340"/>
      <c r="J1244" s="340"/>
      <c r="K1244" s="340"/>
      <c r="L1244" s="340"/>
      <c r="M1244" s="340"/>
      <c r="N1244" s="340"/>
      <c r="O1244" s="340"/>
      <c r="P1244" s="340"/>
      <c r="Q1244" s="340"/>
      <c r="R1244" s="340"/>
      <c r="S1244" s="340"/>
      <c r="T1244" s="340"/>
      <c r="U1244" s="342"/>
      <c r="V1244" s="342"/>
      <c r="W1244" s="1318">
        <f>KN_3522n</f>
        <v>0</v>
      </c>
      <c r="X1244" s="1318"/>
      <c r="Y1244" s="1318"/>
      <c r="Z1244" s="1318"/>
      <c r="AA1244" s="1318"/>
      <c r="AB1244" s="1318"/>
      <c r="AC1244" s="355"/>
      <c r="AD1244" s="1318">
        <f>KT_3522n</f>
        <v>0</v>
      </c>
      <c r="AE1244" s="1318"/>
      <c r="AF1244" s="1318"/>
      <c r="AG1244" s="1318"/>
      <c r="AH1244" s="1318"/>
      <c r="AI1244" s="1318"/>
      <c r="AJ1244" s="342"/>
      <c r="AK1244" s="345"/>
      <c r="AL1244" s="340"/>
      <c r="AM1244" s="613" t="s">
        <v>1335</v>
      </c>
      <c r="AN1244" s="340"/>
      <c r="AO1244" s="340"/>
      <c r="AP1244" s="340"/>
      <c r="AQ1244" s="340"/>
      <c r="AR1244" s="340"/>
      <c r="AS1244" s="340"/>
      <c r="AT1244" s="340"/>
      <c r="AU1244" s="340"/>
      <c r="AV1244" s="340"/>
      <c r="AW1244" s="340"/>
      <c r="AX1244" s="340"/>
      <c r="AY1244" s="340"/>
      <c r="AZ1244" s="340"/>
      <c r="BA1244" s="340"/>
      <c r="BB1244" s="340"/>
      <c r="BC1244" s="340"/>
      <c r="BD1244" s="340"/>
      <c r="BE1244" s="342"/>
      <c r="BF1244" s="342"/>
      <c r="BG1244" s="1318">
        <f>W1244</f>
        <v>0</v>
      </c>
      <c r="BH1244" s="1318"/>
      <c r="BI1244" s="1318"/>
      <c r="BJ1244" s="1318"/>
      <c r="BK1244" s="1318"/>
      <c r="BL1244" s="1318"/>
      <c r="BM1244" s="355"/>
      <c r="BN1244" s="1318">
        <f>AD1244</f>
        <v>0</v>
      </c>
      <c r="BO1244" s="1318"/>
      <c r="BP1244" s="1318"/>
      <c r="BQ1244" s="1318"/>
      <c r="BR1244" s="1318"/>
      <c r="BS1244" s="1318"/>
      <c r="BT1244" s="342"/>
      <c r="BU1244" s="346"/>
      <c r="BV1244" s="310"/>
      <c r="BW1244" s="310"/>
      <c r="BX1244" s="300">
        <f t="shared" si="83"/>
        <v>0</v>
      </c>
      <c r="BY1244" s="342"/>
      <c r="BZ1244" s="438"/>
      <c r="CA1244" s="438"/>
      <c r="CB1244" s="439"/>
      <c r="CC1244" s="439"/>
      <c r="CD1244" s="439"/>
      <c r="CE1244" s="439"/>
      <c r="CF1244" s="439"/>
    </row>
    <row r="1245" spans="1:84" s="423" customFormat="1" ht="15" hidden="1" customHeight="1" x14ac:dyDescent="0.25">
      <c r="A1245" s="313"/>
      <c r="B1245" s="340"/>
      <c r="C1245" s="434" t="s">
        <v>1336</v>
      </c>
      <c r="D1245" s="342"/>
      <c r="E1245" s="342"/>
      <c r="F1245" s="342"/>
      <c r="G1245" s="342"/>
      <c r="H1245" s="342"/>
      <c r="I1245" s="342"/>
      <c r="J1245" s="342"/>
      <c r="K1245" s="342"/>
      <c r="L1245" s="342"/>
      <c r="M1245" s="342"/>
      <c r="N1245" s="342"/>
      <c r="O1245" s="342"/>
      <c r="P1245" s="342"/>
      <c r="Q1245" s="342"/>
      <c r="R1245" s="342"/>
      <c r="S1245" s="342"/>
      <c r="T1245" s="342"/>
      <c r="U1245" s="342"/>
      <c r="V1245" s="342"/>
      <c r="W1245" s="1318">
        <f>KN_3523n</f>
        <v>0</v>
      </c>
      <c r="X1245" s="1318"/>
      <c r="Y1245" s="1318"/>
      <c r="Z1245" s="1318"/>
      <c r="AA1245" s="1318"/>
      <c r="AB1245" s="1318"/>
      <c r="AC1245" s="355"/>
      <c r="AD1245" s="1318">
        <f>KT_3523n</f>
        <v>0</v>
      </c>
      <c r="AE1245" s="1318"/>
      <c r="AF1245" s="1318"/>
      <c r="AG1245" s="1318"/>
      <c r="AH1245" s="1318"/>
      <c r="AI1245" s="1318"/>
      <c r="AJ1245" s="342"/>
      <c r="AK1245" s="345"/>
      <c r="AL1245" s="340"/>
      <c r="AM1245" s="434" t="s">
        <v>1337</v>
      </c>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1318">
        <f>W1245</f>
        <v>0</v>
      </c>
      <c r="BH1245" s="1318"/>
      <c r="BI1245" s="1318"/>
      <c r="BJ1245" s="1318"/>
      <c r="BK1245" s="1318"/>
      <c r="BL1245" s="1318"/>
      <c r="BM1245" s="355"/>
      <c r="BN1245" s="1318">
        <f>AD1245</f>
        <v>0</v>
      </c>
      <c r="BO1245" s="1318"/>
      <c r="BP1245" s="1318"/>
      <c r="BQ1245" s="1318"/>
      <c r="BR1245" s="1318"/>
      <c r="BS1245" s="1318"/>
      <c r="BT1245" s="342"/>
      <c r="BU1245" s="346"/>
      <c r="BV1245" s="310"/>
      <c r="BW1245" s="310"/>
      <c r="BX1245" s="300">
        <f t="shared" si="83"/>
        <v>0</v>
      </c>
      <c r="BY1245" s="342"/>
      <c r="BZ1245" s="438"/>
      <c r="CA1245" s="438"/>
      <c r="CB1245" s="439"/>
      <c r="CC1245" s="439"/>
      <c r="CD1245" s="439"/>
      <c r="CE1245" s="439"/>
      <c r="CF1245" s="439"/>
    </row>
    <row r="1246" spans="1:84" s="423" customFormat="1" ht="27.95" hidden="1" customHeight="1" x14ac:dyDescent="0.25">
      <c r="A1246" s="313"/>
      <c r="B1246" s="340"/>
      <c r="C1246" s="1467" t="s">
        <v>1338</v>
      </c>
      <c r="D1246" s="1467"/>
      <c r="E1246" s="1467"/>
      <c r="F1246" s="1467"/>
      <c r="G1246" s="1467"/>
      <c r="H1246" s="1467"/>
      <c r="I1246" s="1467"/>
      <c r="J1246" s="1467"/>
      <c r="K1246" s="1467"/>
      <c r="L1246" s="1467"/>
      <c r="M1246" s="1467"/>
      <c r="N1246" s="1467"/>
      <c r="O1246" s="1467"/>
      <c r="P1246" s="1467"/>
      <c r="Q1246" s="1467"/>
      <c r="R1246" s="1467"/>
      <c r="S1246" s="1467"/>
      <c r="T1246" s="1467"/>
      <c r="U1246" s="1467"/>
      <c r="V1246" s="407"/>
      <c r="W1246" s="1318">
        <f>KN_3524n</f>
        <v>0</v>
      </c>
      <c r="X1246" s="1318"/>
      <c r="Y1246" s="1318"/>
      <c r="Z1246" s="1318"/>
      <c r="AA1246" s="1318"/>
      <c r="AB1246" s="1318"/>
      <c r="AC1246" s="343"/>
      <c r="AD1246" s="1318">
        <f>KT_3524n</f>
        <v>0</v>
      </c>
      <c r="AE1246" s="1318"/>
      <c r="AF1246" s="1318"/>
      <c r="AG1246" s="1318"/>
      <c r="AH1246" s="1318"/>
      <c r="AI1246" s="1318"/>
      <c r="AJ1246" s="342"/>
      <c r="AK1246" s="345"/>
      <c r="AL1246" s="340"/>
      <c r="AM1246" s="1467" t="s">
        <v>1339</v>
      </c>
      <c r="AN1246" s="1467"/>
      <c r="AO1246" s="1467"/>
      <c r="AP1246" s="1467"/>
      <c r="AQ1246" s="1467"/>
      <c r="AR1246" s="1467"/>
      <c r="AS1246" s="1467"/>
      <c r="AT1246" s="1467"/>
      <c r="AU1246" s="1467"/>
      <c r="AV1246" s="1467"/>
      <c r="AW1246" s="1467"/>
      <c r="AX1246" s="1467"/>
      <c r="AY1246" s="1467"/>
      <c r="AZ1246" s="1467"/>
      <c r="BA1246" s="1467"/>
      <c r="BB1246" s="1467"/>
      <c r="BC1246" s="1467"/>
      <c r="BD1246" s="1467"/>
      <c r="BE1246" s="1467"/>
      <c r="BF1246" s="407"/>
      <c r="BG1246" s="1318">
        <f>W1246</f>
        <v>0</v>
      </c>
      <c r="BH1246" s="1318"/>
      <c r="BI1246" s="1318"/>
      <c r="BJ1246" s="1318"/>
      <c r="BK1246" s="1318"/>
      <c r="BL1246" s="1318"/>
      <c r="BM1246" s="343"/>
      <c r="BN1246" s="1318">
        <f>AD1246</f>
        <v>0</v>
      </c>
      <c r="BO1246" s="1318"/>
      <c r="BP1246" s="1318"/>
      <c r="BQ1246" s="1318"/>
      <c r="BR1246" s="1318"/>
      <c r="BS1246" s="1318"/>
      <c r="BT1246" s="342"/>
      <c r="BU1246" s="346"/>
      <c r="BV1246" s="310"/>
      <c r="BW1246" s="310"/>
      <c r="BX1246" s="300">
        <f t="shared" si="83"/>
        <v>0</v>
      </c>
      <c r="BY1246" s="342"/>
      <c r="BZ1246" s="438"/>
      <c r="CA1246" s="438"/>
      <c r="CB1246" s="439"/>
      <c r="CC1246" s="439"/>
      <c r="CD1246" s="439"/>
      <c r="CE1246" s="439"/>
      <c r="CF1246" s="439"/>
    </row>
    <row r="1247" spans="1:84" s="423" customFormat="1" ht="15" hidden="1" customHeight="1" x14ac:dyDescent="0.25">
      <c r="A1247" s="313"/>
      <c r="B1247" s="340"/>
      <c r="C1247" s="628"/>
      <c r="D1247" s="407"/>
      <c r="E1247" s="407"/>
      <c r="F1247" s="407"/>
      <c r="G1247" s="407"/>
      <c r="H1247" s="407"/>
      <c r="I1247" s="407"/>
      <c r="J1247" s="407"/>
      <c r="K1247" s="407"/>
      <c r="L1247" s="407"/>
      <c r="M1247" s="407"/>
      <c r="N1247" s="407"/>
      <c r="O1247" s="407"/>
      <c r="P1247" s="407"/>
      <c r="Q1247" s="407"/>
      <c r="R1247" s="407"/>
      <c r="S1247" s="407"/>
      <c r="T1247" s="407"/>
      <c r="U1247" s="407"/>
      <c r="V1247" s="407"/>
      <c r="W1247" s="1318"/>
      <c r="X1247" s="1318"/>
      <c r="Y1247" s="1318"/>
      <c r="Z1247" s="1318"/>
      <c r="AA1247" s="1318"/>
      <c r="AB1247" s="1318"/>
      <c r="AC1247" s="343"/>
      <c r="AD1247" s="1318"/>
      <c r="AE1247" s="1318"/>
      <c r="AF1247" s="1318"/>
      <c r="AG1247" s="1318"/>
      <c r="AH1247" s="1318"/>
      <c r="AI1247" s="1318"/>
      <c r="AJ1247" s="342"/>
      <c r="AK1247" s="345"/>
      <c r="AL1247" s="340"/>
      <c r="AM1247" s="628"/>
      <c r="AN1247" s="407"/>
      <c r="AO1247" s="407"/>
      <c r="AP1247" s="407"/>
      <c r="AQ1247" s="407"/>
      <c r="AR1247" s="407"/>
      <c r="AS1247" s="407"/>
      <c r="AT1247" s="407"/>
      <c r="AU1247" s="407"/>
      <c r="AV1247" s="407"/>
      <c r="AW1247" s="407"/>
      <c r="AX1247" s="407"/>
      <c r="AY1247" s="407"/>
      <c r="AZ1247" s="407"/>
      <c r="BA1247" s="407"/>
      <c r="BB1247" s="407"/>
      <c r="BC1247" s="407"/>
      <c r="BD1247" s="407"/>
      <c r="BE1247" s="407"/>
      <c r="BF1247" s="407"/>
      <c r="BG1247" s="1318"/>
      <c r="BH1247" s="1318"/>
      <c r="BI1247" s="1318"/>
      <c r="BJ1247" s="1318"/>
      <c r="BK1247" s="1318"/>
      <c r="BL1247" s="1318"/>
      <c r="BM1247" s="343"/>
      <c r="BN1247" s="1318"/>
      <c r="BO1247" s="1318"/>
      <c r="BP1247" s="1318"/>
      <c r="BQ1247" s="1318"/>
      <c r="BR1247" s="1318"/>
      <c r="BS1247" s="1318"/>
      <c r="BT1247" s="342"/>
      <c r="BU1247" s="346"/>
      <c r="BV1247" s="310"/>
      <c r="BW1247" s="310"/>
      <c r="BX1247" s="300">
        <f>IF(ISNONTEXT($C1247),0,SUM(D1247:AI1247)-SUM(AN1247:BS1247))</f>
        <v>0</v>
      </c>
      <c r="BY1247" s="342"/>
      <c r="BZ1247" s="438"/>
      <c r="CA1247" s="438"/>
      <c r="CB1247" s="439"/>
      <c r="CC1247" s="439"/>
      <c r="CD1247" s="439"/>
      <c r="CE1247" s="439"/>
      <c r="CF1247" s="439"/>
    </row>
    <row r="1248" spans="1:84" ht="15" hidden="1" customHeight="1" thickBot="1" x14ac:dyDescent="0.3">
      <c r="A1248" s="313"/>
      <c r="B1248" s="340"/>
      <c r="C1248" s="360" t="s">
        <v>752</v>
      </c>
      <c r="D1248" s="354"/>
      <c r="E1248" s="354"/>
      <c r="F1248" s="354"/>
      <c r="G1248" s="354"/>
      <c r="H1248" s="354"/>
      <c r="I1248" s="354"/>
      <c r="J1248" s="354"/>
      <c r="K1248" s="354"/>
      <c r="L1248" s="354"/>
      <c r="M1248" s="354"/>
      <c r="N1248" s="354"/>
      <c r="O1248" s="354"/>
      <c r="P1248" s="354"/>
      <c r="Q1248" s="354"/>
      <c r="R1248" s="354"/>
      <c r="S1248" s="354"/>
      <c r="T1248" s="393"/>
      <c r="U1248" s="505"/>
      <c r="V1248" s="393"/>
      <c r="W1248" s="1359">
        <f>SUBTOTAL(109,W1242:AB1246)</f>
        <v>0</v>
      </c>
      <c r="X1248" s="1359"/>
      <c r="Y1248" s="1359"/>
      <c r="Z1248" s="1359"/>
      <c r="AA1248" s="1359"/>
      <c r="AB1248" s="1359"/>
      <c r="AC1248" s="355"/>
      <c r="AD1248" s="1359">
        <f>SUBTOTAL(109,AD1242:AI1246)</f>
        <v>0</v>
      </c>
      <c r="AE1248" s="1359"/>
      <c r="AF1248" s="1359"/>
      <c r="AG1248" s="1359"/>
      <c r="AH1248" s="1359"/>
      <c r="AI1248" s="1359"/>
      <c r="AJ1248" s="344"/>
      <c r="AK1248" s="345"/>
      <c r="AL1248" s="340"/>
      <c r="AM1248" s="360" t="s">
        <v>752</v>
      </c>
      <c r="AN1248" s="354"/>
      <c r="AO1248" s="354"/>
      <c r="AP1248" s="354"/>
      <c r="AQ1248" s="354"/>
      <c r="AR1248" s="354"/>
      <c r="AS1248" s="354"/>
      <c r="AT1248" s="354"/>
      <c r="AU1248" s="354"/>
      <c r="AV1248" s="354"/>
      <c r="AW1248" s="354"/>
      <c r="AX1248" s="354"/>
      <c r="AY1248" s="354"/>
      <c r="AZ1248" s="354"/>
      <c r="BA1248" s="354"/>
      <c r="BB1248" s="354"/>
      <c r="BC1248" s="354"/>
      <c r="BD1248" s="393"/>
      <c r="BE1248" s="505"/>
      <c r="BF1248" s="393"/>
      <c r="BG1248" s="1359">
        <f>SUBTOTAL(109,BG1234:BL1246)</f>
        <v>0</v>
      </c>
      <c r="BH1248" s="1359"/>
      <c r="BI1248" s="1359"/>
      <c r="BJ1248" s="1359"/>
      <c r="BK1248" s="1359"/>
      <c r="BL1248" s="1359"/>
      <c r="BM1248" s="355"/>
      <c r="BN1248" s="1359">
        <f>SUBTOTAL(109,BN1234:BS1246)</f>
        <v>0</v>
      </c>
      <c r="BO1248" s="1359"/>
      <c r="BP1248" s="1359"/>
      <c r="BQ1248" s="1359"/>
      <c r="BR1248" s="1359"/>
      <c r="BS1248" s="1359"/>
      <c r="BT1248" s="629"/>
      <c r="BU1248" s="552"/>
      <c r="BV1248" s="310">
        <f>W1248-KN_CT321</f>
        <v>0</v>
      </c>
      <c r="BW1248" s="310">
        <f>AD1248-KT_CT321</f>
        <v>0</v>
      </c>
      <c r="BX1248" s="291">
        <f>IF(ISNONTEXT($C1248),0,SUM(D1248:AI1248)-SUM(AN1248:BS1248))</f>
        <v>0</v>
      </c>
      <c r="BY1248" s="344"/>
      <c r="BZ1248" s="347"/>
      <c r="CA1248" s="347"/>
    </row>
    <row r="1249" spans="1:84" s="423" customFormat="1" ht="15" hidden="1" customHeight="1" thickTop="1" x14ac:dyDescent="0.25">
      <c r="A1249" s="313"/>
      <c r="B1249" s="340"/>
      <c r="C1249" s="628"/>
      <c r="D1249" s="407"/>
      <c r="E1249" s="407"/>
      <c r="F1249" s="407"/>
      <c r="G1249" s="407"/>
      <c r="H1249" s="407"/>
      <c r="I1249" s="407"/>
      <c r="J1249" s="407"/>
      <c r="K1249" s="407"/>
      <c r="L1249" s="407"/>
      <c r="M1249" s="407"/>
      <c r="N1249" s="407"/>
      <c r="O1249" s="407"/>
      <c r="P1249" s="407"/>
      <c r="Q1249" s="407"/>
      <c r="R1249" s="407"/>
      <c r="S1249" s="407"/>
      <c r="T1249" s="407"/>
      <c r="U1249" s="407"/>
      <c r="V1249" s="407"/>
      <c r="W1249" s="1318"/>
      <c r="X1249" s="1318"/>
      <c r="Y1249" s="1318"/>
      <c r="Z1249" s="1318"/>
      <c r="AA1249" s="1318"/>
      <c r="AB1249" s="1318"/>
      <c r="AC1249" s="343"/>
      <c r="AD1249" s="1318"/>
      <c r="AE1249" s="1318"/>
      <c r="AF1249" s="1318"/>
      <c r="AG1249" s="1318"/>
      <c r="AH1249" s="1318"/>
      <c r="AI1249" s="1318"/>
      <c r="AJ1249" s="342"/>
      <c r="AK1249" s="345"/>
      <c r="AL1249" s="340"/>
      <c r="AM1249" s="628"/>
      <c r="AN1249" s="407"/>
      <c r="AO1249" s="407"/>
      <c r="AP1249" s="407"/>
      <c r="AQ1249" s="407"/>
      <c r="AR1249" s="407"/>
      <c r="AS1249" s="407"/>
      <c r="AT1249" s="407"/>
      <c r="AU1249" s="407"/>
      <c r="AV1249" s="407"/>
      <c r="AW1249" s="407"/>
      <c r="AX1249" s="407"/>
      <c r="AY1249" s="407"/>
      <c r="AZ1249" s="407"/>
      <c r="BA1249" s="407"/>
      <c r="BB1249" s="407"/>
      <c r="BC1249" s="407"/>
      <c r="BD1249" s="407"/>
      <c r="BE1249" s="407"/>
      <c r="BF1249" s="407"/>
      <c r="BG1249" s="1318"/>
      <c r="BH1249" s="1318"/>
      <c r="BI1249" s="1318"/>
      <c r="BJ1249" s="1318"/>
      <c r="BK1249" s="1318"/>
      <c r="BL1249" s="1318"/>
      <c r="BM1249" s="343"/>
      <c r="BN1249" s="1318"/>
      <c r="BO1249" s="1318"/>
      <c r="BP1249" s="1318"/>
      <c r="BQ1249" s="1318"/>
      <c r="BR1249" s="1318"/>
      <c r="BS1249" s="1318"/>
      <c r="BT1249" s="342"/>
      <c r="BU1249" s="346"/>
      <c r="BV1249" s="310"/>
      <c r="BW1249" s="310"/>
      <c r="BX1249" s="300">
        <f>IF(ISNONTEXT($C1249),0,SUM(D1249:AI1249)-SUM(AN1249:BS1249))</f>
        <v>0</v>
      </c>
      <c r="BY1249" s="342"/>
      <c r="BZ1249" s="438"/>
      <c r="CA1249" s="438"/>
      <c r="CB1249" s="439"/>
      <c r="CC1249" s="439"/>
      <c r="CD1249" s="439"/>
      <c r="CE1249" s="439"/>
      <c r="CF1249" s="439"/>
    </row>
    <row r="1250" spans="1:84" s="423" customFormat="1" ht="15" hidden="1" customHeight="1" x14ac:dyDescent="0.2">
      <c r="A1250" s="313"/>
      <c r="B1250" s="340"/>
      <c r="C1250" s="340" t="s">
        <v>850</v>
      </c>
      <c r="D1250" s="354"/>
      <c r="E1250" s="354"/>
      <c r="F1250" s="354"/>
      <c r="G1250" s="354"/>
      <c r="H1250" s="354"/>
      <c r="I1250" s="354"/>
      <c r="J1250" s="354"/>
      <c r="K1250" s="354"/>
      <c r="L1250" s="354"/>
      <c r="M1250" s="354"/>
      <c r="N1250" s="630"/>
      <c r="O1250" s="630"/>
      <c r="P1250" s="630"/>
      <c r="Q1250" s="630"/>
      <c r="R1250" s="630"/>
      <c r="S1250" s="630"/>
      <c r="T1250" s="630"/>
      <c r="U1250" s="630"/>
      <c r="V1250" s="630"/>
      <c r="W1250" s="1330"/>
      <c r="X1250" s="1330"/>
      <c r="Y1250" s="1330"/>
      <c r="Z1250" s="1330"/>
      <c r="AA1250" s="1330"/>
      <c r="AB1250" s="1330"/>
      <c r="AC1250" s="363"/>
      <c r="AD1250" s="1330"/>
      <c r="AE1250" s="1330"/>
      <c r="AF1250" s="1330"/>
      <c r="AG1250" s="1330"/>
      <c r="AH1250" s="1330"/>
      <c r="AI1250" s="1330"/>
      <c r="AJ1250" s="342"/>
      <c r="AK1250" s="345"/>
      <c r="AL1250" s="340"/>
      <c r="AM1250" s="340"/>
      <c r="AN1250" s="354"/>
      <c r="AO1250" s="354"/>
      <c r="AP1250" s="354"/>
      <c r="AQ1250" s="354"/>
      <c r="AR1250" s="354"/>
      <c r="AS1250" s="354"/>
      <c r="AT1250" s="354"/>
      <c r="AU1250" s="354"/>
      <c r="AV1250" s="354"/>
      <c r="AW1250" s="354"/>
      <c r="AX1250" s="630"/>
      <c r="AY1250" s="630"/>
      <c r="AZ1250" s="630"/>
      <c r="BA1250" s="630"/>
      <c r="BB1250" s="630"/>
      <c r="BC1250" s="630"/>
      <c r="BD1250" s="630"/>
      <c r="BE1250" s="630"/>
      <c r="BF1250" s="630"/>
      <c r="BG1250" s="1330"/>
      <c r="BH1250" s="1330"/>
      <c r="BI1250" s="1330"/>
      <c r="BJ1250" s="1330"/>
      <c r="BK1250" s="1330"/>
      <c r="BL1250" s="1330"/>
      <c r="BM1250" s="363"/>
      <c r="BN1250" s="1330"/>
      <c r="BO1250" s="1330"/>
      <c r="BP1250" s="1330"/>
      <c r="BQ1250" s="1330"/>
      <c r="BR1250" s="1330"/>
      <c r="BS1250" s="1330"/>
      <c r="BT1250" s="536"/>
      <c r="BU1250" s="537"/>
      <c r="BV1250" s="310"/>
      <c r="BW1250" s="310"/>
      <c r="BX1250" s="300">
        <f t="shared" si="83"/>
        <v>0</v>
      </c>
      <c r="BY1250" s="342"/>
      <c r="BZ1250" s="438"/>
      <c r="CA1250" s="438"/>
      <c r="CB1250" s="439"/>
      <c r="CC1250" s="439"/>
      <c r="CD1250" s="439"/>
      <c r="CE1250" s="439"/>
      <c r="CF1250" s="439"/>
    </row>
    <row r="1251" spans="1:84" s="423" customFormat="1" ht="15" hidden="1" customHeight="1" x14ac:dyDescent="0.2">
      <c r="A1251" s="313"/>
      <c r="B1251" s="340"/>
      <c r="C1251" s="613" t="s">
        <v>1332</v>
      </c>
      <c r="D1251" s="354"/>
      <c r="E1251" s="354"/>
      <c r="F1251" s="354"/>
      <c r="G1251" s="354"/>
      <c r="H1251" s="354"/>
      <c r="I1251" s="354"/>
      <c r="J1251" s="354"/>
      <c r="K1251" s="354"/>
      <c r="L1251" s="354"/>
      <c r="M1251" s="354"/>
      <c r="N1251" s="354"/>
      <c r="O1251" s="354"/>
      <c r="P1251" s="354"/>
      <c r="Q1251" s="354"/>
      <c r="R1251" s="354"/>
      <c r="S1251" s="354"/>
      <c r="T1251" s="630"/>
      <c r="U1251" s="630"/>
      <c r="V1251" s="630"/>
      <c r="W1251" s="1318">
        <f>KN_3521d</f>
        <v>0</v>
      </c>
      <c r="X1251" s="1318"/>
      <c r="Y1251" s="1318"/>
      <c r="Z1251" s="1318"/>
      <c r="AA1251" s="1318"/>
      <c r="AB1251" s="1318"/>
      <c r="AC1251" s="355"/>
      <c r="AD1251" s="1318">
        <f>KT_3521d</f>
        <v>0</v>
      </c>
      <c r="AE1251" s="1318"/>
      <c r="AF1251" s="1318"/>
      <c r="AG1251" s="1318"/>
      <c r="AH1251" s="1318"/>
      <c r="AI1251" s="1318"/>
      <c r="AJ1251" s="342"/>
      <c r="AK1251" s="345"/>
      <c r="AL1251" s="340"/>
      <c r="AM1251" s="613" t="s">
        <v>1333</v>
      </c>
      <c r="AN1251" s="354"/>
      <c r="AO1251" s="354"/>
      <c r="AP1251" s="354"/>
      <c r="AQ1251" s="354"/>
      <c r="AR1251" s="354"/>
      <c r="AS1251" s="354"/>
      <c r="AT1251" s="354"/>
      <c r="AU1251" s="354"/>
      <c r="AV1251" s="354"/>
      <c r="AW1251" s="354"/>
      <c r="AX1251" s="354"/>
      <c r="AY1251" s="354"/>
      <c r="AZ1251" s="354"/>
      <c r="BA1251" s="354"/>
      <c r="BB1251" s="354"/>
      <c r="BC1251" s="354"/>
      <c r="BD1251" s="630"/>
      <c r="BE1251" s="630"/>
      <c r="BF1251" s="630"/>
      <c r="BG1251" s="1318">
        <f>W1251</f>
        <v>0</v>
      </c>
      <c r="BH1251" s="1318"/>
      <c r="BI1251" s="1318"/>
      <c r="BJ1251" s="1318"/>
      <c r="BK1251" s="1318"/>
      <c r="BL1251" s="1318"/>
      <c r="BM1251" s="355"/>
      <c r="BN1251" s="1318">
        <f>AD1251</f>
        <v>0</v>
      </c>
      <c r="BO1251" s="1318"/>
      <c r="BP1251" s="1318"/>
      <c r="BQ1251" s="1318"/>
      <c r="BR1251" s="1318"/>
      <c r="BS1251" s="1318"/>
      <c r="BT1251" s="536"/>
      <c r="BU1251" s="537"/>
      <c r="BV1251" s="310"/>
      <c r="BW1251" s="310"/>
      <c r="BX1251" s="300">
        <f t="shared" si="83"/>
        <v>0</v>
      </c>
      <c r="BY1251" s="342"/>
      <c r="BZ1251" s="438"/>
      <c r="CA1251" s="438"/>
      <c r="CB1251" s="439"/>
      <c r="CC1251" s="439"/>
      <c r="CD1251" s="439"/>
      <c r="CE1251" s="439"/>
      <c r="CF1251" s="439"/>
    </row>
    <row r="1252" spans="1:84" s="423" customFormat="1" ht="15" hidden="1" customHeight="1" x14ac:dyDescent="0.25">
      <c r="A1252" s="313"/>
      <c r="B1252" s="340"/>
      <c r="C1252" s="613" t="s">
        <v>1334</v>
      </c>
      <c r="D1252" s="354"/>
      <c r="E1252" s="354"/>
      <c r="F1252" s="354"/>
      <c r="G1252" s="354"/>
      <c r="H1252" s="354"/>
      <c r="I1252" s="354"/>
      <c r="J1252" s="354"/>
      <c r="K1252" s="354"/>
      <c r="L1252" s="354"/>
      <c r="M1252" s="354"/>
      <c r="N1252" s="354"/>
      <c r="O1252" s="354"/>
      <c r="P1252" s="354"/>
      <c r="Q1252" s="354"/>
      <c r="R1252" s="354"/>
      <c r="S1252" s="354"/>
      <c r="T1252" s="631"/>
      <c r="U1252" s="631"/>
      <c r="V1252" s="407"/>
      <c r="W1252" s="1318">
        <f>KN_3522d</f>
        <v>0</v>
      </c>
      <c r="X1252" s="1318"/>
      <c r="Y1252" s="1318"/>
      <c r="Z1252" s="1318"/>
      <c r="AA1252" s="1318"/>
      <c r="AB1252" s="1318"/>
      <c r="AC1252" s="355"/>
      <c r="AD1252" s="1318">
        <f>KT_3522d</f>
        <v>0</v>
      </c>
      <c r="AE1252" s="1318"/>
      <c r="AF1252" s="1318"/>
      <c r="AG1252" s="1318"/>
      <c r="AH1252" s="1318"/>
      <c r="AI1252" s="1318"/>
      <c r="AJ1252" s="342"/>
      <c r="AK1252" s="345"/>
      <c r="AL1252" s="340"/>
      <c r="AM1252" s="613" t="s">
        <v>1335</v>
      </c>
      <c r="AN1252" s="354"/>
      <c r="AO1252" s="354"/>
      <c r="AP1252" s="354"/>
      <c r="AQ1252" s="354"/>
      <c r="AR1252" s="354"/>
      <c r="AS1252" s="354"/>
      <c r="AT1252" s="354"/>
      <c r="AU1252" s="354"/>
      <c r="AV1252" s="354"/>
      <c r="AW1252" s="354"/>
      <c r="AX1252" s="354"/>
      <c r="AY1252" s="354"/>
      <c r="AZ1252" s="354"/>
      <c r="BA1252" s="354"/>
      <c r="BB1252" s="354"/>
      <c r="BC1252" s="354"/>
      <c r="BD1252" s="631"/>
      <c r="BE1252" s="631"/>
      <c r="BF1252" s="407"/>
      <c r="BG1252" s="1318">
        <f>W1252</f>
        <v>0</v>
      </c>
      <c r="BH1252" s="1318"/>
      <c r="BI1252" s="1318"/>
      <c r="BJ1252" s="1318"/>
      <c r="BK1252" s="1318"/>
      <c r="BL1252" s="1318"/>
      <c r="BM1252" s="355"/>
      <c r="BN1252" s="1318">
        <f>AD1252</f>
        <v>0</v>
      </c>
      <c r="BO1252" s="1318"/>
      <c r="BP1252" s="1318"/>
      <c r="BQ1252" s="1318"/>
      <c r="BR1252" s="1318"/>
      <c r="BS1252" s="1318"/>
      <c r="BT1252" s="632"/>
      <c r="BU1252" s="486"/>
      <c r="BV1252" s="310"/>
      <c r="BW1252" s="310"/>
      <c r="BX1252" s="300">
        <f t="shared" si="83"/>
        <v>0</v>
      </c>
      <c r="BY1252" s="342"/>
      <c r="BZ1252" s="438"/>
      <c r="CA1252" s="438"/>
      <c r="CB1252" s="439"/>
      <c r="CC1252" s="439"/>
      <c r="CD1252" s="439"/>
      <c r="CE1252" s="439"/>
      <c r="CF1252" s="439"/>
    </row>
    <row r="1253" spans="1:84" s="423" customFormat="1" ht="15" hidden="1" customHeight="1" x14ac:dyDescent="0.2">
      <c r="A1253" s="313"/>
      <c r="B1253" s="340"/>
      <c r="C1253" s="434" t="s">
        <v>1336</v>
      </c>
      <c r="D1253" s="354"/>
      <c r="E1253" s="354"/>
      <c r="F1253" s="354"/>
      <c r="G1253" s="354"/>
      <c r="H1253" s="354"/>
      <c r="I1253" s="354"/>
      <c r="J1253" s="354"/>
      <c r="K1253" s="354"/>
      <c r="L1253" s="354"/>
      <c r="M1253" s="354"/>
      <c r="N1253" s="354"/>
      <c r="O1253" s="354"/>
      <c r="P1253" s="354"/>
      <c r="Q1253" s="354"/>
      <c r="R1253" s="354"/>
      <c r="S1253" s="354"/>
      <c r="T1253" s="633"/>
      <c r="U1253" s="634"/>
      <c r="V1253" s="394"/>
      <c r="W1253" s="1318">
        <f>KN_3523d</f>
        <v>0</v>
      </c>
      <c r="X1253" s="1318"/>
      <c r="Y1253" s="1318"/>
      <c r="Z1253" s="1318"/>
      <c r="AA1253" s="1318"/>
      <c r="AB1253" s="1318"/>
      <c r="AC1253" s="355"/>
      <c r="AD1253" s="1318">
        <f>KT_3523d</f>
        <v>0</v>
      </c>
      <c r="AE1253" s="1318"/>
      <c r="AF1253" s="1318"/>
      <c r="AG1253" s="1318"/>
      <c r="AH1253" s="1318"/>
      <c r="AI1253" s="1318"/>
      <c r="AJ1253" s="342"/>
      <c r="AK1253" s="345"/>
      <c r="AL1253" s="340"/>
      <c r="AM1253" s="434" t="s">
        <v>1337</v>
      </c>
      <c r="AN1253" s="354"/>
      <c r="AO1253" s="354"/>
      <c r="AP1253" s="354"/>
      <c r="AQ1253" s="354"/>
      <c r="AR1253" s="354"/>
      <c r="AS1253" s="354"/>
      <c r="AT1253" s="354"/>
      <c r="AU1253" s="354"/>
      <c r="AV1253" s="354"/>
      <c r="AW1253" s="354"/>
      <c r="AX1253" s="354"/>
      <c r="AY1253" s="354"/>
      <c r="AZ1253" s="354"/>
      <c r="BA1253" s="354"/>
      <c r="BB1253" s="354"/>
      <c r="BC1253" s="354"/>
      <c r="BD1253" s="633"/>
      <c r="BE1253" s="634"/>
      <c r="BF1253" s="394"/>
      <c r="BG1253" s="1318">
        <f>W1253</f>
        <v>0</v>
      </c>
      <c r="BH1253" s="1318"/>
      <c r="BI1253" s="1318"/>
      <c r="BJ1253" s="1318"/>
      <c r="BK1253" s="1318"/>
      <c r="BL1253" s="1318"/>
      <c r="BM1253" s="355"/>
      <c r="BN1253" s="1318">
        <f>AD1253</f>
        <v>0</v>
      </c>
      <c r="BO1253" s="1318"/>
      <c r="BP1253" s="1318"/>
      <c r="BQ1253" s="1318"/>
      <c r="BR1253" s="1318"/>
      <c r="BS1253" s="1318"/>
      <c r="BT1253" s="635"/>
      <c r="BU1253" s="636"/>
      <c r="BV1253" s="310"/>
      <c r="BW1253" s="310"/>
      <c r="BX1253" s="300">
        <f t="shared" si="83"/>
        <v>0</v>
      </c>
      <c r="BY1253" s="342"/>
      <c r="BZ1253" s="438"/>
      <c r="CA1253" s="438"/>
      <c r="CB1253" s="439"/>
      <c r="CC1253" s="439"/>
      <c r="CD1253" s="439"/>
      <c r="CE1253" s="439"/>
      <c r="CF1253" s="439"/>
    </row>
    <row r="1254" spans="1:84" s="423" customFormat="1" ht="27.95" hidden="1" customHeight="1" x14ac:dyDescent="0.25">
      <c r="A1254" s="313"/>
      <c r="B1254" s="340"/>
      <c r="C1254" s="1467" t="s">
        <v>1338</v>
      </c>
      <c r="D1254" s="1467"/>
      <c r="E1254" s="1467"/>
      <c r="F1254" s="1467"/>
      <c r="G1254" s="1467"/>
      <c r="H1254" s="1467"/>
      <c r="I1254" s="1467"/>
      <c r="J1254" s="1467"/>
      <c r="K1254" s="1467"/>
      <c r="L1254" s="1467"/>
      <c r="M1254" s="1467"/>
      <c r="N1254" s="1467"/>
      <c r="O1254" s="1467"/>
      <c r="P1254" s="1467"/>
      <c r="Q1254" s="1467"/>
      <c r="R1254" s="1467"/>
      <c r="S1254" s="1467"/>
      <c r="T1254" s="1467"/>
      <c r="U1254" s="1467"/>
      <c r="V1254" s="637"/>
      <c r="W1254" s="1318">
        <f>KN_3524d</f>
        <v>0</v>
      </c>
      <c r="X1254" s="1318"/>
      <c r="Y1254" s="1318"/>
      <c r="Z1254" s="1318"/>
      <c r="AA1254" s="1318"/>
      <c r="AB1254" s="1318"/>
      <c r="AC1254" s="343"/>
      <c r="AD1254" s="1318">
        <f>KT_3524d</f>
        <v>0</v>
      </c>
      <c r="AE1254" s="1318"/>
      <c r="AF1254" s="1318"/>
      <c r="AG1254" s="1318"/>
      <c r="AH1254" s="1318"/>
      <c r="AI1254" s="1318"/>
      <c r="AJ1254" s="342"/>
      <c r="AK1254" s="345"/>
      <c r="AL1254" s="340"/>
      <c r="AM1254" s="1467" t="s">
        <v>1339</v>
      </c>
      <c r="AN1254" s="1467"/>
      <c r="AO1254" s="1467"/>
      <c r="AP1254" s="1467"/>
      <c r="AQ1254" s="1467"/>
      <c r="AR1254" s="1467"/>
      <c r="AS1254" s="1467"/>
      <c r="AT1254" s="1467"/>
      <c r="AU1254" s="1467"/>
      <c r="AV1254" s="1467"/>
      <c r="AW1254" s="1467"/>
      <c r="AX1254" s="1467"/>
      <c r="AY1254" s="1467"/>
      <c r="AZ1254" s="1467"/>
      <c r="BA1254" s="1467"/>
      <c r="BB1254" s="1467"/>
      <c r="BC1254" s="1467"/>
      <c r="BD1254" s="1467"/>
      <c r="BE1254" s="1467"/>
      <c r="BF1254" s="637"/>
      <c r="BG1254" s="1318">
        <f>W1254</f>
        <v>0</v>
      </c>
      <c r="BH1254" s="1318"/>
      <c r="BI1254" s="1318"/>
      <c r="BJ1254" s="1318"/>
      <c r="BK1254" s="1318"/>
      <c r="BL1254" s="1318"/>
      <c r="BM1254" s="343"/>
      <c r="BN1254" s="1318">
        <f>AD1254</f>
        <v>0</v>
      </c>
      <c r="BO1254" s="1318"/>
      <c r="BP1254" s="1318"/>
      <c r="BQ1254" s="1318"/>
      <c r="BR1254" s="1318"/>
      <c r="BS1254" s="1318"/>
      <c r="BT1254" s="632"/>
      <c r="BU1254" s="486"/>
      <c r="BV1254" s="310"/>
      <c r="BW1254" s="310"/>
      <c r="BX1254" s="300">
        <f t="shared" si="83"/>
        <v>0</v>
      </c>
      <c r="BY1254" s="342"/>
      <c r="BZ1254" s="438"/>
      <c r="CA1254" s="438"/>
      <c r="CB1254" s="439"/>
      <c r="CC1254" s="439"/>
      <c r="CD1254" s="439"/>
      <c r="CE1254" s="439"/>
      <c r="CF1254" s="439"/>
    </row>
    <row r="1255" spans="1:84" s="423" customFormat="1" ht="15" hidden="1" customHeight="1" x14ac:dyDescent="0.25">
      <c r="A1255" s="313"/>
      <c r="B1255" s="340"/>
      <c r="C1255" s="628"/>
      <c r="D1255" s="407"/>
      <c r="E1255" s="407"/>
      <c r="F1255" s="407"/>
      <c r="G1255" s="407"/>
      <c r="H1255" s="407"/>
      <c r="I1255" s="407"/>
      <c r="J1255" s="407"/>
      <c r="K1255" s="407"/>
      <c r="L1255" s="407"/>
      <c r="M1255" s="407"/>
      <c r="N1255" s="407"/>
      <c r="O1255" s="407"/>
      <c r="P1255" s="407"/>
      <c r="Q1255" s="407"/>
      <c r="R1255" s="407"/>
      <c r="S1255" s="407"/>
      <c r="T1255" s="407"/>
      <c r="U1255" s="407"/>
      <c r="V1255" s="407"/>
      <c r="W1255" s="1318"/>
      <c r="X1255" s="1318"/>
      <c r="Y1255" s="1318"/>
      <c r="Z1255" s="1318"/>
      <c r="AA1255" s="1318"/>
      <c r="AB1255" s="1318"/>
      <c r="AC1255" s="343"/>
      <c r="AD1255" s="1318"/>
      <c r="AE1255" s="1318"/>
      <c r="AF1255" s="1318"/>
      <c r="AG1255" s="1318"/>
      <c r="AH1255" s="1318"/>
      <c r="AI1255" s="1318"/>
      <c r="AJ1255" s="342"/>
      <c r="AK1255" s="345"/>
      <c r="AL1255" s="340"/>
      <c r="AM1255" s="628"/>
      <c r="AN1255" s="407"/>
      <c r="AO1255" s="407"/>
      <c r="AP1255" s="407"/>
      <c r="AQ1255" s="407"/>
      <c r="AR1255" s="407"/>
      <c r="AS1255" s="407"/>
      <c r="AT1255" s="407"/>
      <c r="AU1255" s="407"/>
      <c r="AV1255" s="407"/>
      <c r="AW1255" s="407"/>
      <c r="AX1255" s="407"/>
      <c r="AY1255" s="407"/>
      <c r="AZ1255" s="407"/>
      <c r="BA1255" s="407"/>
      <c r="BB1255" s="407"/>
      <c r="BC1255" s="407"/>
      <c r="BD1255" s="407"/>
      <c r="BE1255" s="407"/>
      <c r="BF1255" s="407"/>
      <c r="BG1255" s="1318"/>
      <c r="BH1255" s="1318"/>
      <c r="BI1255" s="1318"/>
      <c r="BJ1255" s="1318"/>
      <c r="BK1255" s="1318"/>
      <c r="BL1255" s="1318"/>
      <c r="BM1255" s="343"/>
      <c r="BN1255" s="1318"/>
      <c r="BO1255" s="1318"/>
      <c r="BP1255" s="1318"/>
      <c r="BQ1255" s="1318"/>
      <c r="BR1255" s="1318"/>
      <c r="BS1255" s="1318"/>
      <c r="BT1255" s="342"/>
      <c r="BU1255" s="346"/>
      <c r="BV1255" s="310"/>
      <c r="BW1255" s="310"/>
      <c r="BX1255" s="300">
        <f>IF(ISNONTEXT($C1255),0,SUM(D1255:AI1255)-SUM(AN1255:BS1255))</f>
        <v>0</v>
      </c>
      <c r="BY1255" s="342"/>
      <c r="BZ1255" s="438"/>
      <c r="CA1255" s="438"/>
      <c r="CB1255" s="439"/>
      <c r="CC1255" s="439"/>
      <c r="CD1255" s="439"/>
      <c r="CE1255" s="439"/>
      <c r="CF1255" s="439"/>
    </row>
    <row r="1256" spans="1:84" ht="15" hidden="1" customHeight="1" thickBot="1" x14ac:dyDescent="0.3">
      <c r="A1256" s="313"/>
      <c r="B1256" s="340"/>
      <c r="C1256" s="360" t="s">
        <v>752</v>
      </c>
      <c r="D1256" s="354"/>
      <c r="E1256" s="354"/>
      <c r="F1256" s="354"/>
      <c r="G1256" s="354"/>
      <c r="H1256" s="354"/>
      <c r="I1256" s="354"/>
      <c r="J1256" s="354"/>
      <c r="K1256" s="354"/>
      <c r="L1256" s="354"/>
      <c r="M1256" s="354"/>
      <c r="N1256" s="354"/>
      <c r="O1256" s="354"/>
      <c r="P1256" s="354"/>
      <c r="Q1256" s="354"/>
      <c r="R1256" s="354"/>
      <c r="S1256" s="354"/>
      <c r="T1256" s="393"/>
      <c r="U1256" s="505"/>
      <c r="V1256" s="393"/>
      <c r="W1256" s="1359">
        <f>SUBTOTAL(109,W1154:AB1254)</f>
        <v>0</v>
      </c>
      <c r="X1256" s="1359"/>
      <c r="Y1256" s="1359"/>
      <c r="Z1256" s="1359"/>
      <c r="AA1256" s="1359"/>
      <c r="AB1256" s="1359"/>
      <c r="AC1256" s="355"/>
      <c r="AD1256" s="1359">
        <f>SUBTOTAL(109,AD1154:AI1254)</f>
        <v>0</v>
      </c>
      <c r="AE1256" s="1359"/>
      <c r="AF1256" s="1359"/>
      <c r="AG1256" s="1359"/>
      <c r="AH1256" s="1359"/>
      <c r="AI1256" s="1359"/>
      <c r="AJ1256" s="344"/>
      <c r="AK1256" s="345"/>
      <c r="AL1256" s="340"/>
      <c r="AM1256" s="360" t="s">
        <v>752</v>
      </c>
      <c r="AN1256" s="354"/>
      <c r="AO1256" s="354"/>
      <c r="AP1256" s="354"/>
      <c r="AQ1256" s="354"/>
      <c r="AR1256" s="354"/>
      <c r="AS1256" s="354"/>
      <c r="AT1256" s="354"/>
      <c r="AU1256" s="354"/>
      <c r="AV1256" s="354"/>
      <c r="AW1256" s="354"/>
      <c r="AX1256" s="354"/>
      <c r="AY1256" s="354"/>
      <c r="AZ1256" s="354"/>
      <c r="BA1256" s="354"/>
      <c r="BB1256" s="354"/>
      <c r="BC1256" s="354"/>
      <c r="BD1256" s="393"/>
      <c r="BE1256" s="505"/>
      <c r="BF1256" s="393"/>
      <c r="BG1256" s="1359">
        <f>SUBTOTAL(109,BG1242:BL1254)</f>
        <v>0</v>
      </c>
      <c r="BH1256" s="1359"/>
      <c r="BI1256" s="1359"/>
      <c r="BJ1256" s="1359"/>
      <c r="BK1256" s="1359"/>
      <c r="BL1256" s="1359"/>
      <c r="BM1256" s="355"/>
      <c r="BN1256" s="1359">
        <f>SUBTOTAL(109,BN1242:BS1254)</f>
        <v>0</v>
      </c>
      <c r="BO1256" s="1359"/>
      <c r="BP1256" s="1359"/>
      <c r="BQ1256" s="1359"/>
      <c r="BR1256" s="1359"/>
      <c r="BS1256" s="1359"/>
      <c r="BT1256" s="629"/>
      <c r="BU1256" s="552"/>
      <c r="BV1256" s="310">
        <f>W1256-KN_CT342</f>
        <v>0</v>
      </c>
      <c r="BW1256" s="310">
        <f>AD1256-KT_CT342</f>
        <v>0</v>
      </c>
      <c r="BX1256" s="291">
        <f t="shared" si="83"/>
        <v>0</v>
      </c>
      <c r="BY1256" s="344"/>
      <c r="BZ1256" s="347"/>
      <c r="CA1256" s="347"/>
    </row>
    <row r="1257" spans="1:84" ht="15" hidden="1" customHeight="1" thickTop="1" x14ac:dyDescent="0.25">
      <c r="A1257" s="313"/>
      <c r="B1257" s="340"/>
      <c r="C1257" s="392"/>
      <c r="D1257" s="392"/>
      <c r="E1257" s="392"/>
      <c r="F1257" s="392"/>
      <c r="G1257" s="392"/>
      <c r="H1257" s="392"/>
      <c r="I1257" s="392"/>
      <c r="J1257" s="392"/>
      <c r="K1257" s="392"/>
      <c r="L1257" s="392"/>
      <c r="M1257" s="392"/>
      <c r="N1257" s="392"/>
      <c r="O1257" s="392"/>
      <c r="P1257" s="392"/>
      <c r="Q1257" s="392"/>
      <c r="R1257" s="392"/>
      <c r="S1257" s="392"/>
      <c r="T1257" s="392"/>
      <c r="U1257" s="392"/>
      <c r="V1257" s="392"/>
      <c r="W1257" s="393"/>
      <c r="X1257" s="393"/>
      <c r="Y1257" s="393"/>
      <c r="Z1257" s="393"/>
      <c r="AA1257" s="393"/>
      <c r="AB1257" s="393"/>
      <c r="AC1257" s="343"/>
      <c r="AD1257" s="343"/>
      <c r="AE1257" s="343"/>
      <c r="AF1257" s="343"/>
      <c r="AG1257" s="343"/>
      <c r="AH1257" s="343"/>
      <c r="AI1257" s="343"/>
      <c r="AJ1257" s="344"/>
      <c r="AK1257" s="345"/>
      <c r="AL1257" s="340"/>
      <c r="AM1257" s="392"/>
      <c r="AN1257" s="392"/>
      <c r="AO1257" s="392"/>
      <c r="AP1257" s="392"/>
      <c r="AQ1257" s="392"/>
      <c r="AR1257" s="392"/>
      <c r="AS1257" s="392"/>
      <c r="AT1257" s="392"/>
      <c r="AU1257" s="392"/>
      <c r="AV1257" s="392"/>
      <c r="AW1257" s="392"/>
      <c r="AX1257" s="392"/>
      <c r="AY1257" s="392"/>
      <c r="AZ1257" s="392"/>
      <c r="BA1257" s="392"/>
      <c r="BB1257" s="392"/>
      <c r="BC1257" s="392"/>
      <c r="BD1257" s="392"/>
      <c r="BE1257" s="392"/>
      <c r="BF1257" s="392"/>
      <c r="BG1257" s="393"/>
      <c r="BH1257" s="393"/>
      <c r="BI1257" s="393"/>
      <c r="BJ1257" s="393"/>
      <c r="BK1257" s="393"/>
      <c r="BL1257" s="393"/>
      <c r="BM1257" s="343"/>
      <c r="BN1257" s="343"/>
      <c r="BO1257" s="343"/>
      <c r="BP1257" s="343"/>
      <c r="BQ1257" s="343"/>
      <c r="BR1257" s="343"/>
      <c r="BS1257" s="343"/>
      <c r="BT1257" s="356"/>
      <c r="BU1257" s="357"/>
      <c r="BV1257" s="310"/>
      <c r="BW1257" s="310"/>
      <c r="BX1257" s="291">
        <f t="shared" si="83"/>
        <v>0</v>
      </c>
      <c r="BY1257" s="344"/>
      <c r="BZ1257" s="347"/>
      <c r="CA1257" s="347"/>
    </row>
    <row r="1258" spans="1:84" ht="15" hidden="1" customHeight="1" x14ac:dyDescent="0.25">
      <c r="A1258" s="313"/>
      <c r="B1258" s="340"/>
      <c r="C1258" s="548" t="s">
        <v>1235</v>
      </c>
      <c r="D1258" s="392"/>
      <c r="E1258" s="392"/>
      <c r="F1258" s="392"/>
      <c r="G1258" s="392"/>
      <c r="H1258" s="392"/>
      <c r="I1258" s="392"/>
      <c r="J1258" s="392"/>
      <c r="K1258" s="392"/>
      <c r="L1258" s="392"/>
      <c r="M1258" s="392"/>
      <c r="N1258" s="392"/>
      <c r="O1258" s="392"/>
      <c r="P1258" s="392"/>
      <c r="Q1258" s="392"/>
      <c r="R1258" s="392"/>
      <c r="S1258" s="392"/>
      <c r="T1258" s="392"/>
      <c r="U1258" s="392"/>
      <c r="V1258" s="392"/>
      <c r="W1258" s="393"/>
      <c r="X1258" s="393"/>
      <c r="Y1258" s="393"/>
      <c r="Z1258" s="393"/>
      <c r="AA1258" s="393"/>
      <c r="AB1258" s="393"/>
      <c r="AC1258" s="343"/>
      <c r="AD1258" s="343"/>
      <c r="AE1258" s="343"/>
      <c r="AF1258" s="343"/>
      <c r="AG1258" s="343"/>
      <c r="AH1258" s="343"/>
      <c r="AI1258" s="343"/>
      <c r="AJ1258" s="344"/>
      <c r="AK1258" s="345"/>
      <c r="AL1258" s="340"/>
      <c r="AM1258" s="548" t="s">
        <v>1235</v>
      </c>
      <c r="AN1258" s="392"/>
      <c r="AO1258" s="392"/>
      <c r="AP1258" s="392"/>
      <c r="AQ1258" s="392"/>
      <c r="AR1258" s="392"/>
      <c r="AS1258" s="392"/>
      <c r="AT1258" s="392"/>
      <c r="AU1258" s="392"/>
      <c r="AV1258" s="392"/>
      <c r="AW1258" s="392"/>
      <c r="AX1258" s="392"/>
      <c r="AY1258" s="392"/>
      <c r="AZ1258" s="392"/>
      <c r="BA1258" s="392"/>
      <c r="BB1258" s="392"/>
      <c r="BC1258" s="392"/>
      <c r="BD1258" s="392"/>
      <c r="BE1258" s="392"/>
      <c r="BF1258" s="392"/>
      <c r="BG1258" s="393"/>
      <c r="BH1258" s="393"/>
      <c r="BI1258" s="393"/>
      <c r="BJ1258" s="393"/>
      <c r="BK1258" s="393"/>
      <c r="BL1258" s="393"/>
      <c r="BM1258" s="343"/>
      <c r="BN1258" s="343"/>
      <c r="BO1258" s="343"/>
      <c r="BP1258" s="343"/>
      <c r="BQ1258" s="343"/>
      <c r="BR1258" s="343"/>
      <c r="BS1258" s="343"/>
      <c r="BT1258" s="356"/>
      <c r="BU1258" s="357"/>
      <c r="BV1258" s="310"/>
      <c r="BW1258" s="310"/>
      <c r="BX1258" s="291">
        <f t="shared" si="83"/>
        <v>0</v>
      </c>
      <c r="BY1258" s="344"/>
      <c r="BZ1258" s="347"/>
      <c r="CA1258" s="347"/>
    </row>
    <row r="1259" spans="1:84" ht="2.1" hidden="1" customHeight="1" x14ac:dyDescent="0.25">
      <c r="A1259" s="313"/>
      <c r="B1259" s="340"/>
      <c r="C1259" s="392"/>
      <c r="D1259" s="392"/>
      <c r="E1259" s="392"/>
      <c r="F1259" s="392"/>
      <c r="G1259" s="392"/>
      <c r="H1259" s="392"/>
      <c r="I1259" s="392"/>
      <c r="J1259" s="392"/>
      <c r="K1259" s="392"/>
      <c r="L1259" s="392"/>
      <c r="M1259" s="392"/>
      <c r="N1259" s="392"/>
      <c r="O1259" s="392"/>
      <c r="P1259" s="392"/>
      <c r="Q1259" s="392"/>
      <c r="R1259" s="392"/>
      <c r="S1259" s="392"/>
      <c r="T1259" s="392"/>
      <c r="U1259" s="392"/>
      <c r="V1259" s="392"/>
      <c r="W1259" s="393"/>
      <c r="X1259" s="393"/>
      <c r="Y1259" s="393"/>
      <c r="Z1259" s="393"/>
      <c r="AA1259" s="393"/>
      <c r="AB1259" s="393"/>
      <c r="AC1259" s="343"/>
      <c r="AD1259" s="343"/>
      <c r="AE1259" s="343"/>
      <c r="AF1259" s="343"/>
      <c r="AG1259" s="343"/>
      <c r="AH1259" s="343"/>
      <c r="AI1259" s="343"/>
      <c r="AJ1259" s="344"/>
      <c r="AK1259" s="345"/>
      <c r="AL1259" s="340"/>
      <c r="AM1259" s="392"/>
      <c r="AN1259" s="392"/>
      <c r="AO1259" s="392"/>
      <c r="AP1259" s="392"/>
      <c r="AQ1259" s="392"/>
      <c r="AR1259" s="392"/>
      <c r="AS1259" s="392"/>
      <c r="AT1259" s="392"/>
      <c r="AU1259" s="392"/>
      <c r="AV1259" s="392"/>
      <c r="AW1259" s="392"/>
      <c r="AX1259" s="392"/>
      <c r="AY1259" s="392"/>
      <c r="AZ1259" s="392"/>
      <c r="BA1259" s="392"/>
      <c r="BB1259" s="392"/>
      <c r="BC1259" s="392"/>
      <c r="BD1259" s="392"/>
      <c r="BE1259" s="392"/>
      <c r="BF1259" s="392"/>
      <c r="BG1259" s="392"/>
      <c r="BH1259" s="392"/>
      <c r="BI1259" s="392"/>
      <c r="BJ1259" s="392"/>
      <c r="BK1259" s="392"/>
      <c r="BL1259" s="392"/>
      <c r="BM1259" s="342"/>
      <c r="BN1259" s="356"/>
      <c r="BO1259" s="356"/>
      <c r="BP1259" s="356"/>
      <c r="BQ1259" s="356"/>
      <c r="BR1259" s="356"/>
      <c r="BS1259" s="356"/>
      <c r="BT1259" s="356"/>
      <c r="BU1259" s="357"/>
      <c r="BV1259" s="310"/>
      <c r="BW1259" s="310"/>
      <c r="BX1259" s="291">
        <f t="shared" si="83"/>
        <v>0</v>
      </c>
      <c r="BY1259" s="344"/>
      <c r="BZ1259" s="347"/>
      <c r="CA1259" s="347"/>
    </row>
    <row r="1260" spans="1:84" ht="12.95" customHeight="1" x14ac:dyDescent="0.25">
      <c r="A1260" s="604"/>
      <c r="B1260" s="354"/>
      <c r="C1260" s="342"/>
      <c r="D1260" s="342"/>
      <c r="E1260" s="342"/>
      <c r="F1260" s="342"/>
      <c r="G1260" s="342"/>
      <c r="H1260" s="342"/>
      <c r="I1260" s="342"/>
      <c r="J1260" s="342"/>
      <c r="K1260" s="342"/>
      <c r="L1260" s="342"/>
      <c r="M1260" s="342"/>
      <c r="N1260" s="342"/>
      <c r="O1260" s="342"/>
      <c r="P1260" s="342"/>
      <c r="Q1260" s="342"/>
      <c r="R1260" s="342"/>
      <c r="S1260" s="342"/>
      <c r="T1260" s="342"/>
      <c r="U1260" s="342"/>
      <c r="V1260" s="342"/>
      <c r="W1260" s="343"/>
      <c r="X1260" s="343"/>
      <c r="Y1260" s="343"/>
      <c r="Z1260" s="343"/>
      <c r="AA1260" s="343"/>
      <c r="AB1260" s="343"/>
      <c r="AC1260" s="343"/>
      <c r="AD1260" s="343"/>
      <c r="AE1260" s="343"/>
      <c r="AF1260" s="343"/>
      <c r="AG1260" s="343"/>
      <c r="AH1260" s="343"/>
      <c r="AI1260" s="343"/>
      <c r="AJ1260" s="344"/>
      <c r="AK1260" s="419"/>
      <c r="AL1260" s="354"/>
      <c r="AM1260" s="342"/>
      <c r="AN1260" s="342"/>
      <c r="AO1260" s="342"/>
      <c r="AP1260" s="342"/>
      <c r="AQ1260" s="342"/>
      <c r="AR1260" s="342"/>
      <c r="AS1260" s="342"/>
      <c r="AT1260" s="342"/>
      <c r="AU1260" s="342"/>
      <c r="AV1260" s="342"/>
      <c r="AW1260" s="342"/>
      <c r="AX1260" s="342"/>
      <c r="AY1260" s="342"/>
      <c r="AZ1260" s="342"/>
      <c r="BA1260" s="342"/>
      <c r="BB1260" s="342"/>
      <c r="BC1260" s="342"/>
      <c r="BD1260" s="342"/>
      <c r="BE1260" s="342"/>
      <c r="BF1260" s="342"/>
      <c r="BG1260" s="342"/>
      <c r="BH1260" s="342"/>
      <c r="BI1260" s="342"/>
      <c r="BJ1260" s="342"/>
      <c r="BK1260" s="342"/>
      <c r="BL1260" s="342"/>
      <c r="BM1260" s="342"/>
      <c r="BN1260" s="342"/>
      <c r="BO1260" s="342"/>
      <c r="BP1260" s="342"/>
      <c r="BQ1260" s="342"/>
      <c r="BR1260" s="342"/>
      <c r="BS1260" s="342"/>
      <c r="BT1260" s="342"/>
      <c r="BU1260" s="346"/>
      <c r="BV1260" s="310"/>
      <c r="BW1260" s="310"/>
      <c r="BX1260" s="291">
        <f t="shared" si="83"/>
        <v>0</v>
      </c>
      <c r="BY1260" s="344"/>
      <c r="BZ1260" s="347"/>
      <c r="CA1260" s="347"/>
    </row>
    <row r="1261" spans="1:84" ht="15" customHeight="1" x14ac:dyDescent="0.25">
      <c r="A1261" s="313">
        <v>20</v>
      </c>
      <c r="B1261" s="340" t="s">
        <v>345</v>
      </c>
      <c r="C1261" s="341" t="s">
        <v>1340</v>
      </c>
      <c r="D1261" s="342"/>
      <c r="E1261" s="342"/>
      <c r="F1261" s="342"/>
      <c r="G1261" s="342"/>
      <c r="H1261" s="342"/>
      <c r="I1261" s="342"/>
      <c r="J1261" s="342"/>
      <c r="K1261" s="342"/>
      <c r="L1261" s="342"/>
      <c r="M1261" s="342"/>
      <c r="N1261" s="342"/>
      <c r="O1261" s="342"/>
      <c r="P1261" s="342"/>
      <c r="Q1261" s="342"/>
      <c r="R1261" s="342"/>
      <c r="S1261" s="342"/>
      <c r="T1261" s="342"/>
      <c r="U1261" s="342"/>
      <c r="V1261" s="342"/>
      <c r="W1261" s="343"/>
      <c r="X1261" s="343"/>
      <c r="Y1261" s="343"/>
      <c r="Z1261" s="343"/>
      <c r="AA1261" s="343"/>
      <c r="AB1261" s="343"/>
      <c r="AC1261" s="343"/>
      <c r="AD1261" s="343"/>
      <c r="AE1261" s="343"/>
      <c r="AF1261" s="343"/>
      <c r="AG1261" s="343"/>
      <c r="AH1261" s="343"/>
      <c r="AI1261" s="343"/>
      <c r="AJ1261" s="344"/>
      <c r="AK1261" s="345">
        <f>A1261</f>
        <v>20</v>
      </c>
      <c r="AL1261" s="340" t="s">
        <v>345</v>
      </c>
      <c r="AM1261" s="341" t="s">
        <v>1341</v>
      </c>
      <c r="AN1261" s="342"/>
      <c r="AO1261" s="342"/>
      <c r="AP1261" s="342"/>
      <c r="AQ1261" s="342"/>
      <c r="AR1261" s="342"/>
      <c r="AS1261" s="342"/>
      <c r="AT1261" s="342"/>
      <c r="AU1261" s="342"/>
      <c r="AV1261" s="342"/>
      <c r="AW1261" s="342"/>
      <c r="AX1261" s="342"/>
      <c r="AY1261" s="342"/>
      <c r="AZ1261" s="342"/>
      <c r="BA1261" s="342"/>
      <c r="BB1261" s="342"/>
      <c r="BC1261" s="342"/>
      <c r="BD1261" s="342"/>
      <c r="BE1261" s="342"/>
      <c r="BF1261" s="342"/>
      <c r="BG1261" s="342"/>
      <c r="BH1261" s="342"/>
      <c r="BI1261" s="342"/>
      <c r="BJ1261" s="342"/>
      <c r="BK1261" s="342"/>
      <c r="BL1261" s="342"/>
      <c r="BM1261" s="342"/>
      <c r="BN1261" s="342"/>
      <c r="BO1261" s="342"/>
      <c r="BP1261" s="342"/>
      <c r="BQ1261" s="342"/>
      <c r="BR1261" s="342"/>
      <c r="BS1261" s="342"/>
      <c r="BT1261" s="342"/>
      <c r="BU1261" s="346">
        <f>SUBTOTAL(103,A1261)</f>
        <v>1</v>
      </c>
      <c r="BV1261" s="310"/>
      <c r="BW1261" s="310"/>
      <c r="BX1261" s="291">
        <f t="shared" si="83"/>
        <v>0</v>
      </c>
      <c r="BY1261" s="344"/>
      <c r="BZ1261" s="347"/>
      <c r="CA1261" s="347"/>
    </row>
    <row r="1262" spans="1:84" ht="15" customHeight="1" x14ac:dyDescent="0.25">
      <c r="A1262" s="313"/>
      <c r="B1262" s="340"/>
      <c r="C1262" s="427"/>
      <c r="D1262" s="342"/>
      <c r="E1262" s="342"/>
      <c r="F1262" s="342"/>
      <c r="G1262" s="342"/>
      <c r="H1262" s="342"/>
      <c r="I1262" s="342"/>
      <c r="J1262" s="342"/>
      <c r="K1262" s="342"/>
      <c r="L1262" s="342"/>
      <c r="M1262" s="342"/>
      <c r="N1262" s="342"/>
      <c r="O1262" s="342"/>
      <c r="P1262" s="342"/>
      <c r="Q1262" s="342"/>
      <c r="R1262" s="342"/>
      <c r="S1262" s="342"/>
      <c r="T1262" s="342"/>
      <c r="U1262" s="342"/>
      <c r="V1262" s="342"/>
      <c r="W1262" s="343"/>
      <c r="X1262" s="343"/>
      <c r="Y1262" s="343"/>
      <c r="Z1262" s="343"/>
      <c r="AA1262" s="343"/>
      <c r="AB1262" s="343"/>
      <c r="AC1262" s="343"/>
      <c r="AD1262" s="343"/>
      <c r="AE1262" s="343"/>
      <c r="AF1262" s="343"/>
      <c r="AG1262" s="343"/>
      <c r="AH1262" s="343"/>
      <c r="AI1262" s="343"/>
      <c r="AJ1262" s="344"/>
      <c r="AK1262" s="345"/>
      <c r="AL1262" s="340"/>
      <c r="AM1262" s="427" t="s">
        <v>1342</v>
      </c>
      <c r="AN1262" s="342"/>
      <c r="AO1262" s="342"/>
      <c r="AP1262" s="342"/>
      <c r="AQ1262" s="342"/>
      <c r="AR1262" s="342"/>
      <c r="AS1262" s="342"/>
      <c r="AT1262" s="342"/>
      <c r="AU1262" s="342"/>
      <c r="AV1262" s="342"/>
      <c r="AW1262" s="342"/>
      <c r="AX1262" s="342"/>
      <c r="AY1262" s="342"/>
      <c r="AZ1262" s="342"/>
      <c r="BA1262" s="342"/>
      <c r="BB1262" s="342"/>
      <c r="BC1262" s="342"/>
      <c r="BD1262" s="342"/>
      <c r="BE1262" s="342"/>
      <c r="BF1262" s="342"/>
      <c r="BG1262" s="342"/>
      <c r="BH1262" s="342"/>
      <c r="BI1262" s="342"/>
      <c r="BJ1262" s="342"/>
      <c r="BK1262" s="342"/>
      <c r="BL1262" s="342"/>
      <c r="BM1262" s="342"/>
      <c r="BN1262" s="342"/>
      <c r="BO1262" s="342"/>
      <c r="BP1262" s="342"/>
      <c r="BQ1262" s="342"/>
      <c r="BR1262" s="342"/>
      <c r="BS1262" s="342"/>
      <c r="BT1262" s="342"/>
      <c r="BU1262" s="346"/>
      <c r="BV1262" s="310"/>
      <c r="BW1262" s="310"/>
      <c r="BX1262" s="291">
        <f t="shared" si="83"/>
        <v>0</v>
      </c>
      <c r="BY1262" s="344"/>
      <c r="BZ1262" s="347"/>
      <c r="CA1262" s="347"/>
    </row>
    <row r="1263" spans="1:84" ht="12.95" customHeight="1" x14ac:dyDescent="0.25">
      <c r="A1263" s="313"/>
      <c r="B1263" s="340"/>
      <c r="C1263" s="427"/>
      <c r="D1263" s="342"/>
      <c r="E1263" s="342"/>
      <c r="F1263" s="342"/>
      <c r="G1263" s="342"/>
      <c r="H1263" s="342"/>
      <c r="I1263" s="342"/>
      <c r="J1263" s="342"/>
      <c r="K1263" s="342"/>
      <c r="L1263" s="342"/>
      <c r="M1263" s="342"/>
      <c r="N1263" s="342"/>
      <c r="O1263" s="342"/>
      <c r="P1263" s="342"/>
      <c r="Q1263" s="342"/>
      <c r="R1263" s="342"/>
      <c r="S1263" s="342"/>
      <c r="T1263" s="342"/>
      <c r="U1263" s="342"/>
      <c r="V1263" s="342"/>
      <c r="W1263" s="343"/>
      <c r="X1263" s="343"/>
      <c r="Y1263" s="343"/>
      <c r="Z1263" s="343"/>
      <c r="AA1263" s="343"/>
      <c r="AB1263" s="343"/>
      <c r="AC1263" s="343"/>
      <c r="AD1263" s="343"/>
      <c r="AE1263" s="343"/>
      <c r="AF1263" s="343"/>
      <c r="AG1263" s="343"/>
      <c r="AH1263" s="343"/>
      <c r="AI1263" s="343"/>
      <c r="AJ1263" s="344"/>
      <c r="AK1263" s="345"/>
      <c r="AL1263" s="340"/>
      <c r="AM1263" s="342"/>
      <c r="AN1263" s="342"/>
      <c r="AO1263" s="342"/>
      <c r="AP1263" s="342"/>
      <c r="AQ1263" s="342"/>
      <c r="AR1263" s="342"/>
      <c r="AS1263" s="342"/>
      <c r="AT1263" s="342"/>
      <c r="AU1263" s="342"/>
      <c r="AV1263" s="342"/>
      <c r="AW1263" s="342"/>
      <c r="AX1263" s="342"/>
      <c r="AY1263" s="342"/>
      <c r="AZ1263" s="342"/>
      <c r="BA1263" s="342"/>
      <c r="BB1263" s="342"/>
      <c r="BC1263" s="342"/>
      <c r="BD1263" s="342"/>
      <c r="BE1263" s="342"/>
      <c r="BF1263" s="342"/>
      <c r="BG1263" s="342"/>
      <c r="BH1263" s="342"/>
      <c r="BI1263" s="342"/>
      <c r="BJ1263" s="342"/>
      <c r="BK1263" s="342"/>
      <c r="BL1263" s="342"/>
      <c r="BM1263" s="342"/>
      <c r="BN1263" s="342"/>
      <c r="BO1263" s="342"/>
      <c r="BP1263" s="342"/>
      <c r="BQ1263" s="342"/>
      <c r="BR1263" s="342"/>
      <c r="BS1263" s="342"/>
      <c r="BT1263" s="342"/>
      <c r="BU1263" s="346"/>
      <c r="BV1263" s="310"/>
      <c r="BW1263" s="310"/>
      <c r="BX1263" s="291">
        <f t="shared" si="83"/>
        <v>0</v>
      </c>
      <c r="BY1263" s="344"/>
      <c r="BZ1263" s="347"/>
      <c r="CA1263" s="347"/>
    </row>
    <row r="1264" spans="1:84" ht="15" customHeight="1" x14ac:dyDescent="0.25">
      <c r="A1264" s="313"/>
      <c r="B1264" s="340"/>
      <c r="C1264" s="341" t="s">
        <v>1343</v>
      </c>
      <c r="D1264" s="342"/>
      <c r="E1264" s="342"/>
      <c r="F1264" s="342"/>
      <c r="G1264" s="342"/>
      <c r="H1264" s="342"/>
      <c r="I1264" s="342"/>
      <c r="J1264" s="342"/>
      <c r="K1264" s="342"/>
      <c r="L1264" s="342"/>
      <c r="M1264" s="342"/>
      <c r="N1264" s="342"/>
      <c r="O1264" s="342"/>
      <c r="P1264" s="342"/>
      <c r="Q1264" s="342"/>
      <c r="R1264" s="342"/>
      <c r="S1264" s="342"/>
      <c r="T1264" s="342"/>
      <c r="U1264" s="342"/>
      <c r="V1264" s="342"/>
      <c r="W1264" s="343"/>
      <c r="X1264" s="343"/>
      <c r="Y1264" s="343"/>
      <c r="Z1264" s="343"/>
      <c r="AA1264" s="343"/>
      <c r="AB1264" s="343"/>
      <c r="AC1264" s="343"/>
      <c r="AD1264" s="343"/>
      <c r="AE1264" s="343"/>
      <c r="AF1264" s="343"/>
      <c r="AG1264" s="343"/>
      <c r="AH1264" s="343"/>
      <c r="AI1264" s="343"/>
      <c r="AJ1264" s="344"/>
      <c r="AK1264" s="345"/>
      <c r="AL1264" s="340"/>
      <c r="AM1264" s="341" t="s">
        <v>1344</v>
      </c>
      <c r="AN1264" s="342"/>
      <c r="AO1264" s="342"/>
      <c r="AP1264" s="342"/>
      <c r="AQ1264" s="342"/>
      <c r="AR1264" s="342"/>
      <c r="AS1264" s="342"/>
      <c r="AT1264" s="342"/>
      <c r="AU1264" s="342"/>
      <c r="AV1264" s="342"/>
      <c r="AW1264" s="342"/>
      <c r="AX1264" s="342"/>
      <c r="AY1264" s="342"/>
      <c r="AZ1264" s="342"/>
      <c r="BA1264" s="342"/>
      <c r="BB1264" s="342"/>
      <c r="BC1264" s="342"/>
      <c r="BD1264" s="342"/>
      <c r="BE1264" s="342"/>
      <c r="BF1264" s="342"/>
      <c r="BG1264" s="342"/>
      <c r="BH1264" s="342"/>
      <c r="BI1264" s="342"/>
      <c r="BJ1264" s="342"/>
      <c r="BK1264" s="342"/>
      <c r="BL1264" s="342"/>
      <c r="BM1264" s="342"/>
      <c r="BN1264" s="342"/>
      <c r="BO1264" s="342"/>
      <c r="BP1264" s="342"/>
      <c r="BQ1264" s="342"/>
      <c r="BR1264" s="342"/>
      <c r="BS1264" s="342"/>
      <c r="BT1264" s="342"/>
      <c r="BU1264" s="346"/>
      <c r="BV1264" s="310"/>
      <c r="BW1264" s="310"/>
      <c r="BX1264" s="291">
        <f t="shared" si="83"/>
        <v>0</v>
      </c>
      <c r="BY1264" s="344"/>
      <c r="BZ1264" s="347"/>
      <c r="CA1264" s="347"/>
    </row>
    <row r="1265" spans="1:84" ht="12.95" customHeight="1" x14ac:dyDescent="0.25">
      <c r="A1265" s="313"/>
      <c r="B1265" s="340"/>
      <c r="C1265" s="341"/>
      <c r="D1265" s="342"/>
      <c r="E1265" s="342"/>
      <c r="F1265" s="342"/>
      <c r="G1265" s="342"/>
      <c r="H1265" s="342"/>
      <c r="I1265" s="342"/>
      <c r="J1265" s="342"/>
      <c r="K1265" s="342"/>
      <c r="L1265" s="342"/>
      <c r="M1265" s="342"/>
      <c r="N1265" s="342"/>
      <c r="O1265" s="342"/>
      <c r="P1265" s="342"/>
      <c r="Q1265" s="342"/>
      <c r="R1265" s="342"/>
      <c r="S1265" s="342"/>
      <c r="T1265" s="342"/>
      <c r="U1265" s="342"/>
      <c r="V1265" s="342"/>
      <c r="W1265" s="343"/>
      <c r="X1265" s="343"/>
      <c r="Y1265" s="343"/>
      <c r="Z1265" s="343"/>
      <c r="AA1265" s="343"/>
      <c r="AB1265" s="343"/>
      <c r="AC1265" s="343"/>
      <c r="AD1265" s="343"/>
      <c r="AE1265" s="343"/>
      <c r="AF1265" s="343"/>
      <c r="AG1265" s="343"/>
      <c r="AH1265" s="343"/>
      <c r="AI1265" s="343"/>
      <c r="AJ1265" s="344"/>
      <c r="AK1265" s="345"/>
      <c r="AL1265" s="340"/>
      <c r="AM1265" s="341"/>
      <c r="AN1265" s="342"/>
      <c r="AO1265" s="342"/>
      <c r="AP1265" s="342"/>
      <c r="AQ1265" s="342"/>
      <c r="AR1265" s="342"/>
      <c r="AS1265" s="342"/>
      <c r="AT1265" s="342"/>
      <c r="AU1265" s="342"/>
      <c r="AV1265" s="342"/>
      <c r="AW1265" s="342"/>
      <c r="AX1265" s="342"/>
      <c r="AY1265" s="342"/>
      <c r="AZ1265" s="342"/>
      <c r="BA1265" s="342"/>
      <c r="BB1265" s="342"/>
      <c r="BC1265" s="342"/>
      <c r="BD1265" s="342"/>
      <c r="BE1265" s="342"/>
      <c r="BF1265" s="342"/>
      <c r="BG1265" s="342"/>
      <c r="BH1265" s="342"/>
      <c r="BI1265" s="342"/>
      <c r="BJ1265" s="342"/>
      <c r="BK1265" s="342"/>
      <c r="BL1265" s="342"/>
      <c r="BM1265" s="342"/>
      <c r="BN1265" s="342"/>
      <c r="BO1265" s="342"/>
      <c r="BP1265" s="342"/>
      <c r="BQ1265" s="342"/>
      <c r="BR1265" s="342"/>
      <c r="BS1265" s="342"/>
      <c r="BT1265" s="342"/>
      <c r="BU1265" s="346"/>
      <c r="BV1265" s="310"/>
      <c r="BW1265" s="310"/>
      <c r="BX1265" s="291">
        <f t="shared" si="83"/>
        <v>0</v>
      </c>
      <c r="BY1265" s="344"/>
      <c r="BZ1265" s="347"/>
      <c r="CA1265" s="347"/>
    </row>
    <row r="1266" spans="1:84" ht="15" hidden="1" customHeight="1" x14ac:dyDescent="0.25">
      <c r="A1266" s="313"/>
      <c r="B1266" s="340"/>
      <c r="C1266" s="638" t="s">
        <v>1345</v>
      </c>
      <c r="D1266" s="639"/>
      <c r="E1266" s="639"/>
      <c r="F1266" s="639"/>
      <c r="G1266" s="639"/>
      <c r="H1266" s="639"/>
      <c r="I1266" s="1462" t="s">
        <v>1346</v>
      </c>
      <c r="J1266" s="1462"/>
      <c r="K1266" s="1462"/>
      <c r="L1266" s="1462"/>
      <c r="M1266" s="1462"/>
      <c r="N1266" s="1462"/>
      <c r="O1266" s="640"/>
      <c r="P1266" s="1462" t="s">
        <v>1347</v>
      </c>
      <c r="Q1266" s="1462"/>
      <c r="R1266" s="1462"/>
      <c r="S1266" s="1462"/>
      <c r="T1266" s="1462"/>
      <c r="U1266" s="1462"/>
      <c r="V1266" s="640"/>
      <c r="W1266" s="1462" t="s">
        <v>1348</v>
      </c>
      <c r="X1266" s="1462"/>
      <c r="Y1266" s="1462"/>
      <c r="Z1266" s="1462"/>
      <c r="AA1266" s="1462"/>
      <c r="AB1266" s="1462"/>
      <c r="AC1266" s="640"/>
      <c r="AD1266" s="1463" t="s">
        <v>983</v>
      </c>
      <c r="AE1266" s="1463"/>
      <c r="AF1266" s="1463"/>
      <c r="AG1266" s="1463"/>
      <c r="AH1266" s="1463"/>
      <c r="AI1266" s="1463"/>
      <c r="AJ1266" s="344"/>
      <c r="AK1266" s="345">
        <f>A1266</f>
        <v>0</v>
      </c>
      <c r="AL1266" s="340"/>
      <c r="AM1266" s="638" t="s">
        <v>984</v>
      </c>
      <c r="AN1266" s="639"/>
      <c r="AO1266" s="639"/>
      <c r="AP1266" s="639"/>
      <c r="AQ1266" s="639"/>
      <c r="AR1266" s="639"/>
      <c r="AS1266" s="1462" t="str">
        <f>I1266</f>
        <v>4111</v>
      </c>
      <c r="AT1266" s="1462"/>
      <c r="AU1266" s="1462"/>
      <c r="AV1266" s="1462"/>
      <c r="AW1266" s="1462"/>
      <c r="AX1266" s="1462"/>
      <c r="AY1266" s="639"/>
      <c r="AZ1266" s="1462" t="str">
        <f>P1266</f>
        <v>4112</v>
      </c>
      <c r="BA1266" s="1462"/>
      <c r="BB1266" s="1462"/>
      <c r="BC1266" s="1462"/>
      <c r="BD1266" s="1462"/>
      <c r="BE1266" s="1462"/>
      <c r="BF1266" s="640"/>
      <c r="BG1266" s="1462" t="str">
        <f>W1266</f>
        <v>4113</v>
      </c>
      <c r="BH1266" s="1462"/>
      <c r="BI1266" s="1462"/>
      <c r="BJ1266" s="1462"/>
      <c r="BK1266" s="1462"/>
      <c r="BL1266" s="1462"/>
      <c r="BM1266" s="640"/>
      <c r="BN1266" s="1463" t="str">
        <f>AD1266</f>
        <v>Cong</v>
      </c>
      <c r="BO1266" s="1463"/>
      <c r="BP1266" s="1463"/>
      <c r="BQ1266" s="1463"/>
      <c r="BR1266" s="1463"/>
      <c r="BS1266" s="1463"/>
      <c r="BT1266" s="641"/>
      <c r="BU1266" s="642"/>
      <c r="BV1266" s="310"/>
      <c r="BW1266" s="310"/>
      <c r="BX1266" s="291">
        <f t="shared" si="83"/>
        <v>0</v>
      </c>
      <c r="BY1266" s="344"/>
      <c r="BZ1266" s="347"/>
      <c r="CA1266" s="347"/>
    </row>
    <row r="1267" spans="1:84" ht="42" hidden="1" customHeight="1" x14ac:dyDescent="0.2">
      <c r="A1267" s="313"/>
      <c r="B1267" s="340"/>
      <c r="C1267" s="399"/>
      <c r="D1267" s="399"/>
      <c r="E1267" s="399"/>
      <c r="F1267" s="399"/>
      <c r="G1267" s="399"/>
      <c r="H1267" s="399"/>
      <c r="I1267" s="1464" t="str">
        <f>HLOOKUP(I$1266,TM_VCSH,ROW($C1267)-ROW($C$1266)+1,0)</f>
        <v>Vốn đầu tư của CSH</v>
      </c>
      <c r="J1267" s="1464"/>
      <c r="K1267" s="1464"/>
      <c r="L1267" s="1464"/>
      <c r="M1267" s="1464"/>
      <c r="N1267" s="1464"/>
      <c r="O1267" s="481"/>
      <c r="P1267" s="1464" t="str">
        <f>HLOOKUP(P$1266,TM_VCSH,ROW($C1267)-ROW($C$1266)+1,0)</f>
        <v>Thặng dư vốn cổ phần</v>
      </c>
      <c r="Q1267" s="1464"/>
      <c r="R1267" s="1464"/>
      <c r="S1267" s="1464"/>
      <c r="T1267" s="1464"/>
      <c r="U1267" s="1464"/>
      <c r="V1267" s="481"/>
      <c r="W1267" s="1465" t="str">
        <f>HLOOKUP(W$1266,TM_VCSH,ROW($C1267)-ROW($C$1266)+1,0)</f>
        <v>Quyền chọn chuyển đổi trái phiếu</v>
      </c>
      <c r="X1267" s="1465"/>
      <c r="Y1267" s="1465"/>
      <c r="Z1267" s="1465"/>
      <c r="AA1267" s="1465"/>
      <c r="AB1267" s="1465"/>
      <c r="AC1267" s="482"/>
      <c r="AD1267" s="1466" t="str">
        <f>HLOOKUP(AD$1266,TM_VCSH,ROW($C1267)-ROW($C$1266)+1,0)</f>
        <v>Cộng</v>
      </c>
      <c r="AE1267" s="1466"/>
      <c r="AF1267" s="1466"/>
      <c r="AG1267" s="1466"/>
      <c r="AH1267" s="1466"/>
      <c r="AI1267" s="1466"/>
      <c r="AJ1267" s="344"/>
      <c r="AK1267" s="345">
        <f>A1267</f>
        <v>0</v>
      </c>
      <c r="AL1267" s="340"/>
      <c r="AM1267" s="399"/>
      <c r="AN1267" s="399"/>
      <c r="AO1267" s="399"/>
      <c r="AP1267" s="399"/>
      <c r="AQ1267" s="399"/>
      <c r="AR1267" s="399"/>
      <c r="AS1267" s="1464" t="str">
        <f>HLOOKUP(AS$1266,TM_VCSH_E,ROW($C1267)-ROW($C$1266)+1,0)</f>
        <v>Contributed capital</v>
      </c>
      <c r="AT1267" s="1464"/>
      <c r="AU1267" s="1464"/>
      <c r="AV1267" s="1464"/>
      <c r="AW1267" s="1464"/>
      <c r="AX1267" s="1464"/>
      <c r="AY1267" s="481"/>
      <c r="AZ1267" s="1464" t="str">
        <f>HLOOKUP(AZ$1266,TM_VCSH_E,ROW($C1267)-ROW($C$1266)+1,0)</f>
        <v>Share premium</v>
      </c>
      <c r="BA1267" s="1464"/>
      <c r="BB1267" s="1464"/>
      <c r="BC1267" s="1464"/>
      <c r="BD1267" s="1464"/>
      <c r="BE1267" s="1464"/>
      <c r="BF1267" s="481"/>
      <c r="BG1267" s="1465" t="str">
        <f>HLOOKUP(BG$1266,TM_VCSH_E,ROW($C1267)-ROW($C$1266)+1,0)</f>
        <v>Conversion options on convertible bonds</v>
      </c>
      <c r="BH1267" s="1465"/>
      <c r="BI1267" s="1465"/>
      <c r="BJ1267" s="1465"/>
      <c r="BK1267" s="1465"/>
      <c r="BL1267" s="1465"/>
      <c r="BM1267" s="643"/>
      <c r="BN1267" s="1466" t="str">
        <f>HLOOKUP(BN$1266,TM_VCSH_E,ROW($C1267)-ROW($C$1266)+1,0)</f>
        <v>Total</v>
      </c>
      <c r="BO1267" s="1466"/>
      <c r="BP1267" s="1466"/>
      <c r="BQ1267" s="1466"/>
      <c r="BR1267" s="1466"/>
      <c r="BS1267" s="1466"/>
      <c r="BT1267" s="641"/>
      <c r="BU1267" s="642"/>
      <c r="BV1267" s="310"/>
      <c r="BW1267" s="310"/>
      <c r="BX1267" s="291">
        <f t="shared" si="83"/>
        <v>0</v>
      </c>
      <c r="BY1267" s="344"/>
      <c r="BZ1267" s="347"/>
      <c r="CA1267" s="347"/>
    </row>
    <row r="1268" spans="1:84" ht="15" hidden="1" customHeight="1" x14ac:dyDescent="0.2">
      <c r="A1268" s="313"/>
      <c r="B1268" s="340"/>
      <c r="C1268" s="399"/>
      <c r="D1268" s="399"/>
      <c r="E1268" s="399"/>
      <c r="F1268" s="399"/>
      <c r="G1268" s="399"/>
      <c r="H1268" s="399"/>
      <c r="I1268" s="1458" t="str">
        <f>Don_Vi_Tinh_V</f>
        <v>VND</v>
      </c>
      <c r="J1268" s="1458"/>
      <c r="K1268" s="1458"/>
      <c r="L1268" s="1458"/>
      <c r="M1268" s="1458"/>
      <c r="N1268" s="1458"/>
      <c r="O1268" s="514"/>
      <c r="P1268" s="1459" t="str">
        <f>Don_Vi_Tinh_V</f>
        <v>VND</v>
      </c>
      <c r="Q1268" s="1459"/>
      <c r="R1268" s="1459"/>
      <c r="S1268" s="1459"/>
      <c r="T1268" s="1459"/>
      <c r="U1268" s="1459"/>
      <c r="V1268" s="514"/>
      <c r="W1268" s="1460" t="str">
        <f>Don_Vi_Tinh_V</f>
        <v>VND</v>
      </c>
      <c r="X1268" s="1460"/>
      <c r="Y1268" s="1460"/>
      <c r="Z1268" s="1460"/>
      <c r="AA1268" s="1460"/>
      <c r="AB1268" s="1460"/>
      <c r="AC1268" s="644"/>
      <c r="AD1268" s="1461" t="str">
        <f>Don_Vi_Tinh_V</f>
        <v>VND</v>
      </c>
      <c r="AE1268" s="1461"/>
      <c r="AF1268" s="1461"/>
      <c r="AG1268" s="1461"/>
      <c r="AH1268" s="1461"/>
      <c r="AI1268" s="1461"/>
      <c r="AJ1268" s="344"/>
      <c r="AK1268" s="345"/>
      <c r="AL1268" s="340"/>
      <c r="AM1268" s="399"/>
      <c r="AN1268" s="399"/>
      <c r="AO1268" s="399"/>
      <c r="AP1268" s="399"/>
      <c r="AQ1268" s="399"/>
      <c r="AR1268" s="399"/>
      <c r="AS1268" s="1453" t="str">
        <f>Don_Vi_Tinh_E</f>
        <v>VND</v>
      </c>
      <c r="AT1268" s="1453"/>
      <c r="AU1268" s="1453"/>
      <c r="AV1268" s="1453"/>
      <c r="AW1268" s="1453"/>
      <c r="AX1268" s="1453"/>
      <c r="AY1268" s="481"/>
      <c r="AZ1268" s="1453" t="str">
        <f>Don_Vi_Tinh_V</f>
        <v>VND</v>
      </c>
      <c r="BA1268" s="1453"/>
      <c r="BB1268" s="1453"/>
      <c r="BC1268" s="1453"/>
      <c r="BD1268" s="1453"/>
      <c r="BE1268" s="1453"/>
      <c r="BF1268" s="481"/>
      <c r="BG1268" s="1453" t="str">
        <f>Don_Vi_Tinh_E</f>
        <v>VND</v>
      </c>
      <c r="BH1268" s="1453"/>
      <c r="BI1268" s="1453"/>
      <c r="BJ1268" s="1453"/>
      <c r="BK1268" s="1453"/>
      <c r="BL1268" s="1453"/>
      <c r="BM1268" s="643"/>
      <c r="BN1268" s="1454" t="str">
        <f>Don_Vi_Tinh_E</f>
        <v>VND</v>
      </c>
      <c r="BO1268" s="1454"/>
      <c r="BP1268" s="1454"/>
      <c r="BQ1268" s="1454"/>
      <c r="BR1268" s="1454"/>
      <c r="BS1268" s="1454"/>
      <c r="BT1268" s="641"/>
      <c r="BU1268" s="642"/>
      <c r="BV1268" s="310"/>
      <c r="BW1268" s="310"/>
      <c r="BX1268" s="291">
        <f t="shared" si="83"/>
        <v>0</v>
      </c>
      <c r="BY1268" s="344"/>
      <c r="BZ1268" s="347"/>
      <c r="CA1268" s="347"/>
    </row>
    <row r="1269" spans="1:84" ht="15" hidden="1" customHeight="1" x14ac:dyDescent="0.25">
      <c r="A1269" s="313"/>
      <c r="B1269" s="340"/>
      <c r="C1269" s="1455"/>
      <c r="D1269" s="1455"/>
      <c r="E1269" s="1455"/>
      <c r="F1269" s="1455"/>
      <c r="G1269" s="1455"/>
      <c r="H1269" s="1455"/>
      <c r="I1269" s="399"/>
      <c r="J1269" s="399"/>
      <c r="K1269" s="645"/>
      <c r="L1269" s="645"/>
      <c r="M1269" s="645"/>
      <c r="N1269" s="645"/>
      <c r="O1269" s="645"/>
      <c r="P1269" s="1456"/>
      <c r="Q1269" s="1456"/>
      <c r="R1269" s="1456"/>
      <c r="S1269" s="1456"/>
      <c r="T1269" s="1456"/>
      <c r="U1269" s="1456"/>
      <c r="V1269" s="645"/>
      <c r="W1269" s="1456"/>
      <c r="X1269" s="1456"/>
      <c r="Y1269" s="1456"/>
      <c r="Z1269" s="1456"/>
      <c r="AA1269" s="1456"/>
      <c r="AB1269" s="1456"/>
      <c r="AC1269" s="646"/>
      <c r="AD1269" s="1457"/>
      <c r="AE1269" s="1457"/>
      <c r="AF1269" s="1457"/>
      <c r="AG1269" s="1457"/>
      <c r="AH1269" s="1457"/>
      <c r="AI1269" s="1457"/>
      <c r="AJ1269" s="344"/>
      <c r="AK1269" s="345"/>
      <c r="AL1269" s="340"/>
      <c r="AM1269" s="1455"/>
      <c r="AN1269" s="1455"/>
      <c r="AO1269" s="1455"/>
      <c r="AP1269" s="1455"/>
      <c r="AQ1269" s="1455"/>
      <c r="AR1269" s="1455"/>
      <c r="AS1269" s="399"/>
      <c r="AT1269" s="399"/>
      <c r="AU1269" s="645"/>
      <c r="AV1269" s="645"/>
      <c r="AW1269" s="645"/>
      <c r="AX1269" s="645"/>
      <c r="AY1269" s="645"/>
      <c r="AZ1269" s="645"/>
      <c r="BA1269" s="645"/>
      <c r="BB1269" s="645"/>
      <c r="BC1269" s="645"/>
      <c r="BD1269" s="645"/>
      <c r="BE1269" s="645"/>
      <c r="BF1269" s="645"/>
      <c r="BG1269" s="645"/>
      <c r="BH1269" s="645"/>
      <c r="BI1269" s="645"/>
      <c r="BJ1269" s="646"/>
      <c r="BK1269" s="646"/>
      <c r="BL1269" s="646"/>
      <c r="BM1269" s="646"/>
      <c r="BN1269" s="646"/>
      <c r="BO1269" s="647"/>
      <c r="BP1269" s="647"/>
      <c r="BQ1269" s="647"/>
      <c r="BR1269" s="647"/>
      <c r="BS1269" s="647"/>
      <c r="BT1269" s="641"/>
      <c r="BU1269" s="642"/>
      <c r="BV1269" s="310"/>
      <c r="BW1269" s="310"/>
      <c r="BX1269" s="291">
        <f t="shared" ref="BX1269:BX1342" si="84">IF(ISNONTEXT($C1269),0,SUM(D1269:AI1269)-SUM(AN1269:BS1269))</f>
        <v>0</v>
      </c>
      <c r="BY1269" s="344"/>
      <c r="BZ1269" s="347"/>
      <c r="CA1269" s="347"/>
    </row>
    <row r="1270" spans="1:84" s="423" customFormat="1" ht="27" hidden="1" customHeight="1" x14ac:dyDescent="0.25">
      <c r="A1270" s="313"/>
      <c r="B1270" s="340"/>
      <c r="C1270" s="1443" t="s">
        <v>1349</v>
      </c>
      <c r="D1270" s="1443"/>
      <c r="E1270" s="1443"/>
      <c r="F1270" s="1443"/>
      <c r="G1270" s="1443"/>
      <c r="H1270" s="1443"/>
      <c r="I1270" s="1445">
        <f>HLOOKUP(I$1266,TM_VCSH,ROW($C1270)-ROW($C$1266)+1,0)</f>
        <v>20002050000</v>
      </c>
      <c r="J1270" s="1445"/>
      <c r="K1270" s="1445"/>
      <c r="L1270" s="1445"/>
      <c r="M1270" s="1445"/>
      <c r="N1270" s="1445"/>
      <c r="O1270" s="487"/>
      <c r="P1270" s="1445">
        <f t="shared" ref="P1270:P1276" si="85">HLOOKUP(P$1266,TM_VCSH,ROW($C1270)-ROW($C$1266)+1,0)</f>
        <v>1593954840</v>
      </c>
      <c r="Q1270" s="1445"/>
      <c r="R1270" s="1445"/>
      <c r="S1270" s="1445"/>
      <c r="T1270" s="1445"/>
      <c r="U1270" s="1445"/>
      <c r="V1270" s="487"/>
      <c r="W1270" s="1445">
        <f t="shared" ref="W1270:W1276" si="86">HLOOKUP(W$1266,TM_VCSH,ROW($C1270)-ROW($C$1266)+1,0)</f>
        <v>0</v>
      </c>
      <c r="X1270" s="1445"/>
      <c r="Y1270" s="1445"/>
      <c r="Z1270" s="1445"/>
      <c r="AA1270" s="1445"/>
      <c r="AB1270" s="1445"/>
      <c r="AC1270" s="487"/>
      <c r="AD1270" s="1445">
        <f>SUM(I1270:AC1270)</f>
        <v>21596004840</v>
      </c>
      <c r="AE1270" s="1445"/>
      <c r="AF1270" s="1445"/>
      <c r="AG1270" s="1445"/>
      <c r="AH1270" s="1445"/>
      <c r="AI1270" s="1445"/>
      <c r="AJ1270" s="342"/>
      <c r="AK1270" s="345"/>
      <c r="AL1270" s="340"/>
      <c r="AM1270" s="1443" t="s">
        <v>1350</v>
      </c>
      <c r="AN1270" s="1443"/>
      <c r="AO1270" s="1443"/>
      <c r="AP1270" s="1443"/>
      <c r="AQ1270" s="1443"/>
      <c r="AR1270" s="1443"/>
      <c r="AS1270" s="1445">
        <f>HLOOKUP(AS$1266,TM_VCSH_E,ROW($C1270)-ROW($C$1266)+1,0)</f>
        <v>20002050000</v>
      </c>
      <c r="AT1270" s="1445"/>
      <c r="AU1270" s="1445"/>
      <c r="AV1270" s="1445"/>
      <c r="AW1270" s="1445"/>
      <c r="AX1270" s="1445"/>
      <c r="AY1270" s="487"/>
      <c r="AZ1270" s="1445">
        <f t="shared" ref="AZ1270:AZ1276" si="87">HLOOKUP(AZ$1266,TM_VCSH_E,ROW($C1270)-ROW($C$1266)+1,0)</f>
        <v>1593954840</v>
      </c>
      <c r="BA1270" s="1445"/>
      <c r="BB1270" s="1445"/>
      <c r="BC1270" s="1445"/>
      <c r="BD1270" s="1445"/>
      <c r="BE1270" s="1445"/>
      <c r="BF1270" s="487"/>
      <c r="BG1270" s="1445">
        <f t="shared" ref="BG1270:BG1276" si="88">HLOOKUP(BG$1266,TM_VCSH_E,ROW($C1270)-ROW($C$1266)+1,0)</f>
        <v>0</v>
      </c>
      <c r="BH1270" s="1445"/>
      <c r="BI1270" s="1445"/>
      <c r="BJ1270" s="1445"/>
      <c r="BK1270" s="1445"/>
      <c r="BL1270" s="1445"/>
      <c r="BM1270" s="487"/>
      <c r="BN1270" s="1445">
        <f t="shared" ref="BN1270:BN1276" si="89">HLOOKUP(BN$1266,TM_VCSH_E,ROW($C1270)-ROW($C$1266)+1,0)</f>
        <v>45514655418</v>
      </c>
      <c r="BO1270" s="1445"/>
      <c r="BP1270" s="1445"/>
      <c r="BQ1270" s="1445"/>
      <c r="BR1270" s="1445"/>
      <c r="BS1270" s="1445"/>
      <c r="BT1270" s="485"/>
      <c r="BU1270" s="486"/>
      <c r="BV1270" s="310"/>
      <c r="BW1270" s="310"/>
      <c r="BX1270" s="300">
        <f t="shared" si="84"/>
        <v>-23918650578</v>
      </c>
      <c r="BY1270" s="342"/>
      <c r="BZ1270" s="438"/>
      <c r="CA1270" s="438"/>
      <c r="CB1270" s="439"/>
      <c r="CC1270" s="439"/>
      <c r="CD1270" s="439"/>
      <c r="CE1270" s="439"/>
      <c r="CF1270" s="439"/>
    </row>
    <row r="1271" spans="1:84" ht="27.95" hidden="1" customHeight="1" x14ac:dyDescent="0.25">
      <c r="A1271" s="313"/>
      <c r="B1271" s="340"/>
      <c r="C1271" s="1447" t="s">
        <v>1351</v>
      </c>
      <c r="D1271" s="1447"/>
      <c r="E1271" s="1447"/>
      <c r="F1271" s="1447"/>
      <c r="G1271" s="1447"/>
      <c r="H1271" s="1447"/>
      <c r="I1271" s="1444">
        <f t="shared" ref="I1271:I1276" si="90">HLOOKUP(I$1266,TM_VCSH,ROW($C1271)-ROW($C$1266)+1,0)</f>
        <v>0</v>
      </c>
      <c r="J1271" s="1444"/>
      <c r="K1271" s="1444"/>
      <c r="L1271" s="1444"/>
      <c r="M1271" s="1444"/>
      <c r="N1271" s="1444"/>
      <c r="O1271" s="493"/>
      <c r="P1271" s="1444">
        <f t="shared" si="85"/>
        <v>0</v>
      </c>
      <c r="Q1271" s="1444"/>
      <c r="R1271" s="1444"/>
      <c r="S1271" s="1444"/>
      <c r="T1271" s="1444"/>
      <c r="U1271" s="1444"/>
      <c r="V1271" s="493"/>
      <c r="W1271" s="1444">
        <f t="shared" si="86"/>
        <v>0</v>
      </c>
      <c r="X1271" s="1444"/>
      <c r="Y1271" s="1444"/>
      <c r="Z1271" s="1444"/>
      <c r="AA1271" s="1444"/>
      <c r="AB1271" s="1444"/>
      <c r="AC1271" s="493"/>
      <c r="AD1271" s="1330">
        <f t="shared" ref="AD1271:AD1276" si="91">SUM(I1271:AC1271)</f>
        <v>0</v>
      </c>
      <c r="AE1271" s="1330"/>
      <c r="AF1271" s="1330"/>
      <c r="AG1271" s="1330"/>
      <c r="AH1271" s="1330"/>
      <c r="AI1271" s="1330"/>
      <c r="AJ1271" s="344"/>
      <c r="AK1271" s="345"/>
      <c r="AL1271" s="340"/>
      <c r="AM1271" s="1447" t="s">
        <v>1352</v>
      </c>
      <c r="AN1271" s="1447"/>
      <c r="AO1271" s="1447"/>
      <c r="AP1271" s="1447"/>
      <c r="AQ1271" s="1447"/>
      <c r="AR1271" s="1447"/>
      <c r="AS1271" s="1444">
        <f t="shared" ref="AS1271:AS1276" si="92">HLOOKUP(AS$1266,TM_VCSH_E,ROW($C1271)-ROW($C$1266)+1,0)</f>
        <v>0</v>
      </c>
      <c r="AT1271" s="1444"/>
      <c r="AU1271" s="1444"/>
      <c r="AV1271" s="1444"/>
      <c r="AW1271" s="1444"/>
      <c r="AX1271" s="1444"/>
      <c r="AY1271" s="493"/>
      <c r="AZ1271" s="1444">
        <f t="shared" si="87"/>
        <v>0</v>
      </c>
      <c r="BA1271" s="1444"/>
      <c r="BB1271" s="1444"/>
      <c r="BC1271" s="1444"/>
      <c r="BD1271" s="1444"/>
      <c r="BE1271" s="1444"/>
      <c r="BF1271" s="493"/>
      <c r="BG1271" s="1444">
        <f t="shared" si="88"/>
        <v>0</v>
      </c>
      <c r="BH1271" s="1444"/>
      <c r="BI1271" s="1444"/>
      <c r="BJ1271" s="1444"/>
      <c r="BK1271" s="1444"/>
      <c r="BL1271" s="1444"/>
      <c r="BM1271" s="493"/>
      <c r="BN1271" s="1445">
        <f t="shared" si="89"/>
        <v>0</v>
      </c>
      <c r="BO1271" s="1445"/>
      <c r="BP1271" s="1445"/>
      <c r="BQ1271" s="1445"/>
      <c r="BR1271" s="1445"/>
      <c r="BS1271" s="1445"/>
      <c r="BT1271" s="488"/>
      <c r="BU1271" s="489"/>
      <c r="BV1271" s="310"/>
      <c r="BW1271" s="310"/>
      <c r="BX1271" s="291">
        <f t="shared" si="84"/>
        <v>0</v>
      </c>
      <c r="BY1271" s="344"/>
      <c r="BZ1271" s="347"/>
      <c r="CA1271" s="347"/>
    </row>
    <row r="1272" spans="1:84" ht="27.95" hidden="1" customHeight="1" x14ac:dyDescent="0.25">
      <c r="A1272" s="313"/>
      <c r="B1272" s="340"/>
      <c r="C1272" s="1447" t="s">
        <v>1353</v>
      </c>
      <c r="D1272" s="1447"/>
      <c r="E1272" s="1447"/>
      <c r="F1272" s="1447"/>
      <c r="G1272" s="1447"/>
      <c r="H1272" s="1447"/>
      <c r="I1272" s="1444">
        <f t="shared" si="90"/>
        <v>0</v>
      </c>
      <c r="J1272" s="1444"/>
      <c r="K1272" s="1444"/>
      <c r="L1272" s="1444"/>
      <c r="M1272" s="1444"/>
      <c r="N1272" s="1444"/>
      <c r="O1272" s="493"/>
      <c r="P1272" s="1444">
        <f t="shared" si="85"/>
        <v>0</v>
      </c>
      <c r="Q1272" s="1444"/>
      <c r="R1272" s="1444"/>
      <c r="S1272" s="1444"/>
      <c r="T1272" s="1444"/>
      <c r="U1272" s="1444"/>
      <c r="V1272" s="493"/>
      <c r="W1272" s="1444">
        <f t="shared" si="86"/>
        <v>0</v>
      </c>
      <c r="X1272" s="1444"/>
      <c r="Y1272" s="1444"/>
      <c r="Z1272" s="1444"/>
      <c r="AA1272" s="1444"/>
      <c r="AB1272" s="1444"/>
      <c r="AC1272" s="493"/>
      <c r="AD1272" s="1330">
        <f t="shared" si="91"/>
        <v>0</v>
      </c>
      <c r="AE1272" s="1330"/>
      <c r="AF1272" s="1330"/>
      <c r="AG1272" s="1330"/>
      <c r="AH1272" s="1330"/>
      <c r="AI1272" s="1330"/>
      <c r="AJ1272" s="344"/>
      <c r="AK1272" s="345"/>
      <c r="AL1272" s="340"/>
      <c r="AM1272" s="1447" t="s">
        <v>1354</v>
      </c>
      <c r="AN1272" s="1447"/>
      <c r="AO1272" s="1447"/>
      <c r="AP1272" s="1447"/>
      <c r="AQ1272" s="1447"/>
      <c r="AR1272" s="1447"/>
      <c r="AS1272" s="1444">
        <f t="shared" si="92"/>
        <v>0</v>
      </c>
      <c r="AT1272" s="1444"/>
      <c r="AU1272" s="1444"/>
      <c r="AV1272" s="1444"/>
      <c r="AW1272" s="1444"/>
      <c r="AX1272" s="1444"/>
      <c r="AY1272" s="493"/>
      <c r="AZ1272" s="1444">
        <f t="shared" si="87"/>
        <v>0</v>
      </c>
      <c r="BA1272" s="1444"/>
      <c r="BB1272" s="1444"/>
      <c r="BC1272" s="1444"/>
      <c r="BD1272" s="1444"/>
      <c r="BE1272" s="1444"/>
      <c r="BF1272" s="493"/>
      <c r="BG1272" s="1444">
        <f t="shared" si="88"/>
        <v>0</v>
      </c>
      <c r="BH1272" s="1444"/>
      <c r="BI1272" s="1444"/>
      <c r="BJ1272" s="1444"/>
      <c r="BK1272" s="1444"/>
      <c r="BL1272" s="1444"/>
      <c r="BM1272" s="493"/>
      <c r="BN1272" s="1445">
        <f t="shared" si="89"/>
        <v>723422867</v>
      </c>
      <c r="BO1272" s="1445"/>
      <c r="BP1272" s="1445"/>
      <c r="BQ1272" s="1445"/>
      <c r="BR1272" s="1445"/>
      <c r="BS1272" s="1445"/>
      <c r="BT1272" s="648"/>
      <c r="BU1272" s="649"/>
      <c r="BV1272" s="310"/>
      <c r="BW1272" s="310"/>
      <c r="BX1272" s="291">
        <f t="shared" si="84"/>
        <v>-723422867</v>
      </c>
      <c r="BY1272" s="344"/>
      <c r="BZ1272" s="347"/>
      <c r="CA1272" s="347"/>
    </row>
    <row r="1273" spans="1:84" ht="15" hidden="1" customHeight="1" x14ac:dyDescent="0.25">
      <c r="A1273" s="313"/>
      <c r="B1273" s="340"/>
      <c r="C1273" s="1447" t="s">
        <v>1355</v>
      </c>
      <c r="D1273" s="1447"/>
      <c r="E1273" s="1447"/>
      <c r="F1273" s="1447"/>
      <c r="G1273" s="1447"/>
      <c r="H1273" s="1447"/>
      <c r="I1273" s="1444">
        <f t="shared" si="90"/>
        <v>0</v>
      </c>
      <c r="J1273" s="1444"/>
      <c r="K1273" s="1444"/>
      <c r="L1273" s="1444"/>
      <c r="M1273" s="1444"/>
      <c r="N1273" s="1444"/>
      <c r="O1273" s="493"/>
      <c r="P1273" s="1444">
        <f t="shared" si="85"/>
        <v>0</v>
      </c>
      <c r="Q1273" s="1444"/>
      <c r="R1273" s="1444"/>
      <c r="S1273" s="1444"/>
      <c r="T1273" s="1444"/>
      <c r="U1273" s="1444"/>
      <c r="V1273" s="493"/>
      <c r="W1273" s="1444">
        <f t="shared" si="86"/>
        <v>0</v>
      </c>
      <c r="X1273" s="1444"/>
      <c r="Y1273" s="1444"/>
      <c r="Z1273" s="1444"/>
      <c r="AA1273" s="1444"/>
      <c r="AB1273" s="1444"/>
      <c r="AC1273" s="493"/>
      <c r="AD1273" s="1330">
        <f t="shared" si="91"/>
        <v>0</v>
      </c>
      <c r="AE1273" s="1330"/>
      <c r="AF1273" s="1330"/>
      <c r="AG1273" s="1330"/>
      <c r="AH1273" s="1330"/>
      <c r="AI1273" s="1330"/>
      <c r="AJ1273" s="344"/>
      <c r="AK1273" s="345"/>
      <c r="AL1273" s="340"/>
      <c r="AM1273" s="1447" t="s">
        <v>1356</v>
      </c>
      <c r="AN1273" s="1447"/>
      <c r="AO1273" s="1447"/>
      <c r="AP1273" s="1447"/>
      <c r="AQ1273" s="1447"/>
      <c r="AR1273" s="1447"/>
      <c r="AS1273" s="1444">
        <f t="shared" si="92"/>
        <v>0</v>
      </c>
      <c r="AT1273" s="1444"/>
      <c r="AU1273" s="1444"/>
      <c r="AV1273" s="1444"/>
      <c r="AW1273" s="1444"/>
      <c r="AX1273" s="1444"/>
      <c r="AY1273" s="493"/>
      <c r="AZ1273" s="1444">
        <f t="shared" si="87"/>
        <v>0</v>
      </c>
      <c r="BA1273" s="1444"/>
      <c r="BB1273" s="1444"/>
      <c r="BC1273" s="1444"/>
      <c r="BD1273" s="1444"/>
      <c r="BE1273" s="1444"/>
      <c r="BF1273" s="493"/>
      <c r="BG1273" s="1444">
        <f t="shared" si="88"/>
        <v>0</v>
      </c>
      <c r="BH1273" s="1444"/>
      <c r="BI1273" s="1444"/>
      <c r="BJ1273" s="1444"/>
      <c r="BK1273" s="1444"/>
      <c r="BL1273" s="1444"/>
      <c r="BM1273" s="493"/>
      <c r="BN1273" s="1445">
        <f t="shared" si="89"/>
        <v>0</v>
      </c>
      <c r="BO1273" s="1445"/>
      <c r="BP1273" s="1445"/>
      <c r="BQ1273" s="1445"/>
      <c r="BR1273" s="1445"/>
      <c r="BS1273" s="1445"/>
      <c r="BT1273" s="650"/>
      <c r="BU1273" s="651"/>
      <c r="BV1273" s="310"/>
      <c r="BW1273" s="310"/>
      <c r="BX1273" s="291">
        <f t="shared" si="84"/>
        <v>0</v>
      </c>
      <c r="BY1273" s="344"/>
      <c r="BZ1273" s="347"/>
      <c r="CA1273" s="347"/>
    </row>
    <row r="1274" spans="1:84" ht="27.95" hidden="1" customHeight="1" x14ac:dyDescent="0.25">
      <c r="A1274" s="313"/>
      <c r="B1274" s="340"/>
      <c r="C1274" s="1447" t="s">
        <v>1357</v>
      </c>
      <c r="D1274" s="1447"/>
      <c r="E1274" s="1447"/>
      <c r="F1274" s="1447"/>
      <c r="G1274" s="1447"/>
      <c r="H1274" s="1447"/>
      <c r="I1274" s="1444">
        <f t="shared" si="90"/>
        <v>0</v>
      </c>
      <c r="J1274" s="1444"/>
      <c r="K1274" s="1444"/>
      <c r="L1274" s="1444"/>
      <c r="M1274" s="1444"/>
      <c r="N1274" s="1444"/>
      <c r="O1274" s="493"/>
      <c r="P1274" s="1444">
        <f t="shared" si="85"/>
        <v>0</v>
      </c>
      <c r="Q1274" s="1444"/>
      <c r="R1274" s="1444"/>
      <c r="S1274" s="1444"/>
      <c r="T1274" s="1444"/>
      <c r="U1274" s="1444"/>
      <c r="V1274" s="493"/>
      <c r="W1274" s="1444">
        <f t="shared" si="86"/>
        <v>0</v>
      </c>
      <c r="X1274" s="1444"/>
      <c r="Y1274" s="1444"/>
      <c r="Z1274" s="1444"/>
      <c r="AA1274" s="1444"/>
      <c r="AB1274" s="1444"/>
      <c r="AC1274" s="493"/>
      <c r="AD1274" s="1330">
        <f t="shared" si="91"/>
        <v>0</v>
      </c>
      <c r="AE1274" s="1330"/>
      <c r="AF1274" s="1330"/>
      <c r="AG1274" s="1330"/>
      <c r="AH1274" s="1330"/>
      <c r="AI1274" s="1330"/>
      <c r="AJ1274" s="344"/>
      <c r="AK1274" s="345"/>
      <c r="AL1274" s="340"/>
      <c r="AM1274" s="1447" t="s">
        <v>1358</v>
      </c>
      <c r="AN1274" s="1447"/>
      <c r="AO1274" s="1447"/>
      <c r="AP1274" s="1447"/>
      <c r="AQ1274" s="1447"/>
      <c r="AR1274" s="1447"/>
      <c r="AS1274" s="1444">
        <f t="shared" si="92"/>
        <v>0</v>
      </c>
      <c r="AT1274" s="1444"/>
      <c r="AU1274" s="1444"/>
      <c r="AV1274" s="1444"/>
      <c r="AW1274" s="1444"/>
      <c r="AX1274" s="1444"/>
      <c r="AY1274" s="493"/>
      <c r="AZ1274" s="1444">
        <f t="shared" si="87"/>
        <v>0</v>
      </c>
      <c r="BA1274" s="1444"/>
      <c r="BB1274" s="1444"/>
      <c r="BC1274" s="1444"/>
      <c r="BD1274" s="1444"/>
      <c r="BE1274" s="1444"/>
      <c r="BF1274" s="493"/>
      <c r="BG1274" s="1444">
        <f t="shared" si="88"/>
        <v>0</v>
      </c>
      <c r="BH1274" s="1444"/>
      <c r="BI1274" s="1444"/>
      <c r="BJ1274" s="1444"/>
      <c r="BK1274" s="1444"/>
      <c r="BL1274" s="1444"/>
      <c r="BM1274" s="493"/>
      <c r="BN1274" s="1445">
        <f t="shared" si="89"/>
        <v>0</v>
      </c>
      <c r="BO1274" s="1445"/>
      <c r="BP1274" s="1445"/>
      <c r="BQ1274" s="1445"/>
      <c r="BR1274" s="1445"/>
      <c r="BS1274" s="1445"/>
      <c r="BT1274" s="650"/>
      <c r="BU1274" s="651"/>
      <c r="BV1274" s="310"/>
      <c r="BW1274" s="310"/>
      <c r="BX1274" s="291">
        <f t="shared" si="84"/>
        <v>0</v>
      </c>
      <c r="BY1274" s="344"/>
      <c r="BZ1274" s="347"/>
      <c r="CA1274" s="347"/>
    </row>
    <row r="1275" spans="1:84" ht="15" hidden="1" customHeight="1" x14ac:dyDescent="0.25">
      <c r="A1275" s="313"/>
      <c r="B1275" s="340"/>
      <c r="C1275" s="1448" t="s">
        <v>1359</v>
      </c>
      <c r="D1275" s="1448"/>
      <c r="E1275" s="1448"/>
      <c r="F1275" s="1448"/>
      <c r="G1275" s="1448"/>
      <c r="H1275" s="1448"/>
      <c r="I1275" s="1444">
        <f t="shared" si="90"/>
        <v>0</v>
      </c>
      <c r="J1275" s="1444"/>
      <c r="K1275" s="1444"/>
      <c r="L1275" s="1444"/>
      <c r="M1275" s="1444"/>
      <c r="N1275" s="1444"/>
      <c r="O1275" s="493"/>
      <c r="P1275" s="1444">
        <f t="shared" si="85"/>
        <v>0</v>
      </c>
      <c r="Q1275" s="1444"/>
      <c r="R1275" s="1444"/>
      <c r="S1275" s="1444"/>
      <c r="T1275" s="1444"/>
      <c r="U1275" s="1444"/>
      <c r="V1275" s="493"/>
      <c r="W1275" s="1444">
        <f t="shared" si="86"/>
        <v>0</v>
      </c>
      <c r="X1275" s="1444"/>
      <c r="Y1275" s="1444"/>
      <c r="Z1275" s="1444"/>
      <c r="AA1275" s="1444"/>
      <c r="AB1275" s="1444"/>
      <c r="AC1275" s="493"/>
      <c r="AD1275" s="1330">
        <f t="shared" si="91"/>
        <v>0</v>
      </c>
      <c r="AE1275" s="1330"/>
      <c r="AF1275" s="1330"/>
      <c r="AG1275" s="1330"/>
      <c r="AH1275" s="1330"/>
      <c r="AI1275" s="1330"/>
      <c r="AJ1275" s="344"/>
      <c r="AK1275" s="345"/>
      <c r="AL1275" s="340"/>
      <c r="AM1275" s="1447" t="s">
        <v>1360</v>
      </c>
      <c r="AN1275" s="1447"/>
      <c r="AO1275" s="1447"/>
      <c r="AP1275" s="1447"/>
      <c r="AQ1275" s="1447"/>
      <c r="AR1275" s="1447"/>
      <c r="AS1275" s="1444">
        <f t="shared" si="92"/>
        <v>0</v>
      </c>
      <c r="AT1275" s="1444"/>
      <c r="AU1275" s="1444"/>
      <c r="AV1275" s="1444"/>
      <c r="AW1275" s="1444"/>
      <c r="AX1275" s="1444"/>
      <c r="AY1275" s="493"/>
      <c r="AZ1275" s="1444">
        <f t="shared" si="87"/>
        <v>0</v>
      </c>
      <c r="BA1275" s="1444"/>
      <c r="BB1275" s="1444"/>
      <c r="BC1275" s="1444"/>
      <c r="BD1275" s="1444"/>
      <c r="BE1275" s="1444"/>
      <c r="BF1275" s="493"/>
      <c r="BG1275" s="1444">
        <f t="shared" si="88"/>
        <v>0</v>
      </c>
      <c r="BH1275" s="1444"/>
      <c r="BI1275" s="1444"/>
      <c r="BJ1275" s="1444"/>
      <c r="BK1275" s="1444"/>
      <c r="BL1275" s="1444"/>
      <c r="BM1275" s="493"/>
      <c r="BN1275" s="1445">
        <f t="shared" si="89"/>
        <v>0</v>
      </c>
      <c r="BO1275" s="1445"/>
      <c r="BP1275" s="1445"/>
      <c r="BQ1275" s="1445"/>
      <c r="BR1275" s="1445"/>
      <c r="BS1275" s="1445"/>
      <c r="BT1275" s="648"/>
      <c r="BU1275" s="649"/>
      <c r="BV1275" s="310"/>
      <c r="BW1275" s="310"/>
      <c r="BX1275" s="291">
        <f t="shared" si="84"/>
        <v>0</v>
      </c>
      <c r="BY1275" s="344"/>
      <c r="BZ1275" s="347"/>
      <c r="CA1275" s="347"/>
    </row>
    <row r="1276" spans="1:84" ht="15" hidden="1" customHeight="1" x14ac:dyDescent="0.25">
      <c r="A1276" s="313"/>
      <c r="B1276" s="340"/>
      <c r="C1276" s="1447" t="s">
        <v>1361</v>
      </c>
      <c r="D1276" s="1447"/>
      <c r="E1276" s="1447"/>
      <c r="F1276" s="1447"/>
      <c r="G1276" s="1447"/>
      <c r="H1276" s="1447"/>
      <c r="I1276" s="1444">
        <f t="shared" si="90"/>
        <v>0</v>
      </c>
      <c r="J1276" s="1444"/>
      <c r="K1276" s="1444"/>
      <c r="L1276" s="1444"/>
      <c r="M1276" s="1444"/>
      <c r="N1276" s="1444"/>
      <c r="O1276" s="493"/>
      <c r="P1276" s="1444">
        <f t="shared" si="85"/>
        <v>0</v>
      </c>
      <c r="Q1276" s="1444"/>
      <c r="R1276" s="1444"/>
      <c r="S1276" s="1444"/>
      <c r="T1276" s="1444"/>
      <c r="U1276" s="1444"/>
      <c r="V1276" s="493"/>
      <c r="W1276" s="1444">
        <f t="shared" si="86"/>
        <v>0</v>
      </c>
      <c r="X1276" s="1444"/>
      <c r="Y1276" s="1444"/>
      <c r="Z1276" s="1444"/>
      <c r="AA1276" s="1444"/>
      <c r="AB1276" s="1444"/>
      <c r="AC1276" s="493"/>
      <c r="AD1276" s="1330">
        <f t="shared" si="91"/>
        <v>0</v>
      </c>
      <c r="AE1276" s="1330"/>
      <c r="AF1276" s="1330"/>
      <c r="AG1276" s="1330"/>
      <c r="AH1276" s="1330"/>
      <c r="AI1276" s="1330"/>
      <c r="AJ1276" s="344"/>
      <c r="AK1276" s="345"/>
      <c r="AL1276" s="340"/>
      <c r="AM1276" s="1447" t="s">
        <v>1362</v>
      </c>
      <c r="AN1276" s="1447"/>
      <c r="AO1276" s="1447"/>
      <c r="AP1276" s="1447"/>
      <c r="AQ1276" s="1447"/>
      <c r="AR1276" s="1447"/>
      <c r="AS1276" s="1444">
        <f t="shared" si="92"/>
        <v>0</v>
      </c>
      <c r="AT1276" s="1444"/>
      <c r="AU1276" s="1444"/>
      <c r="AV1276" s="1444"/>
      <c r="AW1276" s="1444"/>
      <c r="AX1276" s="1444"/>
      <c r="AY1276" s="493"/>
      <c r="AZ1276" s="1444">
        <f t="shared" si="87"/>
        <v>0</v>
      </c>
      <c r="BA1276" s="1444"/>
      <c r="BB1276" s="1444"/>
      <c r="BC1276" s="1444"/>
      <c r="BD1276" s="1444"/>
      <c r="BE1276" s="1444"/>
      <c r="BF1276" s="493"/>
      <c r="BG1276" s="1444">
        <f t="shared" si="88"/>
        <v>0</v>
      </c>
      <c r="BH1276" s="1444"/>
      <c r="BI1276" s="1444"/>
      <c r="BJ1276" s="1444"/>
      <c r="BK1276" s="1444"/>
      <c r="BL1276" s="1444"/>
      <c r="BM1276" s="493"/>
      <c r="BN1276" s="1445">
        <f t="shared" si="89"/>
        <v>0</v>
      </c>
      <c r="BO1276" s="1445"/>
      <c r="BP1276" s="1445"/>
      <c r="BQ1276" s="1445"/>
      <c r="BR1276" s="1445"/>
      <c r="BS1276" s="1445"/>
      <c r="BT1276" s="650"/>
      <c r="BU1276" s="651"/>
      <c r="BV1276" s="310"/>
      <c r="BW1276" s="310"/>
      <c r="BX1276" s="291">
        <f t="shared" si="84"/>
        <v>0</v>
      </c>
      <c r="BY1276" s="344"/>
      <c r="BZ1276" s="347"/>
      <c r="CA1276" s="347"/>
    </row>
    <row r="1277" spans="1:84" ht="15" hidden="1" customHeight="1" x14ac:dyDescent="0.25">
      <c r="A1277" s="313"/>
      <c r="B1277" s="340"/>
      <c r="C1277" s="1446"/>
      <c r="D1277" s="1446"/>
      <c r="E1277" s="1446"/>
      <c r="F1277" s="1446"/>
      <c r="G1277" s="1446"/>
      <c r="H1277" s="1446"/>
      <c r="I1277" s="1441"/>
      <c r="J1277" s="1441"/>
      <c r="K1277" s="1441"/>
      <c r="L1277" s="1441"/>
      <c r="M1277" s="1441"/>
      <c r="N1277" s="1441"/>
      <c r="O1277" s="493"/>
      <c r="P1277" s="1444"/>
      <c r="Q1277" s="1444"/>
      <c r="R1277" s="1444"/>
      <c r="S1277" s="1444"/>
      <c r="T1277" s="1444"/>
      <c r="U1277" s="1444"/>
      <c r="V1277" s="493"/>
      <c r="W1277" s="1444"/>
      <c r="X1277" s="1444"/>
      <c r="Y1277" s="1444"/>
      <c r="Z1277" s="1444"/>
      <c r="AA1277" s="1444"/>
      <c r="AB1277" s="1444"/>
      <c r="AC1277" s="493"/>
      <c r="AD1277" s="1444"/>
      <c r="AE1277" s="1444"/>
      <c r="AF1277" s="1444"/>
      <c r="AG1277" s="1444"/>
      <c r="AH1277" s="1444"/>
      <c r="AI1277" s="1444"/>
      <c r="AJ1277" s="344"/>
      <c r="AK1277" s="345"/>
      <c r="AL1277" s="340"/>
      <c r="AM1277" s="1446"/>
      <c r="AN1277" s="1446"/>
      <c r="AO1277" s="1446"/>
      <c r="AP1277" s="1446"/>
      <c r="AQ1277" s="1446"/>
      <c r="AR1277" s="1446"/>
      <c r="AS1277" s="1441"/>
      <c r="AT1277" s="1441"/>
      <c r="AU1277" s="1441"/>
      <c r="AV1277" s="1441"/>
      <c r="AW1277" s="1441"/>
      <c r="AX1277" s="1441"/>
      <c r="AY1277" s="484"/>
      <c r="AZ1277" s="1452"/>
      <c r="BA1277" s="1452"/>
      <c r="BB1277" s="1452"/>
      <c r="BC1277" s="1452"/>
      <c r="BD1277" s="1452"/>
      <c r="BE1277" s="1452"/>
      <c r="BF1277" s="484"/>
      <c r="BG1277" s="1452"/>
      <c r="BH1277" s="1452"/>
      <c r="BI1277" s="1452"/>
      <c r="BJ1277" s="1452"/>
      <c r="BK1277" s="1452"/>
      <c r="BL1277" s="1452"/>
      <c r="BM1277" s="484"/>
      <c r="BN1277" s="1452"/>
      <c r="BO1277" s="1452"/>
      <c r="BP1277" s="1452"/>
      <c r="BQ1277" s="1452"/>
      <c r="BR1277" s="1452"/>
      <c r="BS1277" s="1452"/>
      <c r="BT1277" s="650"/>
      <c r="BU1277" s="651"/>
      <c r="BV1277" s="310"/>
      <c r="BW1277" s="310"/>
      <c r="BX1277" s="291">
        <f t="shared" si="84"/>
        <v>0</v>
      </c>
      <c r="BY1277" s="344"/>
      <c r="BZ1277" s="347"/>
      <c r="CA1277" s="347"/>
    </row>
    <row r="1278" spans="1:84" s="423" customFormat="1" ht="27" hidden="1" customHeight="1" thickBot="1" x14ac:dyDescent="0.3">
      <c r="A1278" s="313"/>
      <c r="B1278" s="340"/>
      <c r="C1278" s="1443" t="s">
        <v>1363</v>
      </c>
      <c r="D1278" s="1443"/>
      <c r="E1278" s="1443"/>
      <c r="F1278" s="1443"/>
      <c r="G1278" s="1443"/>
      <c r="H1278" s="1443"/>
      <c r="I1278" s="1439">
        <f>SUBTOTAL(109,I1270:N1277)</f>
        <v>0</v>
      </c>
      <c r="J1278" s="1439"/>
      <c r="K1278" s="1439"/>
      <c r="L1278" s="1439"/>
      <c r="M1278" s="1439"/>
      <c r="N1278" s="1439"/>
      <c r="O1278" s="487"/>
      <c r="P1278" s="1439">
        <f>SUBTOTAL(109,P1270:U1277)</f>
        <v>0</v>
      </c>
      <c r="Q1278" s="1439"/>
      <c r="R1278" s="1439"/>
      <c r="S1278" s="1439"/>
      <c r="T1278" s="1439"/>
      <c r="U1278" s="1439"/>
      <c r="V1278" s="487"/>
      <c r="W1278" s="1439">
        <f>SUBTOTAL(109,W1270:AB1277)</f>
        <v>0</v>
      </c>
      <c r="X1278" s="1439"/>
      <c r="Y1278" s="1439"/>
      <c r="Z1278" s="1439"/>
      <c r="AA1278" s="1439"/>
      <c r="AB1278" s="1439"/>
      <c r="AC1278" s="487"/>
      <c r="AD1278" s="1359">
        <f>SUM(I1278:AC1278)</f>
        <v>0</v>
      </c>
      <c r="AE1278" s="1359"/>
      <c r="AF1278" s="1359"/>
      <c r="AG1278" s="1359"/>
      <c r="AH1278" s="1359"/>
      <c r="AI1278" s="1359"/>
      <c r="AJ1278" s="341"/>
      <c r="AK1278" s="345"/>
      <c r="AL1278" s="340"/>
      <c r="AM1278" s="1443" t="s">
        <v>1364</v>
      </c>
      <c r="AN1278" s="1443"/>
      <c r="AO1278" s="1443"/>
      <c r="AP1278" s="1443"/>
      <c r="AQ1278" s="1443"/>
      <c r="AR1278" s="1443"/>
      <c r="AS1278" s="1439">
        <f>SUBTOTAL(109,AS1270:AX1277)</f>
        <v>0</v>
      </c>
      <c r="AT1278" s="1439"/>
      <c r="AU1278" s="1439"/>
      <c r="AV1278" s="1439"/>
      <c r="AW1278" s="1439"/>
      <c r="AX1278" s="1439"/>
      <c r="AY1278" s="487"/>
      <c r="AZ1278" s="1439">
        <f>SUBTOTAL(109,AZ1270:BE1277)</f>
        <v>0</v>
      </c>
      <c r="BA1278" s="1439"/>
      <c r="BB1278" s="1439"/>
      <c r="BC1278" s="1439"/>
      <c r="BD1278" s="1439"/>
      <c r="BE1278" s="1439"/>
      <c r="BF1278" s="487"/>
      <c r="BG1278" s="1439">
        <f>SUBTOTAL(109,BG1270:BL1277)</f>
        <v>0</v>
      </c>
      <c r="BH1278" s="1439"/>
      <c r="BI1278" s="1439"/>
      <c r="BJ1278" s="1439"/>
      <c r="BK1278" s="1439"/>
      <c r="BL1278" s="1439"/>
      <c r="BM1278" s="487"/>
      <c r="BN1278" s="1359">
        <f>SUBTOTAL(109,BN1270:BS1277)</f>
        <v>0</v>
      </c>
      <c r="BO1278" s="1359"/>
      <c r="BP1278" s="1359"/>
      <c r="BQ1278" s="1359"/>
      <c r="BR1278" s="1359"/>
      <c r="BS1278" s="1359"/>
      <c r="BT1278" s="650"/>
      <c r="BU1278" s="651"/>
      <c r="BV1278" s="310"/>
      <c r="BW1278" s="310">
        <f>IF(OR(SUM(I1278:AI1278)=KT_CT410,SUM(I1278:AI1278)=2*KT_CT410),0,SUM(I1278:AI1278)-KT_CT410)</f>
        <v>-46238078285</v>
      </c>
      <c r="BX1278" s="300">
        <f t="shared" si="84"/>
        <v>0</v>
      </c>
      <c r="BY1278" s="342"/>
      <c r="BZ1278" s="438"/>
      <c r="CA1278" s="438"/>
      <c r="CB1278" s="439"/>
      <c r="CC1278" s="439"/>
      <c r="CD1278" s="439"/>
      <c r="CE1278" s="439"/>
      <c r="CF1278" s="439"/>
    </row>
    <row r="1279" spans="1:84" ht="15" hidden="1" customHeight="1" thickTop="1" x14ac:dyDescent="0.25">
      <c r="A1279" s="313"/>
      <c r="B1279" s="340"/>
      <c r="C1279" s="1449"/>
      <c r="D1279" s="1449"/>
      <c r="E1279" s="1449"/>
      <c r="F1279" s="1449"/>
      <c r="G1279" s="1449"/>
      <c r="H1279" s="1449"/>
      <c r="I1279" s="1451"/>
      <c r="J1279" s="1451"/>
      <c r="K1279" s="1451"/>
      <c r="L1279" s="1451"/>
      <c r="M1279" s="1451"/>
      <c r="N1279" s="1451"/>
      <c r="O1279" s="487"/>
      <c r="P1279" s="1445"/>
      <c r="Q1279" s="1445"/>
      <c r="R1279" s="1445"/>
      <c r="S1279" s="1445"/>
      <c r="T1279" s="1445"/>
      <c r="U1279" s="1445"/>
      <c r="V1279" s="487"/>
      <c r="W1279" s="1445"/>
      <c r="X1279" s="1445"/>
      <c r="Y1279" s="1445"/>
      <c r="Z1279" s="1445"/>
      <c r="AA1279" s="1445"/>
      <c r="AB1279" s="1445"/>
      <c r="AC1279" s="487"/>
      <c r="AD1279" s="1445"/>
      <c r="AE1279" s="1445"/>
      <c r="AF1279" s="1445"/>
      <c r="AG1279" s="1445"/>
      <c r="AH1279" s="1445"/>
      <c r="AI1279" s="1445"/>
      <c r="AJ1279" s="374"/>
      <c r="AK1279" s="345"/>
      <c r="AL1279" s="340"/>
      <c r="AM1279" s="1449"/>
      <c r="AN1279" s="1449"/>
      <c r="AO1279" s="1449"/>
      <c r="AP1279" s="1449"/>
      <c r="AQ1279" s="1449"/>
      <c r="AR1279" s="1449"/>
      <c r="AS1279" s="1449"/>
      <c r="AT1279" s="1449"/>
      <c r="AU1279" s="1449"/>
      <c r="AV1279" s="1449"/>
      <c r="AW1279" s="1449"/>
      <c r="AX1279" s="1449"/>
      <c r="AY1279" s="652"/>
      <c r="AZ1279" s="1450"/>
      <c r="BA1279" s="1450"/>
      <c r="BB1279" s="1450"/>
      <c r="BC1279" s="1450"/>
      <c r="BD1279" s="1450"/>
      <c r="BE1279" s="1450"/>
      <c r="BF1279" s="652"/>
      <c r="BG1279" s="1450"/>
      <c r="BH1279" s="1450"/>
      <c r="BI1279" s="1450"/>
      <c r="BJ1279" s="1450"/>
      <c r="BK1279" s="1450"/>
      <c r="BL1279" s="1450"/>
      <c r="BM1279" s="652"/>
      <c r="BN1279" s="1450"/>
      <c r="BO1279" s="1450"/>
      <c r="BP1279" s="1450"/>
      <c r="BQ1279" s="1450"/>
      <c r="BR1279" s="1450"/>
      <c r="BS1279" s="1450"/>
      <c r="BT1279" s="650"/>
      <c r="BU1279" s="651"/>
      <c r="BV1279" s="310"/>
      <c r="BW1279" s="310"/>
      <c r="BX1279" s="291">
        <f t="shared" si="84"/>
        <v>0</v>
      </c>
      <c r="BY1279" s="344"/>
      <c r="BZ1279" s="347"/>
      <c r="CA1279" s="347"/>
    </row>
    <row r="1280" spans="1:84" s="423" customFormat="1" ht="27.95" hidden="1" customHeight="1" x14ac:dyDescent="0.25">
      <c r="A1280" s="313"/>
      <c r="B1280" s="340"/>
      <c r="C1280" s="1447" t="s">
        <v>1365</v>
      </c>
      <c r="D1280" s="1447"/>
      <c r="E1280" s="1447"/>
      <c r="F1280" s="1447"/>
      <c r="G1280" s="1447"/>
      <c r="H1280" s="1447"/>
      <c r="I1280" s="1444">
        <f t="shared" ref="I1280:I1285" si="93">HLOOKUP(I$1266,TM_VCSH,ROW($C1280)-ROW($C$1266)+1,0)</f>
        <v>0</v>
      </c>
      <c r="J1280" s="1444"/>
      <c r="K1280" s="1444"/>
      <c r="L1280" s="1444"/>
      <c r="M1280" s="1444"/>
      <c r="N1280" s="1444"/>
      <c r="O1280" s="493"/>
      <c r="P1280" s="1444">
        <f t="shared" ref="P1280:P1285" si="94">HLOOKUP(P$1266,TM_VCSH,ROW($C1280)-ROW($C$1266)+1,0)</f>
        <v>0</v>
      </c>
      <c r="Q1280" s="1444"/>
      <c r="R1280" s="1444"/>
      <c r="S1280" s="1444"/>
      <c r="T1280" s="1444"/>
      <c r="U1280" s="1444"/>
      <c r="V1280" s="493"/>
      <c r="W1280" s="1444">
        <f t="shared" ref="W1280:W1285" si="95">HLOOKUP(W$1266,TM_VCSH,ROW($C1280)-ROW($C$1266)+1,0)</f>
        <v>0</v>
      </c>
      <c r="X1280" s="1444"/>
      <c r="Y1280" s="1444"/>
      <c r="Z1280" s="1444"/>
      <c r="AA1280" s="1444"/>
      <c r="AB1280" s="1444"/>
      <c r="AC1280" s="493"/>
      <c r="AD1280" s="1330">
        <f t="shared" ref="AD1280:AD1285" si="96">SUM(I1280:AC1280)</f>
        <v>0</v>
      </c>
      <c r="AE1280" s="1330"/>
      <c r="AF1280" s="1330"/>
      <c r="AG1280" s="1330"/>
      <c r="AH1280" s="1330"/>
      <c r="AI1280" s="1330"/>
      <c r="AJ1280" s="342"/>
      <c r="AK1280" s="345"/>
      <c r="AL1280" s="340"/>
      <c r="AM1280" s="1447" t="s">
        <v>1366</v>
      </c>
      <c r="AN1280" s="1447"/>
      <c r="AO1280" s="1447"/>
      <c r="AP1280" s="1447"/>
      <c r="AQ1280" s="1447"/>
      <c r="AR1280" s="1447"/>
      <c r="AS1280" s="1444">
        <f t="shared" ref="AS1280:AS1285" si="97">HLOOKUP(AS$1266,TM_VCSH_E,ROW($C1280)-ROW($C$1266)+1,0)</f>
        <v>0</v>
      </c>
      <c r="AT1280" s="1444"/>
      <c r="AU1280" s="1444"/>
      <c r="AV1280" s="1444"/>
      <c r="AW1280" s="1444"/>
      <c r="AX1280" s="1444"/>
      <c r="AY1280" s="493"/>
      <c r="AZ1280" s="1444">
        <f t="shared" ref="AZ1280:AZ1285" si="98">HLOOKUP(AZ$1266,TM_VCSH_E,ROW($C1280)-ROW($C$1266)+1,0)</f>
        <v>0</v>
      </c>
      <c r="BA1280" s="1444"/>
      <c r="BB1280" s="1444"/>
      <c r="BC1280" s="1444"/>
      <c r="BD1280" s="1444"/>
      <c r="BE1280" s="1444"/>
      <c r="BF1280" s="493"/>
      <c r="BG1280" s="1444">
        <f t="shared" ref="BG1280:BG1285" si="99">HLOOKUP(BG$1266,TM_VCSH_E,ROW($C1280)-ROW($C$1266)+1,0)</f>
        <v>0</v>
      </c>
      <c r="BH1280" s="1444"/>
      <c r="BI1280" s="1444"/>
      <c r="BJ1280" s="1444"/>
      <c r="BK1280" s="1444"/>
      <c r="BL1280" s="1444"/>
      <c r="BM1280" s="493"/>
      <c r="BN1280" s="1445">
        <f t="shared" ref="BN1280:BN1285" si="100">HLOOKUP(BN$1266,TM_VCSH_E,ROW($C1280)-ROW($C$1266)+1,0)</f>
        <v>0</v>
      </c>
      <c r="BO1280" s="1445"/>
      <c r="BP1280" s="1445"/>
      <c r="BQ1280" s="1445"/>
      <c r="BR1280" s="1445"/>
      <c r="BS1280" s="1445"/>
      <c r="BT1280" s="494"/>
      <c r="BU1280" s="495"/>
      <c r="BV1280" s="310"/>
      <c r="BW1280" s="310"/>
      <c r="BX1280" s="300">
        <f t="shared" si="84"/>
        <v>0</v>
      </c>
      <c r="BY1280" s="342"/>
      <c r="BZ1280" s="438"/>
      <c r="CA1280" s="438"/>
      <c r="CB1280" s="439"/>
      <c r="CC1280" s="439"/>
      <c r="CD1280" s="439"/>
      <c r="CE1280" s="439"/>
      <c r="CF1280" s="439"/>
    </row>
    <row r="1281" spans="1:84" s="423" customFormat="1" ht="27.95" hidden="1" customHeight="1" x14ac:dyDescent="0.25">
      <c r="A1281" s="313"/>
      <c r="B1281" s="340"/>
      <c r="C1281" s="1447" t="s">
        <v>1367</v>
      </c>
      <c r="D1281" s="1447"/>
      <c r="E1281" s="1447"/>
      <c r="F1281" s="1447"/>
      <c r="G1281" s="1447"/>
      <c r="H1281" s="1447"/>
      <c r="I1281" s="1444">
        <f t="shared" si="93"/>
        <v>0</v>
      </c>
      <c r="J1281" s="1444"/>
      <c r="K1281" s="1444"/>
      <c r="L1281" s="1444"/>
      <c r="M1281" s="1444"/>
      <c r="N1281" s="1444"/>
      <c r="O1281" s="493"/>
      <c r="P1281" s="1444">
        <f t="shared" si="94"/>
        <v>0</v>
      </c>
      <c r="Q1281" s="1444"/>
      <c r="R1281" s="1444"/>
      <c r="S1281" s="1444"/>
      <c r="T1281" s="1444"/>
      <c r="U1281" s="1444"/>
      <c r="V1281" s="493"/>
      <c r="W1281" s="1444">
        <f t="shared" si="95"/>
        <v>0</v>
      </c>
      <c r="X1281" s="1444"/>
      <c r="Y1281" s="1444"/>
      <c r="Z1281" s="1444"/>
      <c r="AA1281" s="1444"/>
      <c r="AB1281" s="1444"/>
      <c r="AC1281" s="493"/>
      <c r="AD1281" s="1330">
        <f t="shared" si="96"/>
        <v>0</v>
      </c>
      <c r="AE1281" s="1330"/>
      <c r="AF1281" s="1330"/>
      <c r="AG1281" s="1330"/>
      <c r="AH1281" s="1330"/>
      <c r="AI1281" s="1330"/>
      <c r="AJ1281" s="342"/>
      <c r="AK1281" s="345"/>
      <c r="AL1281" s="340"/>
      <c r="AM1281" s="1447" t="s">
        <v>1368</v>
      </c>
      <c r="AN1281" s="1447"/>
      <c r="AO1281" s="1447"/>
      <c r="AP1281" s="1447"/>
      <c r="AQ1281" s="1447"/>
      <c r="AR1281" s="1447"/>
      <c r="AS1281" s="1444">
        <f t="shared" si="97"/>
        <v>0</v>
      </c>
      <c r="AT1281" s="1444"/>
      <c r="AU1281" s="1444"/>
      <c r="AV1281" s="1444"/>
      <c r="AW1281" s="1444"/>
      <c r="AX1281" s="1444"/>
      <c r="AY1281" s="493"/>
      <c r="AZ1281" s="1444">
        <f t="shared" si="98"/>
        <v>0</v>
      </c>
      <c r="BA1281" s="1444"/>
      <c r="BB1281" s="1444"/>
      <c r="BC1281" s="1444"/>
      <c r="BD1281" s="1444"/>
      <c r="BE1281" s="1444"/>
      <c r="BF1281" s="493"/>
      <c r="BG1281" s="1444">
        <f t="shared" si="99"/>
        <v>0</v>
      </c>
      <c r="BH1281" s="1444"/>
      <c r="BI1281" s="1444"/>
      <c r="BJ1281" s="1444"/>
      <c r="BK1281" s="1444"/>
      <c r="BL1281" s="1444"/>
      <c r="BM1281" s="493"/>
      <c r="BN1281" s="1445">
        <f t="shared" si="100"/>
        <v>2205590858</v>
      </c>
      <c r="BO1281" s="1445"/>
      <c r="BP1281" s="1445"/>
      <c r="BQ1281" s="1445"/>
      <c r="BR1281" s="1445"/>
      <c r="BS1281" s="1445"/>
      <c r="BT1281" s="485"/>
      <c r="BU1281" s="486"/>
      <c r="BV1281" s="310"/>
      <c r="BW1281" s="310"/>
      <c r="BX1281" s="300">
        <f t="shared" si="84"/>
        <v>-2205590858</v>
      </c>
      <c r="BY1281" s="342"/>
      <c r="BZ1281" s="438"/>
      <c r="CA1281" s="438"/>
      <c r="CB1281" s="439"/>
      <c r="CC1281" s="439"/>
      <c r="CD1281" s="439"/>
      <c r="CE1281" s="439"/>
      <c r="CF1281" s="439"/>
    </row>
    <row r="1282" spans="1:84" s="423" customFormat="1" ht="15" hidden="1" customHeight="1" x14ac:dyDescent="0.25">
      <c r="A1282" s="313"/>
      <c r="B1282" s="340"/>
      <c r="C1282" s="1447" t="s">
        <v>1355</v>
      </c>
      <c r="D1282" s="1447"/>
      <c r="E1282" s="1447"/>
      <c r="F1282" s="1447"/>
      <c r="G1282" s="1447"/>
      <c r="H1282" s="1447"/>
      <c r="I1282" s="1444">
        <f t="shared" si="93"/>
        <v>0</v>
      </c>
      <c r="J1282" s="1444"/>
      <c r="K1282" s="1444"/>
      <c r="L1282" s="1444"/>
      <c r="M1282" s="1444"/>
      <c r="N1282" s="1444"/>
      <c r="O1282" s="493"/>
      <c r="P1282" s="1444">
        <f t="shared" si="94"/>
        <v>0</v>
      </c>
      <c r="Q1282" s="1444"/>
      <c r="R1282" s="1444"/>
      <c r="S1282" s="1444"/>
      <c r="T1282" s="1444"/>
      <c r="U1282" s="1444"/>
      <c r="V1282" s="493"/>
      <c r="W1282" s="1444">
        <f t="shared" si="95"/>
        <v>0</v>
      </c>
      <c r="X1282" s="1444"/>
      <c r="Y1282" s="1444"/>
      <c r="Z1282" s="1444"/>
      <c r="AA1282" s="1444"/>
      <c r="AB1282" s="1444"/>
      <c r="AC1282" s="493"/>
      <c r="AD1282" s="1330">
        <f t="shared" si="96"/>
        <v>0</v>
      </c>
      <c r="AE1282" s="1330"/>
      <c r="AF1282" s="1330"/>
      <c r="AG1282" s="1330"/>
      <c r="AH1282" s="1330"/>
      <c r="AI1282" s="1330"/>
      <c r="AJ1282" s="342"/>
      <c r="AK1282" s="345"/>
      <c r="AL1282" s="340"/>
      <c r="AM1282" s="1447" t="s">
        <v>1356</v>
      </c>
      <c r="AN1282" s="1447"/>
      <c r="AO1282" s="1447"/>
      <c r="AP1282" s="1447"/>
      <c r="AQ1282" s="1447"/>
      <c r="AR1282" s="1447"/>
      <c r="AS1282" s="1444">
        <f t="shared" si="97"/>
        <v>0</v>
      </c>
      <c r="AT1282" s="1444"/>
      <c r="AU1282" s="1444"/>
      <c r="AV1282" s="1444"/>
      <c r="AW1282" s="1444"/>
      <c r="AX1282" s="1444"/>
      <c r="AY1282" s="493"/>
      <c r="AZ1282" s="1444">
        <f t="shared" si="98"/>
        <v>0</v>
      </c>
      <c r="BA1282" s="1444"/>
      <c r="BB1282" s="1444"/>
      <c r="BC1282" s="1444"/>
      <c r="BD1282" s="1444"/>
      <c r="BE1282" s="1444"/>
      <c r="BF1282" s="493"/>
      <c r="BG1282" s="1444">
        <f t="shared" si="99"/>
        <v>0</v>
      </c>
      <c r="BH1282" s="1444"/>
      <c r="BI1282" s="1444"/>
      <c r="BJ1282" s="1444"/>
      <c r="BK1282" s="1444"/>
      <c r="BL1282" s="1444"/>
      <c r="BM1282" s="493"/>
      <c r="BN1282" s="1445">
        <f t="shared" si="100"/>
        <v>0</v>
      </c>
      <c r="BO1282" s="1445"/>
      <c r="BP1282" s="1445"/>
      <c r="BQ1282" s="1445"/>
      <c r="BR1282" s="1445"/>
      <c r="BS1282" s="1445"/>
      <c r="BT1282" s="488"/>
      <c r="BU1282" s="489"/>
      <c r="BV1282" s="310"/>
      <c r="BW1282" s="310"/>
      <c r="BX1282" s="300">
        <f t="shared" si="84"/>
        <v>0</v>
      </c>
      <c r="BY1282" s="653"/>
      <c r="BZ1282" s="438"/>
      <c r="CA1282" s="438"/>
      <c r="CB1282" s="439"/>
      <c r="CC1282" s="439"/>
      <c r="CD1282" s="439"/>
      <c r="CE1282" s="439"/>
      <c r="CF1282" s="439"/>
    </row>
    <row r="1283" spans="1:84" s="423" customFormat="1" ht="27.95" hidden="1" customHeight="1" x14ac:dyDescent="0.25">
      <c r="A1283" s="313"/>
      <c r="B1283" s="340"/>
      <c r="C1283" s="1447" t="s">
        <v>1369</v>
      </c>
      <c r="D1283" s="1447"/>
      <c r="E1283" s="1447"/>
      <c r="F1283" s="1447"/>
      <c r="G1283" s="1447"/>
      <c r="H1283" s="1447"/>
      <c r="I1283" s="1444">
        <f t="shared" si="93"/>
        <v>0</v>
      </c>
      <c r="J1283" s="1444"/>
      <c r="K1283" s="1444"/>
      <c r="L1283" s="1444"/>
      <c r="M1283" s="1444"/>
      <c r="N1283" s="1444"/>
      <c r="O1283" s="493"/>
      <c r="P1283" s="1444">
        <f t="shared" si="94"/>
        <v>0</v>
      </c>
      <c r="Q1283" s="1444"/>
      <c r="R1283" s="1444"/>
      <c r="S1283" s="1444"/>
      <c r="T1283" s="1444"/>
      <c r="U1283" s="1444"/>
      <c r="V1283" s="493"/>
      <c r="W1283" s="1444">
        <f t="shared" si="95"/>
        <v>0</v>
      </c>
      <c r="X1283" s="1444"/>
      <c r="Y1283" s="1444"/>
      <c r="Z1283" s="1444"/>
      <c r="AA1283" s="1444"/>
      <c r="AB1283" s="1444"/>
      <c r="AC1283" s="493"/>
      <c r="AD1283" s="1330">
        <f t="shared" si="96"/>
        <v>0</v>
      </c>
      <c r="AE1283" s="1330"/>
      <c r="AF1283" s="1330"/>
      <c r="AG1283" s="1330"/>
      <c r="AH1283" s="1330"/>
      <c r="AI1283" s="1330"/>
      <c r="AJ1283" s="342"/>
      <c r="AK1283" s="345"/>
      <c r="AL1283" s="340"/>
      <c r="AM1283" s="1447" t="s">
        <v>1370</v>
      </c>
      <c r="AN1283" s="1447"/>
      <c r="AO1283" s="1447"/>
      <c r="AP1283" s="1447"/>
      <c r="AQ1283" s="1447"/>
      <c r="AR1283" s="1447"/>
      <c r="AS1283" s="1444">
        <f t="shared" si="97"/>
        <v>0</v>
      </c>
      <c r="AT1283" s="1444"/>
      <c r="AU1283" s="1444"/>
      <c r="AV1283" s="1444"/>
      <c r="AW1283" s="1444"/>
      <c r="AX1283" s="1444"/>
      <c r="AY1283" s="493"/>
      <c r="AZ1283" s="1444">
        <f t="shared" si="98"/>
        <v>0</v>
      </c>
      <c r="BA1283" s="1444"/>
      <c r="BB1283" s="1444"/>
      <c r="BC1283" s="1444"/>
      <c r="BD1283" s="1444"/>
      <c r="BE1283" s="1444"/>
      <c r="BF1283" s="493"/>
      <c r="BG1283" s="1444">
        <f t="shared" si="99"/>
        <v>0</v>
      </c>
      <c r="BH1283" s="1444"/>
      <c r="BI1283" s="1444"/>
      <c r="BJ1283" s="1444"/>
      <c r="BK1283" s="1444"/>
      <c r="BL1283" s="1444"/>
      <c r="BM1283" s="493"/>
      <c r="BN1283" s="1445">
        <f t="shared" si="100"/>
        <v>0</v>
      </c>
      <c r="BO1283" s="1445"/>
      <c r="BP1283" s="1445"/>
      <c r="BQ1283" s="1445"/>
      <c r="BR1283" s="1445"/>
      <c r="BS1283" s="1445"/>
      <c r="BT1283" s="648"/>
      <c r="BU1283" s="649"/>
      <c r="BV1283" s="310"/>
      <c r="BW1283" s="310"/>
      <c r="BX1283" s="300">
        <f t="shared" si="84"/>
        <v>0</v>
      </c>
      <c r="BY1283" s="654"/>
      <c r="BZ1283" s="438"/>
      <c r="CA1283" s="438"/>
      <c r="CB1283" s="439"/>
      <c r="CC1283" s="439"/>
      <c r="CD1283" s="439"/>
      <c r="CE1283" s="439"/>
      <c r="CF1283" s="439"/>
    </row>
    <row r="1284" spans="1:84" s="423" customFormat="1" ht="15" hidden="1" customHeight="1" x14ac:dyDescent="0.25">
      <c r="A1284" s="313"/>
      <c r="B1284" s="340"/>
      <c r="C1284" s="1448" t="s">
        <v>1359</v>
      </c>
      <c r="D1284" s="1448"/>
      <c r="E1284" s="1448"/>
      <c r="F1284" s="1448"/>
      <c r="G1284" s="1448"/>
      <c r="H1284" s="1448"/>
      <c r="I1284" s="1444">
        <f t="shared" si="93"/>
        <v>0</v>
      </c>
      <c r="J1284" s="1444"/>
      <c r="K1284" s="1444"/>
      <c r="L1284" s="1444"/>
      <c r="M1284" s="1444"/>
      <c r="N1284" s="1444"/>
      <c r="O1284" s="493"/>
      <c r="P1284" s="1444">
        <f t="shared" si="94"/>
        <v>0</v>
      </c>
      <c r="Q1284" s="1444"/>
      <c r="R1284" s="1444"/>
      <c r="S1284" s="1444"/>
      <c r="T1284" s="1444"/>
      <c r="U1284" s="1444"/>
      <c r="V1284" s="493"/>
      <c r="W1284" s="1444">
        <f t="shared" si="95"/>
        <v>0</v>
      </c>
      <c r="X1284" s="1444"/>
      <c r="Y1284" s="1444"/>
      <c r="Z1284" s="1444"/>
      <c r="AA1284" s="1444"/>
      <c r="AB1284" s="1444"/>
      <c r="AC1284" s="493"/>
      <c r="AD1284" s="1330">
        <f t="shared" si="96"/>
        <v>0</v>
      </c>
      <c r="AE1284" s="1330"/>
      <c r="AF1284" s="1330"/>
      <c r="AG1284" s="1330"/>
      <c r="AH1284" s="1330"/>
      <c r="AI1284" s="1330"/>
      <c r="AJ1284" s="342"/>
      <c r="AK1284" s="345"/>
      <c r="AL1284" s="340"/>
      <c r="AM1284" s="1447" t="s">
        <v>1360</v>
      </c>
      <c r="AN1284" s="1447"/>
      <c r="AO1284" s="1447"/>
      <c r="AP1284" s="1447"/>
      <c r="AQ1284" s="1447"/>
      <c r="AR1284" s="1447"/>
      <c r="AS1284" s="1444">
        <f t="shared" si="97"/>
        <v>0</v>
      </c>
      <c r="AT1284" s="1444"/>
      <c r="AU1284" s="1444"/>
      <c r="AV1284" s="1444"/>
      <c r="AW1284" s="1444"/>
      <c r="AX1284" s="1444"/>
      <c r="AY1284" s="493"/>
      <c r="AZ1284" s="1444">
        <f t="shared" si="98"/>
        <v>0</v>
      </c>
      <c r="BA1284" s="1444"/>
      <c r="BB1284" s="1444"/>
      <c r="BC1284" s="1444"/>
      <c r="BD1284" s="1444"/>
      <c r="BE1284" s="1444"/>
      <c r="BF1284" s="493"/>
      <c r="BG1284" s="1444">
        <f t="shared" si="99"/>
        <v>0</v>
      </c>
      <c r="BH1284" s="1444"/>
      <c r="BI1284" s="1444"/>
      <c r="BJ1284" s="1444"/>
      <c r="BK1284" s="1444"/>
      <c r="BL1284" s="1444"/>
      <c r="BM1284" s="493"/>
      <c r="BN1284" s="1445">
        <f t="shared" si="100"/>
        <v>0</v>
      </c>
      <c r="BO1284" s="1445"/>
      <c r="BP1284" s="1445"/>
      <c r="BQ1284" s="1445"/>
      <c r="BR1284" s="1445"/>
      <c r="BS1284" s="1445"/>
      <c r="BT1284" s="650"/>
      <c r="BU1284" s="651"/>
      <c r="BV1284" s="310"/>
      <c r="BW1284" s="310"/>
      <c r="BX1284" s="300">
        <f t="shared" si="84"/>
        <v>0</v>
      </c>
      <c r="BY1284" s="654"/>
      <c r="BZ1284" s="438"/>
      <c r="CA1284" s="438"/>
      <c r="CB1284" s="439"/>
      <c r="CC1284" s="439"/>
      <c r="CD1284" s="439"/>
      <c r="CE1284" s="439"/>
      <c r="CF1284" s="439"/>
    </row>
    <row r="1285" spans="1:84" s="423" customFormat="1" ht="15" hidden="1" customHeight="1" x14ac:dyDescent="0.25">
      <c r="A1285" s="313"/>
      <c r="B1285" s="340"/>
      <c r="C1285" s="1447" t="s">
        <v>1361</v>
      </c>
      <c r="D1285" s="1447"/>
      <c r="E1285" s="1447"/>
      <c r="F1285" s="1447"/>
      <c r="G1285" s="1447"/>
      <c r="H1285" s="1447"/>
      <c r="I1285" s="1444">
        <f t="shared" si="93"/>
        <v>0</v>
      </c>
      <c r="J1285" s="1444"/>
      <c r="K1285" s="1444"/>
      <c r="L1285" s="1444"/>
      <c r="M1285" s="1444"/>
      <c r="N1285" s="1444"/>
      <c r="O1285" s="493"/>
      <c r="P1285" s="1444">
        <f t="shared" si="94"/>
        <v>0</v>
      </c>
      <c r="Q1285" s="1444"/>
      <c r="R1285" s="1444"/>
      <c r="S1285" s="1444"/>
      <c r="T1285" s="1444"/>
      <c r="U1285" s="1444"/>
      <c r="V1285" s="493"/>
      <c r="W1285" s="1444">
        <f t="shared" si="95"/>
        <v>0</v>
      </c>
      <c r="X1285" s="1444"/>
      <c r="Y1285" s="1444"/>
      <c r="Z1285" s="1444"/>
      <c r="AA1285" s="1444"/>
      <c r="AB1285" s="1444"/>
      <c r="AC1285" s="493"/>
      <c r="AD1285" s="1330">
        <f t="shared" si="96"/>
        <v>0</v>
      </c>
      <c r="AE1285" s="1330"/>
      <c r="AF1285" s="1330"/>
      <c r="AG1285" s="1330"/>
      <c r="AH1285" s="1330"/>
      <c r="AI1285" s="1330"/>
      <c r="AJ1285" s="342"/>
      <c r="AK1285" s="345"/>
      <c r="AL1285" s="340"/>
      <c r="AM1285" s="1447" t="s">
        <v>1362</v>
      </c>
      <c r="AN1285" s="1447"/>
      <c r="AO1285" s="1447"/>
      <c r="AP1285" s="1447"/>
      <c r="AQ1285" s="1447"/>
      <c r="AR1285" s="1447"/>
      <c r="AS1285" s="1444">
        <f t="shared" si="97"/>
        <v>0</v>
      </c>
      <c r="AT1285" s="1444"/>
      <c r="AU1285" s="1444"/>
      <c r="AV1285" s="1444"/>
      <c r="AW1285" s="1444"/>
      <c r="AX1285" s="1444"/>
      <c r="AY1285" s="493"/>
      <c r="AZ1285" s="1444">
        <f t="shared" si="98"/>
        <v>0</v>
      </c>
      <c r="BA1285" s="1444"/>
      <c r="BB1285" s="1444"/>
      <c r="BC1285" s="1444"/>
      <c r="BD1285" s="1444"/>
      <c r="BE1285" s="1444"/>
      <c r="BF1285" s="493"/>
      <c r="BG1285" s="1444">
        <f t="shared" si="99"/>
        <v>0</v>
      </c>
      <c r="BH1285" s="1444"/>
      <c r="BI1285" s="1444"/>
      <c r="BJ1285" s="1444"/>
      <c r="BK1285" s="1444"/>
      <c r="BL1285" s="1444"/>
      <c r="BM1285" s="493"/>
      <c r="BN1285" s="1445">
        <f t="shared" si="100"/>
        <v>0</v>
      </c>
      <c r="BO1285" s="1445"/>
      <c r="BP1285" s="1445"/>
      <c r="BQ1285" s="1445"/>
      <c r="BR1285" s="1445"/>
      <c r="BS1285" s="1445"/>
      <c r="BT1285" s="650"/>
      <c r="BU1285" s="651"/>
      <c r="BV1285" s="310"/>
      <c r="BW1285" s="310"/>
      <c r="BX1285" s="300">
        <f t="shared" si="84"/>
        <v>0</v>
      </c>
      <c r="BY1285" s="654"/>
      <c r="BZ1285" s="438"/>
      <c r="CA1285" s="438"/>
      <c r="CB1285" s="439"/>
      <c r="CC1285" s="439"/>
      <c r="CD1285" s="439"/>
      <c r="CE1285" s="439"/>
      <c r="CF1285" s="439"/>
    </row>
    <row r="1286" spans="1:84" s="423" customFormat="1" ht="15" hidden="1" customHeight="1" x14ac:dyDescent="0.25">
      <c r="A1286" s="313"/>
      <c r="B1286" s="340"/>
      <c r="C1286" s="1446"/>
      <c r="D1286" s="1446"/>
      <c r="E1286" s="1446"/>
      <c r="F1286" s="1446"/>
      <c r="G1286" s="1446"/>
      <c r="H1286" s="1446"/>
      <c r="I1286" s="1441"/>
      <c r="J1286" s="1441"/>
      <c r="K1286" s="1441"/>
      <c r="L1286" s="1441"/>
      <c r="M1286" s="1441"/>
      <c r="N1286" s="1441"/>
      <c r="O1286" s="493"/>
      <c r="P1286" s="1444"/>
      <c r="Q1286" s="1444"/>
      <c r="R1286" s="1444"/>
      <c r="S1286" s="1444"/>
      <c r="T1286" s="1444"/>
      <c r="U1286" s="1444"/>
      <c r="V1286" s="493"/>
      <c r="W1286" s="1444"/>
      <c r="X1286" s="1444"/>
      <c r="Y1286" s="1444"/>
      <c r="Z1286" s="1444"/>
      <c r="AA1286" s="1444"/>
      <c r="AB1286" s="1444"/>
      <c r="AC1286" s="493"/>
      <c r="AD1286" s="1444"/>
      <c r="AE1286" s="1444"/>
      <c r="AF1286" s="1444"/>
      <c r="AG1286" s="1444"/>
      <c r="AH1286" s="1444"/>
      <c r="AI1286" s="1444"/>
      <c r="AJ1286" s="342"/>
      <c r="AK1286" s="345"/>
      <c r="AL1286" s="340"/>
      <c r="AM1286" s="1446"/>
      <c r="AN1286" s="1446"/>
      <c r="AO1286" s="1446"/>
      <c r="AP1286" s="1446"/>
      <c r="AQ1286" s="1446"/>
      <c r="AR1286" s="1446"/>
      <c r="AS1286" s="1441"/>
      <c r="AT1286" s="1441"/>
      <c r="AU1286" s="1441"/>
      <c r="AV1286" s="1441"/>
      <c r="AW1286" s="1441"/>
      <c r="AX1286" s="1441"/>
      <c r="AY1286" s="493"/>
      <c r="AZ1286" s="1442"/>
      <c r="BA1286" s="1442"/>
      <c r="BB1286" s="1442"/>
      <c r="BC1286" s="1442"/>
      <c r="BD1286" s="1442"/>
      <c r="BE1286" s="1442"/>
      <c r="BF1286" s="493"/>
      <c r="BG1286" s="1442"/>
      <c r="BH1286" s="1442"/>
      <c r="BI1286" s="1442"/>
      <c r="BJ1286" s="1442"/>
      <c r="BK1286" s="1442"/>
      <c r="BL1286" s="1442"/>
      <c r="BM1286" s="493"/>
      <c r="BN1286" s="1442"/>
      <c r="BO1286" s="1442"/>
      <c r="BP1286" s="1442"/>
      <c r="BQ1286" s="1442"/>
      <c r="BR1286" s="1442"/>
      <c r="BS1286" s="1442"/>
      <c r="BT1286" s="650"/>
      <c r="BU1286" s="651"/>
      <c r="BV1286" s="310"/>
      <c r="BW1286" s="310"/>
      <c r="BX1286" s="300">
        <f t="shared" si="84"/>
        <v>0</v>
      </c>
      <c r="BY1286" s="654"/>
      <c r="BZ1286" s="438"/>
      <c r="CA1286" s="438"/>
      <c r="CB1286" s="439"/>
      <c r="CC1286" s="439"/>
      <c r="CD1286" s="439"/>
      <c r="CE1286" s="439"/>
      <c r="CF1286" s="439"/>
    </row>
    <row r="1287" spans="1:84" s="423" customFormat="1" ht="15" hidden="1" customHeight="1" thickBot="1" x14ac:dyDescent="0.3">
      <c r="A1287" s="313"/>
      <c r="B1287" s="340"/>
      <c r="C1287" s="1443" t="s">
        <v>1001</v>
      </c>
      <c r="D1287" s="1443"/>
      <c r="E1287" s="1443"/>
      <c r="F1287" s="1443"/>
      <c r="G1287" s="1443"/>
      <c r="H1287" s="1443"/>
      <c r="I1287" s="1439">
        <f>SUBTOTAL(109,I1279:N1286)</f>
        <v>0</v>
      </c>
      <c r="J1287" s="1439"/>
      <c r="K1287" s="1439"/>
      <c r="L1287" s="1439"/>
      <c r="M1287" s="1439"/>
      <c r="N1287" s="1439"/>
      <c r="O1287" s="487"/>
      <c r="P1287" s="1439">
        <f>SUBTOTAL(109,P1279:U1286)</f>
        <v>0</v>
      </c>
      <c r="Q1287" s="1439"/>
      <c r="R1287" s="1439"/>
      <c r="S1287" s="1439"/>
      <c r="T1287" s="1439"/>
      <c r="U1287" s="1439"/>
      <c r="V1287" s="487"/>
      <c r="W1287" s="1439">
        <f>SUBTOTAL(109,W1279:AB1286)</f>
        <v>0</v>
      </c>
      <c r="X1287" s="1439"/>
      <c r="Y1287" s="1439"/>
      <c r="Z1287" s="1439"/>
      <c r="AA1287" s="1439"/>
      <c r="AB1287" s="1439"/>
      <c r="AC1287" s="487"/>
      <c r="AD1287" s="1359">
        <f>SUM(I1287:AC1287)</f>
        <v>0</v>
      </c>
      <c r="AE1287" s="1359"/>
      <c r="AF1287" s="1359"/>
      <c r="AG1287" s="1359"/>
      <c r="AH1287" s="1359"/>
      <c r="AI1287" s="1359"/>
      <c r="AJ1287" s="342"/>
      <c r="AK1287" s="345"/>
      <c r="AL1287" s="340"/>
      <c r="AM1287" s="1443" t="s">
        <v>1371</v>
      </c>
      <c r="AN1287" s="1443"/>
      <c r="AO1287" s="1443"/>
      <c r="AP1287" s="1443"/>
      <c r="AQ1287" s="1443"/>
      <c r="AR1287" s="1443"/>
      <c r="AS1287" s="1439">
        <f>AS1278+SUBTOTAL(109,AS1279:AX1286)</f>
        <v>0</v>
      </c>
      <c r="AT1287" s="1439"/>
      <c r="AU1287" s="1439"/>
      <c r="AV1287" s="1439"/>
      <c r="AW1287" s="1439"/>
      <c r="AX1287" s="1439"/>
      <c r="AY1287" s="487"/>
      <c r="AZ1287" s="1439">
        <f>AZ1278+SUBTOTAL(109,AZ1279:BE1286)</f>
        <v>0</v>
      </c>
      <c r="BA1287" s="1439"/>
      <c r="BB1287" s="1439"/>
      <c r="BC1287" s="1439"/>
      <c r="BD1287" s="1439"/>
      <c r="BE1287" s="1439"/>
      <c r="BF1287" s="487"/>
      <c r="BG1287" s="1439">
        <f>BG1278+SUBTOTAL(109,BG1279:BL1286)</f>
        <v>0</v>
      </c>
      <c r="BH1287" s="1439"/>
      <c r="BI1287" s="1439"/>
      <c r="BJ1287" s="1439"/>
      <c r="BK1287" s="1439"/>
      <c r="BL1287" s="1439"/>
      <c r="BM1287" s="487"/>
      <c r="BN1287" s="1359">
        <f>BN1278+SUBTOTAL(109,BN1279:BS1286)</f>
        <v>0</v>
      </c>
      <c r="BO1287" s="1359"/>
      <c r="BP1287" s="1359"/>
      <c r="BQ1287" s="1359"/>
      <c r="BR1287" s="1359"/>
      <c r="BS1287" s="1359"/>
      <c r="BT1287" s="650"/>
      <c r="BU1287" s="651"/>
      <c r="BV1287" s="310">
        <f>IF(OR(SUM(I1287:AI1287)=KN_CT410,SUM(I1287:AI1287)=2*KN_CT410),0,SUM(I1287:AI1287)-KN_CT410)</f>
        <v>-48443669143</v>
      </c>
      <c r="BW1287" s="310"/>
      <c r="BX1287" s="300">
        <f t="shared" si="84"/>
        <v>0</v>
      </c>
      <c r="BY1287" s="654"/>
      <c r="BZ1287" s="438"/>
      <c r="CA1287" s="438"/>
      <c r="CB1287" s="439"/>
      <c r="CC1287" s="439"/>
      <c r="CD1287" s="439"/>
      <c r="CE1287" s="439"/>
      <c r="CF1287" s="439"/>
    </row>
    <row r="1288" spans="1:84" ht="2.1" hidden="1" customHeight="1" thickTop="1" x14ac:dyDescent="0.25">
      <c r="A1288" s="313"/>
      <c r="B1288" s="340"/>
      <c r="C1288" s="541"/>
      <c r="D1288" s="407"/>
      <c r="E1288" s="407"/>
      <c r="F1288" s="407"/>
      <c r="G1288" s="407"/>
      <c r="H1288" s="407"/>
      <c r="I1288" s="407"/>
      <c r="J1288" s="407"/>
      <c r="K1288" s="1440"/>
      <c r="L1288" s="1440"/>
      <c r="M1288" s="1440"/>
      <c r="N1288" s="1440"/>
      <c r="O1288" s="1440"/>
      <c r="P1288" s="1440"/>
      <c r="Q1288" s="1440"/>
      <c r="R1288" s="1440"/>
      <c r="S1288" s="1440"/>
      <c r="T1288" s="1440"/>
      <c r="U1288" s="1440"/>
      <c r="V1288" s="1440"/>
      <c r="W1288" s="1440"/>
      <c r="X1288" s="1440"/>
      <c r="Y1288" s="1440"/>
      <c r="Z1288" s="1440"/>
      <c r="AA1288" s="1440"/>
      <c r="AB1288" s="1440"/>
      <c r="AC1288" s="1440"/>
      <c r="AD1288" s="1440"/>
      <c r="AE1288" s="1440"/>
      <c r="AF1288" s="1440"/>
      <c r="AG1288" s="1440"/>
      <c r="AH1288" s="1440"/>
      <c r="AI1288" s="1440"/>
      <c r="AJ1288" s="344"/>
      <c r="AK1288" s="345"/>
      <c r="AL1288" s="340"/>
      <c r="AM1288" s="655" t="s">
        <v>1372</v>
      </c>
      <c r="AN1288" s="407"/>
      <c r="AO1288" s="407"/>
      <c r="AP1288" s="407"/>
      <c r="AQ1288" s="407"/>
      <c r="AR1288" s="407"/>
      <c r="AS1288" s="407"/>
      <c r="AT1288" s="407"/>
      <c r="AU1288" s="1437"/>
      <c r="AV1288" s="1437"/>
      <c r="AW1288" s="1437"/>
      <c r="AX1288" s="1437"/>
      <c r="AY1288" s="1437"/>
      <c r="AZ1288" s="1437"/>
      <c r="BA1288" s="1437"/>
      <c r="BB1288" s="1437"/>
      <c r="BC1288" s="1437"/>
      <c r="BD1288" s="1437"/>
      <c r="BE1288" s="1437"/>
      <c r="BF1288" s="1437"/>
      <c r="BG1288" s="1437"/>
      <c r="BH1288" s="1437"/>
      <c r="BI1288" s="1437"/>
      <c r="BJ1288" s="1437"/>
      <c r="BK1288" s="1437"/>
      <c r="BL1288" s="1437"/>
      <c r="BM1288" s="1437"/>
      <c r="BN1288" s="1437"/>
      <c r="BO1288" s="1437"/>
      <c r="BP1288" s="1437"/>
      <c r="BQ1288" s="1437"/>
      <c r="BR1288" s="1437"/>
      <c r="BS1288" s="1437"/>
      <c r="BT1288" s="656"/>
      <c r="BU1288" s="657"/>
      <c r="BV1288" s="310"/>
      <c r="BW1288" s="310"/>
      <c r="BX1288" s="291">
        <f t="shared" si="84"/>
        <v>0</v>
      </c>
      <c r="BY1288" s="658"/>
      <c r="BZ1288" s="347"/>
      <c r="CA1288" s="347"/>
    </row>
    <row r="1289" spans="1:84" ht="15" hidden="1" customHeight="1" x14ac:dyDescent="0.25">
      <c r="A1289" s="313"/>
      <c r="B1289" s="340"/>
      <c r="C1289" s="541"/>
      <c r="D1289" s="407"/>
      <c r="E1289" s="407"/>
      <c r="F1289" s="407"/>
      <c r="G1289" s="407"/>
      <c r="H1289" s="407"/>
      <c r="I1289" s="407"/>
      <c r="J1289" s="407"/>
      <c r="K1289" s="505"/>
      <c r="L1289" s="505"/>
      <c r="M1289" s="505"/>
      <c r="N1289" s="505"/>
      <c r="O1289" s="505"/>
      <c r="P1289" s="505"/>
      <c r="Q1289" s="505"/>
      <c r="R1289" s="505"/>
      <c r="S1289" s="505"/>
      <c r="T1289" s="505"/>
      <c r="U1289" s="505"/>
      <c r="V1289" s="505"/>
      <c r="W1289" s="505"/>
      <c r="X1289" s="505"/>
      <c r="Y1289" s="505"/>
      <c r="Z1289" s="505"/>
      <c r="AA1289" s="505"/>
      <c r="AB1289" s="505"/>
      <c r="AC1289" s="505"/>
      <c r="AD1289" s="505"/>
      <c r="AE1289" s="505"/>
      <c r="AF1289" s="505"/>
      <c r="AG1289" s="505"/>
      <c r="AH1289" s="505"/>
      <c r="AI1289" s="505"/>
      <c r="AJ1289" s="344"/>
      <c r="AK1289" s="345"/>
      <c r="AL1289" s="340"/>
      <c r="AM1289" s="655"/>
      <c r="AN1289" s="407"/>
      <c r="AO1289" s="407"/>
      <c r="AP1289" s="407"/>
      <c r="AQ1289" s="407"/>
      <c r="AR1289" s="407"/>
      <c r="AS1289" s="407"/>
      <c r="AT1289" s="407"/>
      <c r="AU1289" s="656"/>
      <c r="AV1289" s="656"/>
      <c r="AW1289" s="656"/>
      <c r="AX1289" s="656"/>
      <c r="AY1289" s="656"/>
      <c r="AZ1289" s="656"/>
      <c r="BA1289" s="656"/>
      <c r="BB1289" s="656"/>
      <c r="BC1289" s="656"/>
      <c r="BD1289" s="656"/>
      <c r="BE1289" s="656"/>
      <c r="BF1289" s="656"/>
      <c r="BG1289" s="656"/>
      <c r="BH1289" s="656"/>
      <c r="BI1289" s="656"/>
      <c r="BJ1289" s="656"/>
      <c r="BK1289" s="656"/>
      <c r="BL1289" s="656"/>
      <c r="BM1289" s="656"/>
      <c r="BN1289" s="656"/>
      <c r="BO1289" s="656"/>
      <c r="BP1289" s="656"/>
      <c r="BQ1289" s="656"/>
      <c r="BR1289" s="656"/>
      <c r="BS1289" s="656"/>
      <c r="BT1289" s="656"/>
      <c r="BU1289" s="657"/>
      <c r="BV1289" s="310"/>
      <c r="BW1289" s="310"/>
      <c r="BX1289" s="291">
        <f t="shared" si="84"/>
        <v>0</v>
      </c>
      <c r="BY1289" s="658"/>
      <c r="BZ1289" s="347"/>
      <c r="CA1289" s="347"/>
    </row>
    <row r="1290" spans="1:84" ht="27.95" hidden="1" customHeight="1" x14ac:dyDescent="0.25">
      <c r="A1290" s="313"/>
      <c r="B1290" s="340"/>
      <c r="C1290" s="1438" t="s">
        <v>1373</v>
      </c>
      <c r="D1290" s="1438"/>
      <c r="E1290" s="1438"/>
      <c r="F1290" s="1438"/>
      <c r="G1290" s="1438"/>
      <c r="H1290" s="1438"/>
      <c r="I1290" s="1438"/>
      <c r="J1290" s="1438"/>
      <c r="K1290" s="1438"/>
      <c r="L1290" s="1438"/>
      <c r="M1290" s="1438"/>
      <c r="N1290" s="1438"/>
      <c r="O1290" s="1438"/>
      <c r="P1290" s="1438"/>
      <c r="Q1290" s="1438"/>
      <c r="R1290" s="1438"/>
      <c r="S1290" s="1438"/>
      <c r="T1290" s="1438"/>
      <c r="U1290" s="1438"/>
      <c r="V1290" s="1438"/>
      <c r="W1290" s="1438"/>
      <c r="X1290" s="1438"/>
      <c r="Y1290" s="1438"/>
      <c r="Z1290" s="1438"/>
      <c r="AA1290" s="1438"/>
      <c r="AB1290" s="1438"/>
      <c r="AC1290" s="1438"/>
      <c r="AD1290" s="1438"/>
      <c r="AE1290" s="1438"/>
      <c r="AF1290" s="1438"/>
      <c r="AG1290" s="1438"/>
      <c r="AH1290" s="1438"/>
      <c r="AI1290" s="1438"/>
      <c r="AJ1290" s="344"/>
      <c r="AK1290" s="345"/>
      <c r="AL1290" s="340"/>
      <c r="AM1290" s="1438" t="s">
        <v>1374</v>
      </c>
      <c r="AN1290" s="1438"/>
      <c r="AO1290" s="1438"/>
      <c r="AP1290" s="1438"/>
      <c r="AQ1290" s="1438"/>
      <c r="AR1290" s="1438"/>
      <c r="AS1290" s="1438"/>
      <c r="AT1290" s="1438"/>
      <c r="AU1290" s="1438"/>
      <c r="AV1290" s="1438"/>
      <c r="AW1290" s="1438"/>
      <c r="AX1290" s="1438"/>
      <c r="AY1290" s="1438"/>
      <c r="AZ1290" s="1438"/>
      <c r="BA1290" s="1438"/>
      <c r="BB1290" s="1438"/>
      <c r="BC1290" s="1438"/>
      <c r="BD1290" s="1438"/>
      <c r="BE1290" s="1438"/>
      <c r="BF1290" s="1438"/>
      <c r="BG1290" s="1438"/>
      <c r="BH1290" s="1438"/>
      <c r="BI1290" s="1438"/>
      <c r="BJ1290" s="1438"/>
      <c r="BK1290" s="1438"/>
      <c r="BL1290" s="1438"/>
      <c r="BM1290" s="1438"/>
      <c r="BN1290" s="1438"/>
      <c r="BO1290" s="1438"/>
      <c r="BP1290" s="1438"/>
      <c r="BQ1290" s="1438"/>
      <c r="BR1290" s="1438"/>
      <c r="BS1290" s="1438"/>
      <c r="BT1290" s="656"/>
      <c r="BU1290" s="657"/>
      <c r="BV1290" s="310"/>
      <c r="BW1290" s="310"/>
      <c r="BX1290" s="291">
        <f t="shared" si="84"/>
        <v>0</v>
      </c>
      <c r="BY1290" s="658"/>
      <c r="BZ1290" s="347"/>
      <c r="CA1290" s="347"/>
    </row>
    <row r="1291" spans="1:84" ht="15" hidden="1" customHeight="1" x14ac:dyDescent="0.25">
      <c r="A1291" s="313"/>
      <c r="B1291" s="340"/>
      <c r="C1291" s="541"/>
      <c r="D1291" s="407"/>
      <c r="E1291" s="407"/>
      <c r="F1291" s="407"/>
      <c r="G1291" s="407"/>
      <c r="H1291" s="407"/>
      <c r="I1291" s="407"/>
      <c r="J1291" s="407"/>
      <c r="K1291" s="393"/>
      <c r="L1291" s="393"/>
      <c r="M1291" s="393"/>
      <c r="N1291" s="393"/>
      <c r="O1291" s="393"/>
      <c r="P1291" s="393"/>
      <c r="Q1291" s="393"/>
      <c r="R1291" s="393"/>
      <c r="S1291" s="393"/>
      <c r="T1291" s="393"/>
      <c r="U1291" s="393"/>
      <c r="V1291" s="393"/>
      <c r="W1291" s="393"/>
      <c r="X1291" s="393"/>
      <c r="Y1291" s="1430" t="s">
        <v>1375</v>
      </c>
      <c r="Z1291" s="1430"/>
      <c r="AA1291" s="1430"/>
      <c r="AB1291" s="1430"/>
      <c r="AC1291" s="553"/>
      <c r="AD1291" s="1430" t="s">
        <v>1376</v>
      </c>
      <c r="AE1291" s="1430"/>
      <c r="AF1291" s="1430"/>
      <c r="AG1291" s="1430"/>
      <c r="AH1291" s="1430"/>
      <c r="AI1291" s="1430"/>
      <c r="AJ1291" s="344"/>
      <c r="AK1291" s="345"/>
      <c r="AL1291" s="340"/>
      <c r="AM1291" s="541"/>
      <c r="AN1291" s="407"/>
      <c r="AO1291" s="407"/>
      <c r="AP1291" s="407"/>
      <c r="AQ1291" s="407"/>
      <c r="AR1291" s="407"/>
      <c r="AS1291" s="407"/>
      <c r="AT1291" s="407"/>
      <c r="AU1291" s="393"/>
      <c r="AV1291" s="393"/>
      <c r="AW1291" s="393"/>
      <c r="AX1291" s="393"/>
      <c r="AY1291" s="393"/>
      <c r="AZ1291" s="393"/>
      <c r="BA1291" s="393"/>
      <c r="BB1291" s="393"/>
      <c r="BC1291" s="393"/>
      <c r="BD1291" s="393"/>
      <c r="BE1291" s="393"/>
      <c r="BF1291" s="393"/>
      <c r="BG1291" s="393"/>
      <c r="BH1291" s="393"/>
      <c r="BI1291" s="1431" t="s">
        <v>1377</v>
      </c>
      <c r="BJ1291" s="1431"/>
      <c r="BK1291" s="1431"/>
      <c r="BL1291" s="1431"/>
      <c r="BM1291" s="393"/>
      <c r="BN1291" s="1431" t="s">
        <v>1378</v>
      </c>
      <c r="BO1291" s="1431"/>
      <c r="BP1291" s="1431"/>
      <c r="BQ1291" s="1431"/>
      <c r="BR1291" s="1431"/>
      <c r="BS1291" s="1431"/>
      <c r="BT1291" s="656"/>
      <c r="BU1291" s="657"/>
      <c r="BV1291" s="310"/>
      <c r="BW1291" s="310"/>
      <c r="BX1291" s="291">
        <f t="shared" si="84"/>
        <v>0</v>
      </c>
      <c r="BY1291" s="658"/>
      <c r="BZ1291" s="347"/>
      <c r="CA1291" s="347"/>
    </row>
    <row r="1292" spans="1:84" ht="15" hidden="1" customHeight="1" x14ac:dyDescent="0.25">
      <c r="A1292" s="313"/>
      <c r="B1292" s="340"/>
      <c r="C1292" s="541"/>
      <c r="D1292" s="407"/>
      <c r="E1292" s="407"/>
      <c r="F1292" s="407"/>
      <c r="G1292" s="407"/>
      <c r="H1292" s="407"/>
      <c r="I1292" s="407"/>
      <c r="J1292" s="407"/>
      <c r="K1292" s="393"/>
      <c r="L1292" s="393"/>
      <c r="M1292" s="393"/>
      <c r="N1292" s="393"/>
      <c r="O1292" s="393"/>
      <c r="P1292" s="393"/>
      <c r="Q1292" s="393"/>
      <c r="R1292" s="393"/>
      <c r="S1292" s="393"/>
      <c r="T1292" s="393"/>
      <c r="U1292" s="393"/>
      <c r="V1292" s="393"/>
      <c r="W1292" s="393"/>
      <c r="X1292" s="393"/>
      <c r="Y1292" s="1432" t="s">
        <v>1116</v>
      </c>
      <c r="Z1292" s="1422"/>
      <c r="AA1292" s="1422"/>
      <c r="AB1292" s="1422"/>
      <c r="AC1292" s="553"/>
      <c r="AD1292" s="1433" t="str">
        <f>Don_Vi_Tinh_V</f>
        <v>VND</v>
      </c>
      <c r="AE1292" s="1433"/>
      <c r="AF1292" s="1433"/>
      <c r="AG1292" s="1433"/>
      <c r="AH1292" s="1433"/>
      <c r="AI1292" s="1433"/>
      <c r="AJ1292" s="344"/>
      <c r="AK1292" s="345"/>
      <c r="AL1292" s="340"/>
      <c r="AM1292" s="541"/>
      <c r="AN1292" s="407"/>
      <c r="AO1292" s="407"/>
      <c r="AP1292" s="407"/>
      <c r="AQ1292" s="407"/>
      <c r="AR1292" s="407"/>
      <c r="AS1292" s="407"/>
      <c r="AT1292" s="407"/>
      <c r="AU1292" s="393"/>
      <c r="AV1292" s="393"/>
      <c r="AW1292" s="393"/>
      <c r="AX1292" s="393"/>
      <c r="AY1292" s="393"/>
      <c r="AZ1292" s="393"/>
      <c r="BA1292" s="393"/>
      <c r="BB1292" s="393"/>
      <c r="BC1292" s="393"/>
      <c r="BD1292" s="393"/>
      <c r="BE1292" s="393"/>
      <c r="BF1292" s="393"/>
      <c r="BG1292" s="393"/>
      <c r="BH1292" s="393"/>
      <c r="BI1292" s="1434" t="s">
        <v>1116</v>
      </c>
      <c r="BJ1292" s="1435"/>
      <c r="BK1292" s="1435"/>
      <c r="BL1292" s="1435"/>
      <c r="BM1292" s="393"/>
      <c r="BN1292" s="1436" t="str">
        <f>Don_Vi_Tinh_V</f>
        <v>VND</v>
      </c>
      <c r="BO1292" s="1436"/>
      <c r="BP1292" s="1436"/>
      <c r="BQ1292" s="1436"/>
      <c r="BR1292" s="1436"/>
      <c r="BS1292" s="1436"/>
      <c r="BT1292" s="656"/>
      <c r="BU1292" s="657"/>
      <c r="BV1292" s="310"/>
      <c r="BW1292" s="310"/>
      <c r="BX1292" s="291">
        <f t="shared" si="84"/>
        <v>0</v>
      </c>
      <c r="BY1292" s="658"/>
      <c r="BZ1292" s="347"/>
      <c r="CA1292" s="347"/>
    </row>
    <row r="1293" spans="1:84" ht="15" hidden="1" customHeight="1" x14ac:dyDescent="0.25">
      <c r="A1293" s="313"/>
      <c r="B1293" s="340"/>
      <c r="C1293" s="541"/>
      <c r="D1293" s="407"/>
      <c r="E1293" s="407"/>
      <c r="F1293" s="407"/>
      <c r="G1293" s="407"/>
      <c r="H1293" s="407"/>
      <c r="I1293" s="407"/>
      <c r="J1293" s="407"/>
      <c r="K1293" s="393"/>
      <c r="L1293" s="393"/>
      <c r="M1293" s="393"/>
      <c r="N1293" s="393"/>
      <c r="O1293" s="393"/>
      <c r="P1293" s="393"/>
      <c r="Q1293" s="393"/>
      <c r="R1293" s="393"/>
      <c r="S1293" s="393"/>
      <c r="T1293" s="393"/>
      <c r="U1293" s="393"/>
      <c r="V1293" s="393"/>
      <c r="W1293" s="393"/>
      <c r="X1293" s="393"/>
      <c r="Y1293" s="1428"/>
      <c r="Z1293" s="1428"/>
      <c r="AA1293" s="1428"/>
      <c r="AB1293" s="1428"/>
      <c r="AC1293" s="393"/>
      <c r="AD1293" s="1428"/>
      <c r="AE1293" s="1428"/>
      <c r="AF1293" s="1428"/>
      <c r="AG1293" s="1428"/>
      <c r="AH1293" s="1428"/>
      <c r="AI1293" s="1428"/>
      <c r="AJ1293" s="344"/>
      <c r="AK1293" s="345"/>
      <c r="AL1293" s="340"/>
      <c r="AM1293" s="541"/>
      <c r="AN1293" s="407"/>
      <c r="AO1293" s="407"/>
      <c r="AP1293" s="407"/>
      <c r="AQ1293" s="407"/>
      <c r="AR1293" s="407"/>
      <c r="AS1293" s="407"/>
      <c r="AT1293" s="407"/>
      <c r="AU1293" s="393"/>
      <c r="AV1293" s="393"/>
      <c r="AW1293" s="393"/>
      <c r="AX1293" s="393"/>
      <c r="AY1293" s="393"/>
      <c r="AZ1293" s="393"/>
      <c r="BA1293" s="393"/>
      <c r="BB1293" s="393"/>
      <c r="BC1293" s="393"/>
      <c r="BD1293" s="393"/>
      <c r="BE1293" s="393"/>
      <c r="BF1293" s="393"/>
      <c r="BG1293" s="393"/>
      <c r="BH1293" s="393"/>
      <c r="BI1293" s="1428"/>
      <c r="BJ1293" s="1428"/>
      <c r="BK1293" s="1428"/>
      <c r="BL1293" s="1428"/>
      <c r="BM1293" s="393"/>
      <c r="BN1293" s="1428"/>
      <c r="BO1293" s="1428"/>
      <c r="BP1293" s="1428"/>
      <c r="BQ1293" s="1428"/>
      <c r="BR1293" s="1428"/>
      <c r="BS1293" s="1428"/>
      <c r="BT1293" s="656"/>
      <c r="BU1293" s="657"/>
      <c r="BV1293" s="310"/>
      <c r="BW1293" s="310"/>
      <c r="BX1293" s="291">
        <f t="shared" si="84"/>
        <v>0</v>
      </c>
      <c r="BY1293" s="658"/>
      <c r="BZ1293" s="347"/>
      <c r="CA1293" s="347"/>
    </row>
    <row r="1294" spans="1:84" ht="15" hidden="1" customHeight="1" x14ac:dyDescent="0.25">
      <c r="A1294" s="313"/>
      <c r="B1294" s="340"/>
      <c r="C1294" s="541" t="s">
        <v>1379</v>
      </c>
      <c r="D1294" s="407"/>
      <c r="E1294" s="407"/>
      <c r="F1294" s="407"/>
      <c r="G1294" s="407"/>
      <c r="H1294" s="407"/>
      <c r="I1294" s="407"/>
      <c r="J1294" s="407"/>
      <c r="K1294" s="393"/>
      <c r="L1294" s="393"/>
      <c r="M1294" s="393"/>
      <c r="N1294" s="393"/>
      <c r="O1294" s="393"/>
      <c r="P1294" s="393"/>
      <c r="Q1294" s="393"/>
      <c r="R1294" s="393"/>
      <c r="S1294" s="393"/>
      <c r="T1294" s="393"/>
      <c r="U1294" s="393"/>
      <c r="V1294" s="393"/>
      <c r="W1294" s="393"/>
      <c r="X1294" s="393"/>
      <c r="Y1294" s="1428"/>
      <c r="Z1294" s="1428"/>
      <c r="AA1294" s="1428"/>
      <c r="AB1294" s="1428"/>
      <c r="AC1294" s="393"/>
      <c r="AD1294" s="1428">
        <f>KN_CT60</f>
        <v>2205590858</v>
      </c>
      <c r="AE1294" s="1428"/>
      <c r="AF1294" s="1428"/>
      <c r="AG1294" s="1428"/>
      <c r="AH1294" s="1428"/>
      <c r="AI1294" s="1428"/>
      <c r="AJ1294" s="344"/>
      <c r="AK1294" s="345"/>
      <c r="AL1294" s="340"/>
      <c r="AM1294" s="541" t="s">
        <v>1380</v>
      </c>
      <c r="AN1294" s="407"/>
      <c r="AO1294" s="407"/>
      <c r="AP1294" s="407"/>
      <c r="AQ1294" s="407"/>
      <c r="AR1294" s="407"/>
      <c r="AS1294" s="407"/>
      <c r="AT1294" s="407"/>
      <c r="AU1294" s="393"/>
      <c r="AV1294" s="393"/>
      <c r="AW1294" s="393"/>
      <c r="AX1294" s="393"/>
      <c r="AY1294" s="393"/>
      <c r="AZ1294" s="393"/>
      <c r="BA1294" s="393"/>
      <c r="BB1294" s="393"/>
      <c r="BC1294" s="393"/>
      <c r="BD1294" s="393"/>
      <c r="BE1294" s="393"/>
      <c r="BF1294" s="393"/>
      <c r="BG1294" s="393"/>
      <c r="BH1294" s="393"/>
      <c r="BI1294" s="1419"/>
      <c r="BJ1294" s="1419"/>
      <c r="BK1294" s="1419"/>
      <c r="BL1294" s="1419"/>
      <c r="BM1294" s="393"/>
      <c r="BN1294" s="1428">
        <f>KN_CT60</f>
        <v>2205590858</v>
      </c>
      <c r="BO1294" s="1428"/>
      <c r="BP1294" s="1428"/>
      <c r="BQ1294" s="1428"/>
      <c r="BR1294" s="1428"/>
      <c r="BS1294" s="1428"/>
      <c r="BT1294" s="656"/>
      <c r="BU1294" s="657"/>
      <c r="BV1294" s="310"/>
      <c r="BW1294" s="310"/>
      <c r="BX1294" s="291">
        <f t="shared" si="84"/>
        <v>0</v>
      </c>
      <c r="BY1294" s="658"/>
      <c r="BZ1294" s="347"/>
      <c r="CA1294" s="347"/>
    </row>
    <row r="1295" spans="1:84" ht="15" hidden="1" customHeight="1" x14ac:dyDescent="0.25">
      <c r="A1295" s="313"/>
      <c r="B1295" s="340"/>
      <c r="C1295" s="541" t="s">
        <v>1381</v>
      </c>
      <c r="D1295" s="407"/>
      <c r="E1295" s="407"/>
      <c r="F1295" s="407"/>
      <c r="G1295" s="407"/>
      <c r="H1295" s="407"/>
      <c r="I1295" s="407"/>
      <c r="J1295" s="407"/>
      <c r="K1295" s="393"/>
      <c r="L1295" s="393"/>
      <c r="M1295" s="393"/>
      <c r="N1295" s="393"/>
      <c r="O1295" s="393"/>
      <c r="P1295" s="393"/>
      <c r="Q1295" s="393"/>
      <c r="R1295" s="393"/>
      <c r="S1295" s="393"/>
      <c r="T1295" s="393"/>
      <c r="U1295" s="393"/>
      <c r="V1295" s="393"/>
      <c r="W1295" s="393"/>
      <c r="X1295" s="393"/>
      <c r="Y1295" s="1429">
        <v>0</v>
      </c>
      <c r="Z1295" s="1429"/>
      <c r="AA1295" s="1429"/>
      <c r="AB1295" s="1429"/>
      <c r="AC1295" s="393"/>
      <c r="AD1295" s="1428">
        <f>$AD$1294*Y1295/100</f>
        <v>0</v>
      </c>
      <c r="AE1295" s="1428"/>
      <c r="AF1295" s="1428"/>
      <c r="AG1295" s="1428"/>
      <c r="AH1295" s="1428"/>
      <c r="AI1295" s="1428"/>
      <c r="AJ1295" s="344"/>
      <c r="AK1295" s="345"/>
      <c r="AL1295" s="340"/>
      <c r="AM1295" s="541" t="s">
        <v>1382</v>
      </c>
      <c r="AN1295" s="407"/>
      <c r="AO1295" s="407"/>
      <c r="AP1295" s="407"/>
      <c r="AQ1295" s="407"/>
      <c r="AR1295" s="407"/>
      <c r="AS1295" s="407"/>
      <c r="AT1295" s="407"/>
      <c r="AU1295" s="393"/>
      <c r="AV1295" s="393"/>
      <c r="AW1295" s="393"/>
      <c r="AX1295" s="393"/>
      <c r="AY1295" s="393"/>
      <c r="AZ1295" s="393"/>
      <c r="BA1295" s="393"/>
      <c r="BB1295" s="393"/>
      <c r="BC1295" s="393"/>
      <c r="BD1295" s="393"/>
      <c r="BE1295" s="393"/>
      <c r="BF1295" s="393"/>
      <c r="BG1295" s="393"/>
      <c r="BH1295" s="393"/>
      <c r="BI1295" s="1419">
        <f>Y1295</f>
        <v>0</v>
      </c>
      <c r="BJ1295" s="1419"/>
      <c r="BK1295" s="1419"/>
      <c r="BL1295" s="1419"/>
      <c r="BM1295" s="393"/>
      <c r="BN1295" s="1428">
        <f>$AD$1294*BI1295/100</f>
        <v>0</v>
      </c>
      <c r="BO1295" s="1428"/>
      <c r="BP1295" s="1428"/>
      <c r="BQ1295" s="1428"/>
      <c r="BR1295" s="1428"/>
      <c r="BS1295" s="1428"/>
      <c r="BT1295" s="656"/>
      <c r="BU1295" s="657"/>
      <c r="BV1295" s="310"/>
      <c r="BW1295" s="310"/>
      <c r="BX1295" s="291">
        <f t="shared" si="84"/>
        <v>0</v>
      </c>
      <c r="BY1295" s="658"/>
      <c r="BZ1295" s="347"/>
      <c r="CA1295" s="347"/>
    </row>
    <row r="1296" spans="1:84" ht="15" hidden="1" customHeight="1" x14ac:dyDescent="0.25">
      <c r="A1296" s="313"/>
      <c r="B1296" s="340"/>
      <c r="C1296" s="659" t="s">
        <v>1383</v>
      </c>
      <c r="D1296" s="407"/>
      <c r="E1296" s="407"/>
      <c r="F1296" s="407"/>
      <c r="G1296" s="407"/>
      <c r="H1296" s="407"/>
      <c r="I1296" s="407"/>
      <c r="J1296" s="407"/>
      <c r="K1296" s="393"/>
      <c r="L1296" s="393"/>
      <c r="M1296" s="393"/>
      <c r="N1296" s="393"/>
      <c r="O1296" s="393"/>
      <c r="P1296" s="393"/>
      <c r="Q1296" s="393"/>
      <c r="R1296" s="393"/>
      <c r="S1296" s="393"/>
      <c r="T1296" s="393"/>
      <c r="U1296" s="393"/>
      <c r="V1296" s="393"/>
      <c r="W1296" s="393"/>
      <c r="X1296" s="393"/>
      <c r="Y1296" s="1429">
        <v>0</v>
      </c>
      <c r="Z1296" s="1429"/>
      <c r="AA1296" s="1429"/>
      <c r="AB1296" s="1429"/>
      <c r="AC1296" s="393"/>
      <c r="AD1296" s="1428">
        <f>$AD$1294*Y1296/100</f>
        <v>0</v>
      </c>
      <c r="AE1296" s="1428"/>
      <c r="AF1296" s="1428"/>
      <c r="AG1296" s="1428"/>
      <c r="AH1296" s="1428"/>
      <c r="AI1296" s="1428"/>
      <c r="AJ1296" s="344"/>
      <c r="AK1296" s="345"/>
      <c r="AL1296" s="340"/>
      <c r="AM1296" s="659" t="s">
        <v>1384</v>
      </c>
      <c r="AN1296" s="407"/>
      <c r="AO1296" s="407"/>
      <c r="AP1296" s="407"/>
      <c r="AQ1296" s="407"/>
      <c r="AR1296" s="407"/>
      <c r="AS1296" s="407"/>
      <c r="AT1296" s="407"/>
      <c r="AU1296" s="393"/>
      <c r="AV1296" s="393"/>
      <c r="AW1296" s="393"/>
      <c r="AX1296" s="393"/>
      <c r="AY1296" s="393"/>
      <c r="AZ1296" s="393"/>
      <c r="BA1296" s="393"/>
      <c r="BB1296" s="393"/>
      <c r="BC1296" s="393"/>
      <c r="BD1296" s="393"/>
      <c r="BE1296" s="393"/>
      <c r="BF1296" s="393"/>
      <c r="BG1296" s="393"/>
      <c r="BH1296" s="393"/>
      <c r="BI1296" s="1419">
        <f>Y1296</f>
        <v>0</v>
      </c>
      <c r="BJ1296" s="1419"/>
      <c r="BK1296" s="1419"/>
      <c r="BL1296" s="1419"/>
      <c r="BM1296" s="393"/>
      <c r="BN1296" s="1428">
        <f>$AD$1294*BI1296/100</f>
        <v>0</v>
      </c>
      <c r="BO1296" s="1428"/>
      <c r="BP1296" s="1428"/>
      <c r="BQ1296" s="1428"/>
      <c r="BR1296" s="1428"/>
      <c r="BS1296" s="1428"/>
      <c r="BT1296" s="656"/>
      <c r="BU1296" s="657"/>
      <c r="BV1296" s="310"/>
      <c r="BW1296" s="310"/>
      <c r="BX1296" s="291">
        <f t="shared" si="84"/>
        <v>0</v>
      </c>
      <c r="BY1296" s="658"/>
      <c r="BZ1296" s="347"/>
      <c r="CA1296" s="347"/>
    </row>
    <row r="1297" spans="1:84" s="423" customFormat="1" ht="15" hidden="1" customHeight="1" x14ac:dyDescent="0.25">
      <c r="A1297" s="313"/>
      <c r="B1297" s="340"/>
      <c r="C1297" s="659" t="s">
        <v>1385</v>
      </c>
      <c r="D1297" s="407"/>
      <c r="E1297" s="407"/>
      <c r="F1297" s="407"/>
      <c r="G1297" s="407"/>
      <c r="H1297" s="407"/>
      <c r="I1297" s="407"/>
      <c r="J1297" s="407"/>
      <c r="K1297" s="393"/>
      <c r="L1297" s="393"/>
      <c r="M1297" s="393"/>
      <c r="N1297" s="393"/>
      <c r="O1297" s="393"/>
      <c r="P1297" s="393"/>
      <c r="Q1297" s="393"/>
      <c r="R1297" s="393"/>
      <c r="S1297" s="393"/>
      <c r="T1297" s="393"/>
      <c r="U1297" s="393"/>
      <c r="V1297" s="393"/>
      <c r="W1297" s="393"/>
      <c r="X1297" s="393"/>
      <c r="Y1297" s="1428"/>
      <c r="Z1297" s="1428"/>
      <c r="AA1297" s="1428"/>
      <c r="AB1297" s="1428"/>
      <c r="AC1297" s="393"/>
      <c r="AD1297" s="1428"/>
      <c r="AE1297" s="1428"/>
      <c r="AF1297" s="1428"/>
      <c r="AG1297" s="1428"/>
      <c r="AH1297" s="1428"/>
      <c r="AI1297" s="1428"/>
      <c r="AJ1297" s="342"/>
      <c r="AK1297" s="345"/>
      <c r="AL1297" s="340"/>
      <c r="AM1297" s="659" t="s">
        <v>1386</v>
      </c>
      <c r="AN1297" s="407"/>
      <c r="AO1297" s="407"/>
      <c r="AP1297" s="407"/>
      <c r="AQ1297" s="407"/>
      <c r="AR1297" s="407"/>
      <c r="AS1297" s="407"/>
      <c r="AT1297" s="407"/>
      <c r="AU1297" s="393"/>
      <c r="AV1297" s="393"/>
      <c r="AW1297" s="393"/>
      <c r="AX1297" s="393"/>
      <c r="AY1297" s="393"/>
      <c r="AZ1297" s="393"/>
      <c r="BA1297" s="393"/>
      <c r="BB1297" s="393"/>
      <c r="BC1297" s="393"/>
      <c r="BD1297" s="393"/>
      <c r="BE1297" s="393"/>
      <c r="BF1297" s="393"/>
      <c r="BG1297" s="393"/>
      <c r="BH1297" s="393"/>
      <c r="BI1297" s="1428"/>
      <c r="BJ1297" s="1428"/>
      <c r="BK1297" s="1428"/>
      <c r="BL1297" s="1428"/>
      <c r="BM1297" s="393"/>
      <c r="BN1297" s="1428"/>
      <c r="BO1297" s="1428"/>
      <c r="BP1297" s="1428"/>
      <c r="BQ1297" s="1428"/>
      <c r="BR1297" s="1428"/>
      <c r="BS1297" s="1428"/>
      <c r="BT1297" s="656"/>
      <c r="BU1297" s="657"/>
      <c r="BV1297" s="310"/>
      <c r="BW1297" s="310"/>
      <c r="BX1297" s="300">
        <f t="shared" si="84"/>
        <v>0</v>
      </c>
      <c r="BY1297" s="654"/>
      <c r="BZ1297" s="438"/>
      <c r="CA1297" s="438"/>
      <c r="CB1297" s="439"/>
      <c r="CC1297" s="439"/>
      <c r="CD1297" s="439"/>
      <c r="CE1297" s="439"/>
      <c r="CF1297" s="439"/>
    </row>
    <row r="1298" spans="1:84" ht="2.1" customHeight="1" x14ac:dyDescent="0.25">
      <c r="A1298" s="313"/>
      <c r="B1298" s="340"/>
      <c r="C1298" s="541"/>
      <c r="D1298" s="407"/>
      <c r="E1298" s="407"/>
      <c r="F1298" s="407"/>
      <c r="G1298" s="407"/>
      <c r="H1298" s="407"/>
      <c r="I1298" s="407"/>
      <c r="J1298" s="407"/>
      <c r="K1298" s="393"/>
      <c r="L1298" s="393"/>
      <c r="M1298" s="393"/>
      <c r="N1298" s="393"/>
      <c r="O1298" s="393"/>
      <c r="P1298" s="393"/>
      <c r="Q1298" s="393"/>
      <c r="R1298" s="393"/>
      <c r="S1298" s="393"/>
      <c r="T1298" s="393"/>
      <c r="U1298" s="393"/>
      <c r="V1298" s="393"/>
      <c r="W1298" s="393"/>
      <c r="X1298" s="393"/>
      <c r="Y1298" s="1428"/>
      <c r="Z1298" s="1428"/>
      <c r="AA1298" s="1428"/>
      <c r="AB1298" s="1428"/>
      <c r="AC1298" s="393"/>
      <c r="AD1298" s="1428"/>
      <c r="AE1298" s="1428"/>
      <c r="AF1298" s="1428"/>
      <c r="AG1298" s="1428"/>
      <c r="AH1298" s="1428"/>
      <c r="AI1298" s="1428"/>
      <c r="AJ1298" s="344"/>
      <c r="AK1298" s="345"/>
      <c r="AL1298" s="340"/>
      <c r="AM1298" s="655"/>
      <c r="AN1298" s="407"/>
      <c r="AO1298" s="407"/>
      <c r="AP1298" s="407"/>
      <c r="AQ1298" s="407"/>
      <c r="AR1298" s="407"/>
      <c r="AS1298" s="407"/>
      <c r="AT1298" s="407"/>
      <c r="AU1298" s="656"/>
      <c r="AV1298" s="656"/>
      <c r="AW1298" s="656"/>
      <c r="AX1298" s="656"/>
      <c r="AY1298" s="656"/>
      <c r="AZ1298" s="656"/>
      <c r="BA1298" s="656"/>
      <c r="BB1298" s="656"/>
      <c r="BC1298" s="656"/>
      <c r="BD1298" s="656"/>
      <c r="BE1298" s="656"/>
      <c r="BF1298" s="656"/>
      <c r="BG1298" s="656"/>
      <c r="BH1298" s="656"/>
      <c r="BI1298" s="656"/>
      <c r="BJ1298" s="656"/>
      <c r="BK1298" s="656"/>
      <c r="BL1298" s="656"/>
      <c r="BM1298" s="656"/>
      <c r="BN1298" s="656"/>
      <c r="BO1298" s="656"/>
      <c r="BP1298" s="656"/>
      <c r="BQ1298" s="656"/>
      <c r="BR1298" s="656"/>
      <c r="BS1298" s="656"/>
      <c r="BT1298" s="656"/>
      <c r="BU1298" s="657"/>
      <c r="BV1298" s="310"/>
      <c r="BW1298" s="310"/>
      <c r="BX1298" s="291">
        <f t="shared" si="84"/>
        <v>0</v>
      </c>
      <c r="BY1298" s="658"/>
      <c r="BZ1298" s="347"/>
      <c r="CA1298" s="347"/>
    </row>
    <row r="1299" spans="1:84" ht="12.95" customHeight="1" x14ac:dyDescent="0.25">
      <c r="A1299" s="313"/>
      <c r="B1299" s="340"/>
      <c r="C1299" s="342"/>
      <c r="D1299" s="342"/>
      <c r="E1299" s="342"/>
      <c r="F1299" s="342"/>
      <c r="G1299" s="342"/>
      <c r="H1299" s="342"/>
      <c r="I1299" s="342"/>
      <c r="J1299" s="342"/>
      <c r="K1299" s="393"/>
      <c r="L1299" s="393"/>
      <c r="M1299" s="393"/>
      <c r="N1299" s="393"/>
      <c r="O1299" s="393"/>
      <c r="P1299" s="393"/>
      <c r="Q1299" s="393"/>
      <c r="R1299" s="393"/>
      <c r="S1299" s="393"/>
      <c r="T1299" s="393"/>
      <c r="U1299" s="393"/>
      <c r="V1299" s="393"/>
      <c r="W1299" s="393"/>
      <c r="X1299" s="393"/>
      <c r="Y1299" s="393"/>
      <c r="Z1299" s="393"/>
      <c r="AA1299" s="393"/>
      <c r="AB1299" s="393"/>
      <c r="AC1299" s="393"/>
      <c r="AD1299" s="393"/>
      <c r="AE1299" s="393"/>
      <c r="AF1299" s="393"/>
      <c r="AG1299" s="393"/>
      <c r="AH1299" s="393"/>
      <c r="AI1299" s="393"/>
      <c r="AJ1299" s="344"/>
      <c r="AK1299" s="345"/>
      <c r="AL1299" s="340"/>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42"/>
      <c r="BR1299" s="342"/>
      <c r="BS1299" s="342"/>
      <c r="BT1299" s="342"/>
      <c r="BU1299" s="346"/>
      <c r="BV1299" s="310"/>
      <c r="BW1299" s="310"/>
      <c r="BX1299" s="291">
        <f t="shared" si="84"/>
        <v>0</v>
      </c>
      <c r="BY1299" s="658"/>
      <c r="BZ1299" s="347"/>
      <c r="CA1299" s="347"/>
    </row>
    <row r="1300" spans="1:84" ht="15" customHeight="1" x14ac:dyDescent="0.25">
      <c r="A1300" s="313"/>
      <c r="B1300" s="340"/>
      <c r="C1300" s="341" t="s">
        <v>1387</v>
      </c>
      <c r="D1300" s="342"/>
      <c r="E1300" s="342"/>
      <c r="F1300" s="342"/>
      <c r="G1300" s="342"/>
      <c r="H1300" s="342"/>
      <c r="I1300" s="342"/>
      <c r="J1300" s="342"/>
      <c r="K1300" s="342"/>
      <c r="L1300" s="342"/>
      <c r="M1300" s="342"/>
      <c r="N1300" s="342"/>
      <c r="O1300" s="342"/>
      <c r="P1300" s="342"/>
      <c r="Q1300" s="342"/>
      <c r="R1300" s="342"/>
      <c r="S1300" s="342"/>
      <c r="T1300" s="342"/>
      <c r="U1300" s="342"/>
      <c r="V1300" s="342"/>
      <c r="W1300" s="343"/>
      <c r="X1300" s="343"/>
      <c r="Y1300" s="343"/>
      <c r="Z1300" s="343"/>
      <c r="AA1300" s="343"/>
      <c r="AB1300" s="343"/>
      <c r="AC1300" s="343"/>
      <c r="AD1300" s="343"/>
      <c r="AE1300" s="343"/>
      <c r="AF1300" s="343"/>
      <c r="AG1300" s="343"/>
      <c r="AH1300" s="343"/>
      <c r="AI1300" s="343"/>
      <c r="AJ1300" s="344"/>
      <c r="AK1300" s="345"/>
      <c r="AL1300" s="340"/>
      <c r="AM1300" s="341" t="s">
        <v>1388</v>
      </c>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42"/>
      <c r="BR1300" s="342"/>
      <c r="BS1300" s="342"/>
      <c r="BT1300" s="342"/>
      <c r="BU1300" s="346"/>
      <c r="BV1300" s="310"/>
      <c r="BW1300" s="310"/>
      <c r="BX1300" s="291">
        <f t="shared" si="84"/>
        <v>0</v>
      </c>
      <c r="BY1300" s="658"/>
      <c r="BZ1300" s="347"/>
      <c r="CA1300" s="347"/>
    </row>
    <row r="1301" spans="1:84" ht="15" hidden="1" customHeight="1" x14ac:dyDescent="0.25">
      <c r="A1301" s="313"/>
      <c r="B1301" s="340"/>
      <c r="C1301" s="392"/>
      <c r="D1301" s="392"/>
      <c r="E1301" s="392"/>
      <c r="F1301" s="392"/>
      <c r="G1301" s="392"/>
      <c r="H1301" s="392"/>
      <c r="I1301" s="392"/>
      <c r="J1301" s="392"/>
      <c r="K1301" s="392"/>
      <c r="L1301" s="392"/>
      <c r="M1301" s="392"/>
      <c r="N1301" s="392"/>
      <c r="O1301" s="1325" t="str">
        <f>Ky_Nay1_V</f>
        <v>31/12/2017</v>
      </c>
      <c r="P1301" s="1325"/>
      <c r="Q1301" s="1325"/>
      <c r="R1301" s="1325"/>
      <c r="S1301" s="1325"/>
      <c r="T1301" s="1325"/>
      <c r="U1301" s="372"/>
      <c r="V1301" s="1425" t="s">
        <v>1375</v>
      </c>
      <c r="W1301" s="1425"/>
      <c r="X1301" s="1425"/>
      <c r="Y1301" s="351"/>
      <c r="Z1301" s="1325" t="str">
        <f>Ky_Truoc1_V</f>
        <v>01/01/2017</v>
      </c>
      <c r="AA1301" s="1325"/>
      <c r="AB1301" s="1325"/>
      <c r="AC1301" s="1325"/>
      <c r="AD1301" s="1325"/>
      <c r="AE1301" s="1325"/>
      <c r="AF1301" s="372"/>
      <c r="AG1301" s="1425" t="s">
        <v>1375</v>
      </c>
      <c r="AH1301" s="1425"/>
      <c r="AI1301" s="1425"/>
      <c r="AJ1301" s="344"/>
      <c r="AK1301" s="345"/>
      <c r="AL1301" s="340"/>
      <c r="AM1301" s="392"/>
      <c r="AN1301" s="392"/>
      <c r="AO1301" s="392"/>
      <c r="AP1301" s="392"/>
      <c r="AQ1301" s="392"/>
      <c r="AR1301" s="392"/>
      <c r="AS1301" s="392"/>
      <c r="AT1301" s="392"/>
      <c r="AU1301" s="392"/>
      <c r="AV1301" s="392"/>
      <c r="AW1301" s="392"/>
      <c r="AX1301" s="392"/>
      <c r="AY1301" s="1325" t="str">
        <f>Ky_Nay1_E</f>
        <v>31/12/2017</v>
      </c>
      <c r="AZ1301" s="1325"/>
      <c r="BA1301" s="1325"/>
      <c r="BB1301" s="1325"/>
      <c r="BC1301" s="1325"/>
      <c r="BD1301" s="1325"/>
      <c r="BE1301" s="372"/>
      <c r="BF1301" s="1425" t="s">
        <v>1377</v>
      </c>
      <c r="BG1301" s="1425"/>
      <c r="BH1301" s="1425"/>
      <c r="BI1301" s="351"/>
      <c r="BJ1301" s="1325" t="str">
        <f>Ky_Truoc1_V</f>
        <v>01/01/2017</v>
      </c>
      <c r="BK1301" s="1325"/>
      <c r="BL1301" s="1325"/>
      <c r="BM1301" s="1325"/>
      <c r="BN1301" s="1325"/>
      <c r="BO1301" s="1325"/>
      <c r="BP1301" s="372"/>
      <c r="BQ1301" s="1425" t="s">
        <v>1377</v>
      </c>
      <c r="BR1301" s="1425"/>
      <c r="BS1301" s="1425"/>
      <c r="BT1301" s="352"/>
      <c r="BU1301" s="353"/>
      <c r="BV1301" s="310"/>
      <c r="BW1301" s="310"/>
      <c r="BX1301" s="291">
        <f t="shared" si="84"/>
        <v>0</v>
      </c>
      <c r="BY1301" s="344"/>
      <c r="BZ1301" s="347"/>
      <c r="CA1301" s="347"/>
    </row>
    <row r="1302" spans="1:84" ht="15" hidden="1" customHeight="1" x14ac:dyDescent="0.25">
      <c r="A1302" s="313"/>
      <c r="B1302" s="340"/>
      <c r="C1302" s="392"/>
      <c r="D1302" s="392"/>
      <c r="E1302" s="392"/>
      <c r="F1302" s="392"/>
      <c r="G1302" s="392"/>
      <c r="H1302" s="392"/>
      <c r="I1302" s="392"/>
      <c r="J1302" s="392"/>
      <c r="K1302" s="392"/>
      <c r="L1302" s="392"/>
      <c r="M1302" s="392"/>
      <c r="N1302" s="392"/>
      <c r="O1302" s="1422" t="str">
        <f>Don_Vi_Tinh_V</f>
        <v>VND</v>
      </c>
      <c r="P1302" s="1422"/>
      <c r="Q1302" s="1422"/>
      <c r="R1302" s="1422"/>
      <c r="S1302" s="1422"/>
      <c r="T1302" s="1422"/>
      <c r="U1302" s="372"/>
      <c r="V1302" s="1327" t="s">
        <v>1116</v>
      </c>
      <c r="W1302" s="1327"/>
      <c r="X1302" s="1327"/>
      <c r="Y1302" s="351"/>
      <c r="Z1302" s="1403" t="str">
        <f>Don_Vi_Tinh_V</f>
        <v>VND</v>
      </c>
      <c r="AA1302" s="1403"/>
      <c r="AB1302" s="1403"/>
      <c r="AC1302" s="1403"/>
      <c r="AD1302" s="1403"/>
      <c r="AE1302" s="1403"/>
      <c r="AF1302" s="372"/>
      <c r="AG1302" s="1327" t="s">
        <v>1116</v>
      </c>
      <c r="AH1302" s="1327"/>
      <c r="AI1302" s="1327"/>
      <c r="AJ1302" s="344"/>
      <c r="AK1302" s="345"/>
      <c r="AL1302" s="340"/>
      <c r="AM1302" s="392"/>
      <c r="AN1302" s="392"/>
      <c r="AO1302" s="392"/>
      <c r="AP1302" s="392"/>
      <c r="AQ1302" s="392"/>
      <c r="AR1302" s="392"/>
      <c r="AS1302" s="392"/>
      <c r="AT1302" s="392"/>
      <c r="AU1302" s="392"/>
      <c r="AV1302" s="392"/>
      <c r="AW1302" s="392"/>
      <c r="AX1302" s="392"/>
      <c r="AY1302" s="1422" t="str">
        <f>Don_Vi_Tinh_E</f>
        <v>VND</v>
      </c>
      <c r="AZ1302" s="1422"/>
      <c r="BA1302" s="1422"/>
      <c r="BB1302" s="1422"/>
      <c r="BC1302" s="1422"/>
      <c r="BD1302" s="1422"/>
      <c r="BE1302" s="372"/>
      <c r="BF1302" s="1327" t="s">
        <v>1116</v>
      </c>
      <c r="BG1302" s="1327"/>
      <c r="BH1302" s="1327"/>
      <c r="BI1302" s="351"/>
      <c r="BJ1302" s="1403" t="str">
        <f>Don_Vi_Tinh_E</f>
        <v>VND</v>
      </c>
      <c r="BK1302" s="1403"/>
      <c r="BL1302" s="1403"/>
      <c r="BM1302" s="1403"/>
      <c r="BN1302" s="1403"/>
      <c r="BO1302" s="1403"/>
      <c r="BP1302" s="372"/>
      <c r="BQ1302" s="1327" t="s">
        <v>1116</v>
      </c>
      <c r="BR1302" s="1327"/>
      <c r="BS1302" s="1327"/>
      <c r="BT1302" s="352"/>
      <c r="BU1302" s="353"/>
      <c r="BV1302" s="310"/>
      <c r="BW1302" s="310"/>
      <c r="BX1302" s="291">
        <f t="shared" si="84"/>
        <v>0</v>
      </c>
      <c r="BY1302" s="344"/>
      <c r="BZ1302" s="347"/>
      <c r="CA1302" s="347"/>
    </row>
    <row r="1303" spans="1:84" ht="15" hidden="1" customHeight="1" x14ac:dyDescent="0.25">
      <c r="A1303" s="313"/>
      <c r="B1303" s="340"/>
      <c r="C1303" s="392"/>
      <c r="D1303" s="392"/>
      <c r="E1303" s="392"/>
      <c r="F1303" s="392"/>
      <c r="G1303" s="392"/>
      <c r="H1303" s="392"/>
      <c r="I1303" s="392"/>
      <c r="J1303" s="392"/>
      <c r="K1303" s="392"/>
      <c r="L1303" s="392"/>
      <c r="M1303" s="392"/>
      <c r="N1303" s="392"/>
      <c r="O1303" s="1421"/>
      <c r="P1303" s="1421"/>
      <c r="Q1303" s="1421"/>
      <c r="R1303" s="1421"/>
      <c r="S1303" s="1421"/>
      <c r="T1303" s="1421"/>
      <c r="U1303" s="660"/>
      <c r="V1303" s="1411"/>
      <c r="W1303" s="1411"/>
      <c r="X1303" s="1411"/>
      <c r="Y1303" s="437"/>
      <c r="Z1303" s="1383"/>
      <c r="AA1303" s="1383"/>
      <c r="AB1303" s="1383"/>
      <c r="AC1303" s="1383"/>
      <c r="AD1303" s="1383"/>
      <c r="AE1303" s="1383"/>
      <c r="AF1303" s="660"/>
      <c r="AG1303" s="1338"/>
      <c r="AH1303" s="1338"/>
      <c r="AI1303" s="1338"/>
      <c r="AJ1303" s="344"/>
      <c r="AK1303" s="345"/>
      <c r="AL1303" s="340"/>
      <c r="AM1303" s="392"/>
      <c r="AN1303" s="392"/>
      <c r="AO1303" s="392"/>
      <c r="AP1303" s="392"/>
      <c r="AQ1303" s="392"/>
      <c r="AR1303" s="392"/>
      <c r="AS1303" s="392"/>
      <c r="AT1303" s="392"/>
      <c r="AU1303" s="392"/>
      <c r="AV1303" s="392"/>
      <c r="AW1303" s="392"/>
      <c r="AX1303" s="392"/>
      <c r="AY1303" s="1421"/>
      <c r="AZ1303" s="1421"/>
      <c r="BA1303" s="1421"/>
      <c r="BB1303" s="1421"/>
      <c r="BC1303" s="1421"/>
      <c r="BD1303" s="1421"/>
      <c r="BE1303" s="660"/>
      <c r="BF1303" s="1411"/>
      <c r="BG1303" s="1411"/>
      <c r="BH1303" s="1411"/>
      <c r="BI1303" s="437"/>
      <c r="BJ1303" s="1383"/>
      <c r="BK1303" s="1383"/>
      <c r="BL1303" s="1383"/>
      <c r="BM1303" s="1383"/>
      <c r="BN1303" s="1383"/>
      <c r="BO1303" s="1383"/>
      <c r="BP1303" s="660"/>
      <c r="BQ1303" s="1338"/>
      <c r="BR1303" s="1338"/>
      <c r="BS1303" s="1338"/>
      <c r="BT1303" s="352"/>
      <c r="BU1303" s="353"/>
      <c r="BV1303" s="310"/>
      <c r="BW1303" s="310"/>
      <c r="BX1303" s="291">
        <f t="shared" si="84"/>
        <v>0</v>
      </c>
      <c r="BY1303" s="344"/>
      <c r="BZ1303" s="347"/>
      <c r="CA1303" s="347"/>
    </row>
    <row r="1304" spans="1:84" s="423" customFormat="1" ht="15" hidden="1" customHeight="1" x14ac:dyDescent="0.25">
      <c r="A1304" s="313"/>
      <c r="B1304" s="340"/>
      <c r="C1304" s="342" t="s">
        <v>1389</v>
      </c>
      <c r="D1304" s="340"/>
      <c r="E1304" s="340"/>
      <c r="F1304" s="340"/>
      <c r="G1304" s="340"/>
      <c r="H1304" s="340"/>
      <c r="I1304" s="340"/>
      <c r="J1304" s="340"/>
      <c r="K1304" s="340"/>
      <c r="L1304" s="340"/>
      <c r="M1304" s="340"/>
      <c r="N1304" s="340"/>
      <c r="O1304" s="1318">
        <v>0</v>
      </c>
      <c r="P1304" s="1318"/>
      <c r="Q1304" s="1318"/>
      <c r="R1304" s="1318"/>
      <c r="S1304" s="1318"/>
      <c r="T1304" s="1318"/>
      <c r="U1304" s="355"/>
      <c r="V1304" s="1420">
        <f>IF(O1304=0,0,IF($O$1308&lt;&gt;0,O1304/$O$1308*100,""))</f>
        <v>0</v>
      </c>
      <c r="W1304" s="1420"/>
      <c r="X1304" s="1420"/>
      <c r="Y1304" s="661"/>
      <c r="Z1304" s="1318">
        <v>0</v>
      </c>
      <c r="AA1304" s="1318"/>
      <c r="AB1304" s="1318"/>
      <c r="AC1304" s="1318"/>
      <c r="AD1304" s="1318"/>
      <c r="AE1304" s="1318"/>
      <c r="AF1304" s="355"/>
      <c r="AG1304" s="1420">
        <f>IF(Z1304=0,0,IF($Z$1308&lt;&gt;0,Z1304/$Z$1308*100,""))</f>
        <v>0</v>
      </c>
      <c r="AH1304" s="1420"/>
      <c r="AI1304" s="1420"/>
      <c r="AJ1304" s="389"/>
      <c r="AK1304" s="662"/>
      <c r="AL1304" s="373"/>
      <c r="AM1304" s="407" t="s">
        <v>1390</v>
      </c>
      <c r="AN1304" s="373"/>
      <c r="AO1304" s="373"/>
      <c r="AP1304" s="373"/>
      <c r="AQ1304" s="373"/>
      <c r="AR1304" s="373"/>
      <c r="AS1304" s="373"/>
      <c r="AT1304" s="373"/>
      <c r="AU1304" s="373"/>
      <c r="AV1304" s="373"/>
      <c r="AW1304" s="373"/>
      <c r="AX1304" s="373"/>
      <c r="AY1304" s="1318">
        <f>O1304</f>
        <v>0</v>
      </c>
      <c r="AZ1304" s="1318"/>
      <c r="BA1304" s="1318"/>
      <c r="BB1304" s="1318"/>
      <c r="BC1304" s="1318"/>
      <c r="BD1304" s="1318"/>
      <c r="BE1304" s="355"/>
      <c r="BF1304" s="1419" t="str">
        <f>IF(AY1304=0,"",IF($O$1319&lt;&gt;0,AY1304/$O$1319*100,""))</f>
        <v/>
      </c>
      <c r="BG1304" s="1419"/>
      <c r="BH1304" s="1419"/>
      <c r="BI1304" s="661"/>
      <c r="BJ1304" s="1318">
        <f>Z1304</f>
        <v>0</v>
      </c>
      <c r="BK1304" s="1318"/>
      <c r="BL1304" s="1318"/>
      <c r="BM1304" s="1318"/>
      <c r="BN1304" s="1318"/>
      <c r="BO1304" s="1318"/>
      <c r="BP1304" s="355"/>
      <c r="BQ1304" s="1419" t="str">
        <f>IF(BJ1304=0,"",IF($Z$1319&lt;&gt;0,BJ1304/$Z$1319*100,""))</f>
        <v/>
      </c>
      <c r="BR1304" s="1419"/>
      <c r="BS1304" s="1419"/>
      <c r="BT1304" s="361"/>
      <c r="BU1304" s="362"/>
      <c r="BV1304" s="310"/>
      <c r="BW1304" s="310"/>
      <c r="BX1304" s="300">
        <f t="shared" si="84"/>
        <v>0</v>
      </c>
      <c r="BY1304" s="342"/>
      <c r="BZ1304" s="438"/>
      <c r="CA1304" s="438"/>
      <c r="CB1304" s="439"/>
      <c r="CC1304" s="439"/>
      <c r="CD1304" s="439"/>
      <c r="CE1304" s="439"/>
      <c r="CF1304" s="439"/>
    </row>
    <row r="1305" spans="1:84" s="423" customFormat="1" ht="15" hidden="1" customHeight="1" x14ac:dyDescent="0.25">
      <c r="A1305" s="313"/>
      <c r="B1305" s="340"/>
      <c r="C1305" s="342" t="s">
        <v>1391</v>
      </c>
      <c r="D1305" s="342"/>
      <c r="E1305" s="342"/>
      <c r="F1305" s="342"/>
      <c r="G1305" s="342"/>
      <c r="H1305" s="342"/>
      <c r="I1305" s="342"/>
      <c r="J1305" s="342"/>
      <c r="K1305" s="342"/>
      <c r="L1305" s="342"/>
      <c r="M1305" s="342"/>
      <c r="N1305" s="342"/>
      <c r="O1305" s="1318">
        <v>0</v>
      </c>
      <c r="P1305" s="1318"/>
      <c r="Q1305" s="1318"/>
      <c r="R1305" s="1318"/>
      <c r="S1305" s="1318"/>
      <c r="T1305" s="1318"/>
      <c r="U1305" s="355"/>
      <c r="V1305" s="1420">
        <f>IF(O1305=0,0,IF($O$1308&lt;&gt;0,O1305/$O$1308*100,""))</f>
        <v>0</v>
      </c>
      <c r="W1305" s="1420"/>
      <c r="X1305" s="1420"/>
      <c r="Y1305" s="663"/>
      <c r="Z1305" s="1318">
        <v>0</v>
      </c>
      <c r="AA1305" s="1318"/>
      <c r="AB1305" s="1318"/>
      <c r="AC1305" s="1318"/>
      <c r="AD1305" s="1318"/>
      <c r="AE1305" s="1318"/>
      <c r="AF1305" s="355"/>
      <c r="AG1305" s="1420">
        <f>IF(Z1305=0,0,IF($Z$1308&lt;&gt;0,Z1305/$Z$1308*100,""))</f>
        <v>0</v>
      </c>
      <c r="AH1305" s="1420"/>
      <c r="AI1305" s="1420"/>
      <c r="AJ1305" s="389"/>
      <c r="AK1305" s="662"/>
      <c r="AL1305" s="373"/>
      <c r="AM1305" s="664" t="s">
        <v>1392</v>
      </c>
      <c r="AN1305" s="389"/>
      <c r="AO1305" s="389"/>
      <c r="AP1305" s="389"/>
      <c r="AQ1305" s="389"/>
      <c r="AR1305" s="389"/>
      <c r="AS1305" s="389"/>
      <c r="AT1305" s="389"/>
      <c r="AU1305" s="389"/>
      <c r="AV1305" s="389"/>
      <c r="AW1305" s="389"/>
      <c r="AX1305" s="389"/>
      <c r="AY1305" s="1318">
        <f>O1305</f>
        <v>0</v>
      </c>
      <c r="AZ1305" s="1318"/>
      <c r="BA1305" s="1318"/>
      <c r="BB1305" s="1318"/>
      <c r="BC1305" s="1318"/>
      <c r="BD1305" s="1318"/>
      <c r="BE1305" s="355"/>
      <c r="BF1305" s="1419" t="str">
        <f>IF(AY1305=0,"",IF($O$1319&lt;&gt;0,AY1305/$O$1319*100,""))</f>
        <v/>
      </c>
      <c r="BG1305" s="1419"/>
      <c r="BH1305" s="1419"/>
      <c r="BI1305" s="663"/>
      <c r="BJ1305" s="1318">
        <f>Z1305</f>
        <v>0</v>
      </c>
      <c r="BK1305" s="1318"/>
      <c r="BL1305" s="1318"/>
      <c r="BM1305" s="1318"/>
      <c r="BN1305" s="1318"/>
      <c r="BO1305" s="1318"/>
      <c r="BP1305" s="355"/>
      <c r="BQ1305" s="1427" t="str">
        <f>IF(BJ1305=0,"",IF($Z$1319&lt;&gt;0,BJ1305/$Z$1319*100,""))</f>
        <v/>
      </c>
      <c r="BR1305" s="1427"/>
      <c r="BS1305" s="1427"/>
      <c r="BT1305" s="359"/>
      <c r="BU1305" s="346"/>
      <c r="BV1305" s="310"/>
      <c r="BW1305" s="310"/>
      <c r="BX1305" s="300">
        <f t="shared" si="84"/>
        <v>0</v>
      </c>
      <c r="BY1305" s="342"/>
      <c r="BZ1305" s="438"/>
      <c r="CA1305" s="438"/>
      <c r="CB1305" s="439"/>
      <c r="CC1305" s="439"/>
      <c r="CD1305" s="439"/>
      <c r="CE1305" s="439"/>
      <c r="CF1305" s="439"/>
    </row>
    <row r="1306" spans="1:84" s="423" customFormat="1" ht="15" hidden="1" customHeight="1" x14ac:dyDescent="0.25">
      <c r="A1306" s="313"/>
      <c r="B1306" s="340"/>
      <c r="C1306" s="342" t="s">
        <v>1393</v>
      </c>
      <c r="D1306" s="342"/>
      <c r="E1306" s="342"/>
      <c r="F1306" s="342"/>
      <c r="G1306" s="342"/>
      <c r="H1306" s="342"/>
      <c r="I1306" s="342"/>
      <c r="J1306" s="342"/>
      <c r="K1306" s="342"/>
      <c r="L1306" s="342"/>
      <c r="M1306" s="342"/>
      <c r="N1306" s="342"/>
      <c r="O1306" s="1318">
        <v>0</v>
      </c>
      <c r="P1306" s="1318"/>
      <c r="Q1306" s="1318"/>
      <c r="R1306" s="1318"/>
      <c r="S1306" s="1318"/>
      <c r="T1306" s="1318"/>
      <c r="U1306" s="355"/>
      <c r="V1306" s="1420">
        <f>IF(O1306=0,0,IF($O$1308&lt;&gt;0,O1306/$O$1308*100,""))</f>
        <v>0</v>
      </c>
      <c r="W1306" s="1420"/>
      <c r="X1306" s="1420"/>
      <c r="Y1306" s="663"/>
      <c r="Z1306" s="1318">
        <v>0</v>
      </c>
      <c r="AA1306" s="1318"/>
      <c r="AB1306" s="1318"/>
      <c r="AC1306" s="1318"/>
      <c r="AD1306" s="1318"/>
      <c r="AE1306" s="1318"/>
      <c r="AF1306" s="355"/>
      <c r="AG1306" s="1420">
        <f>IF(Z1306=0,0,IF($Z$1308&lt;&gt;0,Z1306/$Z$1308*100,""))</f>
        <v>0</v>
      </c>
      <c r="AH1306" s="1420"/>
      <c r="AI1306" s="1420"/>
      <c r="AJ1306" s="389"/>
      <c r="AK1306" s="662"/>
      <c r="AL1306" s="373"/>
      <c r="AM1306" s="664" t="s">
        <v>1394</v>
      </c>
      <c r="AN1306" s="389"/>
      <c r="AO1306" s="389"/>
      <c r="AP1306" s="389"/>
      <c r="AQ1306" s="389"/>
      <c r="AR1306" s="389"/>
      <c r="AS1306" s="389"/>
      <c r="AT1306" s="389"/>
      <c r="AU1306" s="389"/>
      <c r="AV1306" s="389"/>
      <c r="AW1306" s="389"/>
      <c r="AX1306" s="389"/>
      <c r="AY1306" s="1318">
        <f>O1306</f>
        <v>0</v>
      </c>
      <c r="AZ1306" s="1318"/>
      <c r="BA1306" s="1318"/>
      <c r="BB1306" s="1318"/>
      <c r="BC1306" s="1318"/>
      <c r="BD1306" s="1318"/>
      <c r="BE1306" s="355"/>
      <c r="BF1306" s="1419" t="str">
        <f>IF(AY1306=0,"",IF($O$1319&lt;&gt;0,AY1306/$O$1319*100,""))</f>
        <v/>
      </c>
      <c r="BG1306" s="1419"/>
      <c r="BH1306" s="1419"/>
      <c r="BI1306" s="663"/>
      <c r="BJ1306" s="1318">
        <f>Z1306</f>
        <v>0</v>
      </c>
      <c r="BK1306" s="1318"/>
      <c r="BL1306" s="1318"/>
      <c r="BM1306" s="1318"/>
      <c r="BN1306" s="1318"/>
      <c r="BO1306" s="1318"/>
      <c r="BP1306" s="355"/>
      <c r="BQ1306" s="1427" t="str">
        <f>IF(BJ1306=0,"",IF($Z$1319&lt;&gt;0,BJ1306/$Z$1319*100,""))</f>
        <v/>
      </c>
      <c r="BR1306" s="1427"/>
      <c r="BS1306" s="1427"/>
      <c r="BT1306" s="359"/>
      <c r="BU1306" s="346"/>
      <c r="BV1306" s="310"/>
      <c r="BW1306" s="310"/>
      <c r="BX1306" s="300">
        <f t="shared" si="84"/>
        <v>0</v>
      </c>
      <c r="BY1306" s="342"/>
      <c r="BZ1306" s="438"/>
      <c r="CA1306" s="438"/>
      <c r="CB1306" s="439"/>
      <c r="CC1306" s="439"/>
      <c r="CD1306" s="439"/>
      <c r="CE1306" s="439"/>
      <c r="CF1306" s="439"/>
    </row>
    <row r="1307" spans="1:84" ht="15" hidden="1" customHeight="1" x14ac:dyDescent="0.25">
      <c r="A1307" s="313"/>
      <c r="B1307" s="340"/>
      <c r="C1307" s="434"/>
      <c r="D1307" s="342"/>
      <c r="E1307" s="342"/>
      <c r="F1307" s="342"/>
      <c r="G1307" s="342"/>
      <c r="H1307" s="342"/>
      <c r="I1307" s="342"/>
      <c r="J1307" s="342"/>
      <c r="K1307" s="342"/>
      <c r="L1307" s="342"/>
      <c r="M1307" s="342"/>
      <c r="N1307" s="342"/>
      <c r="O1307" s="1416"/>
      <c r="P1307" s="1416"/>
      <c r="Q1307" s="1416"/>
      <c r="R1307" s="1416"/>
      <c r="S1307" s="1416"/>
      <c r="T1307" s="1416"/>
      <c r="U1307" s="665"/>
      <c r="V1307" s="1418"/>
      <c r="W1307" s="1418"/>
      <c r="X1307" s="1418"/>
      <c r="Y1307" s="666"/>
      <c r="Z1307" s="1383"/>
      <c r="AA1307" s="1383"/>
      <c r="AB1307" s="1383"/>
      <c r="AC1307" s="1383"/>
      <c r="AD1307" s="1383"/>
      <c r="AE1307" s="1383"/>
      <c r="AF1307" s="665"/>
      <c r="AG1307" s="1426"/>
      <c r="AH1307" s="1426"/>
      <c r="AI1307" s="1426"/>
      <c r="AJ1307" s="342"/>
      <c r="AK1307" s="345"/>
      <c r="AL1307" s="340"/>
      <c r="AM1307" s="667"/>
      <c r="AN1307" s="429"/>
      <c r="AO1307" s="429"/>
      <c r="AP1307" s="429"/>
      <c r="AQ1307" s="429"/>
      <c r="AR1307" s="429"/>
      <c r="AS1307" s="429"/>
      <c r="AT1307" s="429"/>
      <c r="AU1307" s="429"/>
      <c r="AV1307" s="429"/>
      <c r="AW1307" s="429"/>
      <c r="AX1307" s="429"/>
      <c r="AY1307" s="1416"/>
      <c r="AZ1307" s="1416"/>
      <c r="BA1307" s="1416"/>
      <c r="BB1307" s="1416"/>
      <c r="BC1307" s="1416"/>
      <c r="BD1307" s="1416"/>
      <c r="BE1307" s="665"/>
      <c r="BF1307" s="1417"/>
      <c r="BG1307" s="1417"/>
      <c r="BH1307" s="1417"/>
      <c r="BI1307" s="666"/>
      <c r="BJ1307" s="1383"/>
      <c r="BK1307" s="1383"/>
      <c r="BL1307" s="1383"/>
      <c r="BM1307" s="1383"/>
      <c r="BN1307" s="1383"/>
      <c r="BO1307" s="1383"/>
      <c r="BP1307" s="665"/>
      <c r="BQ1307" s="1413"/>
      <c r="BR1307" s="1413"/>
      <c r="BS1307" s="1413"/>
      <c r="BT1307" s="359"/>
      <c r="BU1307" s="346"/>
      <c r="BV1307" s="310"/>
      <c r="BW1307" s="310"/>
      <c r="BX1307" s="291">
        <f t="shared" si="84"/>
        <v>0</v>
      </c>
      <c r="BY1307" s="344"/>
      <c r="BZ1307" s="347"/>
      <c r="CA1307" s="347"/>
    </row>
    <row r="1308" spans="1:84" s="423" customFormat="1" ht="15" hidden="1" customHeight="1" thickBot="1" x14ac:dyDescent="0.3">
      <c r="A1308" s="313"/>
      <c r="B1308" s="340"/>
      <c r="C1308" s="360" t="s">
        <v>752</v>
      </c>
      <c r="D1308" s="340"/>
      <c r="E1308" s="340"/>
      <c r="F1308" s="340"/>
      <c r="G1308" s="340"/>
      <c r="H1308" s="340"/>
      <c r="I1308" s="340"/>
      <c r="J1308" s="340"/>
      <c r="K1308" s="340"/>
      <c r="L1308" s="340"/>
      <c r="M1308" s="340"/>
      <c r="N1308" s="340"/>
      <c r="O1308" s="1359">
        <f>SUBTOTAL(109,O1304:T1306)</f>
        <v>0</v>
      </c>
      <c r="P1308" s="1359"/>
      <c r="Q1308" s="1359"/>
      <c r="R1308" s="1359"/>
      <c r="S1308" s="1359"/>
      <c r="T1308" s="1359"/>
      <c r="U1308" s="363"/>
      <c r="V1308" s="1414">
        <f>SUBTOTAL(109,V1304:X1306)</f>
        <v>0</v>
      </c>
      <c r="W1308" s="1414"/>
      <c r="X1308" s="1414"/>
      <c r="Y1308" s="668"/>
      <c r="Z1308" s="1359">
        <f>SUBTOTAL(109,Z1304:AE1306)</f>
        <v>0</v>
      </c>
      <c r="AA1308" s="1359"/>
      <c r="AB1308" s="1359"/>
      <c r="AC1308" s="1359"/>
      <c r="AD1308" s="1359"/>
      <c r="AE1308" s="1359"/>
      <c r="AF1308" s="363"/>
      <c r="AG1308" s="1414">
        <f>SUBTOTAL(109,AG1304:AI1306)</f>
        <v>0</v>
      </c>
      <c r="AH1308" s="1414"/>
      <c r="AI1308" s="1414"/>
      <c r="AJ1308" s="342"/>
      <c r="AK1308" s="345"/>
      <c r="AL1308" s="340"/>
      <c r="AM1308" s="360" t="s">
        <v>753</v>
      </c>
      <c r="AN1308" s="340"/>
      <c r="AO1308" s="340"/>
      <c r="AP1308" s="340"/>
      <c r="AQ1308" s="340"/>
      <c r="AR1308" s="340"/>
      <c r="AS1308" s="340"/>
      <c r="AT1308" s="340"/>
      <c r="AU1308" s="340"/>
      <c r="AV1308" s="340"/>
      <c r="AW1308" s="340"/>
      <c r="AX1308" s="340"/>
      <c r="AY1308" s="1359">
        <f>SUBTOTAL(109,AY1304:BD1306)</f>
        <v>0</v>
      </c>
      <c r="AZ1308" s="1359"/>
      <c r="BA1308" s="1359"/>
      <c r="BB1308" s="1359"/>
      <c r="BC1308" s="1359"/>
      <c r="BD1308" s="1359"/>
      <c r="BE1308" s="363"/>
      <c r="BF1308" s="1415">
        <f>SUM(BF1304:BH1304)</f>
        <v>0</v>
      </c>
      <c r="BG1308" s="1415"/>
      <c r="BH1308" s="1415"/>
      <c r="BI1308" s="668"/>
      <c r="BJ1308" s="1359">
        <f>SUBTOTAL(109,BJ1304:BO1306)</f>
        <v>0</v>
      </c>
      <c r="BK1308" s="1359"/>
      <c r="BL1308" s="1359"/>
      <c r="BM1308" s="1359"/>
      <c r="BN1308" s="1359"/>
      <c r="BO1308" s="1359"/>
      <c r="BP1308" s="363"/>
      <c r="BQ1308" s="1415">
        <f>SUM(BQ1304:BS1304)</f>
        <v>0</v>
      </c>
      <c r="BR1308" s="1415"/>
      <c r="BS1308" s="1415"/>
      <c r="BT1308" s="361"/>
      <c r="BU1308" s="362"/>
      <c r="BV1308" s="310">
        <f>O1308-KN_CT411</f>
        <v>-20002050000</v>
      </c>
      <c r="BW1308" s="310">
        <f>Z1308-KT_CT411</f>
        <v>-20002050000</v>
      </c>
      <c r="BX1308" s="300">
        <f>IF(ISNONTEXT($C1308),0,SUM(D1308:AI1308)-SUM(AN1308:BS1308))</f>
        <v>0</v>
      </c>
      <c r="BY1308" s="342"/>
      <c r="BZ1308" s="438"/>
      <c r="CA1308" s="438"/>
      <c r="CB1308" s="439"/>
      <c r="CC1308" s="439"/>
      <c r="CD1308" s="439"/>
      <c r="CE1308" s="439"/>
      <c r="CF1308" s="439"/>
    </row>
    <row r="1309" spans="1:84" ht="15" hidden="1" customHeight="1" thickTop="1" x14ac:dyDescent="0.25">
      <c r="A1309" s="313"/>
      <c r="B1309" s="340"/>
      <c r="C1309" s="1423" t="s">
        <v>1395</v>
      </c>
      <c r="D1309" s="1424"/>
      <c r="E1309" s="1424"/>
      <c r="F1309" s="1424"/>
      <c r="G1309" s="1424"/>
      <c r="H1309" s="1424"/>
      <c r="I1309" s="1424"/>
      <c r="J1309" s="1424"/>
      <c r="K1309" s="1424"/>
      <c r="L1309" s="1424"/>
      <c r="M1309" s="1424"/>
      <c r="N1309" s="1424"/>
      <c r="O1309" s="1424"/>
      <c r="P1309" s="1424"/>
      <c r="Q1309" s="1424"/>
      <c r="R1309" s="1424"/>
      <c r="S1309" s="1424"/>
      <c r="T1309" s="1424"/>
      <c r="U1309" s="1424"/>
      <c r="V1309" s="1424"/>
      <c r="W1309" s="1424"/>
      <c r="X1309" s="1424"/>
      <c r="Y1309" s="1424"/>
      <c r="Z1309" s="1424"/>
      <c r="AA1309" s="1424"/>
      <c r="AB1309" s="1424"/>
      <c r="AC1309" s="1424"/>
      <c r="AD1309" s="1424"/>
      <c r="AE1309" s="1424"/>
      <c r="AF1309" s="1424"/>
      <c r="AG1309" s="1424"/>
      <c r="AH1309" s="1424"/>
      <c r="AI1309" s="1424"/>
      <c r="AJ1309" s="344"/>
      <c r="AK1309" s="345"/>
      <c r="AL1309" s="340"/>
      <c r="AM1309" s="1423" t="s">
        <v>1395</v>
      </c>
      <c r="AN1309" s="1424"/>
      <c r="AO1309" s="1424"/>
      <c r="AP1309" s="1424"/>
      <c r="AQ1309" s="1424"/>
      <c r="AR1309" s="1424"/>
      <c r="AS1309" s="1424"/>
      <c r="AT1309" s="1424"/>
      <c r="AU1309" s="1424"/>
      <c r="AV1309" s="1424"/>
      <c r="AW1309" s="1424"/>
      <c r="AX1309" s="1424"/>
      <c r="AY1309" s="1424"/>
      <c r="AZ1309" s="1424"/>
      <c r="BA1309" s="1424"/>
      <c r="BB1309" s="1424"/>
      <c r="BC1309" s="1424"/>
      <c r="BD1309" s="1424"/>
      <c r="BE1309" s="1424"/>
      <c r="BF1309" s="1424"/>
      <c r="BG1309" s="1424"/>
      <c r="BH1309" s="1424"/>
      <c r="BI1309" s="1424"/>
      <c r="BJ1309" s="1424"/>
      <c r="BK1309" s="1424"/>
      <c r="BL1309" s="1424"/>
      <c r="BM1309" s="1424"/>
      <c r="BN1309" s="1424"/>
      <c r="BO1309" s="1424"/>
      <c r="BP1309" s="1424"/>
      <c r="BQ1309" s="1424"/>
      <c r="BR1309" s="1424"/>
      <c r="BS1309" s="1424"/>
      <c r="BT1309" s="342"/>
      <c r="BU1309" s="346"/>
      <c r="BV1309" s="310"/>
      <c r="BW1309" s="310"/>
      <c r="BX1309" s="291">
        <f>IF(ISNONTEXT($C1309),0,SUM(D1309:AI1309)-SUM(AN1309:BS1309))</f>
        <v>0</v>
      </c>
      <c r="BY1309" s="344"/>
      <c r="BZ1309" s="347"/>
      <c r="CA1309" s="347"/>
    </row>
    <row r="1310" spans="1:84" ht="15" hidden="1" customHeight="1" x14ac:dyDescent="0.25">
      <c r="A1310" s="313"/>
      <c r="B1310" s="340"/>
      <c r="C1310" s="341" t="s">
        <v>1396</v>
      </c>
      <c r="D1310" s="342"/>
      <c r="E1310" s="342"/>
      <c r="F1310" s="342"/>
      <c r="G1310" s="342"/>
      <c r="H1310" s="342"/>
      <c r="I1310" s="342"/>
      <c r="J1310" s="342"/>
      <c r="K1310" s="342"/>
      <c r="L1310" s="342"/>
      <c r="M1310" s="342"/>
      <c r="N1310" s="342"/>
      <c r="O1310" s="342"/>
      <c r="P1310" s="342"/>
      <c r="Q1310" s="342"/>
      <c r="R1310" s="342"/>
      <c r="S1310" s="342"/>
      <c r="T1310" s="342"/>
      <c r="U1310" s="342"/>
      <c r="V1310" s="342"/>
      <c r="W1310" s="343"/>
      <c r="X1310" s="343"/>
      <c r="Y1310" s="343"/>
      <c r="Z1310" s="343"/>
      <c r="AA1310" s="343"/>
      <c r="AB1310" s="343"/>
      <c r="AC1310" s="343"/>
      <c r="AD1310" s="343"/>
      <c r="AE1310" s="343"/>
      <c r="AF1310" s="343"/>
      <c r="AG1310" s="343"/>
      <c r="AH1310" s="343"/>
      <c r="AI1310" s="343"/>
      <c r="AJ1310" s="344"/>
      <c r="AK1310" s="345"/>
      <c r="AL1310" s="340"/>
      <c r="AM1310" s="341" t="s">
        <v>1397</v>
      </c>
      <c r="AN1310" s="342"/>
      <c r="AO1310" s="342"/>
      <c r="AP1310" s="342"/>
      <c r="AQ1310" s="342"/>
      <c r="AR1310" s="342"/>
      <c r="AS1310" s="342"/>
      <c r="AT1310" s="342"/>
      <c r="AU1310" s="342"/>
      <c r="AV1310" s="342"/>
      <c r="AW1310" s="342"/>
      <c r="AX1310" s="342"/>
      <c r="AY1310" s="342"/>
      <c r="AZ1310" s="342"/>
      <c r="BA1310" s="342"/>
      <c r="BB1310" s="342"/>
      <c r="BC1310" s="342"/>
      <c r="BD1310" s="342"/>
      <c r="BE1310" s="342"/>
      <c r="BF1310" s="342"/>
      <c r="BG1310" s="342"/>
      <c r="BH1310" s="342"/>
      <c r="BI1310" s="342"/>
      <c r="BJ1310" s="342"/>
      <c r="BK1310" s="342"/>
      <c r="BL1310" s="342"/>
      <c r="BM1310" s="342"/>
      <c r="BN1310" s="342"/>
      <c r="BO1310" s="342"/>
      <c r="BP1310" s="342"/>
      <c r="BQ1310" s="342"/>
      <c r="BR1310" s="342"/>
      <c r="BS1310" s="342"/>
      <c r="BT1310" s="342"/>
      <c r="BU1310" s="346"/>
      <c r="BV1310" s="310"/>
      <c r="BW1310" s="310"/>
      <c r="BX1310" s="291">
        <f t="shared" si="84"/>
        <v>0</v>
      </c>
      <c r="BY1310" s="658"/>
      <c r="BZ1310" s="347"/>
      <c r="CA1310" s="347"/>
    </row>
    <row r="1311" spans="1:84" ht="15" hidden="1" customHeight="1" x14ac:dyDescent="0.25">
      <c r="A1311" s="313"/>
      <c r="B1311" s="340"/>
      <c r="C1311" s="392"/>
      <c r="D1311" s="392"/>
      <c r="E1311" s="392"/>
      <c r="F1311" s="392"/>
      <c r="G1311" s="392"/>
      <c r="H1311" s="392"/>
      <c r="I1311" s="392"/>
      <c r="J1311" s="392"/>
      <c r="K1311" s="392"/>
      <c r="L1311" s="392"/>
      <c r="M1311" s="392"/>
      <c r="N1311" s="392"/>
      <c r="O1311" s="1325" t="str">
        <f>Ky_Nay1_V</f>
        <v>31/12/2017</v>
      </c>
      <c r="P1311" s="1325"/>
      <c r="Q1311" s="1325"/>
      <c r="R1311" s="1325"/>
      <c r="S1311" s="1325"/>
      <c r="T1311" s="1325"/>
      <c r="U1311" s="372"/>
      <c r="V1311" s="1425" t="s">
        <v>1375</v>
      </c>
      <c r="W1311" s="1425"/>
      <c r="X1311" s="1425"/>
      <c r="Y1311" s="351"/>
      <c r="Z1311" s="1325" t="str">
        <f>Ky_Truoc1_V</f>
        <v>01/01/2017</v>
      </c>
      <c r="AA1311" s="1325"/>
      <c r="AB1311" s="1325"/>
      <c r="AC1311" s="1325"/>
      <c r="AD1311" s="1325"/>
      <c r="AE1311" s="1325"/>
      <c r="AF1311" s="372"/>
      <c r="AG1311" s="1425" t="s">
        <v>1375</v>
      </c>
      <c r="AH1311" s="1425"/>
      <c r="AI1311" s="1425"/>
      <c r="AJ1311" s="344"/>
      <c r="AK1311" s="345"/>
      <c r="AL1311" s="340"/>
      <c r="AM1311" s="392"/>
      <c r="AN1311" s="392"/>
      <c r="AO1311" s="392"/>
      <c r="AP1311" s="392"/>
      <c r="AQ1311" s="392"/>
      <c r="AR1311" s="392"/>
      <c r="AS1311" s="392"/>
      <c r="AT1311" s="392"/>
      <c r="AU1311" s="392"/>
      <c r="AV1311" s="392"/>
      <c r="AW1311" s="392"/>
      <c r="AX1311" s="392"/>
      <c r="AY1311" s="1325" t="str">
        <f>Ky_Nay1_E</f>
        <v>31/12/2017</v>
      </c>
      <c r="AZ1311" s="1325"/>
      <c r="BA1311" s="1325"/>
      <c r="BB1311" s="1325"/>
      <c r="BC1311" s="1325"/>
      <c r="BD1311" s="1325"/>
      <c r="BE1311" s="372"/>
      <c r="BF1311" s="1425" t="s">
        <v>1377</v>
      </c>
      <c r="BG1311" s="1425"/>
      <c r="BH1311" s="1425"/>
      <c r="BI1311" s="351"/>
      <c r="BJ1311" s="1325" t="str">
        <f>Ky_Truoc1_V</f>
        <v>01/01/2017</v>
      </c>
      <c r="BK1311" s="1325"/>
      <c r="BL1311" s="1325"/>
      <c r="BM1311" s="1325"/>
      <c r="BN1311" s="1325"/>
      <c r="BO1311" s="1325"/>
      <c r="BP1311" s="372"/>
      <c r="BQ1311" s="1425" t="s">
        <v>1377</v>
      </c>
      <c r="BR1311" s="1425"/>
      <c r="BS1311" s="1425"/>
      <c r="BT1311" s="352"/>
      <c r="BU1311" s="353"/>
      <c r="BV1311" s="310"/>
      <c r="BW1311" s="310"/>
      <c r="BX1311" s="291">
        <f t="shared" si="84"/>
        <v>0</v>
      </c>
      <c r="BY1311" s="344"/>
      <c r="BZ1311" s="347"/>
      <c r="CA1311" s="347"/>
    </row>
    <row r="1312" spans="1:84" ht="15" hidden="1" customHeight="1" x14ac:dyDescent="0.25">
      <c r="A1312" s="313"/>
      <c r="B1312" s="340"/>
      <c r="C1312" s="392"/>
      <c r="D1312" s="392"/>
      <c r="E1312" s="392"/>
      <c r="F1312" s="392"/>
      <c r="G1312" s="392"/>
      <c r="H1312" s="392"/>
      <c r="I1312" s="392"/>
      <c r="J1312" s="392"/>
      <c r="K1312" s="392"/>
      <c r="L1312" s="392"/>
      <c r="M1312" s="392"/>
      <c r="N1312" s="392"/>
      <c r="O1312" s="1422" t="str">
        <f>Don_Vi_Tinh_V</f>
        <v>VND</v>
      </c>
      <c r="P1312" s="1422"/>
      <c r="Q1312" s="1422"/>
      <c r="R1312" s="1422"/>
      <c r="S1312" s="1422"/>
      <c r="T1312" s="1422"/>
      <c r="U1312" s="372"/>
      <c r="V1312" s="1327" t="s">
        <v>1116</v>
      </c>
      <c r="W1312" s="1327"/>
      <c r="X1312" s="1327"/>
      <c r="Y1312" s="351"/>
      <c r="Z1312" s="1403" t="str">
        <f>Don_Vi_Tinh_V</f>
        <v>VND</v>
      </c>
      <c r="AA1312" s="1403"/>
      <c r="AB1312" s="1403"/>
      <c r="AC1312" s="1403"/>
      <c r="AD1312" s="1403"/>
      <c r="AE1312" s="1403"/>
      <c r="AF1312" s="372"/>
      <c r="AG1312" s="1327" t="s">
        <v>1116</v>
      </c>
      <c r="AH1312" s="1327"/>
      <c r="AI1312" s="1327"/>
      <c r="AJ1312" s="344"/>
      <c r="AK1312" s="345"/>
      <c r="AL1312" s="340"/>
      <c r="AM1312" s="392"/>
      <c r="AN1312" s="392"/>
      <c r="AO1312" s="392"/>
      <c r="AP1312" s="392"/>
      <c r="AQ1312" s="392"/>
      <c r="AR1312" s="392"/>
      <c r="AS1312" s="392"/>
      <c r="AT1312" s="392"/>
      <c r="AU1312" s="392"/>
      <c r="AV1312" s="392"/>
      <c r="AW1312" s="392"/>
      <c r="AX1312" s="392"/>
      <c r="AY1312" s="1422" t="str">
        <f>Don_Vi_Tinh_E</f>
        <v>VND</v>
      </c>
      <c r="AZ1312" s="1422"/>
      <c r="BA1312" s="1422"/>
      <c r="BB1312" s="1422"/>
      <c r="BC1312" s="1422"/>
      <c r="BD1312" s="1422"/>
      <c r="BE1312" s="372"/>
      <c r="BF1312" s="1327" t="s">
        <v>1116</v>
      </c>
      <c r="BG1312" s="1327"/>
      <c r="BH1312" s="1327"/>
      <c r="BI1312" s="351"/>
      <c r="BJ1312" s="1403" t="str">
        <f>Don_Vi_Tinh_E</f>
        <v>VND</v>
      </c>
      <c r="BK1312" s="1403"/>
      <c r="BL1312" s="1403"/>
      <c r="BM1312" s="1403"/>
      <c r="BN1312" s="1403"/>
      <c r="BO1312" s="1403"/>
      <c r="BP1312" s="372"/>
      <c r="BQ1312" s="1327" t="s">
        <v>1116</v>
      </c>
      <c r="BR1312" s="1327"/>
      <c r="BS1312" s="1327"/>
      <c r="BT1312" s="352"/>
      <c r="BU1312" s="353"/>
      <c r="BV1312" s="310"/>
      <c r="BW1312" s="310"/>
      <c r="BX1312" s="291">
        <f t="shared" si="84"/>
        <v>0</v>
      </c>
      <c r="BY1312" s="344"/>
      <c r="BZ1312" s="347"/>
      <c r="CA1312" s="347"/>
    </row>
    <row r="1313" spans="1:84" ht="15" hidden="1" customHeight="1" x14ac:dyDescent="0.25">
      <c r="A1313" s="313"/>
      <c r="B1313" s="340"/>
      <c r="C1313" s="392"/>
      <c r="D1313" s="392"/>
      <c r="E1313" s="392"/>
      <c r="F1313" s="392"/>
      <c r="G1313" s="392"/>
      <c r="H1313" s="392"/>
      <c r="I1313" s="392"/>
      <c r="J1313" s="392"/>
      <c r="K1313" s="392"/>
      <c r="L1313" s="392"/>
      <c r="M1313" s="392"/>
      <c r="N1313" s="392"/>
      <c r="O1313" s="1421"/>
      <c r="P1313" s="1421"/>
      <c r="Q1313" s="1421"/>
      <c r="R1313" s="1421"/>
      <c r="S1313" s="1421"/>
      <c r="T1313" s="1421"/>
      <c r="U1313" s="660"/>
      <c r="V1313" s="1411"/>
      <c r="W1313" s="1411"/>
      <c r="X1313" s="1411"/>
      <c r="Y1313" s="437"/>
      <c r="Z1313" s="1383"/>
      <c r="AA1313" s="1383"/>
      <c r="AB1313" s="1383"/>
      <c r="AC1313" s="1383"/>
      <c r="AD1313" s="1383"/>
      <c r="AE1313" s="1383"/>
      <c r="AF1313" s="660"/>
      <c r="AG1313" s="1338"/>
      <c r="AH1313" s="1338"/>
      <c r="AI1313" s="1338"/>
      <c r="AJ1313" s="344"/>
      <c r="AK1313" s="345"/>
      <c r="AL1313" s="340"/>
      <c r="AM1313" s="392"/>
      <c r="AN1313" s="392"/>
      <c r="AO1313" s="392"/>
      <c r="AP1313" s="392"/>
      <c r="AQ1313" s="392"/>
      <c r="AR1313" s="392"/>
      <c r="AS1313" s="392"/>
      <c r="AT1313" s="392"/>
      <c r="AU1313" s="392"/>
      <c r="AV1313" s="392"/>
      <c r="AW1313" s="392"/>
      <c r="AX1313" s="392"/>
      <c r="AY1313" s="1421"/>
      <c r="AZ1313" s="1421"/>
      <c r="BA1313" s="1421"/>
      <c r="BB1313" s="1421"/>
      <c r="BC1313" s="1421"/>
      <c r="BD1313" s="1421"/>
      <c r="BE1313" s="660"/>
      <c r="BF1313" s="1411"/>
      <c r="BG1313" s="1411"/>
      <c r="BH1313" s="1411"/>
      <c r="BI1313" s="437"/>
      <c r="BJ1313" s="1383"/>
      <c r="BK1313" s="1383"/>
      <c r="BL1313" s="1383"/>
      <c r="BM1313" s="1383"/>
      <c r="BN1313" s="1383"/>
      <c r="BO1313" s="1383"/>
      <c r="BP1313" s="660"/>
      <c r="BQ1313" s="1338"/>
      <c r="BR1313" s="1338"/>
      <c r="BS1313" s="1338"/>
      <c r="BT1313" s="352"/>
      <c r="BU1313" s="353"/>
      <c r="BV1313" s="310"/>
      <c r="BW1313" s="310"/>
      <c r="BX1313" s="291">
        <f t="shared" si="84"/>
        <v>0</v>
      </c>
      <c r="BY1313" s="344"/>
      <c r="BZ1313" s="347"/>
      <c r="CA1313" s="347"/>
    </row>
    <row r="1314" spans="1:84" s="423" customFormat="1" ht="15" hidden="1" customHeight="1" x14ac:dyDescent="0.25">
      <c r="A1314" s="313"/>
      <c r="B1314" s="340"/>
      <c r="C1314" s="342" t="s">
        <v>1398</v>
      </c>
      <c r="D1314" s="340"/>
      <c r="E1314" s="340"/>
      <c r="F1314" s="340"/>
      <c r="G1314" s="340"/>
      <c r="H1314" s="340"/>
      <c r="I1314" s="340"/>
      <c r="J1314" s="340"/>
      <c r="K1314" s="340"/>
      <c r="L1314" s="340"/>
      <c r="M1314" s="340"/>
      <c r="N1314" s="340"/>
      <c r="O1314" s="1318">
        <v>0</v>
      </c>
      <c r="P1314" s="1318"/>
      <c r="Q1314" s="1318"/>
      <c r="R1314" s="1318"/>
      <c r="S1314" s="1318"/>
      <c r="T1314" s="1318"/>
      <c r="U1314" s="355"/>
      <c r="V1314" s="1420">
        <f>IF(O1314=0,0,IF($O$1319&lt;&gt;0,O1314/$O$1319*100,""))</f>
        <v>0</v>
      </c>
      <c r="W1314" s="1420"/>
      <c r="X1314" s="1420"/>
      <c r="Y1314" s="661"/>
      <c r="Z1314" s="1318">
        <v>0</v>
      </c>
      <c r="AA1314" s="1318"/>
      <c r="AB1314" s="1318"/>
      <c r="AC1314" s="1318"/>
      <c r="AD1314" s="1318"/>
      <c r="AE1314" s="1318"/>
      <c r="AF1314" s="355"/>
      <c r="AG1314" s="1420">
        <f>IF(Z1314=0,0,IF($Z$1319&lt;&gt;0,Z1314/$Z$1319*100,""))</f>
        <v>0</v>
      </c>
      <c r="AH1314" s="1420"/>
      <c r="AI1314" s="1420"/>
      <c r="AJ1314" s="389"/>
      <c r="AK1314" s="662"/>
      <c r="AL1314" s="373"/>
      <c r="AM1314" s="407" t="s">
        <v>1399</v>
      </c>
      <c r="AN1314" s="373"/>
      <c r="AO1314" s="373"/>
      <c r="AP1314" s="373"/>
      <c r="AQ1314" s="373"/>
      <c r="AR1314" s="373"/>
      <c r="AS1314" s="373"/>
      <c r="AT1314" s="373"/>
      <c r="AU1314" s="373"/>
      <c r="AV1314" s="373"/>
      <c r="AW1314" s="373"/>
      <c r="AX1314" s="373"/>
      <c r="AY1314" s="1318">
        <f>O1314</f>
        <v>0</v>
      </c>
      <c r="AZ1314" s="1318"/>
      <c r="BA1314" s="1318"/>
      <c r="BB1314" s="1318"/>
      <c r="BC1314" s="1318"/>
      <c r="BD1314" s="1318"/>
      <c r="BE1314" s="355"/>
      <c r="BF1314" s="1419" t="str">
        <f>IF(AY1314=0,"",IF($O$1319&lt;&gt;0,AY1314/$O$1319*100,""))</f>
        <v/>
      </c>
      <c r="BG1314" s="1419"/>
      <c r="BH1314" s="1419"/>
      <c r="BI1314" s="661"/>
      <c r="BJ1314" s="1318">
        <f>Z1314</f>
        <v>0</v>
      </c>
      <c r="BK1314" s="1318"/>
      <c r="BL1314" s="1318"/>
      <c r="BM1314" s="1318"/>
      <c r="BN1314" s="1318"/>
      <c r="BO1314" s="1318"/>
      <c r="BP1314" s="355"/>
      <c r="BQ1314" s="1419" t="str">
        <f>IF(BJ1314=0,"",IF($Z$1319&lt;&gt;0,BJ1314/$Z$1319*100,""))</f>
        <v/>
      </c>
      <c r="BR1314" s="1419"/>
      <c r="BS1314" s="1419"/>
      <c r="BT1314" s="361"/>
      <c r="BU1314" s="362"/>
      <c r="BV1314" s="310"/>
      <c r="BW1314" s="310"/>
      <c r="BX1314" s="300">
        <f t="shared" si="84"/>
        <v>0</v>
      </c>
      <c r="BY1314" s="342"/>
      <c r="BZ1314" s="438"/>
      <c r="CA1314" s="438"/>
      <c r="CB1314" s="439"/>
      <c r="CC1314" s="439"/>
      <c r="CD1314" s="439"/>
      <c r="CE1314" s="439"/>
      <c r="CF1314" s="439"/>
    </row>
    <row r="1315" spans="1:84" s="423" customFormat="1" ht="15" hidden="1" customHeight="1" x14ac:dyDescent="0.25">
      <c r="A1315" s="313"/>
      <c r="B1315" s="340"/>
      <c r="C1315" s="354" t="s">
        <v>1400</v>
      </c>
      <c r="D1315" s="340"/>
      <c r="E1315" s="340"/>
      <c r="F1315" s="340"/>
      <c r="G1315" s="340"/>
      <c r="H1315" s="340"/>
      <c r="I1315" s="340"/>
      <c r="J1315" s="340"/>
      <c r="K1315" s="340"/>
      <c r="L1315" s="340"/>
      <c r="M1315" s="340"/>
      <c r="N1315" s="340"/>
      <c r="O1315" s="1318">
        <f>SUBTOTAL(109,O1316:T1317)</f>
        <v>0</v>
      </c>
      <c r="P1315" s="1318"/>
      <c r="Q1315" s="1318"/>
      <c r="R1315" s="1318"/>
      <c r="S1315" s="1318"/>
      <c r="T1315" s="1318"/>
      <c r="U1315" s="355"/>
      <c r="V1315" s="1420">
        <f>IF(O1315=0,0,IF($O$1319&lt;&gt;0,O1315/$O$1319*100,""))</f>
        <v>0</v>
      </c>
      <c r="W1315" s="1420"/>
      <c r="X1315" s="1420"/>
      <c r="Y1315" s="661"/>
      <c r="Z1315" s="1318">
        <f>SUBTOTAL(109,Z1316:AE1317)</f>
        <v>0</v>
      </c>
      <c r="AA1315" s="1318"/>
      <c r="AB1315" s="1318"/>
      <c r="AC1315" s="1318"/>
      <c r="AD1315" s="1318"/>
      <c r="AE1315" s="1318"/>
      <c r="AF1315" s="355"/>
      <c r="AG1315" s="1420">
        <f>IF(Z1315=0,0,IF($Z$1319&lt;&gt;0,Z1315/$Z$1319*100,""))</f>
        <v>0</v>
      </c>
      <c r="AH1315" s="1420"/>
      <c r="AI1315" s="1420"/>
      <c r="AJ1315" s="389"/>
      <c r="AK1315" s="662"/>
      <c r="AL1315" s="373"/>
      <c r="AM1315" s="386" t="s">
        <v>1401</v>
      </c>
      <c r="AN1315" s="373"/>
      <c r="AO1315" s="373"/>
      <c r="AP1315" s="373"/>
      <c r="AQ1315" s="373"/>
      <c r="AR1315" s="373"/>
      <c r="AS1315" s="373"/>
      <c r="AT1315" s="373"/>
      <c r="AU1315" s="373"/>
      <c r="AV1315" s="373"/>
      <c r="AW1315" s="373"/>
      <c r="AX1315" s="373"/>
      <c r="AY1315" s="1318">
        <f>SUBTOTAL(109,AY1316:BD1317)</f>
        <v>0</v>
      </c>
      <c r="AZ1315" s="1318"/>
      <c r="BA1315" s="1318"/>
      <c r="BB1315" s="1318"/>
      <c r="BC1315" s="1318"/>
      <c r="BD1315" s="1318"/>
      <c r="BE1315" s="355"/>
      <c r="BF1315" s="1419" t="str">
        <f>IF(AY1315=0,"",IF($O$1319&lt;&gt;0,AY1315/$O$1319*100,""))</f>
        <v/>
      </c>
      <c r="BG1315" s="1419"/>
      <c r="BH1315" s="1419"/>
      <c r="BI1315" s="661"/>
      <c r="BJ1315" s="1318">
        <f>SUBTOTAL(109,BJ1316:BO1317)</f>
        <v>0</v>
      </c>
      <c r="BK1315" s="1318"/>
      <c r="BL1315" s="1318"/>
      <c r="BM1315" s="1318"/>
      <c r="BN1315" s="1318"/>
      <c r="BO1315" s="1318"/>
      <c r="BP1315" s="355"/>
      <c r="BQ1315" s="1419" t="str">
        <f>IF(BJ1315=0,"",IF($Z$1319&lt;&gt;0,BJ1315/$Z$1319*100,""))</f>
        <v/>
      </c>
      <c r="BR1315" s="1419"/>
      <c r="BS1315" s="1419"/>
      <c r="BT1315" s="359"/>
      <c r="BU1315" s="346"/>
      <c r="BV1315" s="310"/>
      <c r="BW1315" s="310"/>
      <c r="BX1315" s="300">
        <f t="shared" si="84"/>
        <v>0</v>
      </c>
      <c r="BY1315" s="342"/>
      <c r="BZ1315" s="438"/>
      <c r="CA1315" s="438"/>
      <c r="CB1315" s="439"/>
      <c r="CC1315" s="439"/>
      <c r="CD1315" s="439"/>
      <c r="CE1315" s="439"/>
      <c r="CF1315" s="439"/>
    </row>
    <row r="1316" spans="1:84" s="423" customFormat="1" ht="15" hidden="1" customHeight="1" x14ac:dyDescent="0.25">
      <c r="A1316" s="313"/>
      <c r="B1316" s="340"/>
      <c r="C1316" s="667" t="s">
        <v>355</v>
      </c>
      <c r="D1316" s="429" t="s">
        <v>1402</v>
      </c>
      <c r="E1316" s="342"/>
      <c r="F1316" s="342"/>
      <c r="G1316" s="342"/>
      <c r="H1316" s="342"/>
      <c r="I1316" s="342"/>
      <c r="J1316" s="342"/>
      <c r="K1316" s="342"/>
      <c r="L1316" s="342"/>
      <c r="M1316" s="342"/>
      <c r="N1316" s="342"/>
      <c r="O1316" s="1369">
        <v>0</v>
      </c>
      <c r="P1316" s="1369"/>
      <c r="Q1316" s="1369"/>
      <c r="R1316" s="1369"/>
      <c r="S1316" s="1369"/>
      <c r="T1316" s="1369"/>
      <c r="U1316" s="665"/>
      <c r="V1316" s="1418">
        <f>IF(O1316=0,0,IF($O$1319&lt;&gt;0,O1316/$O$1319*100,""))</f>
        <v>0</v>
      </c>
      <c r="W1316" s="1418"/>
      <c r="X1316" s="1418"/>
      <c r="Y1316" s="666"/>
      <c r="Z1316" s="1369">
        <v>0</v>
      </c>
      <c r="AA1316" s="1369"/>
      <c r="AB1316" s="1369"/>
      <c r="AC1316" s="1369"/>
      <c r="AD1316" s="1369"/>
      <c r="AE1316" s="1369"/>
      <c r="AF1316" s="665"/>
      <c r="AG1316" s="1418">
        <f>IF(Z1316=0,0,IF($Z$1319&lt;&gt;0,Z1316/$Z$1319*100,""))</f>
        <v>0</v>
      </c>
      <c r="AH1316" s="1418"/>
      <c r="AI1316" s="1418"/>
      <c r="AJ1316" s="389"/>
      <c r="AK1316" s="662"/>
      <c r="AL1316" s="373"/>
      <c r="AM1316" s="669" t="s">
        <v>1403</v>
      </c>
      <c r="AN1316" s="670"/>
      <c r="AO1316" s="670"/>
      <c r="AP1316" s="670"/>
      <c r="AQ1316" s="670"/>
      <c r="AR1316" s="670"/>
      <c r="AS1316" s="670"/>
      <c r="AT1316" s="670"/>
      <c r="AU1316" s="670"/>
      <c r="AV1316" s="670"/>
      <c r="AW1316" s="670"/>
      <c r="AX1316" s="670"/>
      <c r="AY1316" s="1369">
        <f>O1316</f>
        <v>0</v>
      </c>
      <c r="AZ1316" s="1369"/>
      <c r="BA1316" s="1369"/>
      <c r="BB1316" s="1369"/>
      <c r="BC1316" s="1369"/>
      <c r="BD1316" s="1369"/>
      <c r="BE1316" s="665"/>
      <c r="BF1316" s="1417" t="str">
        <f>IF(AY1316=0,"",IF($O$1319&lt;&gt;0,AY1316/$O$1319*100,""))</f>
        <v/>
      </c>
      <c r="BG1316" s="1417"/>
      <c r="BH1316" s="1417"/>
      <c r="BI1316" s="666"/>
      <c r="BJ1316" s="1369">
        <f>Z1316</f>
        <v>0</v>
      </c>
      <c r="BK1316" s="1369"/>
      <c r="BL1316" s="1369"/>
      <c r="BM1316" s="1369"/>
      <c r="BN1316" s="1369"/>
      <c r="BO1316" s="1369"/>
      <c r="BP1316" s="665"/>
      <c r="BQ1316" s="1413" t="str">
        <f>IF(BJ1316=0,"",IF($Z$1319&lt;&gt;0,BJ1316/$Z$1319*100,""))</f>
        <v/>
      </c>
      <c r="BR1316" s="1413"/>
      <c r="BS1316" s="1413"/>
      <c r="BT1316" s="359"/>
      <c r="BU1316" s="346"/>
      <c r="BV1316" s="310"/>
      <c r="BW1316" s="310"/>
      <c r="BX1316" s="300">
        <f t="shared" si="84"/>
        <v>0</v>
      </c>
      <c r="BY1316" s="342"/>
      <c r="BZ1316" s="438"/>
      <c r="CA1316" s="438"/>
      <c r="CB1316" s="439"/>
      <c r="CC1316" s="439"/>
      <c r="CD1316" s="439"/>
      <c r="CE1316" s="439"/>
      <c r="CF1316" s="439"/>
    </row>
    <row r="1317" spans="1:84" s="423" customFormat="1" ht="15" hidden="1" customHeight="1" x14ac:dyDescent="0.25">
      <c r="A1317" s="313"/>
      <c r="B1317" s="340"/>
      <c r="C1317" s="667" t="s">
        <v>355</v>
      </c>
      <c r="D1317" s="429" t="s">
        <v>1404</v>
      </c>
      <c r="E1317" s="342"/>
      <c r="F1317" s="342"/>
      <c r="G1317" s="342"/>
      <c r="H1317" s="342"/>
      <c r="I1317" s="342"/>
      <c r="J1317" s="342"/>
      <c r="K1317" s="342"/>
      <c r="L1317" s="342"/>
      <c r="M1317" s="342"/>
      <c r="N1317" s="342"/>
      <c r="O1317" s="1369">
        <v>0</v>
      </c>
      <c r="P1317" s="1369"/>
      <c r="Q1317" s="1369"/>
      <c r="R1317" s="1369"/>
      <c r="S1317" s="1369"/>
      <c r="T1317" s="1369"/>
      <c r="U1317" s="665"/>
      <c r="V1317" s="1418">
        <f>IF(O1317=0,0,IF($O$1319&lt;&gt;0,O1317/$O$1319*100,""))</f>
        <v>0</v>
      </c>
      <c r="W1317" s="1418"/>
      <c r="X1317" s="1418"/>
      <c r="Y1317" s="666"/>
      <c r="Z1317" s="1369">
        <v>0</v>
      </c>
      <c r="AA1317" s="1369"/>
      <c r="AB1317" s="1369"/>
      <c r="AC1317" s="1369"/>
      <c r="AD1317" s="1369"/>
      <c r="AE1317" s="1369"/>
      <c r="AF1317" s="665"/>
      <c r="AG1317" s="1418">
        <f>IF(Z1317=0,0,IF($Z$1319&lt;&gt;0,Z1317/$Z$1319*100,""))</f>
        <v>0</v>
      </c>
      <c r="AH1317" s="1418"/>
      <c r="AI1317" s="1418"/>
      <c r="AJ1317" s="389"/>
      <c r="AK1317" s="662"/>
      <c r="AL1317" s="373"/>
      <c r="AM1317" s="669" t="s">
        <v>1405</v>
      </c>
      <c r="AN1317" s="670"/>
      <c r="AO1317" s="670"/>
      <c r="AP1317" s="670"/>
      <c r="AQ1317" s="670"/>
      <c r="AR1317" s="670"/>
      <c r="AS1317" s="670"/>
      <c r="AT1317" s="670"/>
      <c r="AU1317" s="670"/>
      <c r="AV1317" s="670"/>
      <c r="AW1317" s="670"/>
      <c r="AX1317" s="670"/>
      <c r="AY1317" s="1369">
        <f>O1317</f>
        <v>0</v>
      </c>
      <c r="AZ1317" s="1369"/>
      <c r="BA1317" s="1369"/>
      <c r="BB1317" s="1369"/>
      <c r="BC1317" s="1369"/>
      <c r="BD1317" s="1369"/>
      <c r="BE1317" s="665"/>
      <c r="BF1317" s="1417" t="str">
        <f>IF(AY1317=0,"",IF($O$1319&lt;&gt;0,AY1317/$O$1319*100,""))</f>
        <v/>
      </c>
      <c r="BG1317" s="1417"/>
      <c r="BH1317" s="1417"/>
      <c r="BI1317" s="666"/>
      <c r="BJ1317" s="1369">
        <f>Z1317</f>
        <v>0</v>
      </c>
      <c r="BK1317" s="1369"/>
      <c r="BL1317" s="1369"/>
      <c r="BM1317" s="1369"/>
      <c r="BN1317" s="1369"/>
      <c r="BO1317" s="1369"/>
      <c r="BP1317" s="665"/>
      <c r="BQ1317" s="1413" t="str">
        <f>IF(BJ1317=0,"",IF($Z$1319&lt;&gt;0,BJ1317/$Z$1319*100,""))</f>
        <v/>
      </c>
      <c r="BR1317" s="1413"/>
      <c r="BS1317" s="1413"/>
      <c r="BT1317" s="359"/>
      <c r="BU1317" s="346"/>
      <c r="BV1317" s="310"/>
      <c r="BW1317" s="310"/>
      <c r="BX1317" s="300">
        <f t="shared" si="84"/>
        <v>0</v>
      </c>
      <c r="BY1317" s="342"/>
      <c r="BZ1317" s="438"/>
      <c r="CA1317" s="438"/>
      <c r="CB1317" s="439"/>
      <c r="CC1317" s="439"/>
      <c r="CD1317" s="439"/>
      <c r="CE1317" s="439"/>
      <c r="CF1317" s="439"/>
    </row>
    <row r="1318" spans="1:84" s="423" customFormat="1" ht="15" hidden="1" customHeight="1" x14ac:dyDescent="0.25">
      <c r="A1318" s="313"/>
      <c r="B1318" s="340"/>
      <c r="C1318" s="434"/>
      <c r="D1318" s="342"/>
      <c r="E1318" s="342"/>
      <c r="F1318" s="342"/>
      <c r="G1318" s="342"/>
      <c r="H1318" s="342"/>
      <c r="I1318" s="342"/>
      <c r="J1318" s="342"/>
      <c r="K1318" s="342"/>
      <c r="L1318" s="342"/>
      <c r="M1318" s="342"/>
      <c r="N1318" s="342"/>
      <c r="O1318" s="1416"/>
      <c r="P1318" s="1416"/>
      <c r="Q1318" s="1416"/>
      <c r="R1318" s="1416"/>
      <c r="S1318" s="1416"/>
      <c r="T1318" s="1416"/>
      <c r="U1318" s="665"/>
      <c r="V1318" s="1417"/>
      <c r="W1318" s="1417"/>
      <c r="X1318" s="1417"/>
      <c r="Y1318" s="666"/>
      <c r="Z1318" s="1383"/>
      <c r="AA1318" s="1383"/>
      <c r="AB1318" s="1383"/>
      <c r="AC1318" s="1383"/>
      <c r="AD1318" s="1383"/>
      <c r="AE1318" s="1383"/>
      <c r="AF1318" s="665"/>
      <c r="AG1318" s="1413"/>
      <c r="AH1318" s="1413"/>
      <c r="AI1318" s="1413"/>
      <c r="AJ1318" s="342"/>
      <c r="AK1318" s="345"/>
      <c r="AL1318" s="340"/>
      <c r="AM1318" s="667"/>
      <c r="AN1318" s="429"/>
      <c r="AO1318" s="429"/>
      <c r="AP1318" s="429"/>
      <c r="AQ1318" s="429"/>
      <c r="AR1318" s="429"/>
      <c r="AS1318" s="429"/>
      <c r="AT1318" s="429"/>
      <c r="AU1318" s="429"/>
      <c r="AV1318" s="429"/>
      <c r="AW1318" s="429"/>
      <c r="AX1318" s="429"/>
      <c r="AY1318" s="1416"/>
      <c r="AZ1318" s="1416"/>
      <c r="BA1318" s="1416"/>
      <c r="BB1318" s="1416"/>
      <c r="BC1318" s="1416"/>
      <c r="BD1318" s="1416"/>
      <c r="BE1318" s="665"/>
      <c r="BF1318" s="1417"/>
      <c r="BG1318" s="1417"/>
      <c r="BH1318" s="1417"/>
      <c r="BI1318" s="666"/>
      <c r="BJ1318" s="1383"/>
      <c r="BK1318" s="1383"/>
      <c r="BL1318" s="1383"/>
      <c r="BM1318" s="1383"/>
      <c r="BN1318" s="1383"/>
      <c r="BO1318" s="1383"/>
      <c r="BP1318" s="665"/>
      <c r="BQ1318" s="1413"/>
      <c r="BR1318" s="1413"/>
      <c r="BS1318" s="1413"/>
      <c r="BT1318" s="359"/>
      <c r="BU1318" s="346"/>
      <c r="BV1318" s="310"/>
      <c r="BW1318" s="310"/>
      <c r="BX1318" s="300">
        <f t="shared" si="84"/>
        <v>0</v>
      </c>
      <c r="BY1318" s="342"/>
      <c r="BZ1318" s="438"/>
      <c r="CA1318" s="438"/>
      <c r="CB1318" s="439"/>
      <c r="CC1318" s="439"/>
      <c r="CD1318" s="439"/>
      <c r="CE1318" s="439"/>
      <c r="CF1318" s="439"/>
    </row>
    <row r="1319" spans="1:84" s="423" customFormat="1" ht="15" hidden="1" customHeight="1" thickBot="1" x14ac:dyDescent="0.3">
      <c r="A1319" s="313"/>
      <c r="B1319" s="340"/>
      <c r="C1319" s="360" t="s">
        <v>752</v>
      </c>
      <c r="D1319" s="340"/>
      <c r="E1319" s="340"/>
      <c r="F1319" s="340"/>
      <c r="G1319" s="340"/>
      <c r="H1319" s="340"/>
      <c r="I1319" s="340"/>
      <c r="J1319" s="340"/>
      <c r="K1319" s="340"/>
      <c r="L1319" s="340"/>
      <c r="M1319" s="340"/>
      <c r="N1319" s="340"/>
      <c r="O1319" s="1359">
        <f>SUBTOTAL(109,O1314:T1317)</f>
        <v>0</v>
      </c>
      <c r="P1319" s="1359"/>
      <c r="Q1319" s="1359"/>
      <c r="R1319" s="1359"/>
      <c r="S1319" s="1359"/>
      <c r="T1319" s="1359"/>
      <c r="U1319" s="363"/>
      <c r="V1319" s="1414">
        <f>SUM(V1314:X1315)</f>
        <v>0</v>
      </c>
      <c r="W1319" s="1414"/>
      <c r="X1319" s="1414"/>
      <c r="Y1319" s="668"/>
      <c r="Z1319" s="1359">
        <f>SUBTOTAL(109,Z1314:AE1317)</f>
        <v>0</v>
      </c>
      <c r="AA1319" s="1359"/>
      <c r="AB1319" s="1359"/>
      <c r="AC1319" s="1359"/>
      <c r="AD1319" s="1359"/>
      <c r="AE1319" s="1359"/>
      <c r="AF1319" s="363"/>
      <c r="AG1319" s="1414">
        <f>SUM(AG1314:AI1315)</f>
        <v>0</v>
      </c>
      <c r="AH1319" s="1414"/>
      <c r="AI1319" s="1414"/>
      <c r="AJ1319" s="342"/>
      <c r="AK1319" s="345"/>
      <c r="AL1319" s="340"/>
      <c r="AM1319" s="360" t="s">
        <v>753</v>
      </c>
      <c r="AN1319" s="340"/>
      <c r="AO1319" s="340"/>
      <c r="AP1319" s="340"/>
      <c r="AQ1319" s="340"/>
      <c r="AR1319" s="340"/>
      <c r="AS1319" s="340"/>
      <c r="AT1319" s="340"/>
      <c r="AU1319" s="340"/>
      <c r="AV1319" s="340"/>
      <c r="AW1319" s="340"/>
      <c r="AX1319" s="340"/>
      <c r="AY1319" s="1359">
        <f>SUBTOTAL(109,AY1314:BD1317)</f>
        <v>0</v>
      </c>
      <c r="AZ1319" s="1359"/>
      <c r="BA1319" s="1359"/>
      <c r="BB1319" s="1359"/>
      <c r="BC1319" s="1359"/>
      <c r="BD1319" s="1359"/>
      <c r="BE1319" s="363"/>
      <c r="BF1319" s="1415">
        <f>SUM(BF1314:BH1315)</f>
        <v>0</v>
      </c>
      <c r="BG1319" s="1415"/>
      <c r="BH1319" s="1415"/>
      <c r="BI1319" s="668"/>
      <c r="BJ1319" s="1359">
        <f>SUBTOTAL(109,BJ1314:BO1317)</f>
        <v>0</v>
      </c>
      <c r="BK1319" s="1359"/>
      <c r="BL1319" s="1359"/>
      <c r="BM1319" s="1359"/>
      <c r="BN1319" s="1359"/>
      <c r="BO1319" s="1359"/>
      <c r="BP1319" s="363"/>
      <c r="BQ1319" s="1415">
        <f>SUM(BQ1314:BS1315)</f>
        <v>0</v>
      </c>
      <c r="BR1319" s="1415"/>
      <c r="BS1319" s="1415"/>
      <c r="BT1319" s="361"/>
      <c r="BU1319" s="362"/>
      <c r="BV1319" s="310">
        <f>KN_CT411-O1319</f>
        <v>20002050000</v>
      </c>
      <c r="BW1319" s="310">
        <f>KT_CT411-Z1319</f>
        <v>20002050000</v>
      </c>
      <c r="BX1319" s="300">
        <f t="shared" si="84"/>
        <v>0</v>
      </c>
      <c r="BY1319" s="342"/>
      <c r="BZ1319" s="438"/>
      <c r="CA1319" s="438"/>
      <c r="CB1319" s="439"/>
      <c r="CC1319" s="439"/>
      <c r="CD1319" s="439"/>
      <c r="CE1319" s="439"/>
      <c r="CF1319" s="439"/>
    </row>
    <row r="1320" spans="1:84" ht="15" hidden="1" customHeight="1" thickTop="1" x14ac:dyDescent="0.25">
      <c r="A1320" s="313"/>
      <c r="B1320" s="340"/>
      <c r="C1320" s="342"/>
      <c r="D1320" s="342"/>
      <c r="E1320" s="342"/>
      <c r="F1320" s="342"/>
      <c r="G1320" s="342"/>
      <c r="H1320" s="342"/>
      <c r="I1320" s="342"/>
      <c r="J1320" s="342"/>
      <c r="K1320" s="342"/>
      <c r="L1320" s="342"/>
      <c r="M1320" s="342"/>
      <c r="N1320" s="342"/>
      <c r="O1320" s="342"/>
      <c r="P1320" s="342"/>
      <c r="Q1320" s="342"/>
      <c r="R1320" s="342"/>
      <c r="S1320" s="342"/>
      <c r="T1320" s="342"/>
      <c r="U1320" s="342"/>
      <c r="V1320" s="342"/>
      <c r="W1320" s="343"/>
      <c r="X1320" s="343"/>
      <c r="Y1320" s="343"/>
      <c r="Z1320" s="343"/>
      <c r="AA1320" s="343"/>
      <c r="AB1320" s="343"/>
      <c r="AC1320" s="343"/>
      <c r="AD1320" s="343"/>
      <c r="AE1320" s="343"/>
      <c r="AF1320" s="343"/>
      <c r="AG1320" s="343"/>
      <c r="AH1320" s="343"/>
      <c r="AI1320" s="343"/>
      <c r="AJ1320" s="344"/>
      <c r="AK1320" s="345"/>
      <c r="AL1320" s="340"/>
      <c r="AM1320" s="342"/>
      <c r="AN1320" s="342"/>
      <c r="AO1320" s="342"/>
      <c r="AP1320" s="342"/>
      <c r="AQ1320" s="342"/>
      <c r="AR1320" s="342"/>
      <c r="AS1320" s="342"/>
      <c r="AT1320" s="342"/>
      <c r="AU1320" s="342"/>
      <c r="AV1320" s="342"/>
      <c r="AW1320" s="342"/>
      <c r="AX1320" s="342"/>
      <c r="AY1320" s="342"/>
      <c r="AZ1320" s="342"/>
      <c r="BA1320" s="342"/>
      <c r="BB1320" s="342"/>
      <c r="BC1320" s="342"/>
      <c r="BD1320" s="342"/>
      <c r="BE1320" s="342"/>
      <c r="BF1320" s="342"/>
      <c r="BG1320" s="342"/>
      <c r="BH1320" s="342"/>
      <c r="BI1320" s="342"/>
      <c r="BJ1320" s="342"/>
      <c r="BK1320" s="342"/>
      <c r="BL1320" s="342"/>
      <c r="BM1320" s="342"/>
      <c r="BN1320" s="342"/>
      <c r="BO1320" s="342"/>
      <c r="BP1320" s="342"/>
      <c r="BQ1320" s="342"/>
      <c r="BR1320" s="342"/>
      <c r="BS1320" s="342"/>
      <c r="BT1320" s="342"/>
      <c r="BU1320" s="346"/>
      <c r="BV1320" s="310"/>
      <c r="BW1320" s="310"/>
      <c r="BX1320" s="291">
        <f t="shared" si="84"/>
        <v>0</v>
      </c>
      <c r="BY1320" s="344"/>
      <c r="BZ1320" s="347"/>
      <c r="CA1320" s="347"/>
    </row>
    <row r="1321" spans="1:84" ht="42.95" hidden="1" customHeight="1" x14ac:dyDescent="0.25">
      <c r="A1321" s="313"/>
      <c r="B1321" s="340"/>
      <c r="C1321" s="1297" t="s">
        <v>1406</v>
      </c>
      <c r="D1321" s="1297"/>
      <c r="E1321" s="1297"/>
      <c r="F1321" s="1297"/>
      <c r="G1321" s="1297"/>
      <c r="H1321" s="1297"/>
      <c r="I1321" s="1297"/>
      <c r="J1321" s="1297"/>
      <c r="K1321" s="1297"/>
      <c r="L1321" s="1297"/>
      <c r="M1321" s="1297"/>
      <c r="N1321" s="1297"/>
      <c r="O1321" s="1297"/>
      <c r="P1321" s="1297"/>
      <c r="Q1321" s="1297"/>
      <c r="R1321" s="1297"/>
      <c r="S1321" s="1297"/>
      <c r="T1321" s="1297"/>
      <c r="U1321" s="1297"/>
      <c r="V1321" s="1297"/>
      <c r="W1321" s="1297"/>
      <c r="X1321" s="1297"/>
      <c r="Y1321" s="1297"/>
      <c r="Z1321" s="1297"/>
      <c r="AA1321" s="1297"/>
      <c r="AB1321" s="1297"/>
      <c r="AC1321" s="1297"/>
      <c r="AD1321" s="1297"/>
      <c r="AE1321" s="1297"/>
      <c r="AF1321" s="1297"/>
      <c r="AG1321" s="1297"/>
      <c r="AH1321" s="1297"/>
      <c r="AI1321" s="1297"/>
      <c r="AJ1321" s="344"/>
      <c r="AK1321" s="345"/>
      <c r="AL1321" s="340"/>
      <c r="AM1321" s="1297" t="s">
        <v>1407</v>
      </c>
      <c r="AN1321" s="1297"/>
      <c r="AO1321" s="1297"/>
      <c r="AP1321" s="1297"/>
      <c r="AQ1321" s="1297"/>
      <c r="AR1321" s="1297"/>
      <c r="AS1321" s="1297"/>
      <c r="AT1321" s="1297"/>
      <c r="AU1321" s="1297"/>
      <c r="AV1321" s="1297"/>
      <c r="AW1321" s="1297"/>
      <c r="AX1321" s="1297"/>
      <c r="AY1321" s="1297"/>
      <c r="AZ1321" s="1297"/>
      <c r="BA1321" s="1297"/>
      <c r="BB1321" s="1297"/>
      <c r="BC1321" s="1297"/>
      <c r="BD1321" s="1297"/>
      <c r="BE1321" s="1297"/>
      <c r="BF1321" s="1297"/>
      <c r="BG1321" s="1297"/>
      <c r="BH1321" s="1297"/>
      <c r="BI1321" s="1297"/>
      <c r="BJ1321" s="1297"/>
      <c r="BK1321" s="1297"/>
      <c r="BL1321" s="1297"/>
      <c r="BM1321" s="1297"/>
      <c r="BN1321" s="1297"/>
      <c r="BO1321" s="1297"/>
      <c r="BP1321" s="1297"/>
      <c r="BQ1321" s="1297"/>
      <c r="BR1321" s="1297"/>
      <c r="BS1321" s="1297"/>
      <c r="BT1321" s="389"/>
      <c r="BU1321" s="357"/>
      <c r="BV1321" s="310"/>
      <c r="BW1321" s="310"/>
      <c r="BX1321" s="291">
        <f t="shared" si="84"/>
        <v>0</v>
      </c>
      <c r="BY1321" s="344"/>
      <c r="BZ1321" s="347"/>
      <c r="CA1321" s="347"/>
    </row>
    <row r="1322" spans="1:84" ht="15" hidden="1" customHeight="1" x14ac:dyDescent="0.25">
      <c r="A1322" s="313"/>
      <c r="B1322" s="340"/>
      <c r="C1322" s="427" t="s">
        <v>1408</v>
      </c>
      <c r="D1322" s="342"/>
      <c r="E1322" s="342"/>
      <c r="F1322" s="342"/>
      <c r="G1322" s="342"/>
      <c r="H1322" s="342"/>
      <c r="I1322" s="342"/>
      <c r="J1322" s="342"/>
      <c r="K1322" s="342"/>
      <c r="L1322" s="342"/>
      <c r="M1322" s="342"/>
      <c r="N1322" s="342"/>
      <c r="O1322" s="342"/>
      <c r="P1322" s="342"/>
      <c r="Q1322" s="342"/>
      <c r="R1322" s="342"/>
      <c r="S1322" s="342"/>
      <c r="T1322" s="342"/>
      <c r="U1322" s="342"/>
      <c r="V1322" s="342"/>
      <c r="W1322" s="343"/>
      <c r="X1322" s="343"/>
      <c r="Y1322" s="343"/>
      <c r="Z1322" s="343"/>
      <c r="AA1322" s="343"/>
      <c r="AB1322" s="343"/>
      <c r="AC1322" s="343"/>
      <c r="AD1322" s="343"/>
      <c r="AE1322" s="343"/>
      <c r="AF1322" s="343"/>
      <c r="AG1322" s="343"/>
      <c r="AH1322" s="343"/>
      <c r="AI1322" s="343"/>
      <c r="AJ1322" s="344"/>
      <c r="AK1322" s="345"/>
      <c r="AL1322" s="340"/>
      <c r="AM1322" s="427" t="s">
        <v>1408</v>
      </c>
      <c r="AN1322" s="342"/>
      <c r="AO1322" s="342"/>
      <c r="AP1322" s="342"/>
      <c r="AQ1322" s="342"/>
      <c r="AR1322" s="342"/>
      <c r="AS1322" s="342"/>
      <c r="AT1322" s="342"/>
      <c r="AU1322" s="342"/>
      <c r="AV1322" s="342"/>
      <c r="AW1322" s="342"/>
      <c r="AX1322" s="342"/>
      <c r="AY1322" s="342"/>
      <c r="AZ1322" s="342"/>
      <c r="BA1322" s="342"/>
      <c r="BB1322" s="342"/>
      <c r="BC1322" s="342"/>
      <c r="BD1322" s="342"/>
      <c r="BE1322" s="342"/>
      <c r="BF1322" s="342"/>
      <c r="BG1322" s="342"/>
      <c r="BH1322" s="342"/>
      <c r="BI1322" s="342"/>
      <c r="BJ1322" s="342"/>
      <c r="BK1322" s="342"/>
      <c r="BL1322" s="342"/>
      <c r="BM1322" s="342"/>
      <c r="BN1322" s="342"/>
      <c r="BO1322" s="342"/>
      <c r="BP1322" s="342"/>
      <c r="BQ1322" s="342"/>
      <c r="BR1322" s="342"/>
      <c r="BS1322" s="342"/>
      <c r="BT1322" s="342"/>
      <c r="BU1322" s="346"/>
      <c r="BV1322" s="310"/>
      <c r="BW1322" s="310"/>
      <c r="BX1322" s="291">
        <f t="shared" si="84"/>
        <v>0</v>
      </c>
      <c r="BY1322" s="344"/>
      <c r="BZ1322" s="347"/>
      <c r="CA1322" s="347"/>
    </row>
    <row r="1323" spans="1:84" ht="15" hidden="1" customHeight="1" x14ac:dyDescent="0.25">
      <c r="A1323" s="313"/>
      <c r="B1323" s="340"/>
      <c r="C1323" s="342"/>
      <c r="D1323" s="342"/>
      <c r="E1323" s="342"/>
      <c r="F1323" s="342"/>
      <c r="G1323" s="342"/>
      <c r="H1323" s="342"/>
      <c r="I1323" s="1410" t="s">
        <v>1409</v>
      </c>
      <c r="J1323" s="1410"/>
      <c r="K1323" s="1410"/>
      <c r="L1323" s="1410"/>
      <c r="M1323" s="1410"/>
      <c r="N1323" s="1410"/>
      <c r="O1323" s="1410"/>
      <c r="P1323" s="1410"/>
      <c r="Q1323" s="1410"/>
      <c r="R1323" s="342"/>
      <c r="S1323" s="1410" t="s">
        <v>1410</v>
      </c>
      <c r="T1323" s="1410"/>
      <c r="U1323" s="1410"/>
      <c r="V1323" s="1410"/>
      <c r="W1323" s="1410"/>
      <c r="X1323" s="1410"/>
      <c r="Y1323" s="1410"/>
      <c r="Z1323" s="1410"/>
      <c r="AA1323" s="343"/>
      <c r="AB1323" s="1410" t="s">
        <v>1411</v>
      </c>
      <c r="AC1323" s="1410"/>
      <c r="AD1323" s="1410"/>
      <c r="AE1323" s="1410"/>
      <c r="AF1323" s="1410"/>
      <c r="AG1323" s="1410"/>
      <c r="AH1323" s="1410"/>
      <c r="AI1323" s="1410"/>
      <c r="AJ1323" s="344"/>
      <c r="AK1323" s="345"/>
      <c r="AL1323" s="340"/>
      <c r="AM1323" s="342"/>
      <c r="AN1323" s="342"/>
      <c r="AO1323" s="342"/>
      <c r="AP1323" s="342"/>
      <c r="AQ1323" s="342"/>
      <c r="AR1323" s="342"/>
      <c r="AS1323" s="1410" t="s">
        <v>1412</v>
      </c>
      <c r="AT1323" s="1410"/>
      <c r="AU1323" s="1410"/>
      <c r="AV1323" s="1410"/>
      <c r="AW1323" s="1410"/>
      <c r="AX1323" s="1410"/>
      <c r="AY1323" s="1410"/>
      <c r="AZ1323" s="1410"/>
      <c r="BA1323" s="1410"/>
      <c r="BB1323" s="342"/>
      <c r="BC1323" s="1410" t="s">
        <v>1413</v>
      </c>
      <c r="BD1323" s="1410"/>
      <c r="BE1323" s="1410"/>
      <c r="BF1323" s="1410"/>
      <c r="BG1323" s="1410"/>
      <c r="BH1323" s="1410"/>
      <c r="BI1323" s="1410"/>
      <c r="BJ1323" s="1410"/>
      <c r="BK1323" s="343"/>
      <c r="BL1323" s="671"/>
      <c r="BM1323" s="671"/>
      <c r="BN1323" s="671"/>
      <c r="BO1323" s="671"/>
      <c r="BP1323" s="671"/>
      <c r="BQ1323" s="671"/>
      <c r="BR1323" s="671"/>
      <c r="BS1323" s="672" t="s">
        <v>1414</v>
      </c>
      <c r="BT1323" s="342"/>
      <c r="BU1323" s="346"/>
      <c r="BV1323" s="310"/>
      <c r="BW1323" s="310"/>
      <c r="BX1323" s="291">
        <f t="shared" si="84"/>
        <v>0</v>
      </c>
      <c r="BY1323" s="344"/>
      <c r="BZ1323" s="347"/>
      <c r="CA1323" s="347"/>
    </row>
    <row r="1324" spans="1:84" ht="27.95" hidden="1" customHeight="1" x14ac:dyDescent="0.25">
      <c r="A1324" s="313"/>
      <c r="B1324" s="340"/>
      <c r="C1324" s="1335" t="s">
        <v>1415</v>
      </c>
      <c r="D1324" s="1335"/>
      <c r="E1324" s="1335"/>
      <c r="F1324" s="1335"/>
      <c r="G1324" s="1335"/>
      <c r="H1324" s="342"/>
      <c r="I1324" s="1412" t="s">
        <v>1416</v>
      </c>
      <c r="J1324" s="1412"/>
      <c r="K1324" s="1412"/>
      <c r="L1324" s="1412"/>
      <c r="M1324" s="1412"/>
      <c r="N1324" s="1412"/>
      <c r="O1324" s="342"/>
      <c r="P1324" s="1410" t="s">
        <v>1375</v>
      </c>
      <c r="Q1324" s="1410"/>
      <c r="R1324" s="342"/>
      <c r="S1324" s="1409" t="s">
        <v>1376</v>
      </c>
      <c r="T1324" s="1409"/>
      <c r="U1324" s="1409"/>
      <c r="V1324" s="1409"/>
      <c r="W1324" s="1409"/>
      <c r="X1324" s="343"/>
      <c r="Y1324" s="1410" t="s">
        <v>1375</v>
      </c>
      <c r="Z1324" s="1410"/>
      <c r="AA1324" s="343"/>
      <c r="AB1324" s="1409" t="s">
        <v>1376</v>
      </c>
      <c r="AC1324" s="1409"/>
      <c r="AD1324" s="1409"/>
      <c r="AE1324" s="1409"/>
      <c r="AF1324" s="1409"/>
      <c r="AG1324" s="343"/>
      <c r="AH1324" s="1410" t="s">
        <v>1375</v>
      </c>
      <c r="AI1324" s="1410"/>
      <c r="AJ1324" s="344"/>
      <c r="AK1324" s="345"/>
      <c r="AL1324" s="340"/>
      <c r="AM1324" s="1335" t="s">
        <v>1417</v>
      </c>
      <c r="AN1324" s="1335"/>
      <c r="AO1324" s="1335"/>
      <c r="AP1324" s="1335"/>
      <c r="AQ1324" s="1335"/>
      <c r="AR1324" s="1307" t="s">
        <v>1418</v>
      </c>
      <c r="AS1324" s="1307"/>
      <c r="AT1324" s="1307"/>
      <c r="AU1324" s="1307"/>
      <c r="AV1324" s="1307"/>
      <c r="AW1324" s="1307"/>
      <c r="AX1324" s="1307"/>
      <c r="AY1324" s="1307"/>
      <c r="AZ1324" s="1410" t="s">
        <v>1377</v>
      </c>
      <c r="BA1324" s="1410"/>
      <c r="BB1324" s="342"/>
      <c r="BC1324" s="1409" t="s">
        <v>841</v>
      </c>
      <c r="BD1324" s="1409"/>
      <c r="BE1324" s="1409"/>
      <c r="BF1324" s="1409"/>
      <c r="BG1324" s="1409"/>
      <c r="BH1324" s="343"/>
      <c r="BI1324" s="1410" t="s">
        <v>1377</v>
      </c>
      <c r="BJ1324" s="1410"/>
      <c r="BK1324" s="343"/>
      <c r="BL1324" s="1409" t="s">
        <v>841</v>
      </c>
      <c r="BM1324" s="1409"/>
      <c r="BN1324" s="1409"/>
      <c r="BO1324" s="1409"/>
      <c r="BP1324" s="1409"/>
      <c r="BQ1324" s="343"/>
      <c r="BR1324" s="1410" t="s">
        <v>1377</v>
      </c>
      <c r="BS1324" s="1410"/>
      <c r="BT1324" s="342"/>
      <c r="BU1324" s="346"/>
      <c r="BV1324" s="310"/>
      <c r="BW1324" s="310"/>
      <c r="BX1324" s="291">
        <f t="shared" si="84"/>
        <v>0</v>
      </c>
      <c r="BY1324" s="344"/>
      <c r="BZ1324" s="347"/>
      <c r="CA1324" s="347"/>
    </row>
    <row r="1325" spans="1:84" ht="15" hidden="1" customHeight="1" x14ac:dyDescent="0.25">
      <c r="A1325" s="313"/>
      <c r="B1325" s="340"/>
      <c r="C1325" s="342"/>
      <c r="D1325" s="342"/>
      <c r="E1325" s="342"/>
      <c r="F1325" s="342"/>
      <c r="G1325" s="342"/>
      <c r="H1325" s="342"/>
      <c r="I1325" s="1406" t="s">
        <v>1118</v>
      </c>
      <c r="J1325" s="1406"/>
      <c r="K1325" s="1406"/>
      <c r="L1325" s="1406"/>
      <c r="M1325" s="1406"/>
      <c r="N1325" s="1406"/>
      <c r="O1325" s="342"/>
      <c r="P1325" s="1411" t="s">
        <v>1116</v>
      </c>
      <c r="Q1325" s="1411"/>
      <c r="R1325" s="342"/>
      <c r="S1325" s="1406" t="str">
        <f>Don_Vi_Tinh_V</f>
        <v>VND</v>
      </c>
      <c r="T1325" s="1406"/>
      <c r="U1325" s="1406"/>
      <c r="V1325" s="1406"/>
      <c r="W1325" s="1406"/>
      <c r="X1325" s="343"/>
      <c r="Y1325" s="1407" t="s">
        <v>1116</v>
      </c>
      <c r="Z1325" s="1408"/>
      <c r="AA1325" s="343"/>
      <c r="AB1325" s="1406" t="str">
        <f>Don_Vi_Tinh_V</f>
        <v>VND</v>
      </c>
      <c r="AC1325" s="1406"/>
      <c r="AD1325" s="1406"/>
      <c r="AE1325" s="1406"/>
      <c r="AF1325" s="1406"/>
      <c r="AG1325" s="343"/>
      <c r="AH1325" s="1407" t="s">
        <v>1116</v>
      </c>
      <c r="AI1325" s="1408"/>
      <c r="AJ1325" s="344"/>
      <c r="AK1325" s="345"/>
      <c r="AL1325" s="340"/>
      <c r="AM1325" s="342"/>
      <c r="AN1325" s="342"/>
      <c r="AO1325" s="342"/>
      <c r="AP1325" s="342"/>
      <c r="AQ1325" s="342"/>
      <c r="AR1325" s="342"/>
      <c r="AS1325" s="1406" t="str">
        <f>I1325</f>
        <v>USD</v>
      </c>
      <c r="AT1325" s="1406"/>
      <c r="AU1325" s="1406"/>
      <c r="AV1325" s="1406"/>
      <c r="AW1325" s="1406"/>
      <c r="AX1325" s="1406"/>
      <c r="AY1325" s="342"/>
      <c r="AZ1325" s="1411" t="s">
        <v>1116</v>
      </c>
      <c r="BA1325" s="1411"/>
      <c r="BB1325" s="342"/>
      <c r="BC1325" s="1406" t="str">
        <f>Don_Vi_Tinh_E</f>
        <v>VND</v>
      </c>
      <c r="BD1325" s="1406"/>
      <c r="BE1325" s="1406"/>
      <c r="BF1325" s="1406"/>
      <c r="BG1325" s="1406"/>
      <c r="BH1325" s="343"/>
      <c r="BI1325" s="1407" t="s">
        <v>1116</v>
      </c>
      <c r="BJ1325" s="1408"/>
      <c r="BK1325" s="343"/>
      <c r="BL1325" s="1406" t="str">
        <f>Don_Vi_Tinh_E</f>
        <v>VND</v>
      </c>
      <c r="BM1325" s="1406"/>
      <c r="BN1325" s="1406"/>
      <c r="BO1325" s="1406"/>
      <c r="BP1325" s="1406"/>
      <c r="BQ1325" s="343"/>
      <c r="BR1325" s="1407" t="s">
        <v>1116</v>
      </c>
      <c r="BS1325" s="1408"/>
      <c r="BT1325" s="342"/>
      <c r="BU1325" s="346"/>
      <c r="BV1325" s="310"/>
      <c r="BW1325" s="310"/>
      <c r="BX1325" s="291">
        <f t="shared" si="84"/>
        <v>0</v>
      </c>
      <c r="BY1325" s="344"/>
      <c r="BZ1325" s="347"/>
      <c r="CA1325" s="347"/>
    </row>
    <row r="1326" spans="1:84" ht="15" hidden="1" customHeight="1" x14ac:dyDescent="0.25">
      <c r="A1326" s="313"/>
      <c r="B1326" s="340"/>
      <c r="C1326" s="342"/>
      <c r="D1326" s="342"/>
      <c r="E1326" s="342"/>
      <c r="F1326" s="342"/>
      <c r="G1326" s="342"/>
      <c r="H1326" s="342"/>
      <c r="I1326" s="1363"/>
      <c r="J1326" s="1363"/>
      <c r="K1326" s="1363"/>
      <c r="L1326" s="1363"/>
      <c r="M1326" s="1363"/>
      <c r="N1326" s="1363"/>
      <c r="O1326" s="342"/>
      <c r="P1326" s="1363"/>
      <c r="Q1326" s="1363"/>
      <c r="R1326" s="358"/>
      <c r="S1326" s="1363"/>
      <c r="T1326" s="1363"/>
      <c r="U1326" s="1363"/>
      <c r="V1326" s="1363"/>
      <c r="W1326" s="1363"/>
      <c r="X1326" s="355"/>
      <c r="Y1326" s="1318"/>
      <c r="Z1326" s="1318"/>
      <c r="AA1326" s="355"/>
      <c r="AB1326" s="1318"/>
      <c r="AC1326" s="1318"/>
      <c r="AD1326" s="1318"/>
      <c r="AE1326" s="1318"/>
      <c r="AF1326" s="1318"/>
      <c r="AG1326" s="355"/>
      <c r="AH1326" s="1318"/>
      <c r="AI1326" s="1318"/>
      <c r="AJ1326" s="344"/>
      <c r="AK1326" s="345"/>
      <c r="AL1326" s="340"/>
      <c r="AM1326" s="342"/>
      <c r="AN1326" s="342"/>
      <c r="AO1326" s="342"/>
      <c r="AP1326" s="342"/>
      <c r="AQ1326" s="342"/>
      <c r="AR1326" s="342"/>
      <c r="AS1326" s="1363"/>
      <c r="AT1326" s="1363"/>
      <c r="AU1326" s="1363"/>
      <c r="AV1326" s="1363"/>
      <c r="AW1326" s="1363"/>
      <c r="AX1326" s="1363"/>
      <c r="AY1326" s="342"/>
      <c r="AZ1326" s="1363"/>
      <c r="BA1326" s="1363"/>
      <c r="BB1326" s="358"/>
      <c r="BC1326" s="1363"/>
      <c r="BD1326" s="1363"/>
      <c r="BE1326" s="1363"/>
      <c r="BF1326" s="1363"/>
      <c r="BG1326" s="1363"/>
      <c r="BH1326" s="355"/>
      <c r="BI1326" s="1318"/>
      <c r="BJ1326" s="1318"/>
      <c r="BK1326" s="355"/>
      <c r="BL1326" s="1318"/>
      <c r="BM1326" s="1318"/>
      <c r="BN1326" s="1318"/>
      <c r="BO1326" s="1318"/>
      <c r="BP1326" s="1318"/>
      <c r="BQ1326" s="355"/>
      <c r="BR1326" s="1318"/>
      <c r="BS1326" s="1318"/>
      <c r="BT1326" s="342"/>
      <c r="BU1326" s="346"/>
      <c r="BV1326" s="310"/>
      <c r="BW1326" s="310"/>
      <c r="BX1326" s="291">
        <f t="shared" si="84"/>
        <v>0</v>
      </c>
      <c r="BY1326" s="344"/>
      <c r="BZ1326" s="347"/>
      <c r="CA1326" s="347"/>
    </row>
    <row r="1327" spans="1:84" ht="15" hidden="1" customHeight="1" x14ac:dyDescent="0.25">
      <c r="A1327" s="313"/>
      <c r="B1327" s="340"/>
      <c r="C1327" s="342" t="s">
        <v>1419</v>
      </c>
      <c r="D1327" s="342"/>
      <c r="E1327" s="342"/>
      <c r="F1327" s="342"/>
      <c r="G1327" s="342"/>
      <c r="H1327" s="342"/>
      <c r="I1327" s="1363">
        <v>0</v>
      </c>
      <c r="J1327" s="1363"/>
      <c r="K1327" s="1363"/>
      <c r="L1327" s="1363"/>
      <c r="M1327" s="1363"/>
      <c r="N1327" s="1363"/>
      <c r="O1327" s="342"/>
      <c r="P1327" s="1404">
        <f>IF($I$1330&lt;&gt;0,I1327/$I$1330*100,0)</f>
        <v>0</v>
      </c>
      <c r="Q1327" s="1404"/>
      <c r="R1327" s="358"/>
      <c r="S1327" s="1363">
        <v>0</v>
      </c>
      <c r="T1327" s="1363"/>
      <c r="U1327" s="1363"/>
      <c r="V1327" s="1363"/>
      <c r="W1327" s="1363"/>
      <c r="X1327" s="355"/>
      <c r="Y1327" s="1405">
        <f>IF($S$1330&lt;&gt;0,S1327/$S$1330*100,0)</f>
        <v>0</v>
      </c>
      <c r="Z1327" s="1405"/>
      <c r="AA1327" s="355"/>
      <c r="AB1327" s="1318">
        <f>I1327-S1327</f>
        <v>0</v>
      </c>
      <c r="AC1327" s="1318"/>
      <c r="AD1327" s="1318"/>
      <c r="AE1327" s="1318"/>
      <c r="AF1327" s="1318"/>
      <c r="AG1327" s="355"/>
      <c r="AH1327" s="1405">
        <f>IF($AB$1330&lt;&gt;0,AB1327/$AB$1330*100,0)</f>
        <v>0</v>
      </c>
      <c r="AI1327" s="1405"/>
      <c r="AJ1327" s="344"/>
      <c r="AK1327" s="345"/>
      <c r="AL1327" s="340"/>
      <c r="AM1327" s="342" t="s">
        <v>1420</v>
      </c>
      <c r="AN1327" s="342"/>
      <c r="AO1327" s="342"/>
      <c r="AP1327" s="342"/>
      <c r="AQ1327" s="342"/>
      <c r="AR1327" s="342"/>
      <c r="AS1327" s="1363">
        <f>I1327</f>
        <v>0</v>
      </c>
      <c r="AT1327" s="1363"/>
      <c r="AU1327" s="1363"/>
      <c r="AV1327" s="1363"/>
      <c r="AW1327" s="1363"/>
      <c r="AX1327" s="1363"/>
      <c r="AY1327" s="342"/>
      <c r="AZ1327" s="1404">
        <f>P1327</f>
        <v>0</v>
      </c>
      <c r="BA1327" s="1404"/>
      <c r="BB1327" s="358"/>
      <c r="BC1327" s="1363">
        <f>S1327</f>
        <v>0</v>
      </c>
      <c r="BD1327" s="1363"/>
      <c r="BE1327" s="1363"/>
      <c r="BF1327" s="1363"/>
      <c r="BG1327" s="1363"/>
      <c r="BH1327" s="355"/>
      <c r="BI1327" s="1405">
        <f>Y1327</f>
        <v>0</v>
      </c>
      <c r="BJ1327" s="1405"/>
      <c r="BK1327" s="355"/>
      <c r="BL1327" s="1318">
        <f>AB1327</f>
        <v>0</v>
      </c>
      <c r="BM1327" s="1318"/>
      <c r="BN1327" s="1318"/>
      <c r="BO1327" s="1318"/>
      <c r="BP1327" s="1318"/>
      <c r="BQ1327" s="355"/>
      <c r="BR1327" s="1405">
        <f>AH1327</f>
        <v>0</v>
      </c>
      <c r="BS1327" s="1405"/>
      <c r="BT1327" s="342"/>
      <c r="BU1327" s="346"/>
      <c r="BV1327" s="310"/>
      <c r="BW1327" s="310"/>
      <c r="BX1327" s="291">
        <f t="shared" si="84"/>
        <v>0</v>
      </c>
      <c r="BY1327" s="344"/>
      <c r="BZ1327" s="347"/>
      <c r="CA1327" s="347"/>
    </row>
    <row r="1328" spans="1:84" ht="15" hidden="1" customHeight="1" x14ac:dyDescent="0.25">
      <c r="A1328" s="313"/>
      <c r="B1328" s="340"/>
      <c r="C1328" s="342" t="s">
        <v>1421</v>
      </c>
      <c r="D1328" s="342"/>
      <c r="E1328" s="342"/>
      <c r="F1328" s="342"/>
      <c r="G1328" s="342"/>
      <c r="H1328" s="342"/>
      <c r="I1328" s="1363">
        <v>0</v>
      </c>
      <c r="J1328" s="1363"/>
      <c r="K1328" s="1363"/>
      <c r="L1328" s="1363"/>
      <c r="M1328" s="1363"/>
      <c r="N1328" s="1363"/>
      <c r="O1328" s="342"/>
      <c r="P1328" s="1404">
        <f>IF($I$1330&lt;&gt;0,I1328/$I$1330*100,0)</f>
        <v>0</v>
      </c>
      <c r="Q1328" s="1404"/>
      <c r="R1328" s="358"/>
      <c r="S1328" s="1363">
        <v>0</v>
      </c>
      <c r="T1328" s="1363"/>
      <c r="U1328" s="1363"/>
      <c r="V1328" s="1363"/>
      <c r="W1328" s="1363"/>
      <c r="X1328" s="355"/>
      <c r="Y1328" s="1405">
        <f>IF($S$1330&lt;&gt;0,S1328/$S$1330*100,0)</f>
        <v>0</v>
      </c>
      <c r="Z1328" s="1405"/>
      <c r="AA1328" s="355"/>
      <c r="AB1328" s="1318">
        <f>I1328-S1328</f>
        <v>0</v>
      </c>
      <c r="AC1328" s="1318"/>
      <c r="AD1328" s="1318"/>
      <c r="AE1328" s="1318"/>
      <c r="AF1328" s="1318"/>
      <c r="AG1328" s="355"/>
      <c r="AH1328" s="1405">
        <f>IF($AB$1330&lt;&gt;0,AB1328/$AB$1330*100,0)</f>
        <v>0</v>
      </c>
      <c r="AI1328" s="1405"/>
      <c r="AJ1328" s="344"/>
      <c r="AK1328" s="345"/>
      <c r="AL1328" s="340"/>
      <c r="AM1328" s="342" t="s">
        <v>1422</v>
      </c>
      <c r="AN1328" s="342"/>
      <c r="AO1328" s="342"/>
      <c r="AP1328" s="342"/>
      <c r="AQ1328" s="342"/>
      <c r="AR1328" s="342"/>
      <c r="AS1328" s="1363">
        <f>I1328</f>
        <v>0</v>
      </c>
      <c r="AT1328" s="1363"/>
      <c r="AU1328" s="1363"/>
      <c r="AV1328" s="1363"/>
      <c r="AW1328" s="1363"/>
      <c r="AX1328" s="1363"/>
      <c r="AY1328" s="342"/>
      <c r="AZ1328" s="1404">
        <f>P1328</f>
        <v>0</v>
      </c>
      <c r="BA1328" s="1404"/>
      <c r="BB1328" s="358"/>
      <c r="BC1328" s="1363">
        <f>S1328</f>
        <v>0</v>
      </c>
      <c r="BD1328" s="1363"/>
      <c r="BE1328" s="1363"/>
      <c r="BF1328" s="1363"/>
      <c r="BG1328" s="1363"/>
      <c r="BH1328" s="355"/>
      <c r="BI1328" s="1405">
        <f>Y1328</f>
        <v>0</v>
      </c>
      <c r="BJ1328" s="1405"/>
      <c r="BK1328" s="355"/>
      <c r="BL1328" s="1318">
        <f>AB1328</f>
        <v>0</v>
      </c>
      <c r="BM1328" s="1318"/>
      <c r="BN1328" s="1318"/>
      <c r="BO1328" s="1318"/>
      <c r="BP1328" s="1318"/>
      <c r="BQ1328" s="355"/>
      <c r="BR1328" s="1405">
        <f>AH1328</f>
        <v>0</v>
      </c>
      <c r="BS1328" s="1405"/>
      <c r="BT1328" s="342"/>
      <c r="BU1328" s="346"/>
      <c r="BV1328" s="310"/>
      <c r="BW1328" s="310"/>
      <c r="BX1328" s="291">
        <f t="shared" si="84"/>
        <v>0</v>
      </c>
      <c r="BY1328" s="344"/>
      <c r="BZ1328" s="347"/>
      <c r="CA1328" s="347"/>
    </row>
    <row r="1329" spans="1:79" ht="15" hidden="1" customHeight="1" x14ac:dyDescent="0.25">
      <c r="A1329" s="313"/>
      <c r="B1329" s="340"/>
      <c r="C1329" s="342"/>
      <c r="D1329" s="342"/>
      <c r="E1329" s="342"/>
      <c r="F1329" s="342"/>
      <c r="G1329" s="342"/>
      <c r="H1329" s="342"/>
      <c r="I1329" s="1363"/>
      <c r="J1329" s="1363"/>
      <c r="K1329" s="1363"/>
      <c r="L1329" s="1363"/>
      <c r="M1329" s="1363"/>
      <c r="N1329" s="1363"/>
      <c r="O1329" s="342"/>
      <c r="P1329" s="1318"/>
      <c r="Q1329" s="1318"/>
      <c r="R1329" s="358"/>
      <c r="S1329" s="1363"/>
      <c r="T1329" s="1363"/>
      <c r="U1329" s="1363"/>
      <c r="V1329" s="1363"/>
      <c r="W1329" s="1363"/>
      <c r="X1329" s="355"/>
      <c r="Y1329" s="1318"/>
      <c r="Z1329" s="1318"/>
      <c r="AA1329" s="355"/>
      <c r="AB1329" s="1318"/>
      <c r="AC1329" s="1318"/>
      <c r="AD1329" s="1318"/>
      <c r="AE1329" s="1318"/>
      <c r="AF1329" s="1318"/>
      <c r="AG1329" s="355"/>
      <c r="AH1329" s="1318"/>
      <c r="AI1329" s="1318"/>
      <c r="AJ1329" s="344"/>
      <c r="AK1329" s="345"/>
      <c r="AL1329" s="340"/>
      <c r="AM1329" s="342"/>
      <c r="AN1329" s="342"/>
      <c r="AO1329" s="342"/>
      <c r="AP1329" s="342"/>
      <c r="AQ1329" s="342"/>
      <c r="AR1329" s="342"/>
      <c r="AS1329" s="1363"/>
      <c r="AT1329" s="1363"/>
      <c r="AU1329" s="1363"/>
      <c r="AV1329" s="1363"/>
      <c r="AW1329" s="1363"/>
      <c r="AX1329" s="1363"/>
      <c r="AY1329" s="342"/>
      <c r="AZ1329" s="1318"/>
      <c r="BA1329" s="1318"/>
      <c r="BB1329" s="358"/>
      <c r="BC1329" s="1363"/>
      <c r="BD1329" s="1363"/>
      <c r="BE1329" s="1363"/>
      <c r="BF1329" s="1363"/>
      <c r="BG1329" s="1363"/>
      <c r="BH1329" s="355"/>
      <c r="BI1329" s="1318"/>
      <c r="BJ1329" s="1318"/>
      <c r="BK1329" s="355"/>
      <c r="BL1329" s="1318"/>
      <c r="BM1329" s="1318"/>
      <c r="BN1329" s="1318"/>
      <c r="BO1329" s="1318"/>
      <c r="BP1329" s="1318"/>
      <c r="BQ1329" s="355"/>
      <c r="BR1329" s="1318"/>
      <c r="BS1329" s="1318"/>
      <c r="BT1329" s="342"/>
      <c r="BU1329" s="346"/>
      <c r="BV1329" s="310"/>
      <c r="BW1329" s="310"/>
      <c r="BX1329" s="291">
        <f t="shared" si="84"/>
        <v>0</v>
      </c>
      <c r="BY1329" s="344"/>
      <c r="BZ1329" s="347"/>
      <c r="CA1329" s="347"/>
    </row>
    <row r="1330" spans="1:79" ht="15" hidden="1" customHeight="1" thickBot="1" x14ac:dyDescent="0.3">
      <c r="A1330" s="313"/>
      <c r="B1330" s="340"/>
      <c r="C1330" s="360" t="s">
        <v>752</v>
      </c>
      <c r="D1330" s="342"/>
      <c r="E1330" s="342"/>
      <c r="F1330" s="342"/>
      <c r="G1330" s="342"/>
      <c r="H1330" s="342"/>
      <c r="I1330" s="1359">
        <f>SUBTOTAL(109,I1326:N1329)</f>
        <v>0</v>
      </c>
      <c r="J1330" s="1359"/>
      <c r="K1330" s="1359"/>
      <c r="L1330" s="1359"/>
      <c r="M1330" s="1359"/>
      <c r="N1330" s="1359"/>
      <c r="O1330" s="342"/>
      <c r="P1330" s="1359">
        <f>SUBTOTAL(109,P1326:Q1329)</f>
        <v>0</v>
      </c>
      <c r="Q1330" s="1359"/>
      <c r="R1330" s="673"/>
      <c r="S1330" s="1359">
        <f>SUBTOTAL(109,S1326:W1329)</f>
        <v>0</v>
      </c>
      <c r="T1330" s="1359"/>
      <c r="U1330" s="1359"/>
      <c r="V1330" s="1359"/>
      <c r="W1330" s="1359"/>
      <c r="X1330" s="363"/>
      <c r="Y1330" s="1359">
        <f>SUBTOTAL(109,Y1326:Z1329)</f>
        <v>0</v>
      </c>
      <c r="Z1330" s="1359"/>
      <c r="AA1330" s="363"/>
      <c r="AB1330" s="1359">
        <f>SUBTOTAL(109,AB1326:AF1329)</f>
        <v>0</v>
      </c>
      <c r="AC1330" s="1359"/>
      <c r="AD1330" s="1359"/>
      <c r="AE1330" s="1359"/>
      <c r="AF1330" s="1359"/>
      <c r="AG1330" s="363"/>
      <c r="AH1330" s="1359">
        <f>SUBTOTAL(109,AH1326:AI1329)</f>
        <v>0</v>
      </c>
      <c r="AI1330" s="1359"/>
      <c r="AJ1330" s="344"/>
      <c r="AK1330" s="345"/>
      <c r="AL1330" s="340"/>
      <c r="AM1330" s="342"/>
      <c r="AN1330" s="342"/>
      <c r="AO1330" s="342"/>
      <c r="AP1330" s="342"/>
      <c r="AQ1330" s="342"/>
      <c r="AR1330" s="342"/>
      <c r="AS1330" s="1359">
        <f>SUBTOTAL(109,AS1326:AX1329)</f>
        <v>0</v>
      </c>
      <c r="AT1330" s="1359"/>
      <c r="AU1330" s="1359"/>
      <c r="AV1330" s="1359"/>
      <c r="AW1330" s="1359"/>
      <c r="AX1330" s="1359"/>
      <c r="AY1330" s="342"/>
      <c r="AZ1330" s="1359">
        <f>SUBTOTAL(109,AZ1326:BA1329)</f>
        <v>0</v>
      </c>
      <c r="BA1330" s="1359"/>
      <c r="BB1330" s="673"/>
      <c r="BC1330" s="1359">
        <f>SUBTOTAL(109,BC1326:BG1329)</f>
        <v>0</v>
      </c>
      <c r="BD1330" s="1359"/>
      <c r="BE1330" s="1359"/>
      <c r="BF1330" s="1359"/>
      <c r="BG1330" s="1359"/>
      <c r="BH1330" s="363"/>
      <c r="BI1330" s="1359">
        <f>SUBTOTAL(109,BI1326:BJ1329)</f>
        <v>0</v>
      </c>
      <c r="BJ1330" s="1359"/>
      <c r="BK1330" s="363"/>
      <c r="BL1330" s="1359">
        <f>SUBTOTAL(109,BL1326:BP1329)</f>
        <v>0</v>
      </c>
      <c r="BM1330" s="1359"/>
      <c r="BN1330" s="1359"/>
      <c r="BO1330" s="1359"/>
      <c r="BP1330" s="1359"/>
      <c r="BQ1330" s="363"/>
      <c r="BR1330" s="1359">
        <f>SUBTOTAL(109,BR1326:BS1329)</f>
        <v>0</v>
      </c>
      <c r="BS1330" s="1359"/>
      <c r="BT1330" s="342"/>
      <c r="BU1330" s="346"/>
      <c r="BV1330" s="310">
        <f>S1330-KN_CT411</f>
        <v>-20002050000</v>
      </c>
      <c r="BW1330" s="310"/>
      <c r="BX1330" s="291">
        <f t="shared" si="84"/>
        <v>0</v>
      </c>
      <c r="BY1330" s="344"/>
      <c r="BZ1330" s="347"/>
      <c r="CA1330" s="347"/>
    </row>
    <row r="1331" spans="1:79" ht="12.95" customHeight="1" x14ac:dyDescent="0.25">
      <c r="A1331" s="313"/>
      <c r="B1331" s="340"/>
      <c r="C1331" s="342"/>
      <c r="D1331" s="342"/>
      <c r="E1331" s="342"/>
      <c r="F1331" s="342"/>
      <c r="G1331" s="342"/>
      <c r="H1331" s="342"/>
      <c r="I1331" s="342"/>
      <c r="J1331" s="342"/>
      <c r="K1331" s="342"/>
      <c r="L1331" s="342"/>
      <c r="M1331" s="342"/>
      <c r="N1331" s="342"/>
      <c r="O1331" s="342"/>
      <c r="P1331" s="342"/>
      <c r="Q1331" s="342"/>
      <c r="R1331" s="342"/>
      <c r="S1331" s="342"/>
      <c r="T1331" s="342"/>
      <c r="U1331" s="342"/>
      <c r="V1331" s="342"/>
      <c r="W1331" s="343"/>
      <c r="X1331" s="343"/>
      <c r="Y1331" s="343"/>
      <c r="Z1331" s="343"/>
      <c r="AA1331" s="343"/>
      <c r="AB1331" s="343"/>
      <c r="AC1331" s="343"/>
      <c r="AD1331" s="343"/>
      <c r="AE1331" s="343"/>
      <c r="AF1331" s="343"/>
      <c r="AG1331" s="343"/>
      <c r="AH1331" s="343"/>
      <c r="AI1331" s="343"/>
      <c r="AJ1331" s="344"/>
      <c r="AK1331" s="345"/>
      <c r="AL1331" s="340"/>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342"/>
      <c r="BI1331" s="342"/>
      <c r="BJ1331" s="342"/>
      <c r="BK1331" s="342"/>
      <c r="BL1331" s="342"/>
      <c r="BM1331" s="342"/>
      <c r="BN1331" s="342"/>
      <c r="BO1331" s="342"/>
      <c r="BP1331" s="342"/>
      <c r="BQ1331" s="342"/>
      <c r="BR1331" s="342"/>
      <c r="BS1331" s="342"/>
      <c r="BT1331" s="342"/>
      <c r="BU1331" s="346"/>
      <c r="BV1331" s="310"/>
      <c r="BW1331" s="310"/>
      <c r="BX1331" s="291">
        <f t="shared" si="84"/>
        <v>0</v>
      </c>
      <c r="BY1331" s="344"/>
      <c r="BZ1331" s="347"/>
      <c r="CA1331" s="347"/>
    </row>
    <row r="1332" spans="1:79" ht="15" customHeight="1" x14ac:dyDescent="0.25">
      <c r="A1332" s="313"/>
      <c r="B1332" s="340"/>
      <c r="C1332" s="341" t="s">
        <v>1423</v>
      </c>
      <c r="D1332" s="342"/>
      <c r="E1332" s="342"/>
      <c r="F1332" s="342"/>
      <c r="G1332" s="342"/>
      <c r="H1332" s="342"/>
      <c r="I1332" s="342"/>
      <c r="J1332" s="342"/>
      <c r="K1332" s="342"/>
      <c r="L1332" s="342"/>
      <c r="M1332" s="342"/>
      <c r="N1332" s="342"/>
      <c r="O1332" s="342"/>
      <c r="P1332" s="342"/>
      <c r="Q1332" s="342"/>
      <c r="R1332" s="342"/>
      <c r="S1332" s="342"/>
      <c r="T1332" s="342"/>
      <c r="U1332" s="342"/>
      <c r="V1332" s="342"/>
      <c r="W1332" s="343"/>
      <c r="X1332" s="343"/>
      <c r="Y1332" s="343"/>
      <c r="Z1332" s="343"/>
      <c r="AA1332" s="343"/>
      <c r="AB1332" s="343"/>
      <c r="AC1332" s="343"/>
      <c r="AD1332" s="343"/>
      <c r="AE1332" s="343"/>
      <c r="AF1332" s="343"/>
      <c r="AG1332" s="343"/>
      <c r="AH1332" s="343"/>
      <c r="AI1332" s="343"/>
      <c r="AJ1332" s="344"/>
      <c r="AK1332" s="345"/>
      <c r="AL1332" s="340"/>
      <c r="AM1332" s="341" t="s">
        <v>1424</v>
      </c>
      <c r="AN1332" s="342"/>
      <c r="AO1332" s="342"/>
      <c r="AP1332" s="342"/>
      <c r="AQ1332" s="342"/>
      <c r="AR1332" s="342"/>
      <c r="AS1332" s="342"/>
      <c r="AT1332" s="342"/>
      <c r="AU1332" s="342"/>
      <c r="AV1332" s="342"/>
      <c r="AW1332" s="342"/>
      <c r="AX1332" s="342"/>
      <c r="AY1332" s="342"/>
      <c r="AZ1332" s="342"/>
      <c r="BA1332" s="342"/>
      <c r="BB1332" s="342"/>
      <c r="BC1332" s="342"/>
      <c r="BD1332" s="342"/>
      <c r="BE1332" s="342"/>
      <c r="BF1332" s="342"/>
      <c r="BG1332" s="342"/>
      <c r="BH1332" s="342"/>
      <c r="BI1332" s="342"/>
      <c r="BJ1332" s="342"/>
      <c r="BK1332" s="342"/>
      <c r="BL1332" s="342"/>
      <c r="BM1332" s="342"/>
      <c r="BN1332" s="342"/>
      <c r="BO1332" s="342"/>
      <c r="BP1332" s="342"/>
      <c r="BQ1332" s="342"/>
      <c r="BR1332" s="342"/>
      <c r="BS1332" s="342"/>
      <c r="BT1332" s="342"/>
      <c r="BU1332" s="346"/>
      <c r="BV1332" s="310"/>
      <c r="BW1332" s="310"/>
      <c r="BX1332" s="291">
        <f t="shared" si="84"/>
        <v>0</v>
      </c>
      <c r="BY1332" s="344"/>
      <c r="BZ1332" s="347"/>
      <c r="CA1332" s="347"/>
    </row>
    <row r="1333" spans="1:79" ht="15" customHeight="1" x14ac:dyDescent="0.25">
      <c r="A1333" s="313"/>
      <c r="B1333" s="340"/>
      <c r="C1333" s="548"/>
      <c r="D1333" s="392"/>
      <c r="E1333" s="392"/>
      <c r="F1333" s="392"/>
      <c r="G1333" s="392"/>
      <c r="H1333" s="392"/>
      <c r="I1333" s="392"/>
      <c r="J1333" s="392"/>
      <c r="K1333" s="392"/>
      <c r="L1333" s="392"/>
      <c r="M1333" s="392"/>
      <c r="N1333" s="392"/>
      <c r="O1333" s="392"/>
      <c r="P1333" s="392"/>
      <c r="Q1333" s="392"/>
      <c r="R1333" s="392"/>
      <c r="S1333" s="392"/>
      <c r="T1333" s="392"/>
      <c r="U1333" s="392"/>
      <c r="V1333" s="392"/>
      <c r="W1333" s="1324" t="str">
        <f>Ky_Nay2_V</f>
        <v>Năm 2017</v>
      </c>
      <c r="X1333" s="1324"/>
      <c r="Y1333" s="1324"/>
      <c r="Z1333" s="1324"/>
      <c r="AA1333" s="1324"/>
      <c r="AB1333" s="1324"/>
      <c r="AC1333" s="351"/>
      <c r="AD1333" s="1324" t="str">
        <f>Ky_Truoc2_V</f>
        <v>Năm 2016</v>
      </c>
      <c r="AE1333" s="1324"/>
      <c r="AF1333" s="1324"/>
      <c r="AG1333" s="1324"/>
      <c r="AH1333" s="1324"/>
      <c r="AI1333" s="1324"/>
      <c r="AJ1333" s="344"/>
      <c r="AK1333" s="345"/>
      <c r="AL1333" s="340"/>
      <c r="AM1333" s="392"/>
      <c r="AN1333" s="392"/>
      <c r="AO1333" s="392"/>
      <c r="AP1333" s="392"/>
      <c r="AQ1333" s="392"/>
      <c r="AR1333" s="392"/>
      <c r="AS1333" s="392"/>
      <c r="AT1333" s="392"/>
      <c r="AU1333" s="392"/>
      <c r="AV1333" s="392"/>
      <c r="AW1333" s="392"/>
      <c r="AX1333" s="392"/>
      <c r="AY1333" s="392"/>
      <c r="AZ1333" s="392"/>
      <c r="BA1333" s="392"/>
      <c r="BB1333" s="392"/>
      <c r="BC1333" s="392"/>
      <c r="BD1333" s="392"/>
      <c r="BE1333" s="392"/>
      <c r="BF1333" s="392"/>
      <c r="BG1333" s="1325" t="str">
        <f>Ky_Nay2_E</f>
        <v>Year 2016</v>
      </c>
      <c r="BH1333" s="1325"/>
      <c r="BI1333" s="1325"/>
      <c r="BJ1333" s="1325"/>
      <c r="BK1333" s="1325"/>
      <c r="BL1333" s="1325"/>
      <c r="BM1333" s="332"/>
      <c r="BN1333" s="1325" t="str">
        <f>Ky_Truoc2_E</f>
        <v>Year 2015</v>
      </c>
      <c r="BO1333" s="1325"/>
      <c r="BP1333" s="1325"/>
      <c r="BQ1333" s="1325"/>
      <c r="BR1333" s="1325"/>
      <c r="BS1333" s="1325"/>
      <c r="BT1333" s="352"/>
      <c r="BU1333" s="353"/>
      <c r="BV1333" s="310"/>
      <c r="BW1333" s="310"/>
      <c r="BX1333" s="291">
        <f t="shared" si="84"/>
        <v>0</v>
      </c>
      <c r="BY1333" s="344"/>
      <c r="BZ1333" s="347"/>
      <c r="CA1333" s="347"/>
    </row>
    <row r="1334" spans="1:79" ht="15" customHeight="1" x14ac:dyDescent="0.25">
      <c r="A1334" s="313"/>
      <c r="B1334" s="340"/>
      <c r="C1334" s="392"/>
      <c r="D1334" s="392"/>
      <c r="E1334" s="392"/>
      <c r="F1334" s="392"/>
      <c r="G1334" s="392"/>
      <c r="H1334" s="392"/>
      <c r="I1334" s="392"/>
      <c r="J1334" s="392"/>
      <c r="K1334" s="392"/>
      <c r="L1334" s="392"/>
      <c r="M1334" s="392"/>
      <c r="N1334" s="392"/>
      <c r="O1334" s="392"/>
      <c r="P1334" s="392"/>
      <c r="Q1334" s="392"/>
      <c r="R1334" s="392"/>
      <c r="S1334" s="392"/>
      <c r="T1334" s="392"/>
      <c r="U1334" s="392"/>
      <c r="V1334" s="392"/>
      <c r="W1334" s="1403" t="str">
        <f>Don_Vi_Tinh_V</f>
        <v>VND</v>
      </c>
      <c r="X1334" s="1327"/>
      <c r="Y1334" s="1327"/>
      <c r="Z1334" s="1327"/>
      <c r="AA1334" s="1327"/>
      <c r="AB1334" s="1327"/>
      <c r="AC1334" s="351"/>
      <c r="AD1334" s="1403" t="str">
        <f>Don_Vi_Tinh_V</f>
        <v>VND</v>
      </c>
      <c r="AE1334" s="1327"/>
      <c r="AF1334" s="1327"/>
      <c r="AG1334" s="1327"/>
      <c r="AH1334" s="1327"/>
      <c r="AI1334" s="1327"/>
      <c r="AJ1334" s="344"/>
      <c r="AK1334" s="345"/>
      <c r="AL1334" s="340"/>
      <c r="AM1334" s="392"/>
      <c r="AN1334" s="392"/>
      <c r="AO1334" s="392"/>
      <c r="AP1334" s="392"/>
      <c r="AQ1334" s="392"/>
      <c r="AR1334" s="392"/>
      <c r="AS1334" s="392"/>
      <c r="AT1334" s="392"/>
      <c r="AU1334" s="392"/>
      <c r="AV1334" s="392"/>
      <c r="AW1334" s="392"/>
      <c r="AX1334" s="392"/>
      <c r="AY1334" s="392"/>
      <c r="AZ1334" s="392"/>
      <c r="BA1334" s="392"/>
      <c r="BB1334" s="392"/>
      <c r="BC1334" s="392"/>
      <c r="BD1334" s="392"/>
      <c r="BE1334" s="392"/>
      <c r="BF1334" s="392"/>
      <c r="BG1334" s="1403" t="str">
        <f>Don_Vi_Tinh_E</f>
        <v>VND</v>
      </c>
      <c r="BH1334" s="1327"/>
      <c r="BI1334" s="1327"/>
      <c r="BJ1334" s="1327"/>
      <c r="BK1334" s="1327"/>
      <c r="BL1334" s="1327"/>
      <c r="BM1334" s="351"/>
      <c r="BN1334" s="1403" t="str">
        <f>Don_Vi_Tinh_E</f>
        <v>VND</v>
      </c>
      <c r="BO1334" s="1327"/>
      <c r="BP1334" s="1327"/>
      <c r="BQ1334" s="1327"/>
      <c r="BR1334" s="1327"/>
      <c r="BS1334" s="1327"/>
      <c r="BT1334" s="352"/>
      <c r="BU1334" s="353"/>
      <c r="BV1334" s="310"/>
      <c r="BW1334" s="310"/>
      <c r="BX1334" s="291">
        <f t="shared" si="84"/>
        <v>0</v>
      </c>
      <c r="BY1334" s="344"/>
      <c r="BZ1334" s="347"/>
      <c r="CA1334" s="347"/>
    </row>
    <row r="1335" spans="1:79" ht="15" customHeight="1" x14ac:dyDescent="0.25">
      <c r="A1335" s="313"/>
      <c r="B1335" s="340"/>
      <c r="C1335" s="354" t="s">
        <v>1425</v>
      </c>
      <c r="D1335" s="340"/>
      <c r="E1335" s="340"/>
      <c r="F1335" s="340"/>
      <c r="G1335" s="340"/>
      <c r="H1335" s="340"/>
      <c r="I1335" s="340"/>
      <c r="J1335" s="340"/>
      <c r="K1335" s="340"/>
      <c r="L1335" s="340"/>
      <c r="M1335" s="340"/>
      <c r="N1335" s="340"/>
      <c r="O1335" s="340"/>
      <c r="P1335" s="340"/>
      <c r="Q1335" s="340"/>
      <c r="R1335" s="340"/>
      <c r="S1335" s="340"/>
      <c r="T1335" s="340"/>
      <c r="U1335" s="342"/>
      <c r="V1335" s="342"/>
      <c r="W1335" s="1318"/>
      <c r="X1335" s="1318"/>
      <c r="Y1335" s="1318"/>
      <c r="Z1335" s="1318"/>
      <c r="AA1335" s="1318"/>
      <c r="AB1335" s="1318"/>
      <c r="AC1335" s="355"/>
      <c r="AD1335" s="1318"/>
      <c r="AE1335" s="1318"/>
      <c r="AF1335" s="1318"/>
      <c r="AG1335" s="1318"/>
      <c r="AH1335" s="1318"/>
      <c r="AI1335" s="1318"/>
      <c r="AJ1335" s="344"/>
      <c r="AK1335" s="345"/>
      <c r="AL1335" s="340"/>
      <c r="AM1335" s="354" t="s">
        <v>1426</v>
      </c>
      <c r="AN1335" s="340"/>
      <c r="AO1335" s="340"/>
      <c r="AP1335" s="340"/>
      <c r="AQ1335" s="340"/>
      <c r="AR1335" s="340"/>
      <c r="AS1335" s="340"/>
      <c r="AT1335" s="340"/>
      <c r="AU1335" s="340"/>
      <c r="AV1335" s="340"/>
      <c r="AW1335" s="340"/>
      <c r="AX1335" s="340"/>
      <c r="AY1335" s="340"/>
      <c r="AZ1335" s="340"/>
      <c r="BA1335" s="340"/>
      <c r="BB1335" s="340"/>
      <c r="BC1335" s="340"/>
      <c r="BD1335" s="340"/>
      <c r="BE1335" s="342"/>
      <c r="BF1335" s="342"/>
      <c r="BG1335" s="1318"/>
      <c r="BH1335" s="1318"/>
      <c r="BI1335" s="1318"/>
      <c r="BJ1335" s="1318"/>
      <c r="BK1335" s="1318"/>
      <c r="BL1335" s="1318"/>
      <c r="BM1335" s="358"/>
      <c r="BN1335" s="1318"/>
      <c r="BO1335" s="1318"/>
      <c r="BP1335" s="1318"/>
      <c r="BQ1335" s="1318"/>
      <c r="BR1335" s="1318"/>
      <c r="BS1335" s="1318"/>
      <c r="BT1335" s="356"/>
      <c r="BU1335" s="357"/>
      <c r="BV1335" s="310"/>
      <c r="BW1335" s="310"/>
      <c r="BX1335" s="291">
        <f t="shared" si="84"/>
        <v>0</v>
      </c>
      <c r="BY1335" s="344"/>
      <c r="BZ1335" s="347"/>
      <c r="CA1335" s="347"/>
    </row>
    <row r="1336" spans="1:79" ht="15" customHeight="1" x14ac:dyDescent="0.25">
      <c r="A1336" s="313"/>
      <c r="B1336" s="340"/>
      <c r="C1336" s="674" t="s">
        <v>1427</v>
      </c>
      <c r="D1336" s="340"/>
      <c r="E1336" s="340"/>
      <c r="F1336" s="340"/>
      <c r="G1336" s="340"/>
      <c r="H1336" s="340"/>
      <c r="I1336" s="340"/>
      <c r="J1336" s="340"/>
      <c r="K1336" s="340"/>
      <c r="L1336" s="340"/>
      <c r="M1336" s="340"/>
      <c r="N1336" s="340"/>
      <c r="O1336" s="340"/>
      <c r="P1336" s="340"/>
      <c r="Q1336" s="340"/>
      <c r="R1336" s="340"/>
      <c r="S1336" s="340"/>
      <c r="T1336" s="340"/>
      <c r="U1336" s="342"/>
      <c r="V1336" s="342"/>
      <c r="W1336" s="1369">
        <f>AD1339</f>
        <v>20002050000</v>
      </c>
      <c r="X1336" s="1369"/>
      <c r="Y1336" s="1369"/>
      <c r="Z1336" s="1369"/>
      <c r="AA1336" s="1369"/>
      <c r="AB1336" s="1369"/>
      <c r="AC1336" s="355"/>
      <c r="AD1336" s="1369">
        <f>[1]TM_VCSH!D14</f>
        <v>20002050000</v>
      </c>
      <c r="AE1336" s="1369"/>
      <c r="AF1336" s="1369"/>
      <c r="AG1336" s="1369"/>
      <c r="AH1336" s="1369"/>
      <c r="AI1336" s="1369"/>
      <c r="AJ1336" s="344"/>
      <c r="AK1336" s="345"/>
      <c r="AL1336" s="340"/>
      <c r="AM1336" s="674" t="s">
        <v>1428</v>
      </c>
      <c r="AN1336" s="340"/>
      <c r="AO1336" s="340"/>
      <c r="AP1336" s="340"/>
      <c r="AQ1336" s="340"/>
      <c r="AR1336" s="340"/>
      <c r="AS1336" s="340"/>
      <c r="AT1336" s="340"/>
      <c r="AU1336" s="340"/>
      <c r="AV1336" s="340"/>
      <c r="AW1336" s="340"/>
      <c r="AX1336" s="340"/>
      <c r="AY1336" s="340"/>
      <c r="AZ1336" s="340"/>
      <c r="BA1336" s="340"/>
      <c r="BB1336" s="340"/>
      <c r="BC1336" s="340"/>
      <c r="BD1336" s="340"/>
      <c r="BE1336" s="342"/>
      <c r="BF1336" s="342"/>
      <c r="BG1336" s="1402">
        <f>W1336</f>
        <v>20002050000</v>
      </c>
      <c r="BH1336" s="1402"/>
      <c r="BI1336" s="1402"/>
      <c r="BJ1336" s="1402"/>
      <c r="BK1336" s="1402"/>
      <c r="BL1336" s="1402"/>
      <c r="BM1336" s="358"/>
      <c r="BN1336" s="1402">
        <f>AD1336</f>
        <v>20002050000</v>
      </c>
      <c r="BO1336" s="1402"/>
      <c r="BP1336" s="1402"/>
      <c r="BQ1336" s="1402"/>
      <c r="BR1336" s="1402"/>
      <c r="BS1336" s="1402"/>
      <c r="BT1336" s="675"/>
      <c r="BU1336" s="676"/>
      <c r="BV1336" s="310"/>
      <c r="BW1336" s="310">
        <f>W1336-KT_CT411</f>
        <v>0</v>
      </c>
      <c r="BX1336" s="291">
        <f t="shared" si="84"/>
        <v>0</v>
      </c>
      <c r="BY1336" s="344"/>
      <c r="BZ1336" s="347"/>
      <c r="CA1336" s="347"/>
    </row>
    <row r="1337" spans="1:79" ht="15" hidden="1" customHeight="1" x14ac:dyDescent="0.25">
      <c r="A1337" s="313"/>
      <c r="B1337" s="340"/>
      <c r="C1337" s="674" t="s">
        <v>1429</v>
      </c>
      <c r="D1337" s="340"/>
      <c r="E1337" s="340"/>
      <c r="F1337" s="340"/>
      <c r="G1337" s="340"/>
      <c r="H1337" s="340"/>
      <c r="I1337" s="340"/>
      <c r="J1337" s="340"/>
      <c r="K1337" s="340"/>
      <c r="L1337" s="340"/>
      <c r="M1337" s="340"/>
      <c r="N1337" s="340"/>
      <c r="O1337" s="340"/>
      <c r="P1337" s="340"/>
      <c r="Q1337" s="340"/>
      <c r="R1337" s="340"/>
      <c r="S1337" s="340"/>
      <c r="T1337" s="340"/>
      <c r="U1337" s="342"/>
      <c r="V1337" s="342"/>
      <c r="W1337" s="1369">
        <f>[1]TM_VCSH!D24</f>
        <v>0</v>
      </c>
      <c r="X1337" s="1369"/>
      <c r="Y1337" s="1369"/>
      <c r="Z1337" s="1369"/>
      <c r="AA1337" s="1369"/>
      <c r="AB1337" s="1369"/>
      <c r="AC1337" s="355"/>
      <c r="AD1337" s="1369">
        <f>[1]TM_VCSH!D15</f>
        <v>0</v>
      </c>
      <c r="AE1337" s="1369"/>
      <c r="AF1337" s="1369"/>
      <c r="AG1337" s="1369"/>
      <c r="AH1337" s="1369"/>
      <c r="AI1337" s="1369"/>
      <c r="AJ1337" s="344"/>
      <c r="AK1337" s="345"/>
      <c r="AL1337" s="340"/>
      <c r="AM1337" s="674" t="s">
        <v>1430</v>
      </c>
      <c r="AN1337" s="340"/>
      <c r="AO1337" s="340"/>
      <c r="AP1337" s="340"/>
      <c r="AQ1337" s="340"/>
      <c r="AR1337" s="340"/>
      <c r="AS1337" s="340"/>
      <c r="AT1337" s="340"/>
      <c r="AU1337" s="340"/>
      <c r="AV1337" s="340"/>
      <c r="AW1337" s="340"/>
      <c r="AX1337" s="340"/>
      <c r="AY1337" s="340"/>
      <c r="AZ1337" s="340"/>
      <c r="BA1337" s="340"/>
      <c r="BB1337" s="340"/>
      <c r="BC1337" s="340"/>
      <c r="BD1337" s="340"/>
      <c r="BE1337" s="342"/>
      <c r="BF1337" s="342"/>
      <c r="BG1337" s="1402">
        <f>W1337</f>
        <v>0</v>
      </c>
      <c r="BH1337" s="1402"/>
      <c r="BI1337" s="1402"/>
      <c r="BJ1337" s="1402"/>
      <c r="BK1337" s="1402"/>
      <c r="BL1337" s="1402"/>
      <c r="BM1337" s="358"/>
      <c r="BN1337" s="1402">
        <f>AD1337</f>
        <v>0</v>
      </c>
      <c r="BO1337" s="1402"/>
      <c r="BP1337" s="1402"/>
      <c r="BQ1337" s="1402"/>
      <c r="BR1337" s="1402"/>
      <c r="BS1337" s="1402"/>
      <c r="BT1337" s="675"/>
      <c r="BU1337" s="676"/>
      <c r="BV1337" s="310"/>
      <c r="BW1337" s="310"/>
      <c r="BX1337" s="291">
        <f t="shared" si="84"/>
        <v>0</v>
      </c>
      <c r="BY1337" s="344"/>
      <c r="BZ1337" s="347"/>
      <c r="CA1337" s="347"/>
    </row>
    <row r="1338" spans="1:79" ht="15" hidden="1" customHeight="1" x14ac:dyDescent="0.25">
      <c r="A1338" s="313"/>
      <c r="B1338" s="340"/>
      <c r="C1338" s="674" t="s">
        <v>1431</v>
      </c>
      <c r="D1338" s="340"/>
      <c r="E1338" s="340"/>
      <c r="F1338" s="340"/>
      <c r="G1338" s="340"/>
      <c r="H1338" s="340"/>
      <c r="I1338" s="340"/>
      <c r="J1338" s="340"/>
      <c r="K1338" s="340"/>
      <c r="L1338" s="340"/>
      <c r="M1338" s="340"/>
      <c r="N1338" s="340"/>
      <c r="O1338" s="340"/>
      <c r="P1338" s="340"/>
      <c r="Q1338" s="340"/>
      <c r="R1338" s="340"/>
      <c r="S1338" s="340"/>
      <c r="T1338" s="340"/>
      <c r="U1338" s="342"/>
      <c r="V1338" s="342"/>
      <c r="W1338" s="1369">
        <f>[1]TM_VCSH!D27</f>
        <v>0</v>
      </c>
      <c r="X1338" s="1369"/>
      <c r="Y1338" s="1369"/>
      <c r="Z1338" s="1369"/>
      <c r="AA1338" s="1369"/>
      <c r="AB1338" s="1369"/>
      <c r="AC1338" s="355"/>
      <c r="AD1338" s="1369">
        <f>[1]TM_VCSH!D18</f>
        <v>0</v>
      </c>
      <c r="AE1338" s="1369"/>
      <c r="AF1338" s="1369"/>
      <c r="AG1338" s="1369"/>
      <c r="AH1338" s="1369"/>
      <c r="AI1338" s="1369"/>
      <c r="AJ1338" s="344"/>
      <c r="AK1338" s="345"/>
      <c r="AL1338" s="340"/>
      <c r="AM1338" s="674" t="s">
        <v>1432</v>
      </c>
      <c r="AN1338" s="340"/>
      <c r="AO1338" s="340"/>
      <c r="AP1338" s="340"/>
      <c r="AQ1338" s="340"/>
      <c r="AR1338" s="340"/>
      <c r="AS1338" s="340"/>
      <c r="AT1338" s="340"/>
      <c r="AU1338" s="340"/>
      <c r="AV1338" s="340"/>
      <c r="AW1338" s="340"/>
      <c r="AX1338" s="340"/>
      <c r="AY1338" s="340"/>
      <c r="AZ1338" s="340"/>
      <c r="BA1338" s="340"/>
      <c r="BB1338" s="340"/>
      <c r="BC1338" s="340"/>
      <c r="BD1338" s="340"/>
      <c r="BE1338" s="342"/>
      <c r="BF1338" s="342"/>
      <c r="BG1338" s="1402">
        <f>W1338</f>
        <v>0</v>
      </c>
      <c r="BH1338" s="1402"/>
      <c r="BI1338" s="1402"/>
      <c r="BJ1338" s="1402"/>
      <c r="BK1338" s="1402"/>
      <c r="BL1338" s="1402"/>
      <c r="BM1338" s="358"/>
      <c r="BN1338" s="1402">
        <f>AD1338</f>
        <v>0</v>
      </c>
      <c r="BO1338" s="1402"/>
      <c r="BP1338" s="1402"/>
      <c r="BQ1338" s="1402"/>
      <c r="BR1338" s="1402"/>
      <c r="BS1338" s="1402"/>
      <c r="BT1338" s="675"/>
      <c r="BU1338" s="676"/>
      <c r="BV1338" s="310"/>
      <c r="BW1338" s="310"/>
      <c r="BX1338" s="291">
        <f t="shared" si="84"/>
        <v>0</v>
      </c>
      <c r="BY1338" s="344"/>
      <c r="BZ1338" s="347"/>
      <c r="CA1338" s="347"/>
    </row>
    <row r="1339" spans="1:79" ht="15" customHeight="1" x14ac:dyDescent="0.25">
      <c r="A1339" s="313"/>
      <c r="B1339" s="340"/>
      <c r="C1339" s="429" t="s">
        <v>1433</v>
      </c>
      <c r="D1339" s="342"/>
      <c r="E1339" s="342"/>
      <c r="F1339" s="342"/>
      <c r="G1339" s="342"/>
      <c r="H1339" s="342"/>
      <c r="I1339" s="342"/>
      <c r="J1339" s="342"/>
      <c r="K1339" s="342"/>
      <c r="L1339" s="342"/>
      <c r="M1339" s="342"/>
      <c r="N1339" s="342"/>
      <c r="O1339" s="342"/>
      <c r="P1339" s="342"/>
      <c r="Q1339" s="342"/>
      <c r="R1339" s="342"/>
      <c r="S1339" s="342"/>
      <c r="T1339" s="342"/>
      <c r="U1339" s="342"/>
      <c r="V1339" s="342"/>
      <c r="W1339" s="1369">
        <f>W1336+W1337-W1338</f>
        <v>20002050000</v>
      </c>
      <c r="X1339" s="1369"/>
      <c r="Y1339" s="1369"/>
      <c r="Z1339" s="1369"/>
      <c r="AA1339" s="1369"/>
      <c r="AB1339" s="1369"/>
      <c r="AC1339" s="355"/>
      <c r="AD1339" s="1369">
        <f>AD1336+AD1337-AD1338</f>
        <v>20002050000</v>
      </c>
      <c r="AE1339" s="1369"/>
      <c r="AF1339" s="1369"/>
      <c r="AG1339" s="1369"/>
      <c r="AH1339" s="1369"/>
      <c r="AI1339" s="1369"/>
      <c r="AJ1339" s="344"/>
      <c r="AK1339" s="345"/>
      <c r="AL1339" s="340"/>
      <c r="AM1339" s="429" t="s">
        <v>1434</v>
      </c>
      <c r="AN1339" s="342"/>
      <c r="AO1339" s="342"/>
      <c r="AP1339" s="342"/>
      <c r="AQ1339" s="342"/>
      <c r="AR1339" s="342"/>
      <c r="AS1339" s="342"/>
      <c r="AT1339" s="342"/>
      <c r="AU1339" s="342"/>
      <c r="AV1339" s="342"/>
      <c r="AW1339" s="342"/>
      <c r="AX1339" s="342"/>
      <c r="AY1339" s="342"/>
      <c r="AZ1339" s="342"/>
      <c r="BA1339" s="342"/>
      <c r="BB1339" s="342"/>
      <c r="BC1339" s="342"/>
      <c r="BD1339" s="342"/>
      <c r="BE1339" s="342"/>
      <c r="BF1339" s="342"/>
      <c r="BG1339" s="1402">
        <f>W1339</f>
        <v>20002050000</v>
      </c>
      <c r="BH1339" s="1402"/>
      <c r="BI1339" s="1402"/>
      <c r="BJ1339" s="1402"/>
      <c r="BK1339" s="1402"/>
      <c r="BL1339" s="1402"/>
      <c r="BM1339" s="358"/>
      <c r="BN1339" s="1402">
        <f>AD1339</f>
        <v>20002050000</v>
      </c>
      <c r="BO1339" s="1402"/>
      <c r="BP1339" s="1402"/>
      <c r="BQ1339" s="1402"/>
      <c r="BR1339" s="1402"/>
      <c r="BS1339" s="1402"/>
      <c r="BT1339" s="675"/>
      <c r="BU1339" s="676"/>
      <c r="BV1339" s="310">
        <f>W1339-KN_CT411</f>
        <v>0</v>
      </c>
      <c r="BW1339" s="310"/>
      <c r="BX1339" s="291">
        <f t="shared" si="84"/>
        <v>0</v>
      </c>
      <c r="BY1339" s="344"/>
      <c r="BZ1339" s="347"/>
      <c r="CA1339" s="347"/>
    </row>
    <row r="1340" spans="1:79" ht="15" hidden="1" customHeight="1" x14ac:dyDescent="0.25">
      <c r="A1340" s="313"/>
      <c r="B1340" s="340"/>
      <c r="C1340" s="342" t="s">
        <v>1435</v>
      </c>
      <c r="D1340" s="342"/>
      <c r="E1340" s="342"/>
      <c r="F1340" s="342"/>
      <c r="G1340" s="342"/>
      <c r="H1340" s="342"/>
      <c r="I1340" s="342"/>
      <c r="J1340" s="342"/>
      <c r="K1340" s="342"/>
      <c r="L1340" s="342"/>
      <c r="M1340" s="342"/>
      <c r="N1340" s="342"/>
      <c r="O1340" s="342"/>
      <c r="P1340" s="342"/>
      <c r="Q1340" s="342"/>
      <c r="R1340" s="342"/>
      <c r="S1340" s="342"/>
      <c r="T1340" s="342"/>
      <c r="U1340" s="342"/>
      <c r="V1340" s="342"/>
      <c r="W1340" s="1318"/>
      <c r="X1340" s="1318"/>
      <c r="Y1340" s="1318"/>
      <c r="Z1340" s="1318"/>
      <c r="AA1340" s="1318"/>
      <c r="AB1340" s="1318"/>
      <c r="AC1340" s="355"/>
      <c r="AD1340" s="1318"/>
      <c r="AE1340" s="1318"/>
      <c r="AF1340" s="1318"/>
      <c r="AG1340" s="1318"/>
      <c r="AH1340" s="1318"/>
      <c r="AI1340" s="1318"/>
      <c r="AJ1340" s="344"/>
      <c r="AK1340" s="345"/>
      <c r="AL1340" s="340"/>
      <c r="AM1340" s="342" t="s">
        <v>1436</v>
      </c>
      <c r="AN1340" s="342"/>
      <c r="AO1340" s="342"/>
      <c r="AP1340" s="342"/>
      <c r="AQ1340" s="342"/>
      <c r="AR1340" s="342"/>
      <c r="AS1340" s="342"/>
      <c r="AT1340" s="342"/>
      <c r="AU1340" s="342"/>
      <c r="AV1340" s="342"/>
      <c r="AW1340" s="342"/>
      <c r="AX1340" s="342"/>
      <c r="AY1340" s="342"/>
      <c r="AZ1340" s="342"/>
      <c r="BA1340" s="342"/>
      <c r="BB1340" s="342"/>
      <c r="BC1340" s="342"/>
      <c r="BD1340" s="342"/>
      <c r="BE1340" s="342"/>
      <c r="BF1340" s="342"/>
      <c r="BG1340" s="1318"/>
      <c r="BH1340" s="1318"/>
      <c r="BI1340" s="1318"/>
      <c r="BJ1340" s="1318"/>
      <c r="BK1340" s="1318"/>
      <c r="BL1340" s="1318"/>
      <c r="BM1340" s="355"/>
      <c r="BN1340" s="1318"/>
      <c r="BO1340" s="1318"/>
      <c r="BP1340" s="1318"/>
      <c r="BQ1340" s="1318"/>
      <c r="BR1340" s="1318"/>
      <c r="BS1340" s="1318"/>
      <c r="BT1340" s="356"/>
      <c r="BU1340" s="357"/>
      <c r="BV1340" s="310"/>
      <c r="BW1340" s="310"/>
      <c r="BX1340" s="291">
        <f t="shared" si="84"/>
        <v>0</v>
      </c>
      <c r="BY1340" s="344"/>
      <c r="BZ1340" s="347"/>
      <c r="CA1340" s="347"/>
    </row>
    <row r="1341" spans="1:79" ht="15" hidden="1" customHeight="1" x14ac:dyDescent="0.25">
      <c r="A1341" s="313"/>
      <c r="B1341" s="340"/>
      <c r="C1341" s="667" t="s">
        <v>1437</v>
      </c>
      <c r="D1341" s="429"/>
      <c r="E1341" s="429"/>
      <c r="F1341" s="429"/>
      <c r="G1341" s="429"/>
      <c r="H1341" s="429"/>
      <c r="I1341" s="429"/>
      <c r="J1341" s="429"/>
      <c r="K1341" s="429"/>
      <c r="L1341" s="429"/>
      <c r="M1341" s="429"/>
      <c r="N1341" s="429"/>
      <c r="O1341" s="429"/>
      <c r="P1341" s="429"/>
      <c r="Q1341" s="429"/>
      <c r="R1341" s="429"/>
      <c r="S1341" s="429"/>
      <c r="T1341" s="429"/>
      <c r="U1341" s="429"/>
      <c r="V1341" s="429"/>
      <c r="W1341" s="1369">
        <v>0</v>
      </c>
      <c r="X1341" s="1369"/>
      <c r="Y1341" s="1369"/>
      <c r="Z1341" s="1369"/>
      <c r="AA1341" s="1369"/>
      <c r="AB1341" s="1369"/>
      <c r="AC1341" s="665"/>
      <c r="AD1341" s="1369">
        <v>0</v>
      </c>
      <c r="AE1341" s="1369"/>
      <c r="AF1341" s="1369"/>
      <c r="AG1341" s="1369"/>
      <c r="AH1341" s="1369"/>
      <c r="AI1341" s="1369"/>
      <c r="AJ1341" s="677"/>
      <c r="AK1341" s="678"/>
      <c r="AL1341" s="679"/>
      <c r="AM1341" s="667" t="s">
        <v>1438</v>
      </c>
      <c r="AN1341" s="429"/>
      <c r="AO1341" s="429"/>
      <c r="AP1341" s="429"/>
      <c r="AQ1341" s="429"/>
      <c r="AR1341" s="429"/>
      <c r="AS1341" s="429"/>
      <c r="AT1341" s="429"/>
      <c r="AU1341" s="429"/>
      <c r="AV1341" s="429"/>
      <c r="AW1341" s="429"/>
      <c r="AX1341" s="429"/>
      <c r="AY1341" s="429"/>
      <c r="AZ1341" s="429"/>
      <c r="BA1341" s="429"/>
      <c r="BB1341" s="429"/>
      <c r="BC1341" s="429"/>
      <c r="BD1341" s="429"/>
      <c r="BE1341" s="429"/>
      <c r="BF1341" s="429"/>
      <c r="BG1341" s="1369">
        <f>W1341</f>
        <v>0</v>
      </c>
      <c r="BH1341" s="1369"/>
      <c r="BI1341" s="1369"/>
      <c r="BJ1341" s="1369"/>
      <c r="BK1341" s="1369"/>
      <c r="BL1341" s="1369"/>
      <c r="BM1341" s="665"/>
      <c r="BN1341" s="1369">
        <f>AD1341</f>
        <v>0</v>
      </c>
      <c r="BO1341" s="1369"/>
      <c r="BP1341" s="1369"/>
      <c r="BQ1341" s="1369"/>
      <c r="BR1341" s="1369"/>
      <c r="BS1341" s="1369"/>
      <c r="BT1341" s="356"/>
      <c r="BU1341" s="357"/>
      <c r="BV1341" s="310"/>
      <c r="BW1341" s="310"/>
      <c r="BX1341" s="291">
        <f t="shared" si="84"/>
        <v>0</v>
      </c>
      <c r="BY1341" s="344"/>
      <c r="BZ1341" s="347"/>
      <c r="CA1341" s="347"/>
    </row>
    <row r="1342" spans="1:79" ht="15" hidden="1" customHeight="1" x14ac:dyDescent="0.25">
      <c r="A1342" s="313"/>
      <c r="B1342" s="340"/>
      <c r="C1342" s="667" t="s">
        <v>1439</v>
      </c>
      <c r="D1342" s="429"/>
      <c r="E1342" s="429"/>
      <c r="F1342" s="429"/>
      <c r="G1342" s="429"/>
      <c r="H1342" s="429"/>
      <c r="I1342" s="429"/>
      <c r="J1342" s="429"/>
      <c r="K1342" s="429"/>
      <c r="L1342" s="429"/>
      <c r="M1342" s="429"/>
      <c r="N1342" s="429"/>
      <c r="O1342" s="429"/>
      <c r="P1342" s="429"/>
      <c r="Q1342" s="429"/>
      <c r="R1342" s="429"/>
      <c r="S1342" s="429"/>
      <c r="T1342" s="429"/>
      <c r="U1342" s="429"/>
      <c r="V1342" s="429"/>
      <c r="W1342" s="1369">
        <v>0</v>
      </c>
      <c r="X1342" s="1369"/>
      <c r="Y1342" s="1369"/>
      <c r="Z1342" s="1369"/>
      <c r="AA1342" s="1369"/>
      <c r="AB1342" s="1369"/>
      <c r="AC1342" s="665"/>
      <c r="AD1342" s="1369">
        <v>0</v>
      </c>
      <c r="AE1342" s="1369"/>
      <c r="AF1342" s="1369"/>
      <c r="AG1342" s="1369"/>
      <c r="AH1342" s="1369"/>
      <c r="AI1342" s="1369"/>
      <c r="AJ1342" s="677"/>
      <c r="AK1342" s="678"/>
      <c r="AL1342" s="679"/>
      <c r="AM1342" s="667" t="s">
        <v>1440</v>
      </c>
      <c r="AN1342" s="429"/>
      <c r="AO1342" s="429"/>
      <c r="AP1342" s="429"/>
      <c r="AQ1342" s="429"/>
      <c r="AR1342" s="429"/>
      <c r="AS1342" s="429"/>
      <c r="AT1342" s="429"/>
      <c r="AU1342" s="429"/>
      <c r="AV1342" s="429"/>
      <c r="AW1342" s="429"/>
      <c r="AX1342" s="429"/>
      <c r="AY1342" s="429"/>
      <c r="AZ1342" s="429"/>
      <c r="BA1342" s="429"/>
      <c r="BB1342" s="429"/>
      <c r="BC1342" s="429"/>
      <c r="BD1342" s="429"/>
      <c r="BE1342" s="429"/>
      <c r="BF1342" s="429"/>
      <c r="BG1342" s="1369">
        <f>W1342</f>
        <v>0</v>
      </c>
      <c r="BH1342" s="1369"/>
      <c r="BI1342" s="1369"/>
      <c r="BJ1342" s="1369"/>
      <c r="BK1342" s="1369"/>
      <c r="BL1342" s="1369"/>
      <c r="BM1342" s="665"/>
      <c r="BN1342" s="1369">
        <f>AD1342</f>
        <v>0</v>
      </c>
      <c r="BO1342" s="1369"/>
      <c r="BP1342" s="1369"/>
      <c r="BQ1342" s="1369"/>
      <c r="BR1342" s="1369"/>
      <c r="BS1342" s="1369"/>
      <c r="BT1342" s="356"/>
      <c r="BU1342" s="357"/>
      <c r="BV1342" s="310"/>
      <c r="BW1342" s="310"/>
      <c r="BX1342" s="291">
        <f t="shared" si="84"/>
        <v>0</v>
      </c>
      <c r="BY1342" s="344"/>
      <c r="BZ1342" s="347"/>
      <c r="CA1342" s="347"/>
    </row>
    <row r="1343" spans="1:79" ht="2.1" customHeight="1" x14ac:dyDescent="0.25">
      <c r="A1343" s="313"/>
      <c r="B1343" s="340"/>
      <c r="C1343" s="342"/>
      <c r="D1343" s="342"/>
      <c r="E1343" s="342"/>
      <c r="F1343" s="342"/>
      <c r="G1343" s="342"/>
      <c r="H1343" s="342"/>
      <c r="I1343" s="342"/>
      <c r="J1343" s="342"/>
      <c r="K1343" s="342"/>
      <c r="L1343" s="342"/>
      <c r="M1343" s="342"/>
      <c r="N1343" s="342"/>
      <c r="O1343" s="342"/>
      <c r="P1343" s="342"/>
      <c r="Q1343" s="342"/>
      <c r="R1343" s="342"/>
      <c r="S1343" s="342"/>
      <c r="T1343" s="342"/>
      <c r="U1343" s="342"/>
      <c r="V1343" s="342"/>
      <c r="W1343" s="343"/>
      <c r="X1343" s="343"/>
      <c r="Y1343" s="343"/>
      <c r="Z1343" s="343"/>
      <c r="AA1343" s="343"/>
      <c r="AB1343" s="343"/>
      <c r="AC1343" s="343"/>
      <c r="AD1343" s="343"/>
      <c r="AE1343" s="343"/>
      <c r="AF1343" s="343"/>
      <c r="AG1343" s="343"/>
      <c r="AH1343" s="343"/>
      <c r="AI1343" s="343"/>
      <c r="AJ1343" s="344"/>
      <c r="AK1343" s="345"/>
      <c r="AL1343" s="340"/>
      <c r="AM1343" s="342"/>
      <c r="AN1343" s="342"/>
      <c r="AO1343" s="342"/>
      <c r="AP1343" s="342"/>
      <c r="AQ1343" s="342"/>
      <c r="AR1343" s="342"/>
      <c r="AS1343" s="342"/>
      <c r="AT1343" s="342"/>
      <c r="AU1343" s="342"/>
      <c r="AV1343" s="342"/>
      <c r="AW1343" s="342"/>
      <c r="AX1343" s="342"/>
      <c r="AY1343" s="342"/>
      <c r="AZ1343" s="342"/>
      <c r="BA1343" s="342"/>
      <c r="BB1343" s="342"/>
      <c r="BC1343" s="342"/>
      <c r="BD1343" s="342"/>
      <c r="BE1343" s="342"/>
      <c r="BF1343" s="342"/>
      <c r="BG1343" s="342"/>
      <c r="BH1343" s="342"/>
      <c r="BI1343" s="342"/>
      <c r="BJ1343" s="342"/>
      <c r="BK1343" s="342"/>
      <c r="BL1343" s="342"/>
      <c r="BM1343" s="342"/>
      <c r="BN1343" s="342"/>
      <c r="BO1343" s="342"/>
      <c r="BP1343" s="342"/>
      <c r="BQ1343" s="342"/>
      <c r="BR1343" s="342"/>
      <c r="BS1343" s="342"/>
      <c r="BT1343" s="342"/>
      <c r="BU1343" s="346"/>
      <c r="BV1343" s="310"/>
      <c r="BW1343" s="310"/>
      <c r="BX1343" s="291">
        <f t="shared" ref="BX1343:BX1413" si="101">IF(ISNONTEXT($C1343),0,SUM(D1343:AI1343)-SUM(AN1343:BS1343))</f>
        <v>0</v>
      </c>
      <c r="BY1343" s="344"/>
      <c r="BZ1343" s="347"/>
      <c r="CA1343" s="347"/>
    </row>
    <row r="1344" spans="1:79" ht="12.75" customHeight="1" x14ac:dyDescent="0.25">
      <c r="A1344" s="313"/>
      <c r="B1344" s="340"/>
      <c r="C1344" s="342"/>
      <c r="D1344" s="342"/>
      <c r="E1344" s="342"/>
      <c r="F1344" s="342"/>
      <c r="G1344" s="342"/>
      <c r="H1344" s="342"/>
      <c r="I1344" s="342"/>
      <c r="J1344" s="342"/>
      <c r="K1344" s="342"/>
      <c r="L1344" s="342"/>
      <c r="M1344" s="342"/>
      <c r="N1344" s="342"/>
      <c r="O1344" s="342"/>
      <c r="P1344" s="342"/>
      <c r="Q1344" s="342"/>
      <c r="R1344" s="342"/>
      <c r="S1344" s="342"/>
      <c r="T1344" s="342"/>
      <c r="U1344" s="342"/>
      <c r="V1344" s="342"/>
      <c r="W1344" s="343"/>
      <c r="X1344" s="343"/>
      <c r="Y1344" s="343"/>
      <c r="Z1344" s="343"/>
      <c r="AA1344" s="343"/>
      <c r="AB1344" s="343"/>
      <c r="AC1344" s="343"/>
      <c r="AD1344" s="343"/>
      <c r="AE1344" s="343"/>
      <c r="AF1344" s="343"/>
      <c r="AG1344" s="343"/>
      <c r="AH1344" s="343"/>
      <c r="AI1344" s="343"/>
      <c r="AJ1344" s="344"/>
      <c r="AK1344" s="345"/>
      <c r="AL1344" s="340"/>
      <c r="AM1344" s="342"/>
      <c r="AN1344" s="342"/>
      <c r="AO1344" s="342"/>
      <c r="AP1344" s="342"/>
      <c r="AQ1344" s="342"/>
      <c r="AR1344" s="342"/>
      <c r="AS1344" s="342"/>
      <c r="AT1344" s="342"/>
      <c r="AU1344" s="342"/>
      <c r="AV1344" s="342"/>
      <c r="AW1344" s="342"/>
      <c r="AX1344" s="342"/>
      <c r="AY1344" s="342"/>
      <c r="AZ1344" s="342"/>
      <c r="BA1344" s="342"/>
      <c r="BB1344" s="342"/>
      <c r="BC1344" s="342"/>
      <c r="BD1344" s="342"/>
      <c r="BE1344" s="342"/>
      <c r="BF1344" s="342"/>
      <c r="BG1344" s="342"/>
      <c r="BH1344" s="342"/>
      <c r="BI1344" s="342"/>
      <c r="BJ1344" s="342"/>
      <c r="BK1344" s="342"/>
      <c r="BL1344" s="342"/>
      <c r="BM1344" s="342"/>
      <c r="BN1344" s="342"/>
      <c r="BO1344" s="342"/>
      <c r="BP1344" s="342"/>
      <c r="BQ1344" s="342"/>
      <c r="BR1344" s="342"/>
      <c r="BS1344" s="342"/>
      <c r="BT1344" s="342"/>
      <c r="BU1344" s="346"/>
      <c r="BV1344" s="310"/>
      <c r="BW1344" s="310"/>
      <c r="BX1344" s="291">
        <f t="shared" si="101"/>
        <v>0</v>
      </c>
      <c r="BY1344" s="344"/>
      <c r="BZ1344" s="347"/>
      <c r="CA1344" s="347"/>
    </row>
    <row r="1345" spans="1:79" ht="15" customHeight="1" x14ac:dyDescent="0.25">
      <c r="A1345" s="313"/>
      <c r="B1345" s="340"/>
      <c r="C1345" s="341" t="s">
        <v>1441</v>
      </c>
      <c r="D1345" s="342"/>
      <c r="E1345" s="342"/>
      <c r="F1345" s="342"/>
      <c r="G1345" s="342"/>
      <c r="H1345" s="342"/>
      <c r="I1345" s="342"/>
      <c r="J1345" s="342"/>
      <c r="K1345" s="342"/>
      <c r="L1345" s="342"/>
      <c r="M1345" s="342"/>
      <c r="N1345" s="342"/>
      <c r="O1345" s="342"/>
      <c r="P1345" s="342"/>
      <c r="Q1345" s="342"/>
      <c r="R1345" s="342"/>
      <c r="S1345" s="342"/>
      <c r="T1345" s="342"/>
      <c r="U1345" s="342"/>
      <c r="V1345" s="342"/>
      <c r="W1345" s="343"/>
      <c r="X1345" s="343"/>
      <c r="Y1345" s="343"/>
      <c r="Z1345" s="343"/>
      <c r="AA1345" s="343"/>
      <c r="AB1345" s="343"/>
      <c r="AC1345" s="343"/>
      <c r="AD1345" s="343"/>
      <c r="AE1345" s="343"/>
      <c r="AF1345" s="343"/>
      <c r="AG1345" s="343"/>
      <c r="AH1345" s="343"/>
      <c r="AI1345" s="343"/>
      <c r="AJ1345" s="344"/>
      <c r="AK1345" s="345"/>
      <c r="AL1345" s="340"/>
      <c r="AM1345" s="341" t="s">
        <v>1442</v>
      </c>
      <c r="AN1345" s="342"/>
      <c r="AO1345" s="342"/>
      <c r="AP1345" s="342"/>
      <c r="AQ1345" s="342"/>
      <c r="AR1345" s="342"/>
      <c r="AS1345" s="342"/>
      <c r="AT1345" s="342"/>
      <c r="AU1345" s="342"/>
      <c r="AV1345" s="342"/>
      <c r="AW1345" s="342"/>
      <c r="AX1345" s="342"/>
      <c r="AY1345" s="342"/>
      <c r="AZ1345" s="342"/>
      <c r="BA1345" s="342"/>
      <c r="BB1345" s="342"/>
      <c r="BC1345" s="342"/>
      <c r="BD1345" s="342"/>
      <c r="BE1345" s="342"/>
      <c r="BF1345" s="342"/>
      <c r="BG1345" s="342"/>
      <c r="BH1345" s="342"/>
      <c r="BI1345" s="342"/>
      <c r="BJ1345" s="342"/>
      <c r="BK1345" s="342"/>
      <c r="BL1345" s="342"/>
      <c r="BM1345" s="342"/>
      <c r="BN1345" s="342"/>
      <c r="BO1345" s="342"/>
      <c r="BP1345" s="342"/>
      <c r="BQ1345" s="342"/>
      <c r="BR1345" s="342"/>
      <c r="BS1345" s="342"/>
      <c r="BT1345" s="342"/>
      <c r="BU1345" s="346"/>
      <c r="BV1345" s="310"/>
      <c r="BW1345" s="310"/>
      <c r="BX1345" s="291">
        <f t="shared" si="101"/>
        <v>0</v>
      </c>
      <c r="BY1345" s="344"/>
      <c r="BZ1345" s="347"/>
      <c r="CA1345" s="347"/>
    </row>
    <row r="1346" spans="1:79" ht="15" customHeight="1" x14ac:dyDescent="0.25">
      <c r="A1346" s="313"/>
      <c r="B1346" s="340"/>
      <c r="C1346" s="680"/>
      <c r="D1346" s="342"/>
      <c r="E1346" s="342"/>
      <c r="F1346" s="342"/>
      <c r="G1346" s="342"/>
      <c r="H1346" s="342"/>
      <c r="I1346" s="342"/>
      <c r="J1346" s="342"/>
      <c r="K1346" s="342"/>
      <c r="L1346" s="342"/>
      <c r="M1346" s="342"/>
      <c r="N1346" s="342"/>
      <c r="O1346" s="342"/>
      <c r="P1346" s="342"/>
      <c r="Q1346" s="342"/>
      <c r="R1346" s="342"/>
      <c r="S1346" s="342"/>
      <c r="T1346" s="342"/>
      <c r="U1346" s="342"/>
      <c r="V1346" s="342"/>
      <c r="W1346" s="1325" t="str">
        <f>Ky_Nay1_V</f>
        <v>31/12/2017</v>
      </c>
      <c r="X1346" s="1325"/>
      <c r="Y1346" s="1325"/>
      <c r="Z1346" s="1325"/>
      <c r="AA1346" s="1325"/>
      <c r="AB1346" s="1325"/>
      <c r="AC1346" s="351"/>
      <c r="AD1346" s="1325" t="str">
        <f>Ky_Truoc1_V</f>
        <v>01/01/2017</v>
      </c>
      <c r="AE1346" s="1325"/>
      <c r="AF1346" s="1325"/>
      <c r="AG1346" s="1325"/>
      <c r="AH1346" s="1325"/>
      <c r="AI1346" s="1325"/>
      <c r="AJ1346" s="344"/>
      <c r="AK1346" s="345"/>
      <c r="AL1346" s="340"/>
      <c r="AM1346" s="342"/>
      <c r="AN1346" s="342"/>
      <c r="AO1346" s="342"/>
      <c r="AP1346" s="342"/>
      <c r="AQ1346" s="342"/>
      <c r="AR1346" s="342"/>
      <c r="AS1346" s="342"/>
      <c r="AT1346" s="342"/>
      <c r="AU1346" s="342"/>
      <c r="AV1346" s="342"/>
      <c r="AW1346" s="342"/>
      <c r="AX1346" s="342"/>
      <c r="AY1346" s="342"/>
      <c r="AZ1346" s="342"/>
      <c r="BA1346" s="342"/>
      <c r="BB1346" s="342"/>
      <c r="BC1346" s="342"/>
      <c r="BD1346" s="342"/>
      <c r="BE1346" s="342"/>
      <c r="BF1346" s="342"/>
      <c r="BG1346" s="1325" t="str">
        <f>Ky_Nay1_E</f>
        <v>31/12/2017</v>
      </c>
      <c r="BH1346" s="1325"/>
      <c r="BI1346" s="1325"/>
      <c r="BJ1346" s="1325"/>
      <c r="BK1346" s="1325"/>
      <c r="BL1346" s="1325"/>
      <c r="BM1346" s="332"/>
      <c r="BN1346" s="1325" t="str">
        <f>Ky_Truoc1_E</f>
        <v>01/01/2017</v>
      </c>
      <c r="BO1346" s="1325"/>
      <c r="BP1346" s="1325"/>
      <c r="BQ1346" s="1325"/>
      <c r="BR1346" s="1325"/>
      <c r="BS1346" s="1325"/>
      <c r="BT1346" s="352"/>
      <c r="BU1346" s="353"/>
      <c r="BV1346" s="310"/>
      <c r="BW1346" s="310"/>
      <c r="BX1346" s="291">
        <f t="shared" si="101"/>
        <v>0</v>
      </c>
      <c r="BY1346" s="344"/>
      <c r="BZ1346" s="347"/>
      <c r="CA1346" s="347"/>
    </row>
    <row r="1347" spans="1:79" ht="15" customHeight="1" x14ac:dyDescent="0.25">
      <c r="A1347" s="313"/>
      <c r="B1347" s="340"/>
      <c r="C1347" s="342"/>
      <c r="D1347" s="342"/>
      <c r="E1347" s="342"/>
      <c r="F1347" s="342"/>
      <c r="G1347" s="342"/>
      <c r="H1347" s="342"/>
      <c r="I1347" s="342"/>
      <c r="J1347" s="342"/>
      <c r="K1347" s="342"/>
      <c r="L1347" s="342"/>
      <c r="M1347" s="342"/>
      <c r="N1347" s="342"/>
      <c r="O1347" s="342"/>
      <c r="P1347" s="342"/>
      <c r="Q1347" s="342"/>
      <c r="R1347" s="342"/>
      <c r="S1347" s="342"/>
      <c r="T1347" s="342"/>
      <c r="U1347" s="342"/>
      <c r="V1347" s="342"/>
      <c r="W1347" s="660"/>
      <c r="X1347" s="660"/>
      <c r="Y1347" s="660"/>
      <c r="Z1347" s="660"/>
      <c r="AA1347" s="660"/>
      <c r="AB1347" s="660"/>
      <c r="AC1347" s="437"/>
      <c r="AD1347" s="660"/>
      <c r="AE1347" s="660"/>
      <c r="AF1347" s="660"/>
      <c r="AG1347" s="660"/>
      <c r="AH1347" s="660"/>
      <c r="AI1347" s="660"/>
      <c r="AJ1347" s="344"/>
      <c r="AK1347" s="345"/>
      <c r="AL1347" s="340"/>
      <c r="AM1347" s="342"/>
      <c r="AN1347" s="342"/>
      <c r="AO1347" s="342"/>
      <c r="AP1347" s="342"/>
      <c r="AQ1347" s="342"/>
      <c r="AR1347" s="342"/>
      <c r="AS1347" s="342"/>
      <c r="AT1347" s="342"/>
      <c r="AU1347" s="342"/>
      <c r="AV1347" s="342"/>
      <c r="AW1347" s="342"/>
      <c r="AX1347" s="342"/>
      <c r="AY1347" s="342"/>
      <c r="AZ1347" s="342"/>
      <c r="BA1347" s="342"/>
      <c r="BB1347" s="342"/>
      <c r="BC1347" s="342"/>
      <c r="BD1347" s="342"/>
      <c r="BE1347" s="342"/>
      <c r="BF1347" s="342"/>
      <c r="BG1347" s="599"/>
      <c r="BH1347" s="599"/>
      <c r="BI1347" s="599"/>
      <c r="BJ1347" s="599"/>
      <c r="BK1347" s="599"/>
      <c r="BL1347" s="599"/>
      <c r="BM1347" s="600"/>
      <c r="BN1347" s="599"/>
      <c r="BO1347" s="599"/>
      <c r="BP1347" s="599"/>
      <c r="BQ1347" s="599"/>
      <c r="BR1347" s="599"/>
      <c r="BS1347" s="599"/>
      <c r="BT1347" s="352"/>
      <c r="BU1347" s="353"/>
      <c r="BV1347" s="310"/>
      <c r="BW1347" s="310"/>
      <c r="BX1347" s="291">
        <f t="shared" si="101"/>
        <v>0</v>
      </c>
      <c r="BY1347" s="344"/>
      <c r="BZ1347" s="347"/>
      <c r="CA1347" s="347"/>
    </row>
    <row r="1348" spans="1:79" ht="15" customHeight="1" x14ac:dyDescent="0.25">
      <c r="A1348" s="313"/>
      <c r="B1348" s="340"/>
      <c r="C1348" s="342" t="s">
        <v>1443</v>
      </c>
      <c r="D1348" s="342"/>
      <c r="E1348" s="342"/>
      <c r="F1348" s="342"/>
      <c r="G1348" s="342"/>
      <c r="H1348" s="342"/>
      <c r="I1348" s="342"/>
      <c r="J1348" s="342"/>
      <c r="K1348" s="342"/>
      <c r="L1348" s="342"/>
      <c r="M1348" s="342"/>
      <c r="N1348" s="342"/>
      <c r="O1348" s="342"/>
      <c r="P1348" s="342"/>
      <c r="Q1348" s="342"/>
      <c r="R1348" s="342"/>
      <c r="S1348" s="342"/>
      <c r="T1348" s="342"/>
      <c r="U1348" s="342"/>
      <c r="V1348" s="342"/>
      <c r="W1348" s="1318">
        <v>2000205</v>
      </c>
      <c r="X1348" s="1318"/>
      <c r="Y1348" s="1318"/>
      <c r="Z1348" s="1318"/>
      <c r="AA1348" s="1318"/>
      <c r="AB1348" s="1318"/>
      <c r="AC1348" s="355"/>
      <c r="AD1348" s="1318">
        <v>2000205</v>
      </c>
      <c r="AE1348" s="1318"/>
      <c r="AF1348" s="1318"/>
      <c r="AG1348" s="1318"/>
      <c r="AH1348" s="1318"/>
      <c r="AI1348" s="1318"/>
      <c r="AJ1348" s="344"/>
      <c r="AK1348" s="345"/>
      <c r="AL1348" s="340"/>
      <c r="AM1348" s="342" t="s">
        <v>1444</v>
      </c>
      <c r="AN1348" s="342"/>
      <c r="AO1348" s="342"/>
      <c r="AP1348" s="342"/>
      <c r="AQ1348" s="342"/>
      <c r="AR1348" s="342"/>
      <c r="AS1348" s="342"/>
      <c r="AT1348" s="342"/>
      <c r="AU1348" s="342"/>
      <c r="AV1348" s="342"/>
      <c r="AW1348" s="342"/>
      <c r="AX1348" s="342"/>
      <c r="AY1348" s="342"/>
      <c r="AZ1348" s="342"/>
      <c r="BA1348" s="342"/>
      <c r="BB1348" s="342"/>
      <c r="BC1348" s="342"/>
      <c r="BD1348" s="342"/>
      <c r="BE1348" s="342"/>
      <c r="BF1348" s="342"/>
      <c r="BG1348" s="1318">
        <f>W1348</f>
        <v>2000205</v>
      </c>
      <c r="BH1348" s="1318"/>
      <c r="BI1348" s="1318"/>
      <c r="BJ1348" s="1318"/>
      <c r="BK1348" s="1318"/>
      <c r="BL1348" s="1318"/>
      <c r="BM1348" s="358"/>
      <c r="BN1348" s="1318">
        <f>AD1348</f>
        <v>2000205</v>
      </c>
      <c r="BO1348" s="1318"/>
      <c r="BP1348" s="1318"/>
      <c r="BQ1348" s="1318"/>
      <c r="BR1348" s="1318"/>
      <c r="BS1348" s="1318"/>
      <c r="BT1348" s="356"/>
      <c r="BU1348" s="357"/>
      <c r="BV1348" s="310"/>
      <c r="BW1348" s="310"/>
      <c r="BX1348" s="291">
        <f t="shared" si="101"/>
        <v>0</v>
      </c>
      <c r="BY1348" s="344"/>
      <c r="BZ1348" s="347"/>
      <c r="CA1348" s="347"/>
    </row>
    <row r="1349" spans="1:79" ht="15" customHeight="1" x14ac:dyDescent="0.25">
      <c r="A1349" s="313"/>
      <c r="B1349" s="340"/>
      <c r="C1349" s="342" t="s">
        <v>1445</v>
      </c>
      <c r="D1349" s="342"/>
      <c r="E1349" s="342"/>
      <c r="F1349" s="342"/>
      <c r="G1349" s="342"/>
      <c r="H1349" s="342"/>
      <c r="I1349" s="342"/>
      <c r="J1349" s="342"/>
      <c r="K1349" s="342"/>
      <c r="L1349" s="342"/>
      <c r="M1349" s="342"/>
      <c r="N1349" s="342"/>
      <c r="O1349" s="342"/>
      <c r="P1349" s="342"/>
      <c r="Q1349" s="342"/>
      <c r="R1349" s="342"/>
      <c r="S1349" s="342"/>
      <c r="T1349" s="342"/>
      <c r="U1349" s="342"/>
      <c r="V1349" s="342"/>
      <c r="W1349" s="1318">
        <f>SUBTOTAL(109,W1350:AB1351)</f>
        <v>2000205</v>
      </c>
      <c r="X1349" s="1318"/>
      <c r="Y1349" s="1318"/>
      <c r="Z1349" s="1318"/>
      <c r="AA1349" s="1318"/>
      <c r="AB1349" s="1318"/>
      <c r="AC1349" s="355"/>
      <c r="AD1349" s="1318">
        <f>SUBTOTAL(109,AD1350:AI1351)</f>
        <v>2000205</v>
      </c>
      <c r="AE1349" s="1318"/>
      <c r="AF1349" s="1318"/>
      <c r="AG1349" s="1318"/>
      <c r="AH1349" s="1318"/>
      <c r="AI1349" s="1318"/>
      <c r="AJ1349" s="344"/>
      <c r="AK1349" s="345"/>
      <c r="AL1349" s="340"/>
      <c r="AM1349" s="342" t="s">
        <v>1446</v>
      </c>
      <c r="AN1349" s="342"/>
      <c r="AO1349" s="342"/>
      <c r="AP1349" s="342"/>
      <c r="AQ1349" s="342"/>
      <c r="AR1349" s="342"/>
      <c r="AS1349" s="342"/>
      <c r="AT1349" s="342"/>
      <c r="AU1349" s="342"/>
      <c r="AV1349" s="342"/>
      <c r="AW1349" s="342"/>
      <c r="AX1349" s="342"/>
      <c r="AY1349" s="342"/>
      <c r="AZ1349" s="342"/>
      <c r="BA1349" s="342"/>
      <c r="BB1349" s="342"/>
      <c r="BC1349" s="342"/>
      <c r="BD1349" s="342"/>
      <c r="BE1349" s="342"/>
      <c r="BF1349" s="342"/>
      <c r="BG1349" s="1363">
        <f>SUBTOTAL(109,BG1350:BL1351)</f>
        <v>2000205</v>
      </c>
      <c r="BH1349" s="1363"/>
      <c r="BI1349" s="1363"/>
      <c r="BJ1349" s="1363"/>
      <c r="BK1349" s="1363"/>
      <c r="BL1349" s="1363"/>
      <c r="BM1349" s="358"/>
      <c r="BN1349" s="1363">
        <f>SUBTOTAL(109,BN1350:BS1351)</f>
        <v>2000205</v>
      </c>
      <c r="BO1349" s="1363"/>
      <c r="BP1349" s="1363"/>
      <c r="BQ1349" s="1363"/>
      <c r="BR1349" s="1363"/>
      <c r="BS1349" s="1363"/>
      <c r="BT1349" s="359"/>
      <c r="BU1349" s="346"/>
      <c r="BV1349" s="310"/>
      <c r="BW1349" s="310"/>
      <c r="BX1349" s="291">
        <f t="shared" si="101"/>
        <v>0</v>
      </c>
      <c r="BY1349" s="344"/>
      <c r="BZ1349" s="347"/>
      <c r="CA1349" s="347"/>
    </row>
    <row r="1350" spans="1:79" ht="15" customHeight="1" x14ac:dyDescent="0.25">
      <c r="A1350" s="313"/>
      <c r="B1350" s="340"/>
      <c r="C1350" s="429" t="s">
        <v>1447</v>
      </c>
      <c r="D1350" s="342"/>
      <c r="E1350" s="342"/>
      <c r="F1350" s="342"/>
      <c r="G1350" s="342"/>
      <c r="H1350" s="342"/>
      <c r="I1350" s="342"/>
      <c r="J1350" s="342"/>
      <c r="K1350" s="342"/>
      <c r="L1350" s="342"/>
      <c r="M1350" s="342"/>
      <c r="N1350" s="342"/>
      <c r="O1350" s="342"/>
      <c r="P1350" s="342"/>
      <c r="Q1350" s="342"/>
      <c r="R1350" s="342"/>
      <c r="S1350" s="342"/>
      <c r="T1350" s="342"/>
      <c r="U1350" s="342"/>
      <c r="V1350" s="342"/>
      <c r="W1350" s="1369">
        <v>2000205</v>
      </c>
      <c r="X1350" s="1369"/>
      <c r="Y1350" s="1369"/>
      <c r="Z1350" s="1369"/>
      <c r="AA1350" s="1369"/>
      <c r="AB1350" s="1369"/>
      <c r="AC1350" s="355"/>
      <c r="AD1350" s="1369">
        <v>2000205</v>
      </c>
      <c r="AE1350" s="1369"/>
      <c r="AF1350" s="1369"/>
      <c r="AG1350" s="1369"/>
      <c r="AH1350" s="1369"/>
      <c r="AI1350" s="1369"/>
      <c r="AJ1350" s="344"/>
      <c r="AK1350" s="345"/>
      <c r="AL1350" s="340"/>
      <c r="AM1350" s="429" t="s">
        <v>1448</v>
      </c>
      <c r="AN1350" s="342"/>
      <c r="AO1350" s="342"/>
      <c r="AP1350" s="342"/>
      <c r="AQ1350" s="342"/>
      <c r="AR1350" s="342"/>
      <c r="AS1350" s="342"/>
      <c r="AT1350" s="342"/>
      <c r="AU1350" s="342"/>
      <c r="AV1350" s="342"/>
      <c r="AW1350" s="342"/>
      <c r="AX1350" s="342"/>
      <c r="AY1350" s="342"/>
      <c r="AZ1350" s="342"/>
      <c r="BA1350" s="342"/>
      <c r="BB1350" s="342"/>
      <c r="BC1350" s="342"/>
      <c r="BD1350" s="342"/>
      <c r="BE1350" s="342"/>
      <c r="BF1350" s="342"/>
      <c r="BG1350" s="1402">
        <f>W1350</f>
        <v>2000205</v>
      </c>
      <c r="BH1350" s="1402"/>
      <c r="BI1350" s="1402"/>
      <c r="BJ1350" s="1402"/>
      <c r="BK1350" s="1402"/>
      <c r="BL1350" s="1402"/>
      <c r="BM1350" s="358"/>
      <c r="BN1350" s="1402">
        <f>AD1350</f>
        <v>2000205</v>
      </c>
      <c r="BO1350" s="1402"/>
      <c r="BP1350" s="1402"/>
      <c r="BQ1350" s="1402"/>
      <c r="BR1350" s="1402"/>
      <c r="BS1350" s="1402"/>
      <c r="BT1350" s="675"/>
      <c r="BU1350" s="676"/>
      <c r="BV1350" s="310"/>
      <c r="BW1350" s="310"/>
      <c r="BX1350" s="291">
        <f t="shared" si="101"/>
        <v>0</v>
      </c>
      <c r="BY1350" s="344"/>
      <c r="BZ1350" s="347"/>
      <c r="CA1350" s="347"/>
    </row>
    <row r="1351" spans="1:79" ht="15" hidden="1" customHeight="1" x14ac:dyDescent="0.25">
      <c r="A1351" s="313"/>
      <c r="B1351" s="340"/>
      <c r="C1351" s="429" t="s">
        <v>1449</v>
      </c>
      <c r="D1351" s="342"/>
      <c r="E1351" s="342"/>
      <c r="F1351" s="342"/>
      <c r="G1351" s="342"/>
      <c r="H1351" s="342"/>
      <c r="I1351" s="342"/>
      <c r="J1351" s="342"/>
      <c r="K1351" s="342"/>
      <c r="L1351" s="342"/>
      <c r="M1351" s="342"/>
      <c r="N1351" s="342"/>
      <c r="O1351" s="342"/>
      <c r="P1351" s="342"/>
      <c r="Q1351" s="342"/>
      <c r="R1351" s="342"/>
      <c r="S1351" s="342"/>
      <c r="T1351" s="342"/>
      <c r="U1351" s="342"/>
      <c r="V1351" s="342"/>
      <c r="W1351" s="1369"/>
      <c r="X1351" s="1369"/>
      <c r="Y1351" s="1369"/>
      <c r="Z1351" s="1369"/>
      <c r="AA1351" s="1369"/>
      <c r="AB1351" s="1369"/>
      <c r="AC1351" s="355"/>
      <c r="AD1351" s="1369"/>
      <c r="AE1351" s="1369"/>
      <c r="AF1351" s="1369"/>
      <c r="AG1351" s="1369"/>
      <c r="AH1351" s="1369"/>
      <c r="AI1351" s="1369"/>
      <c r="AJ1351" s="344"/>
      <c r="AK1351" s="345"/>
      <c r="AL1351" s="340"/>
      <c r="AM1351" s="429" t="s">
        <v>1450</v>
      </c>
      <c r="AN1351" s="342"/>
      <c r="AO1351" s="342"/>
      <c r="AP1351" s="342"/>
      <c r="AQ1351" s="342"/>
      <c r="AR1351" s="342"/>
      <c r="AS1351" s="342"/>
      <c r="AT1351" s="342"/>
      <c r="AU1351" s="342"/>
      <c r="AV1351" s="342"/>
      <c r="AW1351" s="342"/>
      <c r="AX1351" s="342"/>
      <c r="AY1351" s="342"/>
      <c r="AZ1351" s="342"/>
      <c r="BA1351" s="342"/>
      <c r="BB1351" s="342"/>
      <c r="BC1351" s="342"/>
      <c r="BD1351" s="342"/>
      <c r="BE1351" s="342"/>
      <c r="BF1351" s="342"/>
      <c r="BG1351" s="1402">
        <f>W1351</f>
        <v>0</v>
      </c>
      <c r="BH1351" s="1402"/>
      <c r="BI1351" s="1402"/>
      <c r="BJ1351" s="1402"/>
      <c r="BK1351" s="1402"/>
      <c r="BL1351" s="1402"/>
      <c r="BM1351" s="358"/>
      <c r="BN1351" s="1402">
        <f>AD1351</f>
        <v>0</v>
      </c>
      <c r="BO1351" s="1402"/>
      <c r="BP1351" s="1402"/>
      <c r="BQ1351" s="1402"/>
      <c r="BR1351" s="1402"/>
      <c r="BS1351" s="1402"/>
      <c r="BT1351" s="675"/>
      <c r="BU1351" s="676"/>
      <c r="BV1351" s="310"/>
      <c r="BW1351" s="310"/>
      <c r="BX1351" s="291">
        <f t="shared" si="101"/>
        <v>0</v>
      </c>
      <c r="BY1351" s="344"/>
      <c r="BZ1351" s="347"/>
      <c r="CA1351" s="347"/>
    </row>
    <row r="1352" spans="1:79" ht="15" customHeight="1" x14ac:dyDescent="0.25">
      <c r="A1352" s="313"/>
      <c r="B1352" s="340"/>
      <c r="C1352" s="342" t="s">
        <v>1451</v>
      </c>
      <c r="D1352" s="342"/>
      <c r="E1352" s="342"/>
      <c r="F1352" s="342"/>
      <c r="G1352" s="342"/>
      <c r="H1352" s="342"/>
      <c r="I1352" s="342"/>
      <c r="J1352" s="342"/>
      <c r="K1352" s="342"/>
      <c r="L1352" s="342"/>
      <c r="M1352" s="342"/>
      <c r="N1352" s="342"/>
      <c r="O1352" s="342"/>
      <c r="P1352" s="342"/>
      <c r="Q1352" s="342"/>
      <c r="R1352" s="342"/>
      <c r="S1352" s="342"/>
      <c r="T1352" s="342"/>
      <c r="U1352" s="342"/>
      <c r="V1352" s="342"/>
      <c r="W1352" s="1318">
        <f>SUBTOTAL(109,W1353:AB1354)</f>
        <v>205</v>
      </c>
      <c r="X1352" s="1318"/>
      <c r="Y1352" s="1318"/>
      <c r="Z1352" s="1318"/>
      <c r="AA1352" s="1318"/>
      <c r="AB1352" s="1318"/>
      <c r="AC1352" s="355"/>
      <c r="AD1352" s="1318">
        <f>SUBTOTAL(109,AD1353:AI1354)</f>
        <v>205</v>
      </c>
      <c r="AE1352" s="1318"/>
      <c r="AF1352" s="1318"/>
      <c r="AG1352" s="1318"/>
      <c r="AH1352" s="1318"/>
      <c r="AI1352" s="1318"/>
      <c r="AJ1352" s="344"/>
      <c r="AK1352" s="345"/>
      <c r="AL1352" s="340"/>
      <c r="AM1352" s="342" t="s">
        <v>1452</v>
      </c>
      <c r="AN1352" s="342"/>
      <c r="AO1352" s="342"/>
      <c r="AP1352" s="342"/>
      <c r="AQ1352" s="342"/>
      <c r="AR1352" s="342"/>
      <c r="AS1352" s="342"/>
      <c r="AT1352" s="342"/>
      <c r="AU1352" s="342"/>
      <c r="AV1352" s="342"/>
      <c r="AW1352" s="342"/>
      <c r="AX1352" s="342"/>
      <c r="AY1352" s="342"/>
      <c r="AZ1352" s="342"/>
      <c r="BA1352" s="342"/>
      <c r="BB1352" s="342"/>
      <c r="BC1352" s="342"/>
      <c r="BD1352" s="342"/>
      <c r="BE1352" s="342"/>
      <c r="BF1352" s="342"/>
      <c r="BG1352" s="1363">
        <f>SUBTOTAL(109,BG1353:BL1354)</f>
        <v>205</v>
      </c>
      <c r="BH1352" s="1363"/>
      <c r="BI1352" s="1363"/>
      <c r="BJ1352" s="1363"/>
      <c r="BK1352" s="1363"/>
      <c r="BL1352" s="1363"/>
      <c r="BM1352" s="358"/>
      <c r="BN1352" s="1363">
        <f>SUBTOTAL(109,BN1353:BS1354)</f>
        <v>205</v>
      </c>
      <c r="BO1352" s="1363"/>
      <c r="BP1352" s="1363"/>
      <c r="BQ1352" s="1363"/>
      <c r="BR1352" s="1363"/>
      <c r="BS1352" s="1363"/>
      <c r="BT1352" s="359"/>
      <c r="BU1352" s="346"/>
      <c r="BV1352" s="310"/>
      <c r="BW1352" s="310"/>
      <c r="BX1352" s="291">
        <f t="shared" si="101"/>
        <v>0</v>
      </c>
      <c r="BY1352" s="344"/>
      <c r="BZ1352" s="347"/>
      <c r="CA1352" s="347"/>
    </row>
    <row r="1353" spans="1:79" ht="15" customHeight="1" x14ac:dyDescent="0.25">
      <c r="A1353" s="313"/>
      <c r="B1353" s="340"/>
      <c r="C1353" s="429" t="s">
        <v>1447</v>
      </c>
      <c r="D1353" s="342"/>
      <c r="E1353" s="342"/>
      <c r="F1353" s="342"/>
      <c r="G1353" s="342"/>
      <c r="H1353" s="342"/>
      <c r="I1353" s="342"/>
      <c r="J1353" s="342"/>
      <c r="K1353" s="342"/>
      <c r="L1353" s="342"/>
      <c r="M1353" s="342"/>
      <c r="N1353" s="342"/>
      <c r="O1353" s="342"/>
      <c r="P1353" s="342"/>
      <c r="Q1353" s="342"/>
      <c r="R1353" s="342"/>
      <c r="S1353" s="342"/>
      <c r="T1353" s="342"/>
      <c r="U1353" s="342"/>
      <c r="V1353" s="342"/>
      <c r="W1353" s="1369">
        <v>205</v>
      </c>
      <c r="X1353" s="1369"/>
      <c r="Y1353" s="1369"/>
      <c r="Z1353" s="1369"/>
      <c r="AA1353" s="1369"/>
      <c r="AB1353" s="1369"/>
      <c r="AC1353" s="355"/>
      <c r="AD1353" s="1369">
        <v>205</v>
      </c>
      <c r="AE1353" s="1369"/>
      <c r="AF1353" s="1369"/>
      <c r="AG1353" s="1369"/>
      <c r="AH1353" s="1369"/>
      <c r="AI1353" s="1369"/>
      <c r="AJ1353" s="344"/>
      <c r="AK1353" s="345"/>
      <c r="AL1353" s="340"/>
      <c r="AM1353" s="429" t="s">
        <v>1448</v>
      </c>
      <c r="AN1353" s="342"/>
      <c r="AO1353" s="342"/>
      <c r="AP1353" s="342"/>
      <c r="AQ1353" s="342"/>
      <c r="AR1353" s="342"/>
      <c r="AS1353" s="342"/>
      <c r="AT1353" s="342"/>
      <c r="AU1353" s="342"/>
      <c r="AV1353" s="342"/>
      <c r="AW1353" s="342"/>
      <c r="AX1353" s="342"/>
      <c r="AY1353" s="342"/>
      <c r="AZ1353" s="342"/>
      <c r="BA1353" s="342"/>
      <c r="BB1353" s="342"/>
      <c r="BC1353" s="342"/>
      <c r="BD1353" s="342"/>
      <c r="BE1353" s="342"/>
      <c r="BF1353" s="342"/>
      <c r="BG1353" s="1402">
        <f>W1353</f>
        <v>205</v>
      </c>
      <c r="BH1353" s="1402"/>
      <c r="BI1353" s="1402"/>
      <c r="BJ1353" s="1402"/>
      <c r="BK1353" s="1402"/>
      <c r="BL1353" s="1402"/>
      <c r="BM1353" s="358"/>
      <c r="BN1353" s="1402">
        <f>AD1353</f>
        <v>205</v>
      </c>
      <c r="BO1353" s="1402"/>
      <c r="BP1353" s="1402"/>
      <c r="BQ1353" s="1402"/>
      <c r="BR1353" s="1402"/>
      <c r="BS1353" s="1402"/>
      <c r="BT1353" s="675"/>
      <c r="BU1353" s="676"/>
      <c r="BV1353" s="310"/>
      <c r="BW1353" s="310"/>
      <c r="BX1353" s="291">
        <f t="shared" si="101"/>
        <v>0</v>
      </c>
      <c r="BY1353" s="344"/>
      <c r="BZ1353" s="347"/>
      <c r="CA1353" s="347"/>
    </row>
    <row r="1354" spans="1:79" ht="15" hidden="1" customHeight="1" x14ac:dyDescent="0.25">
      <c r="A1354" s="313"/>
      <c r="B1354" s="340"/>
      <c r="C1354" s="429" t="s">
        <v>1449</v>
      </c>
      <c r="D1354" s="342"/>
      <c r="E1354" s="342"/>
      <c r="F1354" s="342"/>
      <c r="G1354" s="342"/>
      <c r="H1354" s="342"/>
      <c r="I1354" s="342"/>
      <c r="J1354" s="342"/>
      <c r="K1354" s="342"/>
      <c r="L1354" s="342"/>
      <c r="M1354" s="342"/>
      <c r="N1354" s="342"/>
      <c r="O1354" s="342"/>
      <c r="P1354" s="342"/>
      <c r="Q1354" s="342"/>
      <c r="R1354" s="342"/>
      <c r="S1354" s="342"/>
      <c r="T1354" s="342"/>
      <c r="U1354" s="342"/>
      <c r="V1354" s="342"/>
      <c r="W1354" s="1369"/>
      <c r="X1354" s="1369"/>
      <c r="Y1354" s="1369"/>
      <c r="Z1354" s="1369"/>
      <c r="AA1354" s="1369"/>
      <c r="AB1354" s="1369"/>
      <c r="AC1354" s="355"/>
      <c r="AD1354" s="1369"/>
      <c r="AE1354" s="1369"/>
      <c r="AF1354" s="1369"/>
      <c r="AG1354" s="1369"/>
      <c r="AH1354" s="1369"/>
      <c r="AI1354" s="1369"/>
      <c r="AJ1354" s="344"/>
      <c r="AK1354" s="345"/>
      <c r="AL1354" s="340"/>
      <c r="AM1354" s="429" t="s">
        <v>1450</v>
      </c>
      <c r="AN1354" s="342"/>
      <c r="AO1354" s="342"/>
      <c r="AP1354" s="342"/>
      <c r="AQ1354" s="342"/>
      <c r="AR1354" s="342"/>
      <c r="AS1354" s="342"/>
      <c r="AT1354" s="342"/>
      <c r="AU1354" s="342"/>
      <c r="AV1354" s="342"/>
      <c r="AW1354" s="342"/>
      <c r="AX1354" s="342"/>
      <c r="AY1354" s="342"/>
      <c r="AZ1354" s="342"/>
      <c r="BA1354" s="342"/>
      <c r="BB1354" s="342"/>
      <c r="BC1354" s="342"/>
      <c r="BD1354" s="342"/>
      <c r="BE1354" s="342"/>
      <c r="BF1354" s="342"/>
      <c r="BG1354" s="1402">
        <f>W1354</f>
        <v>0</v>
      </c>
      <c r="BH1354" s="1402"/>
      <c r="BI1354" s="1402"/>
      <c r="BJ1354" s="1402"/>
      <c r="BK1354" s="1402"/>
      <c r="BL1354" s="1402"/>
      <c r="BM1354" s="358"/>
      <c r="BN1354" s="1402">
        <f>AD1354</f>
        <v>0</v>
      </c>
      <c r="BO1354" s="1402"/>
      <c r="BP1354" s="1402"/>
      <c r="BQ1354" s="1402"/>
      <c r="BR1354" s="1402"/>
      <c r="BS1354" s="1402"/>
      <c r="BT1354" s="675"/>
      <c r="BU1354" s="676"/>
      <c r="BV1354" s="310"/>
      <c r="BW1354" s="310"/>
      <c r="BX1354" s="291">
        <f t="shared" si="101"/>
        <v>0</v>
      </c>
      <c r="BY1354" s="344"/>
      <c r="BZ1354" s="347"/>
      <c r="CA1354" s="347"/>
    </row>
    <row r="1355" spans="1:79" ht="15" customHeight="1" x14ac:dyDescent="0.25">
      <c r="A1355" s="313"/>
      <c r="B1355" s="340"/>
      <c r="C1355" s="342" t="s">
        <v>1453</v>
      </c>
      <c r="D1355" s="342"/>
      <c r="E1355" s="342"/>
      <c r="F1355" s="342"/>
      <c r="G1355" s="342"/>
      <c r="H1355" s="342"/>
      <c r="I1355" s="342"/>
      <c r="J1355" s="342"/>
      <c r="K1355" s="342"/>
      <c r="L1355" s="342"/>
      <c r="M1355" s="342"/>
      <c r="N1355" s="342"/>
      <c r="O1355" s="342"/>
      <c r="P1355" s="342"/>
      <c r="Q1355" s="342"/>
      <c r="R1355" s="342"/>
      <c r="S1355" s="342"/>
      <c r="T1355" s="342"/>
      <c r="U1355" s="342"/>
      <c r="V1355" s="342"/>
      <c r="W1355" s="1318">
        <f>SUBTOTAL(109,W1356:AB1357)</f>
        <v>2000000</v>
      </c>
      <c r="X1355" s="1318"/>
      <c r="Y1355" s="1318"/>
      <c r="Z1355" s="1318"/>
      <c r="AA1355" s="1318"/>
      <c r="AB1355" s="1318"/>
      <c r="AC1355" s="355"/>
      <c r="AD1355" s="1318">
        <f>SUBTOTAL(109,AD1356:AI1357)</f>
        <v>2000000</v>
      </c>
      <c r="AE1355" s="1318"/>
      <c r="AF1355" s="1318"/>
      <c r="AG1355" s="1318"/>
      <c r="AH1355" s="1318"/>
      <c r="AI1355" s="1318"/>
      <c r="AJ1355" s="344"/>
      <c r="AK1355" s="345"/>
      <c r="AL1355" s="340"/>
      <c r="AM1355" s="342" t="s">
        <v>1454</v>
      </c>
      <c r="AN1355" s="342"/>
      <c r="AO1355" s="342"/>
      <c r="AP1355" s="342"/>
      <c r="AQ1355" s="342"/>
      <c r="AR1355" s="342"/>
      <c r="AS1355" s="342"/>
      <c r="AT1355" s="342"/>
      <c r="AU1355" s="342"/>
      <c r="AV1355" s="342"/>
      <c r="AW1355" s="342"/>
      <c r="AX1355" s="342"/>
      <c r="AY1355" s="342"/>
      <c r="AZ1355" s="342"/>
      <c r="BA1355" s="342"/>
      <c r="BB1355" s="342"/>
      <c r="BC1355" s="342"/>
      <c r="BD1355" s="342"/>
      <c r="BE1355" s="342"/>
      <c r="BF1355" s="342"/>
      <c r="BG1355" s="1363">
        <f>SUBTOTAL(109,BG1356:BL1357)</f>
        <v>2000000</v>
      </c>
      <c r="BH1355" s="1363"/>
      <c r="BI1355" s="1363"/>
      <c r="BJ1355" s="1363"/>
      <c r="BK1355" s="1363"/>
      <c r="BL1355" s="1363"/>
      <c r="BM1355" s="358"/>
      <c r="BN1355" s="1363">
        <f>SUBTOTAL(109,BN1356:BS1357)</f>
        <v>2000000</v>
      </c>
      <c r="BO1355" s="1363"/>
      <c r="BP1355" s="1363"/>
      <c r="BQ1355" s="1363"/>
      <c r="BR1355" s="1363"/>
      <c r="BS1355" s="1363"/>
      <c r="BT1355" s="359"/>
      <c r="BU1355" s="346"/>
      <c r="BV1355" s="310"/>
      <c r="BW1355" s="310"/>
      <c r="BX1355" s="291">
        <f t="shared" si="101"/>
        <v>0</v>
      </c>
      <c r="BY1355" s="344"/>
      <c r="BZ1355" s="347"/>
      <c r="CA1355" s="347"/>
    </row>
    <row r="1356" spans="1:79" ht="15" customHeight="1" x14ac:dyDescent="0.25">
      <c r="A1356" s="313"/>
      <c r="B1356" s="340"/>
      <c r="C1356" s="429" t="s">
        <v>1447</v>
      </c>
      <c r="D1356" s="342"/>
      <c r="E1356" s="342"/>
      <c r="F1356" s="342"/>
      <c r="G1356" s="342"/>
      <c r="H1356" s="342"/>
      <c r="I1356" s="342"/>
      <c r="J1356" s="342"/>
      <c r="K1356" s="342"/>
      <c r="L1356" s="342"/>
      <c r="M1356" s="342"/>
      <c r="N1356" s="342"/>
      <c r="O1356" s="342"/>
      <c r="P1356" s="342"/>
      <c r="Q1356" s="342"/>
      <c r="R1356" s="342"/>
      <c r="S1356" s="342"/>
      <c r="T1356" s="342"/>
      <c r="U1356" s="342"/>
      <c r="V1356" s="342"/>
      <c r="W1356" s="1369">
        <f>W1350-W1353</f>
        <v>2000000</v>
      </c>
      <c r="X1356" s="1369"/>
      <c r="Y1356" s="1369"/>
      <c r="Z1356" s="1369"/>
      <c r="AA1356" s="1369"/>
      <c r="AB1356" s="1369"/>
      <c r="AC1356" s="355"/>
      <c r="AD1356" s="1369">
        <f>AD1350-AD1353</f>
        <v>2000000</v>
      </c>
      <c r="AE1356" s="1369"/>
      <c r="AF1356" s="1369"/>
      <c r="AG1356" s="1369"/>
      <c r="AH1356" s="1369"/>
      <c r="AI1356" s="1369"/>
      <c r="AJ1356" s="344"/>
      <c r="AK1356" s="345"/>
      <c r="AL1356" s="340"/>
      <c r="AM1356" s="429" t="s">
        <v>1448</v>
      </c>
      <c r="AN1356" s="342"/>
      <c r="AO1356" s="342"/>
      <c r="AP1356" s="342"/>
      <c r="AQ1356" s="342"/>
      <c r="AR1356" s="342"/>
      <c r="AS1356" s="342"/>
      <c r="AT1356" s="342"/>
      <c r="AU1356" s="342"/>
      <c r="AV1356" s="342"/>
      <c r="AW1356" s="342"/>
      <c r="AX1356" s="342"/>
      <c r="AY1356" s="342"/>
      <c r="AZ1356" s="342"/>
      <c r="BA1356" s="342"/>
      <c r="BB1356" s="342"/>
      <c r="BC1356" s="342"/>
      <c r="BD1356" s="342"/>
      <c r="BE1356" s="342"/>
      <c r="BF1356" s="342"/>
      <c r="BG1356" s="1402">
        <f>W1356</f>
        <v>2000000</v>
      </c>
      <c r="BH1356" s="1402"/>
      <c r="BI1356" s="1402"/>
      <c r="BJ1356" s="1402"/>
      <c r="BK1356" s="1402"/>
      <c r="BL1356" s="1402"/>
      <c r="BM1356" s="358"/>
      <c r="BN1356" s="1402">
        <f>AD1356</f>
        <v>2000000</v>
      </c>
      <c r="BO1356" s="1402"/>
      <c r="BP1356" s="1402"/>
      <c r="BQ1356" s="1402"/>
      <c r="BR1356" s="1402"/>
      <c r="BS1356" s="1402"/>
      <c r="BT1356" s="675"/>
      <c r="BU1356" s="676"/>
      <c r="BV1356" s="310"/>
      <c r="BW1356" s="310"/>
      <c r="BX1356" s="291">
        <f t="shared" si="101"/>
        <v>0</v>
      </c>
      <c r="BY1356" s="344"/>
      <c r="BZ1356" s="347"/>
      <c r="CA1356" s="347"/>
    </row>
    <row r="1357" spans="1:79" ht="15" hidden="1" customHeight="1" x14ac:dyDescent="0.25">
      <c r="A1357" s="313"/>
      <c r="B1357" s="340"/>
      <c r="C1357" s="429" t="s">
        <v>1449</v>
      </c>
      <c r="D1357" s="342"/>
      <c r="E1357" s="342"/>
      <c r="F1357" s="342"/>
      <c r="G1357" s="342"/>
      <c r="H1357" s="342"/>
      <c r="I1357" s="342"/>
      <c r="J1357" s="342"/>
      <c r="K1357" s="342"/>
      <c r="L1357" s="342"/>
      <c r="M1357" s="342"/>
      <c r="N1357" s="342"/>
      <c r="O1357" s="342"/>
      <c r="P1357" s="342"/>
      <c r="Q1357" s="342"/>
      <c r="R1357" s="342"/>
      <c r="S1357" s="342"/>
      <c r="T1357" s="342"/>
      <c r="U1357" s="342"/>
      <c r="V1357" s="342"/>
      <c r="W1357" s="1369">
        <v>0</v>
      </c>
      <c r="X1357" s="1369"/>
      <c r="Y1357" s="1369"/>
      <c r="Z1357" s="1369"/>
      <c r="AA1357" s="1369"/>
      <c r="AB1357" s="1369"/>
      <c r="AC1357" s="355"/>
      <c r="AD1357" s="1369">
        <v>0</v>
      </c>
      <c r="AE1357" s="1369"/>
      <c r="AF1357" s="1369"/>
      <c r="AG1357" s="1369"/>
      <c r="AH1357" s="1369"/>
      <c r="AI1357" s="1369"/>
      <c r="AJ1357" s="344"/>
      <c r="AK1357" s="345"/>
      <c r="AL1357" s="340"/>
      <c r="AM1357" s="429" t="s">
        <v>1450</v>
      </c>
      <c r="AN1357" s="342"/>
      <c r="AO1357" s="342"/>
      <c r="AP1357" s="342"/>
      <c r="AQ1357" s="342"/>
      <c r="AR1357" s="342"/>
      <c r="AS1357" s="342"/>
      <c r="AT1357" s="342"/>
      <c r="AU1357" s="342"/>
      <c r="AV1357" s="342"/>
      <c r="AW1357" s="342"/>
      <c r="AX1357" s="342"/>
      <c r="AY1357" s="342"/>
      <c r="AZ1357" s="342"/>
      <c r="BA1357" s="342"/>
      <c r="BB1357" s="342"/>
      <c r="BC1357" s="342"/>
      <c r="BD1357" s="342"/>
      <c r="BE1357" s="342"/>
      <c r="BF1357" s="342"/>
      <c r="BG1357" s="1402">
        <f>W1357</f>
        <v>0</v>
      </c>
      <c r="BH1357" s="1402"/>
      <c r="BI1357" s="1402"/>
      <c r="BJ1357" s="1402"/>
      <c r="BK1357" s="1402"/>
      <c r="BL1357" s="1402"/>
      <c r="BM1357" s="358"/>
      <c r="BN1357" s="1402">
        <f>AD1357</f>
        <v>0</v>
      </c>
      <c r="BO1357" s="1402"/>
      <c r="BP1357" s="1402"/>
      <c r="BQ1357" s="1402"/>
      <c r="BR1357" s="1402"/>
      <c r="BS1357" s="1402"/>
      <c r="BT1357" s="675"/>
      <c r="BU1357" s="676"/>
      <c r="BV1357" s="310"/>
      <c r="BW1357" s="310"/>
      <c r="BX1357" s="291">
        <f t="shared" si="101"/>
        <v>0</v>
      </c>
      <c r="BY1357" s="344"/>
      <c r="BZ1357" s="347"/>
      <c r="CA1357" s="347"/>
    </row>
    <row r="1358" spans="1:79" ht="15" customHeight="1" x14ac:dyDescent="0.25">
      <c r="A1358" s="313"/>
      <c r="B1358" s="340"/>
      <c r="C1358" s="342" t="str">
        <f>"Mệnh giá cổ phiếu đang lưu hành: "&amp; TEXT(MG_CP,"###.###") &amp;" "&amp;Don_Vi_Tinh_V&amp;"/cổ phiếu"</f>
        <v>Mệnh giá cổ phiếu đang lưu hành: 10.000 VND/cổ phiếu</v>
      </c>
      <c r="D1358" s="342"/>
      <c r="E1358" s="342"/>
      <c r="F1358" s="342"/>
      <c r="G1358" s="342"/>
      <c r="H1358" s="342"/>
      <c r="I1358" s="342"/>
      <c r="J1358" s="342"/>
      <c r="K1358" s="342"/>
      <c r="L1358" s="342"/>
      <c r="M1358" s="342"/>
      <c r="N1358" s="342"/>
      <c r="O1358" s="342"/>
      <c r="P1358" s="342"/>
      <c r="Q1358" s="342"/>
      <c r="R1358" s="342"/>
      <c r="S1358" s="342"/>
      <c r="T1358" s="342"/>
      <c r="U1358" s="342"/>
      <c r="V1358" s="342"/>
      <c r="W1358" s="1383"/>
      <c r="X1358" s="1383"/>
      <c r="Y1358" s="1383"/>
      <c r="Z1358" s="1383"/>
      <c r="AA1358" s="1383"/>
      <c r="AB1358" s="1383"/>
      <c r="AC1358" s="343"/>
      <c r="AD1358" s="1383"/>
      <c r="AE1358" s="1383"/>
      <c r="AF1358" s="1383"/>
      <c r="AG1358" s="1383"/>
      <c r="AH1358" s="1383"/>
      <c r="AI1358" s="1383"/>
      <c r="AJ1358" s="344"/>
      <c r="AK1358" s="345"/>
      <c r="AL1358" s="340"/>
      <c r="AM1358" s="342" t="str">
        <f>"Par value per stock: "&amp;Don_Vi_Tinh_E&amp;" "&amp;TEXT(MG_CP,"###.###") &amp;" "&amp;" / stock"</f>
        <v>Par value per stock: VND 10.000  / stock</v>
      </c>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342"/>
      <c r="BI1358" s="342"/>
      <c r="BJ1358" s="342"/>
      <c r="BK1358" s="342"/>
      <c r="BL1358" s="342"/>
      <c r="BM1358" s="389"/>
      <c r="BN1358" s="356"/>
      <c r="BO1358" s="356"/>
      <c r="BP1358" s="356"/>
      <c r="BQ1358" s="356"/>
      <c r="BR1358" s="356"/>
      <c r="BS1358" s="356"/>
      <c r="BT1358" s="356"/>
      <c r="BU1358" s="357"/>
      <c r="BV1358" s="310"/>
      <c r="BW1358" s="310"/>
      <c r="BX1358" s="291">
        <f t="shared" si="101"/>
        <v>0</v>
      </c>
      <c r="BY1358" s="344"/>
      <c r="BZ1358" s="347"/>
      <c r="CA1358" s="347"/>
    </row>
    <row r="1359" spans="1:79" ht="15" hidden="1" customHeight="1" x14ac:dyDescent="0.25">
      <c r="A1359" s="313"/>
      <c r="B1359" s="340"/>
      <c r="C1359" s="342"/>
      <c r="D1359" s="342"/>
      <c r="E1359" s="342"/>
      <c r="F1359" s="342"/>
      <c r="G1359" s="342"/>
      <c r="H1359" s="342"/>
      <c r="I1359" s="342"/>
      <c r="J1359" s="342"/>
      <c r="K1359" s="342"/>
      <c r="L1359" s="342"/>
      <c r="M1359" s="342"/>
      <c r="N1359" s="342"/>
      <c r="O1359" s="342"/>
      <c r="P1359" s="342"/>
      <c r="Q1359" s="342"/>
      <c r="R1359" s="342"/>
      <c r="S1359" s="342"/>
      <c r="T1359" s="342"/>
      <c r="U1359" s="342"/>
      <c r="V1359" s="342"/>
      <c r="W1359" s="343"/>
      <c r="X1359" s="343"/>
      <c r="Y1359" s="343"/>
      <c r="Z1359" s="343"/>
      <c r="AA1359" s="343"/>
      <c r="AB1359" s="343"/>
      <c r="AC1359" s="343"/>
      <c r="AD1359" s="343"/>
      <c r="AE1359" s="343"/>
      <c r="AF1359" s="343"/>
      <c r="AG1359" s="343"/>
      <c r="AH1359" s="343"/>
      <c r="AI1359" s="343"/>
      <c r="AJ1359" s="344"/>
      <c r="AK1359" s="345"/>
      <c r="AL1359" s="340"/>
      <c r="AM1359" s="342"/>
      <c r="AN1359" s="342"/>
      <c r="AO1359" s="342"/>
      <c r="AP1359" s="342"/>
      <c r="AQ1359" s="342"/>
      <c r="AR1359" s="342"/>
      <c r="AS1359" s="342"/>
      <c r="AT1359" s="342"/>
      <c r="AU1359" s="342"/>
      <c r="AV1359" s="342"/>
      <c r="AW1359" s="342"/>
      <c r="AX1359" s="342"/>
      <c r="AY1359" s="342"/>
      <c r="AZ1359" s="342"/>
      <c r="BA1359" s="342"/>
      <c r="BB1359" s="342"/>
      <c r="BC1359" s="342"/>
      <c r="BD1359" s="342"/>
      <c r="BE1359" s="342"/>
      <c r="BF1359" s="342"/>
      <c r="BG1359" s="342"/>
      <c r="BH1359" s="342"/>
      <c r="BI1359" s="342"/>
      <c r="BJ1359" s="342"/>
      <c r="BK1359" s="342"/>
      <c r="BL1359" s="342"/>
      <c r="BM1359" s="342"/>
      <c r="BN1359" s="342"/>
      <c r="BO1359" s="342"/>
      <c r="BP1359" s="342"/>
      <c r="BQ1359" s="342"/>
      <c r="BR1359" s="342"/>
      <c r="BS1359" s="342"/>
      <c r="BT1359" s="342"/>
      <c r="BU1359" s="346"/>
      <c r="BV1359" s="310"/>
      <c r="BW1359" s="310"/>
      <c r="BX1359" s="291">
        <f t="shared" si="101"/>
        <v>0</v>
      </c>
      <c r="BY1359" s="344"/>
      <c r="BZ1359" s="347"/>
      <c r="CA1359" s="347"/>
    </row>
    <row r="1360" spans="1:79" ht="15" hidden="1" customHeight="1" x14ac:dyDescent="0.25">
      <c r="A1360" s="313"/>
      <c r="B1360" s="340"/>
      <c r="C1360" s="341" t="s">
        <v>1455</v>
      </c>
      <c r="D1360" s="342"/>
      <c r="E1360" s="342"/>
      <c r="F1360" s="342"/>
      <c r="G1360" s="342"/>
      <c r="H1360" s="342"/>
      <c r="I1360" s="342"/>
      <c r="J1360" s="342"/>
      <c r="K1360" s="342"/>
      <c r="L1360" s="342"/>
      <c r="M1360" s="342"/>
      <c r="N1360" s="342"/>
      <c r="O1360" s="342"/>
      <c r="P1360" s="342"/>
      <c r="Q1360" s="342"/>
      <c r="R1360" s="342"/>
      <c r="S1360" s="342"/>
      <c r="T1360" s="342"/>
      <c r="U1360" s="342"/>
      <c r="V1360" s="342"/>
      <c r="W1360" s="343"/>
      <c r="X1360" s="343"/>
      <c r="Y1360" s="343"/>
      <c r="Z1360" s="343"/>
      <c r="AA1360" s="343"/>
      <c r="AB1360" s="343"/>
      <c r="AC1360" s="343"/>
      <c r="AD1360" s="343"/>
      <c r="AE1360" s="343"/>
      <c r="AF1360" s="343"/>
      <c r="AG1360" s="343"/>
      <c r="AH1360" s="343"/>
      <c r="AI1360" s="343"/>
      <c r="AJ1360" s="344"/>
      <c r="AK1360" s="345"/>
      <c r="AL1360" s="340"/>
      <c r="AM1360" s="341" t="s">
        <v>1456</v>
      </c>
      <c r="AN1360" s="342"/>
      <c r="AO1360" s="342"/>
      <c r="AP1360" s="342"/>
      <c r="AQ1360" s="342"/>
      <c r="AR1360" s="342"/>
      <c r="AS1360" s="342"/>
      <c r="AT1360" s="342"/>
      <c r="AU1360" s="342"/>
      <c r="AV1360" s="342"/>
      <c r="AW1360" s="342"/>
      <c r="AX1360" s="342"/>
      <c r="AY1360" s="342"/>
      <c r="AZ1360" s="342"/>
      <c r="BA1360" s="342"/>
      <c r="BB1360" s="342"/>
      <c r="BC1360" s="342"/>
      <c r="BD1360" s="342"/>
      <c r="BE1360" s="342"/>
      <c r="BF1360" s="342"/>
      <c r="BG1360" s="342"/>
      <c r="BH1360" s="342"/>
      <c r="BI1360" s="342"/>
      <c r="BJ1360" s="342"/>
      <c r="BK1360" s="342"/>
      <c r="BL1360" s="342"/>
      <c r="BM1360" s="342"/>
      <c r="BN1360" s="342"/>
      <c r="BO1360" s="342"/>
      <c r="BP1360" s="342"/>
      <c r="BQ1360" s="342"/>
      <c r="BR1360" s="342"/>
      <c r="BS1360" s="342"/>
      <c r="BT1360" s="342"/>
      <c r="BU1360" s="346"/>
      <c r="BV1360" s="310"/>
      <c r="BW1360" s="310"/>
      <c r="BX1360" s="291">
        <f t="shared" si="101"/>
        <v>0</v>
      </c>
      <c r="BY1360" s="344"/>
      <c r="BZ1360" s="347"/>
      <c r="CA1360" s="347"/>
    </row>
    <row r="1361" spans="1:84" ht="15" hidden="1" customHeight="1" x14ac:dyDescent="0.25">
      <c r="A1361" s="313"/>
      <c r="B1361" s="340"/>
      <c r="C1361" s="680" t="s">
        <v>1457</v>
      </c>
      <c r="D1361" s="342"/>
      <c r="E1361" s="342"/>
      <c r="F1361" s="342"/>
      <c r="G1361" s="342"/>
      <c r="H1361" s="342"/>
      <c r="I1361" s="342"/>
      <c r="J1361" s="342"/>
      <c r="K1361" s="342"/>
      <c r="L1361" s="342"/>
      <c r="M1361" s="342"/>
      <c r="N1361" s="342"/>
      <c r="O1361" s="342"/>
      <c r="P1361" s="342"/>
      <c r="Q1361" s="342"/>
      <c r="R1361" s="342"/>
      <c r="S1361" s="342"/>
      <c r="T1361" s="342"/>
      <c r="U1361" s="342"/>
      <c r="V1361" s="342"/>
      <c r="W1361" s="1324" t="str">
        <f>Ky_Nay2_V</f>
        <v>Năm 2017</v>
      </c>
      <c r="X1361" s="1324"/>
      <c r="Y1361" s="1324"/>
      <c r="Z1361" s="1324"/>
      <c r="AA1361" s="1324"/>
      <c r="AB1361" s="1324"/>
      <c r="AC1361" s="681"/>
      <c r="AD1361" s="1324" t="str">
        <f>Ky_Truoc2_V</f>
        <v>Năm 2016</v>
      </c>
      <c r="AE1361" s="1324"/>
      <c r="AF1361" s="1324"/>
      <c r="AG1361" s="1324"/>
      <c r="AH1361" s="1324"/>
      <c r="AI1361" s="1324"/>
      <c r="AJ1361" s="344"/>
      <c r="AK1361" s="345"/>
      <c r="AL1361" s="340"/>
      <c r="AM1361" s="341"/>
      <c r="AN1361" s="342"/>
      <c r="AO1361" s="342"/>
      <c r="AP1361" s="342"/>
      <c r="AQ1361" s="342"/>
      <c r="AR1361" s="342"/>
      <c r="AS1361" s="342"/>
      <c r="AT1361" s="342"/>
      <c r="AU1361" s="342"/>
      <c r="AV1361" s="342"/>
      <c r="AW1361" s="342"/>
      <c r="AX1361" s="342"/>
      <c r="AY1361" s="342"/>
      <c r="AZ1361" s="342"/>
      <c r="BA1361" s="342"/>
      <c r="BB1361" s="342"/>
      <c r="BC1361" s="342"/>
      <c r="BD1361" s="342"/>
      <c r="BE1361" s="342"/>
      <c r="BF1361" s="342"/>
      <c r="BG1361" s="1325" t="str">
        <f>Ky_Nay1_V</f>
        <v>31/12/2017</v>
      </c>
      <c r="BH1361" s="1325"/>
      <c r="BI1361" s="1325"/>
      <c r="BJ1361" s="1325"/>
      <c r="BK1361" s="1325"/>
      <c r="BL1361" s="1325"/>
      <c r="BM1361" s="351"/>
      <c r="BN1361" s="1325" t="str">
        <f>Ky_Truoc1_V</f>
        <v>01/01/2017</v>
      </c>
      <c r="BO1361" s="1325"/>
      <c r="BP1361" s="1325"/>
      <c r="BQ1361" s="1325"/>
      <c r="BR1361" s="1325"/>
      <c r="BS1361" s="1325"/>
      <c r="BT1361" s="342"/>
      <c r="BU1361" s="346"/>
      <c r="BV1361" s="310"/>
      <c r="BW1361" s="310"/>
      <c r="BX1361" s="291">
        <f t="shared" si="101"/>
        <v>0</v>
      </c>
      <c r="BY1361" s="344"/>
      <c r="BZ1361" s="347"/>
      <c r="CA1361" s="347"/>
    </row>
    <row r="1362" spans="1:84" ht="15" hidden="1" customHeight="1" x14ac:dyDescent="0.25">
      <c r="A1362" s="313"/>
      <c r="B1362" s="340"/>
      <c r="C1362" s="342"/>
      <c r="D1362" s="342"/>
      <c r="E1362" s="342"/>
      <c r="F1362" s="342"/>
      <c r="G1362" s="342"/>
      <c r="H1362" s="342"/>
      <c r="I1362" s="342"/>
      <c r="J1362" s="342"/>
      <c r="K1362" s="342"/>
      <c r="L1362" s="342"/>
      <c r="M1362" s="342"/>
      <c r="N1362" s="342"/>
      <c r="O1362" s="342"/>
      <c r="P1362" s="342"/>
      <c r="Q1362" s="342"/>
      <c r="R1362" s="342"/>
      <c r="S1362" s="342"/>
      <c r="T1362" s="342"/>
      <c r="U1362" s="342"/>
      <c r="V1362" s="342"/>
      <c r="W1362" s="1401" t="str">
        <f>Don_Vi_Tinh_V</f>
        <v>VND</v>
      </c>
      <c r="X1362" s="1401"/>
      <c r="Y1362" s="1401"/>
      <c r="Z1362" s="1401"/>
      <c r="AA1362" s="1401"/>
      <c r="AB1362" s="1401"/>
      <c r="AC1362" s="351"/>
      <c r="AD1362" s="1401" t="str">
        <f>Don_Vi_Tinh_V</f>
        <v>VND</v>
      </c>
      <c r="AE1362" s="1401"/>
      <c r="AF1362" s="1401"/>
      <c r="AG1362" s="1401"/>
      <c r="AH1362" s="1401"/>
      <c r="AI1362" s="1401"/>
      <c r="AJ1362" s="344"/>
      <c r="AK1362" s="345"/>
      <c r="AL1362" s="340"/>
      <c r="AM1362" s="342"/>
      <c r="AN1362" s="342"/>
      <c r="AO1362" s="342"/>
      <c r="AP1362" s="342"/>
      <c r="AQ1362" s="342"/>
      <c r="AR1362" s="342"/>
      <c r="AS1362" s="342"/>
      <c r="AT1362" s="342"/>
      <c r="AU1362" s="342"/>
      <c r="AV1362" s="342"/>
      <c r="AW1362" s="342"/>
      <c r="AX1362" s="342"/>
      <c r="AY1362" s="342"/>
      <c r="AZ1362" s="342"/>
      <c r="BA1362" s="342"/>
      <c r="BB1362" s="342"/>
      <c r="BC1362" s="342"/>
      <c r="BD1362" s="342"/>
      <c r="BE1362" s="342"/>
      <c r="BF1362" s="342"/>
      <c r="BG1362" s="1401" t="str">
        <f>Don_Vi_Tinh_E</f>
        <v>VND</v>
      </c>
      <c r="BH1362" s="1401"/>
      <c r="BI1362" s="1401"/>
      <c r="BJ1362" s="1401"/>
      <c r="BK1362" s="1401"/>
      <c r="BL1362" s="1401"/>
      <c r="BM1362" s="351"/>
      <c r="BN1362" s="1401" t="str">
        <f>Don_Vi_Tinh_E</f>
        <v>VND</v>
      </c>
      <c r="BO1362" s="1401"/>
      <c r="BP1362" s="1401"/>
      <c r="BQ1362" s="1401"/>
      <c r="BR1362" s="1401"/>
      <c r="BS1362" s="1401"/>
      <c r="BT1362" s="342"/>
      <c r="BU1362" s="346"/>
      <c r="BV1362" s="310"/>
      <c r="BW1362" s="310"/>
      <c r="BX1362" s="291">
        <f t="shared" si="101"/>
        <v>0</v>
      </c>
      <c r="BY1362" s="344"/>
      <c r="BZ1362" s="347"/>
      <c r="CA1362" s="347"/>
    </row>
    <row r="1363" spans="1:84" ht="15" hidden="1" customHeight="1" x14ac:dyDescent="0.25">
      <c r="A1363" s="313"/>
      <c r="B1363" s="340"/>
      <c r="C1363" s="342"/>
      <c r="D1363" s="342"/>
      <c r="E1363" s="342"/>
      <c r="F1363" s="342"/>
      <c r="G1363" s="342"/>
      <c r="H1363" s="342"/>
      <c r="I1363" s="342"/>
      <c r="J1363" s="342"/>
      <c r="K1363" s="342"/>
      <c r="L1363" s="342"/>
      <c r="M1363" s="342"/>
      <c r="N1363" s="342"/>
      <c r="O1363" s="342"/>
      <c r="P1363" s="342"/>
      <c r="Q1363" s="342"/>
      <c r="R1363" s="342"/>
      <c r="S1363" s="342"/>
      <c r="T1363" s="342"/>
      <c r="U1363" s="342"/>
      <c r="V1363" s="342"/>
      <c r="W1363" s="1327"/>
      <c r="X1363" s="1327"/>
      <c r="Y1363" s="1327"/>
      <c r="Z1363" s="1327"/>
      <c r="AA1363" s="1327"/>
      <c r="AB1363" s="1327"/>
      <c r="AC1363" s="351"/>
      <c r="AD1363" s="1327"/>
      <c r="AE1363" s="1327"/>
      <c r="AF1363" s="1327"/>
      <c r="AG1363" s="1327"/>
      <c r="AH1363" s="1327"/>
      <c r="AI1363" s="1327"/>
      <c r="AJ1363" s="344"/>
      <c r="AK1363" s="345"/>
      <c r="AL1363" s="340"/>
      <c r="AM1363" s="342"/>
      <c r="AN1363" s="342"/>
      <c r="AO1363" s="342"/>
      <c r="AP1363" s="342"/>
      <c r="AQ1363" s="342"/>
      <c r="AR1363" s="342"/>
      <c r="AS1363" s="342"/>
      <c r="AT1363" s="342"/>
      <c r="AU1363" s="342"/>
      <c r="AV1363" s="342"/>
      <c r="AW1363" s="342"/>
      <c r="AX1363" s="342"/>
      <c r="AY1363" s="342"/>
      <c r="AZ1363" s="342"/>
      <c r="BA1363" s="342"/>
      <c r="BB1363" s="342"/>
      <c r="BC1363" s="342"/>
      <c r="BD1363" s="342"/>
      <c r="BE1363" s="342"/>
      <c r="BF1363" s="342"/>
      <c r="BG1363" s="1327"/>
      <c r="BH1363" s="1327"/>
      <c r="BI1363" s="1327"/>
      <c r="BJ1363" s="1327"/>
      <c r="BK1363" s="1327"/>
      <c r="BL1363" s="1327"/>
      <c r="BM1363" s="351"/>
      <c r="BN1363" s="1327"/>
      <c r="BO1363" s="1327"/>
      <c r="BP1363" s="1327"/>
      <c r="BQ1363" s="1327"/>
      <c r="BR1363" s="1327"/>
      <c r="BS1363" s="1327"/>
      <c r="BT1363" s="342"/>
      <c r="BU1363" s="346"/>
      <c r="BV1363" s="310"/>
      <c r="BW1363" s="310"/>
      <c r="BX1363" s="291">
        <f t="shared" si="101"/>
        <v>0</v>
      </c>
      <c r="BY1363" s="344"/>
      <c r="BZ1363" s="347"/>
      <c r="CA1363" s="347"/>
    </row>
    <row r="1364" spans="1:84" s="423" customFormat="1" ht="15" hidden="1" customHeight="1" x14ac:dyDescent="0.25">
      <c r="A1364" s="313"/>
      <c r="B1364" s="340"/>
      <c r="C1364" s="342" t="s">
        <v>1458</v>
      </c>
      <c r="D1364" s="342"/>
      <c r="E1364" s="342"/>
      <c r="F1364" s="342"/>
      <c r="G1364" s="342"/>
      <c r="H1364" s="342"/>
      <c r="I1364" s="342"/>
      <c r="J1364" s="342"/>
      <c r="K1364" s="342"/>
      <c r="L1364" s="342"/>
      <c r="M1364" s="342"/>
      <c r="N1364" s="342"/>
      <c r="O1364" s="342"/>
      <c r="P1364" s="342"/>
      <c r="Q1364" s="342"/>
      <c r="R1364" s="342"/>
      <c r="S1364" s="342"/>
      <c r="T1364" s="342"/>
      <c r="U1364" s="342"/>
      <c r="V1364" s="342"/>
      <c r="W1364" s="1318">
        <f>SUBTOTAL(109,W1365:AB1366)</f>
        <v>0</v>
      </c>
      <c r="X1364" s="1318"/>
      <c r="Y1364" s="1318"/>
      <c r="Z1364" s="1318"/>
      <c r="AA1364" s="1318"/>
      <c r="AB1364" s="1318"/>
      <c r="AC1364" s="355"/>
      <c r="AD1364" s="1318">
        <f>SUBTOTAL(109,AD1365:AI1366)</f>
        <v>0</v>
      </c>
      <c r="AE1364" s="1318"/>
      <c r="AF1364" s="1318"/>
      <c r="AG1364" s="1318"/>
      <c r="AH1364" s="1318"/>
      <c r="AI1364" s="1318"/>
      <c r="AJ1364" s="342"/>
      <c r="AK1364" s="345"/>
      <c r="AL1364" s="340"/>
      <c r="AM1364" s="342" t="s">
        <v>1459</v>
      </c>
      <c r="AN1364" s="342"/>
      <c r="AO1364" s="342"/>
      <c r="AP1364" s="342"/>
      <c r="AQ1364" s="342"/>
      <c r="AR1364" s="342"/>
      <c r="AS1364" s="342"/>
      <c r="AT1364" s="342"/>
      <c r="AU1364" s="342"/>
      <c r="AV1364" s="342"/>
      <c r="AW1364" s="342"/>
      <c r="AX1364" s="342"/>
      <c r="AY1364" s="342"/>
      <c r="AZ1364" s="342"/>
      <c r="BA1364" s="342"/>
      <c r="BB1364" s="342"/>
      <c r="BC1364" s="342"/>
      <c r="BD1364" s="342"/>
      <c r="BE1364" s="342"/>
      <c r="BF1364" s="342"/>
      <c r="BG1364" s="1318">
        <f>SUBTOTAL(109,BG1365:BL1366)</f>
        <v>0</v>
      </c>
      <c r="BH1364" s="1318"/>
      <c r="BI1364" s="1318"/>
      <c r="BJ1364" s="1318"/>
      <c r="BK1364" s="1318"/>
      <c r="BL1364" s="1318"/>
      <c r="BM1364" s="355"/>
      <c r="BN1364" s="1318">
        <f>SUBTOTAL(109,BN1365:BS1366)</f>
        <v>0</v>
      </c>
      <c r="BO1364" s="1318"/>
      <c r="BP1364" s="1318"/>
      <c r="BQ1364" s="1318"/>
      <c r="BR1364" s="1318"/>
      <c r="BS1364" s="1318"/>
      <c r="BT1364" s="342"/>
      <c r="BU1364" s="346"/>
      <c r="BV1364" s="310"/>
      <c r="BW1364" s="310"/>
      <c r="BX1364" s="300">
        <f t="shared" si="101"/>
        <v>0</v>
      </c>
      <c r="BY1364" s="342"/>
      <c r="BZ1364" s="438"/>
      <c r="CA1364" s="438"/>
      <c r="CB1364" s="439"/>
      <c r="CC1364" s="439"/>
      <c r="CD1364" s="439"/>
      <c r="CE1364" s="439"/>
      <c r="CF1364" s="439"/>
    </row>
    <row r="1365" spans="1:84" s="686" customFormat="1" ht="15" hidden="1" customHeight="1" x14ac:dyDescent="0.25">
      <c r="A1365" s="682"/>
      <c r="B1365" s="679"/>
      <c r="C1365" s="667" t="s">
        <v>1460</v>
      </c>
      <c r="D1365" s="429"/>
      <c r="E1365" s="429"/>
      <c r="F1365" s="429"/>
      <c r="G1365" s="429"/>
      <c r="H1365" s="429"/>
      <c r="I1365" s="429"/>
      <c r="J1365" s="429"/>
      <c r="K1365" s="429"/>
      <c r="L1365" s="429"/>
      <c r="M1365" s="429"/>
      <c r="N1365" s="429"/>
      <c r="O1365" s="429"/>
      <c r="P1365" s="429"/>
      <c r="Q1365" s="429"/>
      <c r="R1365" s="429"/>
      <c r="S1365" s="429"/>
      <c r="T1365" s="429"/>
      <c r="U1365" s="429"/>
      <c r="V1365" s="429"/>
      <c r="W1365" s="1369">
        <v>0</v>
      </c>
      <c r="X1365" s="1369"/>
      <c r="Y1365" s="1369"/>
      <c r="Z1365" s="1369"/>
      <c r="AA1365" s="1369"/>
      <c r="AB1365" s="1369"/>
      <c r="AC1365" s="665"/>
      <c r="AD1365" s="1369">
        <v>0</v>
      </c>
      <c r="AE1365" s="1369"/>
      <c r="AF1365" s="1369"/>
      <c r="AG1365" s="1369"/>
      <c r="AH1365" s="1369"/>
      <c r="AI1365" s="1369"/>
      <c r="AJ1365" s="429"/>
      <c r="AK1365" s="678"/>
      <c r="AL1365" s="679"/>
      <c r="AM1365" s="667" t="s">
        <v>1461</v>
      </c>
      <c r="AN1365" s="429"/>
      <c r="AO1365" s="429"/>
      <c r="AP1365" s="429"/>
      <c r="AQ1365" s="429"/>
      <c r="AR1365" s="429"/>
      <c r="AS1365" s="429"/>
      <c r="AT1365" s="429"/>
      <c r="AU1365" s="429"/>
      <c r="AV1365" s="429"/>
      <c r="AW1365" s="429"/>
      <c r="AX1365" s="429"/>
      <c r="AY1365" s="429"/>
      <c r="AZ1365" s="429"/>
      <c r="BA1365" s="429"/>
      <c r="BB1365" s="429"/>
      <c r="BC1365" s="429"/>
      <c r="BD1365" s="429"/>
      <c r="BE1365" s="429"/>
      <c r="BF1365" s="429"/>
      <c r="BG1365" s="1369">
        <f>W1365</f>
        <v>0</v>
      </c>
      <c r="BH1365" s="1369"/>
      <c r="BI1365" s="1369"/>
      <c r="BJ1365" s="1369"/>
      <c r="BK1365" s="1369"/>
      <c r="BL1365" s="1369"/>
      <c r="BM1365" s="665"/>
      <c r="BN1365" s="1369">
        <f>AD1365</f>
        <v>0</v>
      </c>
      <c r="BO1365" s="1369"/>
      <c r="BP1365" s="1369"/>
      <c r="BQ1365" s="1369"/>
      <c r="BR1365" s="1369"/>
      <c r="BS1365" s="1369"/>
      <c r="BT1365" s="429"/>
      <c r="BU1365" s="676"/>
      <c r="BV1365" s="310"/>
      <c r="BW1365" s="310"/>
      <c r="BX1365" s="683">
        <f t="shared" si="101"/>
        <v>0</v>
      </c>
      <c r="BY1365" s="429"/>
      <c r="BZ1365" s="684"/>
      <c r="CA1365" s="684"/>
      <c r="CB1365" s="685"/>
      <c r="CC1365" s="685"/>
      <c r="CD1365" s="685"/>
      <c r="CE1365" s="685"/>
      <c r="CF1365" s="685"/>
    </row>
    <row r="1366" spans="1:84" s="686" customFormat="1" ht="15" hidden="1" customHeight="1" x14ac:dyDescent="0.25">
      <c r="A1366" s="682"/>
      <c r="B1366" s="679"/>
      <c r="C1366" s="667" t="s">
        <v>1462</v>
      </c>
      <c r="D1366" s="429"/>
      <c r="E1366" s="429"/>
      <c r="F1366" s="429"/>
      <c r="G1366" s="429"/>
      <c r="H1366" s="429"/>
      <c r="I1366" s="429"/>
      <c r="J1366" s="429"/>
      <c r="K1366" s="429"/>
      <c r="L1366" s="429"/>
      <c r="M1366" s="429"/>
      <c r="N1366" s="429"/>
      <c r="O1366" s="429"/>
      <c r="P1366" s="429"/>
      <c r="Q1366" s="429"/>
      <c r="R1366" s="429"/>
      <c r="S1366" s="429"/>
      <c r="T1366" s="429"/>
      <c r="U1366" s="429"/>
      <c r="V1366" s="429"/>
      <c r="W1366" s="1369">
        <v>0</v>
      </c>
      <c r="X1366" s="1369"/>
      <c r="Y1366" s="1369"/>
      <c r="Z1366" s="1369"/>
      <c r="AA1366" s="1369"/>
      <c r="AB1366" s="1369"/>
      <c r="AC1366" s="665"/>
      <c r="AD1366" s="1369">
        <v>0</v>
      </c>
      <c r="AE1366" s="1369"/>
      <c r="AF1366" s="1369"/>
      <c r="AG1366" s="1369"/>
      <c r="AH1366" s="1369"/>
      <c r="AI1366" s="1369"/>
      <c r="AJ1366" s="429"/>
      <c r="AK1366" s="678"/>
      <c r="AL1366" s="679"/>
      <c r="AM1366" s="667" t="s">
        <v>1463</v>
      </c>
      <c r="AN1366" s="429"/>
      <c r="AO1366" s="429"/>
      <c r="AP1366" s="429"/>
      <c r="AQ1366" s="429"/>
      <c r="AR1366" s="429"/>
      <c r="AS1366" s="429"/>
      <c r="AT1366" s="429"/>
      <c r="AU1366" s="429"/>
      <c r="AV1366" s="429"/>
      <c r="AW1366" s="429"/>
      <c r="AX1366" s="429"/>
      <c r="AY1366" s="429"/>
      <c r="AZ1366" s="429"/>
      <c r="BA1366" s="429"/>
      <c r="BB1366" s="429"/>
      <c r="BC1366" s="429"/>
      <c r="BD1366" s="429"/>
      <c r="BE1366" s="429"/>
      <c r="BF1366" s="429"/>
      <c r="BG1366" s="1369">
        <f>W1366</f>
        <v>0</v>
      </c>
      <c r="BH1366" s="1369"/>
      <c r="BI1366" s="1369"/>
      <c r="BJ1366" s="1369"/>
      <c r="BK1366" s="1369"/>
      <c r="BL1366" s="1369"/>
      <c r="BM1366" s="665"/>
      <c r="BN1366" s="1369">
        <f>AD1366</f>
        <v>0</v>
      </c>
      <c r="BO1366" s="1369"/>
      <c r="BP1366" s="1369"/>
      <c r="BQ1366" s="1369"/>
      <c r="BR1366" s="1369"/>
      <c r="BS1366" s="1369"/>
      <c r="BT1366" s="429"/>
      <c r="BU1366" s="676"/>
      <c r="BV1366" s="310"/>
      <c r="BW1366" s="310"/>
      <c r="BX1366" s="683">
        <f t="shared" si="101"/>
        <v>0</v>
      </c>
      <c r="BY1366" s="429"/>
      <c r="BZ1366" s="684"/>
      <c r="CA1366" s="684"/>
      <c r="CB1366" s="685"/>
      <c r="CC1366" s="685"/>
      <c r="CD1366" s="685"/>
      <c r="CE1366" s="685"/>
      <c r="CF1366" s="685"/>
    </row>
    <row r="1367" spans="1:84" s="423" customFormat="1" ht="15" hidden="1" customHeight="1" x14ac:dyDescent="0.25">
      <c r="A1367" s="313"/>
      <c r="B1367" s="340"/>
      <c r="C1367" s="342" t="s">
        <v>1464</v>
      </c>
      <c r="D1367" s="342"/>
      <c r="E1367" s="342"/>
      <c r="F1367" s="342"/>
      <c r="G1367" s="342"/>
      <c r="H1367" s="342"/>
      <c r="I1367" s="342"/>
      <c r="J1367" s="342"/>
      <c r="K1367" s="342"/>
      <c r="L1367" s="342"/>
      <c r="M1367" s="342"/>
      <c r="N1367" s="342"/>
      <c r="O1367" s="342"/>
      <c r="P1367" s="342"/>
      <c r="Q1367" s="342"/>
      <c r="R1367" s="342"/>
      <c r="S1367" s="342"/>
      <c r="T1367" s="342"/>
      <c r="U1367" s="342"/>
      <c r="V1367" s="342"/>
      <c r="W1367" s="1318">
        <v>0</v>
      </c>
      <c r="X1367" s="1318"/>
      <c r="Y1367" s="1318"/>
      <c r="Z1367" s="1318"/>
      <c r="AA1367" s="1318"/>
      <c r="AB1367" s="1318"/>
      <c r="AC1367" s="355"/>
      <c r="AD1367" s="1318">
        <v>0</v>
      </c>
      <c r="AE1367" s="1318"/>
      <c r="AF1367" s="1318"/>
      <c r="AG1367" s="1318"/>
      <c r="AH1367" s="1318"/>
      <c r="AI1367" s="1318"/>
      <c r="AJ1367" s="342"/>
      <c r="AK1367" s="345"/>
      <c r="AL1367" s="340"/>
      <c r="AM1367" s="342" t="s">
        <v>1465</v>
      </c>
      <c r="AN1367" s="342"/>
      <c r="AO1367" s="342"/>
      <c r="AP1367" s="342"/>
      <c r="AQ1367" s="342"/>
      <c r="AR1367" s="342"/>
      <c r="AS1367" s="342"/>
      <c r="AT1367" s="342"/>
      <c r="AU1367" s="342"/>
      <c r="AV1367" s="342"/>
      <c r="AW1367" s="342"/>
      <c r="AX1367" s="342"/>
      <c r="AY1367" s="342"/>
      <c r="AZ1367" s="342"/>
      <c r="BA1367" s="342"/>
      <c r="BB1367" s="342"/>
      <c r="BC1367" s="342"/>
      <c r="BD1367" s="342"/>
      <c r="BE1367" s="342"/>
      <c r="BF1367" s="342"/>
      <c r="BG1367" s="1318">
        <f>W1367</f>
        <v>0</v>
      </c>
      <c r="BH1367" s="1318"/>
      <c r="BI1367" s="1318"/>
      <c r="BJ1367" s="1318"/>
      <c r="BK1367" s="1318"/>
      <c r="BL1367" s="1318"/>
      <c r="BM1367" s="355"/>
      <c r="BN1367" s="1318">
        <f>AD1367</f>
        <v>0</v>
      </c>
      <c r="BO1367" s="1318"/>
      <c r="BP1367" s="1318"/>
      <c r="BQ1367" s="1318"/>
      <c r="BR1367" s="1318"/>
      <c r="BS1367" s="1318"/>
      <c r="BT1367" s="342"/>
      <c r="BU1367" s="346"/>
      <c r="BV1367" s="310"/>
      <c r="BW1367" s="310"/>
      <c r="BX1367" s="300">
        <f t="shared" si="101"/>
        <v>0</v>
      </c>
      <c r="BY1367" s="342"/>
      <c r="BZ1367" s="438"/>
      <c r="CA1367" s="438"/>
      <c r="CB1367" s="439"/>
      <c r="CC1367" s="439"/>
      <c r="CD1367" s="439"/>
      <c r="CE1367" s="439"/>
      <c r="CF1367" s="439"/>
    </row>
    <row r="1368" spans="1:84" ht="12.95" customHeight="1" x14ac:dyDescent="0.25">
      <c r="A1368" s="313"/>
      <c r="B1368" s="340"/>
      <c r="C1368" s="342"/>
      <c r="D1368" s="342"/>
      <c r="E1368" s="342"/>
      <c r="F1368" s="342"/>
      <c r="G1368" s="342"/>
      <c r="H1368" s="342"/>
      <c r="I1368" s="342"/>
      <c r="J1368" s="342"/>
      <c r="K1368" s="342"/>
      <c r="L1368" s="342"/>
      <c r="M1368" s="342"/>
      <c r="N1368" s="342"/>
      <c r="O1368" s="342"/>
      <c r="P1368" s="342"/>
      <c r="Q1368" s="342"/>
      <c r="R1368" s="342"/>
      <c r="S1368" s="342"/>
      <c r="T1368" s="342"/>
      <c r="U1368" s="342"/>
      <c r="V1368" s="342"/>
      <c r="W1368" s="343"/>
      <c r="X1368" s="343"/>
      <c r="Y1368" s="343"/>
      <c r="Z1368" s="343"/>
      <c r="AA1368" s="343"/>
      <c r="AB1368" s="343"/>
      <c r="AC1368" s="343"/>
      <c r="AD1368" s="343"/>
      <c r="AE1368" s="343"/>
      <c r="AF1368" s="343"/>
      <c r="AG1368" s="343"/>
      <c r="AH1368" s="343"/>
      <c r="AI1368" s="343"/>
      <c r="AJ1368" s="344"/>
      <c r="AK1368" s="345"/>
      <c r="AL1368" s="340"/>
      <c r="AM1368" s="342"/>
      <c r="AN1368" s="342"/>
      <c r="AO1368" s="342"/>
      <c r="AP1368" s="342"/>
      <c r="AQ1368" s="342"/>
      <c r="AR1368" s="342"/>
      <c r="AS1368" s="342"/>
      <c r="AT1368" s="342"/>
      <c r="AU1368" s="342"/>
      <c r="AV1368" s="342"/>
      <c r="AW1368" s="342"/>
      <c r="AX1368" s="342"/>
      <c r="AY1368" s="342"/>
      <c r="AZ1368" s="342"/>
      <c r="BA1368" s="342"/>
      <c r="BB1368" s="342"/>
      <c r="BC1368" s="342"/>
      <c r="BD1368" s="342"/>
      <c r="BE1368" s="342"/>
      <c r="BF1368" s="342"/>
      <c r="BG1368" s="342"/>
      <c r="BH1368" s="342"/>
      <c r="BI1368" s="342"/>
      <c r="BJ1368" s="342"/>
      <c r="BK1368" s="342"/>
      <c r="BL1368" s="342"/>
      <c r="BM1368" s="342"/>
      <c r="BN1368" s="342"/>
      <c r="BO1368" s="342"/>
      <c r="BP1368" s="342"/>
      <c r="BQ1368" s="342"/>
      <c r="BR1368" s="342"/>
      <c r="BS1368" s="342"/>
      <c r="BT1368" s="342"/>
      <c r="BU1368" s="346"/>
      <c r="BV1368" s="310"/>
      <c r="BW1368" s="310"/>
      <c r="BX1368" s="291">
        <f t="shared" si="101"/>
        <v>0</v>
      </c>
      <c r="BY1368" s="344"/>
      <c r="BZ1368" s="347"/>
      <c r="CA1368" s="347"/>
    </row>
    <row r="1369" spans="1:84" ht="15" customHeight="1" x14ac:dyDescent="0.25">
      <c r="A1369" s="313"/>
      <c r="B1369" s="340"/>
      <c r="C1369" s="341" t="str">
        <f>CONCATENATE("e) Các quỹ của ",LoaiCT_V)</f>
        <v>e) Các quỹ của Công ty</v>
      </c>
      <c r="D1369" s="342"/>
      <c r="E1369" s="342"/>
      <c r="F1369" s="342"/>
      <c r="G1369" s="342"/>
      <c r="H1369" s="342"/>
      <c r="I1369" s="342"/>
      <c r="J1369" s="342"/>
      <c r="K1369" s="342"/>
      <c r="L1369" s="342"/>
      <c r="M1369" s="342"/>
      <c r="N1369" s="342"/>
      <c r="O1369" s="342"/>
      <c r="P1369" s="342"/>
      <c r="Q1369" s="342"/>
      <c r="R1369" s="342"/>
      <c r="S1369" s="342"/>
      <c r="T1369" s="342"/>
      <c r="U1369" s="342"/>
      <c r="V1369" s="342"/>
      <c r="W1369" s="343"/>
      <c r="X1369" s="343"/>
      <c r="Y1369" s="343"/>
      <c r="Z1369" s="343"/>
      <c r="AA1369" s="343"/>
      <c r="AB1369" s="343"/>
      <c r="AC1369" s="343"/>
      <c r="AD1369" s="343"/>
      <c r="AE1369" s="343"/>
      <c r="AF1369" s="343"/>
      <c r="AG1369" s="343"/>
      <c r="AH1369" s="343"/>
      <c r="AI1369" s="343"/>
      <c r="AJ1369" s="344"/>
      <c r="AK1369" s="345"/>
      <c r="AL1369" s="340"/>
      <c r="AM1369" s="341" t="str">
        <f>CONCATENATE(LoaiCT_E,"’s funds")</f>
        <v>Corporation’s funds</v>
      </c>
      <c r="AN1369" s="342"/>
      <c r="AO1369" s="342"/>
      <c r="AP1369" s="342"/>
      <c r="AQ1369" s="342"/>
      <c r="AR1369" s="342"/>
      <c r="AS1369" s="342"/>
      <c r="AT1369" s="342"/>
      <c r="AU1369" s="342"/>
      <c r="AV1369" s="342"/>
      <c r="AW1369" s="342"/>
      <c r="AX1369" s="342"/>
      <c r="AY1369" s="342"/>
      <c r="AZ1369" s="342"/>
      <c r="BA1369" s="342"/>
      <c r="BB1369" s="342"/>
      <c r="BC1369" s="342"/>
      <c r="BD1369" s="342"/>
      <c r="BE1369" s="342"/>
      <c r="BF1369" s="342"/>
      <c r="BG1369" s="343"/>
      <c r="BH1369" s="343"/>
      <c r="BI1369" s="343"/>
      <c r="BJ1369" s="343"/>
      <c r="BK1369" s="343"/>
      <c r="BL1369" s="343"/>
      <c r="BM1369" s="343"/>
      <c r="BN1369" s="343"/>
      <c r="BO1369" s="343"/>
      <c r="BP1369" s="343"/>
      <c r="BQ1369" s="343"/>
      <c r="BR1369" s="343"/>
      <c r="BS1369" s="343"/>
      <c r="BT1369" s="342"/>
      <c r="BU1369" s="346"/>
      <c r="BV1369" s="310"/>
      <c r="BW1369" s="310"/>
      <c r="BX1369" s="291">
        <f t="shared" si="101"/>
        <v>0</v>
      </c>
      <c r="BY1369" s="344"/>
      <c r="BZ1369" s="347"/>
      <c r="CA1369" s="347"/>
    </row>
    <row r="1370" spans="1:84" ht="15" customHeight="1" x14ac:dyDescent="0.25">
      <c r="A1370" s="313"/>
      <c r="B1370" s="340"/>
      <c r="C1370" s="680"/>
      <c r="D1370" s="342"/>
      <c r="E1370" s="342"/>
      <c r="F1370" s="342"/>
      <c r="G1370" s="342"/>
      <c r="H1370" s="342"/>
      <c r="I1370" s="342"/>
      <c r="J1370" s="342"/>
      <c r="K1370" s="342"/>
      <c r="L1370" s="342"/>
      <c r="M1370" s="342"/>
      <c r="N1370" s="342"/>
      <c r="O1370" s="342"/>
      <c r="P1370" s="342"/>
      <c r="Q1370" s="342"/>
      <c r="R1370" s="342"/>
      <c r="S1370" s="342"/>
      <c r="T1370" s="342"/>
      <c r="U1370" s="342"/>
      <c r="V1370" s="342"/>
      <c r="W1370" s="1325" t="str">
        <f>Ky_Nay1_V</f>
        <v>31/12/2017</v>
      </c>
      <c r="X1370" s="1325"/>
      <c r="Y1370" s="1325"/>
      <c r="Z1370" s="1325"/>
      <c r="AA1370" s="1325"/>
      <c r="AB1370" s="1325"/>
      <c r="AC1370" s="351"/>
      <c r="AD1370" s="1325" t="str">
        <f>Ky_Truoc1_V</f>
        <v>01/01/2017</v>
      </c>
      <c r="AE1370" s="1325"/>
      <c r="AF1370" s="1325"/>
      <c r="AG1370" s="1325"/>
      <c r="AH1370" s="1325"/>
      <c r="AI1370" s="1325"/>
      <c r="AJ1370" s="344"/>
      <c r="AK1370" s="345"/>
      <c r="AL1370" s="340"/>
      <c r="AM1370" s="680" t="s">
        <v>1466</v>
      </c>
      <c r="AN1370" s="342"/>
      <c r="AO1370" s="342"/>
      <c r="AP1370" s="342"/>
      <c r="AQ1370" s="342"/>
      <c r="AR1370" s="342"/>
      <c r="AS1370" s="342"/>
      <c r="AT1370" s="342"/>
      <c r="AU1370" s="342"/>
      <c r="AV1370" s="342"/>
      <c r="AW1370" s="342"/>
      <c r="AX1370" s="342"/>
      <c r="AY1370" s="342"/>
      <c r="AZ1370" s="342"/>
      <c r="BA1370" s="342"/>
      <c r="BB1370" s="342"/>
      <c r="BC1370" s="342"/>
      <c r="BD1370" s="342"/>
      <c r="BE1370" s="342"/>
      <c r="BF1370" s="342"/>
      <c r="BG1370" s="1325" t="str">
        <f>Ky_Nay1_E</f>
        <v>31/12/2017</v>
      </c>
      <c r="BH1370" s="1325"/>
      <c r="BI1370" s="1325"/>
      <c r="BJ1370" s="1325"/>
      <c r="BK1370" s="1325"/>
      <c r="BL1370" s="1325"/>
      <c r="BM1370" s="351"/>
      <c r="BN1370" s="1325" t="str">
        <f>Ky_Truoc1_E</f>
        <v>01/01/2017</v>
      </c>
      <c r="BO1370" s="1325"/>
      <c r="BP1370" s="1325"/>
      <c r="BQ1370" s="1325"/>
      <c r="BR1370" s="1325"/>
      <c r="BS1370" s="1325"/>
      <c r="BT1370" s="352"/>
      <c r="BU1370" s="353"/>
      <c r="BV1370" s="310"/>
      <c r="BW1370" s="310"/>
      <c r="BX1370" s="291">
        <f t="shared" si="101"/>
        <v>0</v>
      </c>
      <c r="BY1370" s="344"/>
      <c r="BZ1370" s="347"/>
      <c r="CA1370" s="347"/>
    </row>
    <row r="1371" spans="1:84" ht="15" customHeight="1" x14ac:dyDescent="0.25">
      <c r="A1371" s="313"/>
      <c r="B1371" s="340"/>
      <c r="C1371" s="342"/>
      <c r="D1371" s="342"/>
      <c r="E1371" s="342"/>
      <c r="F1371" s="342"/>
      <c r="G1371" s="342"/>
      <c r="H1371" s="342"/>
      <c r="I1371" s="342"/>
      <c r="J1371" s="342"/>
      <c r="K1371" s="342"/>
      <c r="L1371" s="342"/>
      <c r="M1371" s="342"/>
      <c r="N1371" s="342"/>
      <c r="O1371" s="342"/>
      <c r="P1371" s="342"/>
      <c r="Q1371" s="342"/>
      <c r="R1371" s="342"/>
      <c r="S1371" s="342"/>
      <c r="T1371" s="342"/>
      <c r="U1371" s="342"/>
      <c r="V1371" s="342"/>
      <c r="W1371" s="1401" t="str">
        <f>Don_Vi_Tinh_V</f>
        <v>VND</v>
      </c>
      <c r="X1371" s="1401"/>
      <c r="Y1371" s="1401"/>
      <c r="Z1371" s="1401"/>
      <c r="AA1371" s="1401"/>
      <c r="AB1371" s="1401"/>
      <c r="AC1371" s="351"/>
      <c r="AD1371" s="1401" t="str">
        <f>Don_Vi_Tinh_V</f>
        <v>VND</v>
      </c>
      <c r="AE1371" s="1401"/>
      <c r="AF1371" s="1401"/>
      <c r="AG1371" s="1401"/>
      <c r="AH1371" s="1401"/>
      <c r="AI1371" s="1401"/>
      <c r="AJ1371" s="344"/>
      <c r="AK1371" s="345"/>
      <c r="AL1371" s="340"/>
      <c r="AM1371" s="342"/>
      <c r="AN1371" s="342"/>
      <c r="AO1371" s="342"/>
      <c r="AP1371" s="342"/>
      <c r="AQ1371" s="342"/>
      <c r="AR1371" s="342"/>
      <c r="AS1371" s="342"/>
      <c r="AT1371" s="342"/>
      <c r="AU1371" s="342"/>
      <c r="AV1371" s="342"/>
      <c r="AW1371" s="342"/>
      <c r="AX1371" s="342"/>
      <c r="AY1371" s="342"/>
      <c r="AZ1371" s="342"/>
      <c r="BA1371" s="342"/>
      <c r="BB1371" s="342"/>
      <c r="BC1371" s="342"/>
      <c r="BD1371" s="342"/>
      <c r="BE1371" s="342"/>
      <c r="BF1371" s="342"/>
      <c r="BG1371" s="1401" t="str">
        <f>Don_Vi_Tinh_E</f>
        <v>VND</v>
      </c>
      <c r="BH1371" s="1401"/>
      <c r="BI1371" s="1401"/>
      <c r="BJ1371" s="1401"/>
      <c r="BK1371" s="1401"/>
      <c r="BL1371" s="1401"/>
      <c r="BM1371" s="351"/>
      <c r="BN1371" s="1401" t="str">
        <f>Don_Vi_Tinh_E</f>
        <v>VND</v>
      </c>
      <c r="BO1371" s="1401"/>
      <c r="BP1371" s="1401"/>
      <c r="BQ1371" s="1401"/>
      <c r="BR1371" s="1401"/>
      <c r="BS1371" s="1401"/>
      <c r="BT1371" s="352"/>
      <c r="BU1371" s="353"/>
      <c r="BV1371" s="310"/>
      <c r="BW1371" s="310"/>
      <c r="BX1371" s="291">
        <f t="shared" si="101"/>
        <v>0</v>
      </c>
      <c r="BY1371" s="344"/>
      <c r="BZ1371" s="347"/>
      <c r="CA1371" s="347"/>
    </row>
    <row r="1372" spans="1:84" ht="12.95" customHeight="1" x14ac:dyDescent="0.25">
      <c r="A1372" s="313"/>
      <c r="B1372" s="340"/>
      <c r="C1372" s="342"/>
      <c r="D1372" s="342"/>
      <c r="E1372" s="342"/>
      <c r="F1372" s="342"/>
      <c r="G1372" s="342"/>
      <c r="H1372" s="342"/>
      <c r="I1372" s="342"/>
      <c r="J1372" s="342"/>
      <c r="K1372" s="342"/>
      <c r="L1372" s="342"/>
      <c r="M1372" s="342"/>
      <c r="N1372" s="342"/>
      <c r="O1372" s="342"/>
      <c r="P1372" s="342"/>
      <c r="Q1372" s="342"/>
      <c r="R1372" s="342"/>
      <c r="S1372" s="342"/>
      <c r="T1372" s="342"/>
      <c r="U1372" s="342"/>
      <c r="V1372" s="342"/>
      <c r="W1372" s="660"/>
      <c r="X1372" s="660"/>
      <c r="Y1372" s="660"/>
      <c r="Z1372" s="660"/>
      <c r="AA1372" s="660"/>
      <c r="AB1372" s="660"/>
      <c r="AC1372" s="437"/>
      <c r="AD1372" s="660"/>
      <c r="AE1372" s="660"/>
      <c r="AF1372" s="660"/>
      <c r="AG1372" s="660"/>
      <c r="AH1372" s="660"/>
      <c r="AI1372" s="660"/>
      <c r="AJ1372" s="344"/>
      <c r="AK1372" s="345"/>
      <c r="AL1372" s="340"/>
      <c r="AM1372" s="342"/>
      <c r="AN1372" s="342"/>
      <c r="AO1372" s="342"/>
      <c r="AP1372" s="342"/>
      <c r="AQ1372" s="342"/>
      <c r="AR1372" s="342"/>
      <c r="AS1372" s="342"/>
      <c r="AT1372" s="342"/>
      <c r="AU1372" s="342"/>
      <c r="AV1372" s="342"/>
      <c r="AW1372" s="342"/>
      <c r="AX1372" s="342"/>
      <c r="AY1372" s="342"/>
      <c r="AZ1372" s="342"/>
      <c r="BA1372" s="342"/>
      <c r="BB1372" s="342"/>
      <c r="BC1372" s="342"/>
      <c r="BD1372" s="342"/>
      <c r="BE1372" s="342"/>
      <c r="BF1372" s="342"/>
      <c r="BG1372" s="660"/>
      <c r="BH1372" s="660"/>
      <c r="BI1372" s="660"/>
      <c r="BJ1372" s="660"/>
      <c r="BK1372" s="660"/>
      <c r="BL1372" s="660"/>
      <c r="BM1372" s="437"/>
      <c r="BN1372" s="660"/>
      <c r="BO1372" s="660"/>
      <c r="BP1372" s="660"/>
      <c r="BQ1372" s="660"/>
      <c r="BR1372" s="660"/>
      <c r="BS1372" s="660"/>
      <c r="BT1372" s="352"/>
      <c r="BU1372" s="353"/>
      <c r="BV1372" s="310"/>
      <c r="BW1372" s="310"/>
      <c r="BX1372" s="291">
        <f t="shared" si="101"/>
        <v>0</v>
      </c>
      <c r="BY1372" s="344"/>
      <c r="BZ1372" s="347"/>
      <c r="CA1372" s="347"/>
    </row>
    <row r="1373" spans="1:84" s="423" customFormat="1" ht="15" customHeight="1" x14ac:dyDescent="0.25">
      <c r="A1373" s="313"/>
      <c r="B1373" s="340"/>
      <c r="C1373" s="342" t="s">
        <v>1467</v>
      </c>
      <c r="D1373" s="342"/>
      <c r="E1373" s="342"/>
      <c r="F1373" s="342"/>
      <c r="G1373" s="342"/>
      <c r="H1373" s="342"/>
      <c r="I1373" s="342"/>
      <c r="J1373" s="342"/>
      <c r="K1373" s="342"/>
      <c r="L1373" s="342"/>
      <c r="M1373" s="342"/>
      <c r="N1373" s="342"/>
      <c r="O1373" s="342"/>
      <c r="P1373" s="342"/>
      <c r="Q1373" s="342"/>
      <c r="R1373" s="342"/>
      <c r="S1373" s="342"/>
      <c r="T1373" s="342"/>
      <c r="U1373" s="342"/>
      <c r="V1373" s="342"/>
      <c r="W1373" s="1318">
        <f>KN_CT418</f>
        <v>9212585483</v>
      </c>
      <c r="X1373" s="1318"/>
      <c r="Y1373" s="1318"/>
      <c r="Z1373" s="1318"/>
      <c r="AA1373" s="1318"/>
      <c r="AB1373" s="1318"/>
      <c r="AC1373" s="355"/>
      <c r="AD1373" s="1318">
        <f>KT_CT418</f>
        <v>9212585483</v>
      </c>
      <c r="AE1373" s="1318"/>
      <c r="AF1373" s="1318"/>
      <c r="AG1373" s="1318"/>
      <c r="AH1373" s="1318"/>
      <c r="AI1373" s="1318"/>
      <c r="AJ1373" s="342"/>
      <c r="AK1373" s="345"/>
      <c r="AL1373" s="340"/>
      <c r="AM1373" s="342" t="s">
        <v>1468</v>
      </c>
      <c r="AN1373" s="342"/>
      <c r="AO1373" s="342"/>
      <c r="AP1373" s="342"/>
      <c r="AQ1373" s="342"/>
      <c r="AR1373" s="342"/>
      <c r="AS1373" s="342"/>
      <c r="AT1373" s="342"/>
      <c r="AU1373" s="342"/>
      <c r="AV1373" s="342"/>
      <c r="AW1373" s="342"/>
      <c r="AX1373" s="342"/>
      <c r="AY1373" s="342"/>
      <c r="AZ1373" s="342"/>
      <c r="BA1373" s="342"/>
      <c r="BB1373" s="342"/>
      <c r="BC1373" s="342"/>
      <c r="BD1373" s="342"/>
      <c r="BE1373" s="342"/>
      <c r="BF1373" s="342"/>
      <c r="BG1373" s="1318">
        <f>-W1373</f>
        <v>-9212585483</v>
      </c>
      <c r="BH1373" s="1318"/>
      <c r="BI1373" s="1318"/>
      <c r="BJ1373" s="1318"/>
      <c r="BK1373" s="1318"/>
      <c r="BL1373" s="1318"/>
      <c r="BM1373" s="355"/>
      <c r="BN1373" s="1318">
        <f>AD1373</f>
        <v>9212585483</v>
      </c>
      <c r="BO1373" s="1318"/>
      <c r="BP1373" s="1318"/>
      <c r="BQ1373" s="1318"/>
      <c r="BR1373" s="1318"/>
      <c r="BS1373" s="1318"/>
      <c r="BT1373" s="356"/>
      <c r="BU1373" s="357"/>
      <c r="BV1373" s="310"/>
      <c r="BW1373" s="310"/>
      <c r="BX1373" s="300">
        <f t="shared" si="101"/>
        <v>18425170966</v>
      </c>
      <c r="BY1373" s="342"/>
      <c r="BZ1373" s="438"/>
      <c r="CA1373" s="438"/>
      <c r="CB1373" s="439"/>
      <c r="CC1373" s="439"/>
      <c r="CD1373" s="439"/>
      <c r="CE1373" s="439"/>
      <c r="CF1373" s="439"/>
    </row>
    <row r="1374" spans="1:84" s="423" customFormat="1" ht="15" hidden="1" customHeight="1" x14ac:dyDescent="0.25">
      <c r="A1374" s="313"/>
      <c r="B1374" s="340"/>
      <c r="C1374" s="342" t="s">
        <v>1469</v>
      </c>
      <c r="D1374" s="342"/>
      <c r="E1374" s="342"/>
      <c r="F1374" s="342"/>
      <c r="G1374" s="342"/>
      <c r="H1374" s="342"/>
      <c r="I1374" s="342"/>
      <c r="J1374" s="342"/>
      <c r="K1374" s="342"/>
      <c r="L1374" s="342"/>
      <c r="M1374" s="342"/>
      <c r="N1374" s="342"/>
      <c r="O1374" s="342"/>
      <c r="P1374" s="342"/>
      <c r="Q1374" s="342"/>
      <c r="R1374" s="342"/>
      <c r="S1374" s="342"/>
      <c r="T1374" s="342"/>
      <c r="U1374" s="342"/>
      <c r="V1374" s="342"/>
      <c r="W1374" s="1318">
        <f>KN_CT420</f>
        <v>0</v>
      </c>
      <c r="X1374" s="1318"/>
      <c r="Y1374" s="1318"/>
      <c r="Z1374" s="1318"/>
      <c r="AA1374" s="1318"/>
      <c r="AB1374" s="1318"/>
      <c r="AC1374" s="355"/>
      <c r="AD1374" s="1318">
        <f>KT_CT420</f>
        <v>0</v>
      </c>
      <c r="AE1374" s="1318"/>
      <c r="AF1374" s="1318"/>
      <c r="AG1374" s="1318"/>
      <c r="AH1374" s="1318"/>
      <c r="AI1374" s="1318"/>
      <c r="AJ1374" s="342"/>
      <c r="AK1374" s="345"/>
      <c r="AL1374" s="340"/>
      <c r="AM1374" s="342" t="s">
        <v>1470</v>
      </c>
      <c r="AN1374" s="342"/>
      <c r="AO1374" s="342"/>
      <c r="AP1374" s="342"/>
      <c r="AQ1374" s="342"/>
      <c r="AR1374" s="342"/>
      <c r="AS1374" s="342"/>
      <c r="AT1374" s="342"/>
      <c r="AU1374" s="342"/>
      <c r="AV1374" s="342"/>
      <c r="AW1374" s="342"/>
      <c r="AX1374" s="342"/>
      <c r="AY1374" s="342"/>
      <c r="AZ1374" s="342"/>
      <c r="BA1374" s="342"/>
      <c r="BB1374" s="342"/>
      <c r="BC1374" s="342"/>
      <c r="BD1374" s="342"/>
      <c r="BE1374" s="342"/>
      <c r="BF1374" s="342"/>
      <c r="BG1374" s="1318">
        <f>-W1374</f>
        <v>0</v>
      </c>
      <c r="BH1374" s="1318"/>
      <c r="BI1374" s="1318"/>
      <c r="BJ1374" s="1318"/>
      <c r="BK1374" s="1318"/>
      <c r="BL1374" s="1318"/>
      <c r="BM1374" s="355"/>
      <c r="BN1374" s="1318">
        <f>AD1374</f>
        <v>0</v>
      </c>
      <c r="BO1374" s="1318"/>
      <c r="BP1374" s="1318"/>
      <c r="BQ1374" s="1318"/>
      <c r="BR1374" s="1318"/>
      <c r="BS1374" s="1318"/>
      <c r="BT1374" s="675"/>
      <c r="BU1374" s="676"/>
      <c r="BV1374" s="310"/>
      <c r="BW1374" s="310"/>
      <c r="BX1374" s="300">
        <f t="shared" si="101"/>
        <v>0</v>
      </c>
      <c r="BY1374" s="342"/>
      <c r="BZ1374" s="438"/>
      <c r="CA1374" s="438"/>
      <c r="CB1374" s="439"/>
      <c r="CC1374" s="439"/>
      <c r="CD1374" s="439"/>
      <c r="CE1374" s="439"/>
      <c r="CF1374" s="439"/>
    </row>
    <row r="1375" spans="1:84" s="423" customFormat="1" ht="12.95" customHeight="1" x14ac:dyDescent="0.25">
      <c r="A1375" s="313"/>
      <c r="B1375" s="340"/>
      <c r="C1375" s="341"/>
      <c r="D1375" s="342"/>
      <c r="E1375" s="342"/>
      <c r="F1375" s="342"/>
      <c r="G1375" s="342"/>
      <c r="H1375" s="342"/>
      <c r="I1375" s="342"/>
      <c r="J1375" s="342"/>
      <c r="K1375" s="342"/>
      <c r="L1375" s="342"/>
      <c r="M1375" s="342"/>
      <c r="N1375" s="342"/>
      <c r="O1375" s="342"/>
      <c r="P1375" s="342"/>
      <c r="Q1375" s="342"/>
      <c r="R1375" s="342"/>
      <c r="S1375" s="342"/>
      <c r="T1375" s="342"/>
      <c r="U1375" s="342"/>
      <c r="V1375" s="342"/>
      <c r="W1375" s="343"/>
      <c r="X1375" s="343"/>
      <c r="Y1375" s="343"/>
      <c r="Z1375" s="343"/>
      <c r="AA1375" s="343"/>
      <c r="AB1375" s="343"/>
      <c r="AC1375" s="343"/>
      <c r="AD1375" s="343"/>
      <c r="AE1375" s="343"/>
      <c r="AF1375" s="343"/>
      <c r="AG1375" s="343"/>
      <c r="AH1375" s="343"/>
      <c r="AI1375" s="343"/>
      <c r="AJ1375" s="342"/>
      <c r="AK1375" s="345"/>
      <c r="AL1375" s="340"/>
      <c r="AM1375" s="342"/>
      <c r="AN1375" s="342"/>
      <c r="AO1375" s="342"/>
      <c r="AP1375" s="342"/>
      <c r="AQ1375" s="342"/>
      <c r="AR1375" s="342"/>
      <c r="AS1375" s="342"/>
      <c r="AT1375" s="342"/>
      <c r="AU1375" s="342"/>
      <c r="AV1375" s="342"/>
      <c r="AW1375" s="342"/>
      <c r="AX1375" s="342"/>
      <c r="AY1375" s="342"/>
      <c r="AZ1375" s="342"/>
      <c r="BA1375" s="342"/>
      <c r="BB1375" s="342"/>
      <c r="BC1375" s="342"/>
      <c r="BD1375" s="342"/>
      <c r="BE1375" s="342"/>
      <c r="BF1375" s="342"/>
      <c r="BG1375" s="342"/>
      <c r="BH1375" s="342"/>
      <c r="BI1375" s="342"/>
      <c r="BJ1375" s="342"/>
      <c r="BK1375" s="342"/>
      <c r="BL1375" s="342"/>
      <c r="BM1375" s="342"/>
      <c r="BN1375" s="342"/>
      <c r="BO1375" s="342"/>
      <c r="BP1375" s="342"/>
      <c r="BQ1375" s="342"/>
      <c r="BR1375" s="342"/>
      <c r="BS1375" s="342"/>
      <c r="BT1375" s="342"/>
      <c r="BU1375" s="346"/>
      <c r="BV1375" s="310"/>
      <c r="BW1375" s="310"/>
      <c r="BX1375" s="300">
        <f t="shared" si="101"/>
        <v>0</v>
      </c>
      <c r="BY1375" s="342"/>
      <c r="BZ1375" s="438"/>
      <c r="CA1375" s="438"/>
      <c r="CB1375" s="439"/>
      <c r="CC1375" s="439"/>
      <c r="CD1375" s="439"/>
      <c r="CE1375" s="439"/>
      <c r="CF1375" s="439"/>
    </row>
    <row r="1376" spans="1:84" s="423" customFormat="1" ht="15" customHeight="1" thickBot="1" x14ac:dyDescent="0.3">
      <c r="A1376" s="313"/>
      <c r="B1376" s="340"/>
      <c r="C1376" s="341"/>
      <c r="D1376" s="342"/>
      <c r="E1376" s="342"/>
      <c r="F1376" s="342"/>
      <c r="G1376" s="342"/>
      <c r="H1376" s="342"/>
      <c r="I1376" s="342"/>
      <c r="J1376" s="342"/>
      <c r="K1376" s="342"/>
      <c r="L1376" s="342"/>
      <c r="M1376" s="342"/>
      <c r="N1376" s="342"/>
      <c r="O1376" s="342"/>
      <c r="P1376" s="342"/>
      <c r="Q1376" s="342"/>
      <c r="R1376" s="342"/>
      <c r="S1376" s="342"/>
      <c r="T1376" s="342"/>
      <c r="U1376" s="342"/>
      <c r="V1376" s="342"/>
      <c r="W1376" s="1359">
        <f>SUBTOTAL(109,W1373:AB1374)</f>
        <v>9212585483</v>
      </c>
      <c r="X1376" s="1359"/>
      <c r="Y1376" s="1359"/>
      <c r="Z1376" s="1359"/>
      <c r="AA1376" s="1359"/>
      <c r="AB1376" s="1359"/>
      <c r="AC1376" s="363"/>
      <c r="AD1376" s="1359">
        <f>SUBTOTAL(109,AD1373:AI1374)</f>
        <v>9212585483</v>
      </c>
      <c r="AE1376" s="1359"/>
      <c r="AF1376" s="1359"/>
      <c r="AG1376" s="1359"/>
      <c r="AH1376" s="1359"/>
      <c r="AI1376" s="1359"/>
      <c r="AJ1376" s="342"/>
      <c r="AK1376" s="345"/>
      <c r="AL1376" s="340"/>
      <c r="AM1376" s="342"/>
      <c r="AN1376" s="342"/>
      <c r="AO1376" s="342"/>
      <c r="AP1376" s="342"/>
      <c r="AQ1376" s="342"/>
      <c r="AR1376" s="342"/>
      <c r="AS1376" s="342"/>
      <c r="AT1376" s="342"/>
      <c r="AU1376" s="342"/>
      <c r="AV1376" s="342"/>
      <c r="AW1376" s="342"/>
      <c r="AX1376" s="342"/>
      <c r="AY1376" s="342"/>
      <c r="AZ1376" s="342"/>
      <c r="BA1376" s="342"/>
      <c r="BB1376" s="342"/>
      <c r="BC1376" s="342"/>
      <c r="BD1376" s="342"/>
      <c r="BE1376" s="342"/>
      <c r="BF1376" s="342"/>
      <c r="BG1376" s="1400">
        <f>SUBTOTAL(109,BG1373:BL1374)</f>
        <v>-9212585483</v>
      </c>
      <c r="BH1376" s="1400"/>
      <c r="BI1376" s="1400"/>
      <c r="BJ1376" s="1400"/>
      <c r="BK1376" s="1400"/>
      <c r="BL1376" s="1400"/>
      <c r="BM1376" s="355"/>
      <c r="BN1376" s="1400">
        <f>SUBTOTAL(109,BN1373:BS1374)</f>
        <v>9212585483</v>
      </c>
      <c r="BO1376" s="1400"/>
      <c r="BP1376" s="1400"/>
      <c r="BQ1376" s="1400"/>
      <c r="BR1376" s="1400"/>
      <c r="BS1376" s="1400"/>
      <c r="BT1376" s="342"/>
      <c r="BU1376" s="346"/>
      <c r="BV1376" s="310">
        <f>W1376-KN_CT418-KN_CT419-KN_CT420</f>
        <v>0</v>
      </c>
      <c r="BW1376" s="310">
        <f>AD1376-KT_CT418-KT_CT419-KT_CT420</f>
        <v>0</v>
      </c>
      <c r="BX1376" s="300">
        <f>IF(ISNONTEXT($C1376),0,SUM(D1376:AI1376)-SUM(AN1376:BS1376))</f>
        <v>0</v>
      </c>
      <c r="BY1376" s="342"/>
      <c r="BZ1376" s="438"/>
      <c r="CA1376" s="438"/>
      <c r="CB1376" s="439"/>
      <c r="CC1376" s="439"/>
      <c r="CD1376" s="439"/>
      <c r="CE1376" s="439"/>
      <c r="CF1376" s="439"/>
    </row>
    <row r="1377" spans="1:79" ht="15" hidden="1" customHeight="1" thickTop="1" x14ac:dyDescent="0.25">
      <c r="A1377" s="313"/>
      <c r="B1377" s="340"/>
      <c r="C1377" s="341"/>
      <c r="D1377" s="342"/>
      <c r="E1377" s="342"/>
      <c r="F1377" s="342"/>
      <c r="G1377" s="342"/>
      <c r="H1377" s="342"/>
      <c r="I1377" s="342"/>
      <c r="J1377" s="342"/>
      <c r="K1377" s="342"/>
      <c r="L1377" s="342"/>
      <c r="M1377" s="342"/>
      <c r="N1377" s="342"/>
      <c r="O1377" s="342"/>
      <c r="P1377" s="342"/>
      <c r="Q1377" s="342"/>
      <c r="R1377" s="342"/>
      <c r="S1377" s="342"/>
      <c r="T1377" s="342"/>
      <c r="U1377" s="342"/>
      <c r="V1377" s="342"/>
      <c r="W1377" s="343"/>
      <c r="X1377" s="343"/>
      <c r="Y1377" s="343"/>
      <c r="Z1377" s="343"/>
      <c r="AA1377" s="343"/>
      <c r="AB1377" s="343"/>
      <c r="AC1377" s="343"/>
      <c r="AD1377" s="343"/>
      <c r="AE1377" s="343"/>
      <c r="AF1377" s="343"/>
      <c r="AG1377" s="343"/>
      <c r="AH1377" s="343"/>
      <c r="AI1377" s="343"/>
      <c r="AJ1377" s="344"/>
      <c r="AK1377" s="345"/>
      <c r="AL1377" s="340"/>
      <c r="AM1377" s="342"/>
      <c r="AN1377" s="342"/>
      <c r="AO1377" s="342"/>
      <c r="AP1377" s="342"/>
      <c r="AQ1377" s="342"/>
      <c r="AR1377" s="342"/>
      <c r="AS1377" s="342"/>
      <c r="AT1377" s="342"/>
      <c r="AU1377" s="342"/>
      <c r="AV1377" s="342"/>
      <c r="AW1377" s="342"/>
      <c r="AX1377" s="342"/>
      <c r="AY1377" s="342"/>
      <c r="AZ1377" s="342"/>
      <c r="BA1377" s="342"/>
      <c r="BB1377" s="342"/>
      <c r="BC1377" s="342"/>
      <c r="BD1377" s="342"/>
      <c r="BE1377" s="342"/>
      <c r="BF1377" s="342"/>
      <c r="BG1377" s="342"/>
      <c r="BH1377" s="342"/>
      <c r="BI1377" s="342"/>
      <c r="BJ1377" s="342"/>
      <c r="BK1377" s="342"/>
      <c r="BL1377" s="342"/>
      <c r="BM1377" s="342"/>
      <c r="BN1377" s="342"/>
      <c r="BO1377" s="342"/>
      <c r="BP1377" s="342"/>
      <c r="BQ1377" s="342"/>
      <c r="BR1377" s="342"/>
      <c r="BS1377" s="342"/>
      <c r="BT1377" s="342"/>
      <c r="BU1377" s="346"/>
      <c r="BV1377" s="310"/>
      <c r="BW1377" s="310"/>
      <c r="BX1377" s="291">
        <f>IF(ISNONTEXT($C1377),0,SUM(D1377:AI1377)-SUM(AN1377:BS1377))</f>
        <v>0</v>
      </c>
      <c r="BY1377" s="344"/>
      <c r="BZ1377" s="347"/>
      <c r="CA1377" s="347"/>
    </row>
    <row r="1378" spans="1:79" ht="27.95" hidden="1" customHeight="1" x14ac:dyDescent="0.25">
      <c r="A1378" s="313"/>
      <c r="B1378" s="340"/>
      <c r="C1378" s="1399" t="s">
        <v>1471</v>
      </c>
      <c r="D1378" s="1399"/>
      <c r="E1378" s="1399"/>
      <c r="F1378" s="1399"/>
      <c r="G1378" s="1399"/>
      <c r="H1378" s="1399"/>
      <c r="I1378" s="1399"/>
      <c r="J1378" s="1399"/>
      <c r="K1378" s="1399"/>
      <c r="L1378" s="1399"/>
      <c r="M1378" s="1399"/>
      <c r="N1378" s="1399"/>
      <c r="O1378" s="1399"/>
      <c r="P1378" s="1399"/>
      <c r="Q1378" s="1399"/>
      <c r="R1378" s="1399"/>
      <c r="S1378" s="1399"/>
      <c r="T1378" s="1399"/>
      <c r="U1378" s="1399"/>
      <c r="V1378" s="1399"/>
      <c r="W1378" s="1399"/>
      <c r="X1378" s="1399"/>
      <c r="Y1378" s="1399"/>
      <c r="Z1378" s="1399"/>
      <c r="AA1378" s="1399"/>
      <c r="AB1378" s="1399"/>
      <c r="AC1378" s="1399"/>
      <c r="AD1378" s="1399"/>
      <c r="AE1378" s="1399"/>
      <c r="AF1378" s="1399"/>
      <c r="AG1378" s="1399"/>
      <c r="AH1378" s="1399"/>
      <c r="AI1378" s="1399"/>
      <c r="AJ1378" s="344"/>
      <c r="AK1378" s="345"/>
      <c r="AL1378" s="340"/>
      <c r="AM1378" s="1399" t="s">
        <v>1472</v>
      </c>
      <c r="AN1378" s="1399"/>
      <c r="AO1378" s="1399"/>
      <c r="AP1378" s="1399"/>
      <c r="AQ1378" s="1399"/>
      <c r="AR1378" s="1399"/>
      <c r="AS1378" s="1399"/>
      <c r="AT1378" s="1399"/>
      <c r="AU1378" s="1399"/>
      <c r="AV1378" s="1399"/>
      <c r="AW1378" s="1399"/>
      <c r="AX1378" s="1399"/>
      <c r="AY1378" s="1399"/>
      <c r="AZ1378" s="1399"/>
      <c r="BA1378" s="1399"/>
      <c r="BB1378" s="1399"/>
      <c r="BC1378" s="1399"/>
      <c r="BD1378" s="1399"/>
      <c r="BE1378" s="1399"/>
      <c r="BF1378" s="1399"/>
      <c r="BG1378" s="1399"/>
      <c r="BH1378" s="1399"/>
      <c r="BI1378" s="1399"/>
      <c r="BJ1378" s="1399"/>
      <c r="BK1378" s="1399"/>
      <c r="BL1378" s="1399"/>
      <c r="BM1378" s="1399"/>
      <c r="BN1378" s="1399"/>
      <c r="BO1378" s="1399"/>
      <c r="BP1378" s="1399"/>
      <c r="BQ1378" s="1399"/>
      <c r="BR1378" s="1399"/>
      <c r="BS1378" s="1399"/>
      <c r="BT1378" s="342"/>
      <c r="BU1378" s="346"/>
      <c r="BV1378" s="310"/>
      <c r="BW1378" s="310"/>
      <c r="BX1378" s="291">
        <f t="shared" si="101"/>
        <v>0</v>
      </c>
      <c r="BY1378" s="344"/>
      <c r="BZ1378" s="347"/>
      <c r="CA1378" s="347"/>
    </row>
    <row r="1379" spans="1:79" ht="2.1" hidden="1" customHeight="1" x14ac:dyDescent="0.25">
      <c r="A1379" s="313"/>
      <c r="B1379" s="340"/>
      <c r="C1379" s="342"/>
      <c r="D1379" s="342"/>
      <c r="E1379" s="342"/>
      <c r="F1379" s="342"/>
      <c r="G1379" s="342"/>
      <c r="H1379" s="342"/>
      <c r="I1379" s="342"/>
      <c r="J1379" s="342"/>
      <c r="K1379" s="342"/>
      <c r="L1379" s="342"/>
      <c r="M1379" s="342"/>
      <c r="N1379" s="342"/>
      <c r="O1379" s="342"/>
      <c r="P1379" s="342"/>
      <c r="Q1379" s="342"/>
      <c r="R1379" s="342"/>
      <c r="S1379" s="342"/>
      <c r="T1379" s="342"/>
      <c r="U1379" s="342"/>
      <c r="V1379" s="342"/>
      <c r="W1379" s="343"/>
      <c r="X1379" s="343"/>
      <c r="Y1379" s="343"/>
      <c r="Z1379" s="343"/>
      <c r="AA1379" s="343"/>
      <c r="AB1379" s="343"/>
      <c r="AC1379" s="343"/>
      <c r="AD1379" s="343"/>
      <c r="AE1379" s="343"/>
      <c r="AF1379" s="343"/>
      <c r="AG1379" s="343"/>
      <c r="AH1379" s="343"/>
      <c r="AI1379" s="343"/>
      <c r="AJ1379" s="344"/>
      <c r="AK1379" s="345"/>
      <c r="AL1379" s="340"/>
      <c r="AM1379" s="342"/>
      <c r="AN1379" s="342"/>
      <c r="AO1379" s="342"/>
      <c r="AP1379" s="342"/>
      <c r="AQ1379" s="342"/>
      <c r="AR1379" s="342"/>
      <c r="AS1379" s="342"/>
      <c r="AT1379" s="342"/>
      <c r="AU1379" s="342"/>
      <c r="AV1379" s="342"/>
      <c r="AW1379" s="342"/>
      <c r="AX1379" s="342"/>
      <c r="AY1379" s="342"/>
      <c r="AZ1379" s="342"/>
      <c r="BA1379" s="342"/>
      <c r="BB1379" s="342"/>
      <c r="BC1379" s="342"/>
      <c r="BD1379" s="342"/>
      <c r="BE1379" s="342"/>
      <c r="BF1379" s="342"/>
      <c r="BG1379" s="342"/>
      <c r="BH1379" s="342"/>
      <c r="BI1379" s="342"/>
      <c r="BJ1379" s="342"/>
      <c r="BK1379" s="342"/>
      <c r="BL1379" s="342"/>
      <c r="BM1379" s="342"/>
      <c r="BN1379" s="342"/>
      <c r="BO1379" s="342"/>
      <c r="BP1379" s="342"/>
      <c r="BQ1379" s="342"/>
      <c r="BR1379" s="342"/>
      <c r="BS1379" s="342"/>
      <c r="BT1379" s="342"/>
      <c r="BU1379" s="346"/>
      <c r="BV1379" s="310"/>
      <c r="BW1379" s="310"/>
      <c r="BX1379" s="291">
        <f t="shared" si="101"/>
        <v>0</v>
      </c>
      <c r="BY1379" s="344"/>
      <c r="BZ1379" s="347"/>
      <c r="CA1379" s="347"/>
    </row>
    <row r="1380" spans="1:79" ht="12.95" hidden="1" customHeight="1" x14ac:dyDescent="0.25">
      <c r="A1380" s="313"/>
      <c r="B1380" s="340"/>
      <c r="C1380" s="342"/>
      <c r="D1380" s="342"/>
      <c r="E1380" s="342"/>
      <c r="F1380" s="342"/>
      <c r="G1380" s="342"/>
      <c r="H1380" s="342"/>
      <c r="I1380" s="342"/>
      <c r="J1380" s="342"/>
      <c r="K1380" s="342"/>
      <c r="L1380" s="342"/>
      <c r="M1380" s="342"/>
      <c r="N1380" s="342"/>
      <c r="O1380" s="342"/>
      <c r="P1380" s="342"/>
      <c r="Q1380" s="342"/>
      <c r="R1380" s="342"/>
      <c r="S1380" s="342"/>
      <c r="T1380" s="342"/>
      <c r="U1380" s="342"/>
      <c r="V1380" s="342"/>
      <c r="W1380" s="343"/>
      <c r="X1380" s="343"/>
      <c r="Y1380" s="343"/>
      <c r="Z1380" s="343"/>
      <c r="AA1380" s="343"/>
      <c r="AB1380" s="343"/>
      <c r="AC1380" s="343"/>
      <c r="AD1380" s="343"/>
      <c r="AE1380" s="343"/>
      <c r="AF1380" s="343"/>
      <c r="AG1380" s="343"/>
      <c r="AH1380" s="343"/>
      <c r="AI1380" s="343"/>
      <c r="AJ1380" s="344"/>
      <c r="AK1380" s="345"/>
      <c r="AL1380" s="340"/>
      <c r="AM1380" s="342"/>
      <c r="AN1380" s="342"/>
      <c r="AO1380" s="342"/>
      <c r="AP1380" s="342"/>
      <c r="AQ1380" s="342"/>
      <c r="AR1380" s="342"/>
      <c r="AS1380" s="342"/>
      <c r="AT1380" s="342"/>
      <c r="AU1380" s="342"/>
      <c r="AV1380" s="342"/>
      <c r="AW1380" s="342"/>
      <c r="AX1380" s="342"/>
      <c r="AY1380" s="342"/>
      <c r="AZ1380" s="342"/>
      <c r="BA1380" s="342"/>
      <c r="BB1380" s="342"/>
      <c r="BC1380" s="342"/>
      <c r="BD1380" s="342"/>
      <c r="BE1380" s="342"/>
      <c r="BF1380" s="342"/>
      <c r="BG1380" s="342"/>
      <c r="BH1380" s="342"/>
      <c r="BI1380" s="342"/>
      <c r="BJ1380" s="342"/>
      <c r="BK1380" s="342"/>
      <c r="BL1380" s="342"/>
      <c r="BM1380" s="342"/>
      <c r="BN1380" s="342"/>
      <c r="BO1380" s="342"/>
      <c r="BP1380" s="342"/>
      <c r="BQ1380" s="342"/>
      <c r="BR1380" s="342"/>
      <c r="BS1380" s="342"/>
      <c r="BT1380" s="342"/>
      <c r="BU1380" s="346"/>
      <c r="BV1380" s="310"/>
      <c r="BW1380" s="310"/>
      <c r="BX1380" s="291">
        <f t="shared" si="101"/>
        <v>0</v>
      </c>
      <c r="BY1380" s="344"/>
      <c r="BZ1380" s="347"/>
      <c r="CA1380" s="347"/>
    </row>
    <row r="1381" spans="1:79" ht="15" hidden="1" customHeight="1" x14ac:dyDescent="0.25">
      <c r="A1381" s="313">
        <f>STT</f>
        <v>21</v>
      </c>
      <c r="B1381" s="340" t="s">
        <v>345</v>
      </c>
      <c r="C1381" s="341" t="s">
        <v>1473</v>
      </c>
      <c r="D1381" s="342"/>
      <c r="E1381" s="342"/>
      <c r="F1381" s="342"/>
      <c r="G1381" s="342"/>
      <c r="H1381" s="342"/>
      <c r="I1381" s="342"/>
      <c r="J1381" s="342"/>
      <c r="K1381" s="342"/>
      <c r="L1381" s="342"/>
      <c r="M1381" s="342"/>
      <c r="N1381" s="342"/>
      <c r="O1381" s="342"/>
      <c r="P1381" s="342"/>
      <c r="Q1381" s="342"/>
      <c r="R1381" s="342"/>
      <c r="S1381" s="342"/>
      <c r="T1381" s="342"/>
      <c r="U1381" s="342"/>
      <c r="V1381" s="342"/>
      <c r="W1381" s="343"/>
      <c r="X1381" s="343"/>
      <c r="Y1381" s="343"/>
      <c r="Z1381" s="343"/>
      <c r="AA1381" s="343"/>
      <c r="AB1381" s="343"/>
      <c r="AC1381" s="343"/>
      <c r="AD1381" s="343"/>
      <c r="AE1381" s="343"/>
      <c r="AF1381" s="343"/>
      <c r="AG1381" s="343"/>
      <c r="AH1381" s="343"/>
      <c r="AI1381" s="343"/>
      <c r="AJ1381" s="344"/>
      <c r="AK1381" s="345">
        <f>A1381</f>
        <v>21</v>
      </c>
      <c r="AL1381" s="340" t="s">
        <v>345</v>
      </c>
      <c r="AM1381" s="341" t="s">
        <v>1474</v>
      </c>
      <c r="AN1381" s="342"/>
      <c r="AO1381" s="342"/>
      <c r="AP1381" s="342"/>
      <c r="AQ1381" s="342"/>
      <c r="AR1381" s="342"/>
      <c r="AS1381" s="342"/>
      <c r="AT1381" s="342"/>
      <c r="AU1381" s="342"/>
      <c r="AV1381" s="342"/>
      <c r="AW1381" s="342"/>
      <c r="AX1381" s="342"/>
      <c r="AY1381" s="342"/>
      <c r="AZ1381" s="342"/>
      <c r="BA1381" s="342"/>
      <c r="BB1381" s="342"/>
      <c r="BC1381" s="342"/>
      <c r="BD1381" s="342"/>
      <c r="BE1381" s="342"/>
      <c r="BF1381" s="342"/>
      <c r="BG1381" s="342"/>
      <c r="BH1381" s="342"/>
      <c r="BI1381" s="342"/>
      <c r="BJ1381" s="342"/>
      <c r="BK1381" s="342"/>
      <c r="BL1381" s="342"/>
      <c r="BM1381" s="342"/>
      <c r="BN1381" s="342"/>
      <c r="BO1381" s="342"/>
      <c r="BP1381" s="342"/>
      <c r="BQ1381" s="342"/>
      <c r="BR1381" s="342"/>
      <c r="BS1381" s="342"/>
      <c r="BT1381" s="342"/>
      <c r="BU1381" s="346">
        <f>SUBTOTAL(103,A1381)</f>
        <v>0</v>
      </c>
      <c r="BV1381" s="310"/>
      <c r="BW1381" s="310"/>
      <c r="BX1381" s="291">
        <f t="shared" si="101"/>
        <v>0</v>
      </c>
      <c r="BY1381" s="344"/>
      <c r="BZ1381" s="347"/>
      <c r="CA1381" s="347"/>
    </row>
    <row r="1382" spans="1:79" ht="15" hidden="1" customHeight="1" x14ac:dyDescent="0.25">
      <c r="A1382" s="313"/>
      <c r="B1382" s="340"/>
      <c r="C1382" s="342"/>
      <c r="D1382" s="342"/>
      <c r="E1382" s="342"/>
      <c r="F1382" s="342"/>
      <c r="G1382" s="342"/>
      <c r="H1382" s="342"/>
      <c r="I1382" s="342"/>
      <c r="J1382" s="342"/>
      <c r="K1382" s="342"/>
      <c r="L1382" s="342"/>
      <c r="M1382" s="342"/>
      <c r="N1382" s="342"/>
      <c r="O1382" s="342"/>
      <c r="P1382" s="342"/>
      <c r="Q1382" s="342"/>
      <c r="R1382" s="342"/>
      <c r="S1382" s="342"/>
      <c r="T1382" s="342"/>
      <c r="U1382" s="342"/>
      <c r="V1382" s="342"/>
      <c r="W1382" s="1324" t="str">
        <f>Ky_Nay2_V</f>
        <v>Năm 2017</v>
      </c>
      <c r="X1382" s="1324"/>
      <c r="Y1382" s="1324"/>
      <c r="Z1382" s="1324"/>
      <c r="AA1382" s="1324"/>
      <c r="AB1382" s="1324"/>
      <c r="AC1382" s="351"/>
      <c r="AD1382" s="1324" t="str">
        <f>Ky_Truoc2_V</f>
        <v>Năm 2016</v>
      </c>
      <c r="AE1382" s="1324"/>
      <c r="AF1382" s="1324"/>
      <c r="AG1382" s="1324"/>
      <c r="AH1382" s="1324"/>
      <c r="AI1382" s="1324"/>
      <c r="AJ1382" s="344"/>
      <c r="AK1382" s="345"/>
      <c r="AL1382" s="340"/>
      <c r="AM1382" s="342"/>
      <c r="AN1382" s="342"/>
      <c r="AO1382" s="342"/>
      <c r="AP1382" s="342"/>
      <c r="AQ1382" s="342"/>
      <c r="AR1382" s="342"/>
      <c r="AS1382" s="342"/>
      <c r="AT1382" s="342"/>
      <c r="AU1382" s="342"/>
      <c r="AV1382" s="342"/>
      <c r="AW1382" s="342"/>
      <c r="AX1382" s="342"/>
      <c r="AY1382" s="342"/>
      <c r="AZ1382" s="342"/>
      <c r="BA1382" s="342"/>
      <c r="BB1382" s="342"/>
      <c r="BC1382" s="342"/>
      <c r="BD1382" s="342"/>
      <c r="BE1382" s="342"/>
      <c r="BF1382" s="342"/>
      <c r="BG1382" s="1324" t="str">
        <f>Ky_Nay2_E</f>
        <v>Year 2016</v>
      </c>
      <c r="BH1382" s="1324"/>
      <c r="BI1382" s="1324"/>
      <c r="BJ1382" s="1324"/>
      <c r="BK1382" s="1324"/>
      <c r="BL1382" s="1324"/>
      <c r="BM1382" s="351"/>
      <c r="BN1382" s="1324" t="str">
        <f>Ky_Truoc2_E</f>
        <v>Year 2015</v>
      </c>
      <c r="BO1382" s="1324"/>
      <c r="BP1382" s="1324"/>
      <c r="BQ1382" s="1324"/>
      <c r="BR1382" s="1324"/>
      <c r="BS1382" s="1324"/>
      <c r="BT1382" s="342"/>
      <c r="BU1382" s="346"/>
      <c r="BV1382" s="310"/>
      <c r="BW1382" s="310"/>
      <c r="BX1382" s="291">
        <f t="shared" si="101"/>
        <v>0</v>
      </c>
      <c r="BY1382" s="344"/>
      <c r="BZ1382" s="347"/>
      <c r="CA1382" s="347"/>
    </row>
    <row r="1383" spans="1:79" ht="15" hidden="1" customHeight="1" x14ac:dyDescent="0.25">
      <c r="A1383" s="313"/>
      <c r="B1383" s="340"/>
      <c r="C1383" s="342"/>
      <c r="D1383" s="342"/>
      <c r="E1383" s="342"/>
      <c r="F1383" s="342"/>
      <c r="G1383" s="342"/>
      <c r="H1383" s="342"/>
      <c r="I1383" s="342"/>
      <c r="J1383" s="342"/>
      <c r="K1383" s="342"/>
      <c r="L1383" s="342"/>
      <c r="M1383" s="342"/>
      <c r="N1383" s="342"/>
      <c r="O1383" s="342"/>
      <c r="P1383" s="342"/>
      <c r="Q1383" s="342"/>
      <c r="R1383" s="342"/>
      <c r="S1383" s="342"/>
      <c r="T1383" s="342"/>
      <c r="U1383" s="342"/>
      <c r="V1383" s="342"/>
      <c r="W1383" s="1327" t="str">
        <f>Don_Vi_Tinh_V</f>
        <v>VND</v>
      </c>
      <c r="X1383" s="1327"/>
      <c r="Y1383" s="1327"/>
      <c r="Z1383" s="1327"/>
      <c r="AA1383" s="1327"/>
      <c r="AB1383" s="1327"/>
      <c r="AC1383" s="351"/>
      <c r="AD1383" s="1327" t="str">
        <f>Don_Vi_Tinh_V</f>
        <v>VND</v>
      </c>
      <c r="AE1383" s="1327"/>
      <c r="AF1383" s="1327"/>
      <c r="AG1383" s="1327"/>
      <c r="AH1383" s="1327"/>
      <c r="AI1383" s="1327"/>
      <c r="AJ1383" s="344"/>
      <c r="AK1383" s="345"/>
      <c r="AL1383" s="340"/>
      <c r="AM1383" s="342"/>
      <c r="AN1383" s="342"/>
      <c r="AO1383" s="342"/>
      <c r="AP1383" s="342"/>
      <c r="AQ1383" s="342"/>
      <c r="AR1383" s="342"/>
      <c r="AS1383" s="342"/>
      <c r="AT1383" s="342"/>
      <c r="AU1383" s="342"/>
      <c r="AV1383" s="342"/>
      <c r="AW1383" s="342"/>
      <c r="AX1383" s="342"/>
      <c r="AY1383" s="342"/>
      <c r="AZ1383" s="342"/>
      <c r="BA1383" s="342"/>
      <c r="BB1383" s="342"/>
      <c r="BC1383" s="342"/>
      <c r="BD1383" s="342"/>
      <c r="BE1383" s="342"/>
      <c r="BF1383" s="342"/>
      <c r="BG1383" s="1327" t="str">
        <f>Don_Vi_Tinh_E</f>
        <v>VND</v>
      </c>
      <c r="BH1383" s="1327"/>
      <c r="BI1383" s="1327"/>
      <c r="BJ1383" s="1327"/>
      <c r="BK1383" s="1327"/>
      <c r="BL1383" s="1327"/>
      <c r="BM1383" s="351"/>
      <c r="BN1383" s="1327" t="str">
        <f>Don_Vi_Tinh_E</f>
        <v>VND</v>
      </c>
      <c r="BO1383" s="1327"/>
      <c r="BP1383" s="1327"/>
      <c r="BQ1383" s="1327"/>
      <c r="BR1383" s="1327"/>
      <c r="BS1383" s="1327"/>
      <c r="BT1383" s="342"/>
      <c r="BU1383" s="346"/>
      <c r="BV1383" s="310"/>
      <c r="BW1383" s="310"/>
      <c r="BX1383" s="291">
        <f t="shared" si="101"/>
        <v>0</v>
      </c>
      <c r="BY1383" s="344"/>
      <c r="BZ1383" s="347"/>
      <c r="CA1383" s="347"/>
    </row>
    <row r="1384" spans="1:79" ht="15" hidden="1" customHeight="1" x14ac:dyDescent="0.25">
      <c r="A1384" s="313"/>
      <c r="B1384" s="340"/>
      <c r="C1384" s="687"/>
      <c r="D1384" s="688"/>
      <c r="E1384" s="688"/>
      <c r="F1384" s="688"/>
      <c r="G1384" s="688"/>
      <c r="H1384" s="688"/>
      <c r="I1384" s="688"/>
      <c r="J1384" s="688"/>
      <c r="K1384" s="688"/>
      <c r="L1384" s="688"/>
      <c r="M1384" s="688"/>
      <c r="N1384" s="688"/>
      <c r="O1384" s="688"/>
      <c r="P1384" s="688"/>
      <c r="Q1384" s="688"/>
      <c r="R1384" s="688"/>
      <c r="S1384" s="688"/>
      <c r="T1384" s="688"/>
      <c r="U1384" s="688"/>
      <c r="V1384" s="688"/>
      <c r="W1384" s="688"/>
      <c r="X1384" s="688"/>
      <c r="Y1384" s="688"/>
      <c r="Z1384" s="688"/>
      <c r="AA1384" s="688"/>
      <c r="AB1384" s="688"/>
      <c r="AC1384" s="688"/>
      <c r="AD1384" s="688"/>
      <c r="AE1384" s="688"/>
      <c r="AF1384" s="688"/>
      <c r="AG1384" s="688"/>
      <c r="AH1384" s="688"/>
      <c r="AI1384" s="688"/>
      <c r="AJ1384" s="344"/>
      <c r="AK1384" s="345"/>
      <c r="AL1384" s="340"/>
      <c r="AM1384" s="687"/>
      <c r="AN1384" s="688"/>
      <c r="AO1384" s="688"/>
      <c r="AP1384" s="688"/>
      <c r="AQ1384" s="688"/>
      <c r="AR1384" s="688"/>
      <c r="AS1384" s="688"/>
      <c r="AT1384" s="688"/>
      <c r="AU1384" s="688"/>
      <c r="AV1384" s="688"/>
      <c r="AW1384" s="688"/>
      <c r="AX1384" s="688"/>
      <c r="AY1384" s="688"/>
      <c r="AZ1384" s="688"/>
      <c r="BA1384" s="688"/>
      <c r="BB1384" s="688"/>
      <c r="BC1384" s="688"/>
      <c r="BD1384" s="688"/>
      <c r="BE1384" s="688"/>
      <c r="BF1384" s="688"/>
      <c r="BG1384" s="688"/>
      <c r="BH1384" s="688"/>
      <c r="BI1384" s="688"/>
      <c r="BJ1384" s="688"/>
      <c r="BK1384" s="688"/>
      <c r="BL1384" s="688"/>
      <c r="BM1384" s="688"/>
      <c r="BN1384" s="688"/>
      <c r="BO1384" s="688"/>
      <c r="BP1384" s="688"/>
      <c r="BQ1384" s="688"/>
      <c r="BR1384" s="688"/>
      <c r="BS1384" s="688"/>
      <c r="BT1384" s="342"/>
      <c r="BU1384" s="346"/>
      <c r="BV1384" s="310"/>
      <c r="BW1384" s="310"/>
      <c r="BX1384" s="291">
        <f t="shared" si="101"/>
        <v>0</v>
      </c>
      <c r="BY1384" s="344"/>
      <c r="BZ1384" s="347"/>
      <c r="CA1384" s="347"/>
    </row>
    <row r="1385" spans="1:79" ht="15" hidden="1" customHeight="1" x14ac:dyDescent="0.25">
      <c r="A1385" s="313"/>
      <c r="B1385" s="340"/>
      <c r="C1385" s="346" t="s">
        <v>987</v>
      </c>
      <c r="D1385" s="346"/>
      <c r="E1385" s="346"/>
      <c r="F1385" s="346"/>
      <c r="G1385" s="346"/>
      <c r="H1385" s="346"/>
      <c r="I1385" s="346"/>
      <c r="J1385" s="346"/>
      <c r="K1385" s="346"/>
      <c r="L1385" s="346"/>
      <c r="M1385" s="346"/>
      <c r="N1385" s="346"/>
      <c r="O1385" s="346"/>
      <c r="P1385" s="346"/>
      <c r="Q1385" s="346"/>
      <c r="R1385" s="346"/>
      <c r="S1385" s="346"/>
      <c r="T1385" s="346"/>
      <c r="U1385" s="346"/>
      <c r="V1385" s="346"/>
      <c r="W1385" s="1318"/>
      <c r="X1385" s="1318"/>
      <c r="Y1385" s="1318"/>
      <c r="Z1385" s="1318"/>
      <c r="AA1385" s="1318"/>
      <c r="AB1385" s="1318"/>
      <c r="AC1385" s="343"/>
      <c r="AD1385" s="1318"/>
      <c r="AE1385" s="1318"/>
      <c r="AF1385" s="1318"/>
      <c r="AG1385" s="1318"/>
      <c r="AH1385" s="1318"/>
      <c r="AI1385" s="1318"/>
      <c r="AJ1385" s="344"/>
      <c r="AK1385" s="345"/>
      <c r="AL1385" s="340"/>
      <c r="AM1385" s="346" t="s">
        <v>1011</v>
      </c>
      <c r="AN1385" s="346"/>
      <c r="AO1385" s="346"/>
      <c r="AP1385" s="346"/>
      <c r="AQ1385" s="346"/>
      <c r="AR1385" s="346"/>
      <c r="AS1385" s="346"/>
      <c r="AT1385" s="346"/>
      <c r="AU1385" s="346"/>
      <c r="AV1385" s="346"/>
      <c r="AW1385" s="346"/>
      <c r="AX1385" s="346"/>
      <c r="AY1385" s="346"/>
      <c r="AZ1385" s="346"/>
      <c r="BA1385" s="346"/>
      <c r="BB1385" s="346"/>
      <c r="BC1385" s="346"/>
      <c r="BD1385" s="346"/>
      <c r="BE1385" s="346"/>
      <c r="BF1385" s="346"/>
      <c r="BG1385" s="1318">
        <f>W1385</f>
        <v>0</v>
      </c>
      <c r="BH1385" s="1318"/>
      <c r="BI1385" s="1318"/>
      <c r="BJ1385" s="1318"/>
      <c r="BK1385" s="1318"/>
      <c r="BL1385" s="1318"/>
      <c r="BM1385" s="343"/>
      <c r="BN1385" s="1318">
        <f>AD1385</f>
        <v>0</v>
      </c>
      <c r="BO1385" s="1318"/>
      <c r="BP1385" s="1318"/>
      <c r="BQ1385" s="1318"/>
      <c r="BR1385" s="1318"/>
      <c r="BS1385" s="1318"/>
      <c r="BT1385" s="342"/>
      <c r="BU1385" s="346"/>
      <c r="BV1385" s="310">
        <f>W1385-KT_CT416</f>
        <v>0</v>
      </c>
      <c r="BW1385" s="310">
        <f>AD1385-[1]TM_VCSH!N14</f>
        <v>0</v>
      </c>
      <c r="BX1385" s="291">
        <f t="shared" si="101"/>
        <v>0</v>
      </c>
      <c r="BY1385" s="344"/>
      <c r="BZ1385" s="347"/>
      <c r="CA1385" s="347"/>
    </row>
    <row r="1386" spans="1:79" ht="15" hidden="1" customHeight="1" x14ac:dyDescent="0.25">
      <c r="A1386" s="313"/>
      <c r="B1386" s="340"/>
      <c r="C1386" s="346" t="s">
        <v>1475</v>
      </c>
      <c r="D1386" s="346"/>
      <c r="E1386" s="346"/>
      <c r="F1386" s="346"/>
      <c r="G1386" s="346"/>
      <c r="H1386" s="346"/>
      <c r="I1386" s="346"/>
      <c r="J1386" s="346"/>
      <c r="K1386" s="346"/>
      <c r="L1386" s="346"/>
      <c r="M1386" s="346"/>
      <c r="N1386" s="346"/>
      <c r="O1386" s="346"/>
      <c r="P1386" s="346"/>
      <c r="Q1386" s="346"/>
      <c r="R1386" s="346"/>
      <c r="S1386" s="346"/>
      <c r="T1386" s="346"/>
      <c r="U1386" s="346"/>
      <c r="V1386" s="346"/>
      <c r="W1386" s="1318"/>
      <c r="X1386" s="1318"/>
      <c r="Y1386" s="1318"/>
      <c r="Z1386" s="1318"/>
      <c r="AA1386" s="1318"/>
      <c r="AB1386" s="1318"/>
      <c r="AC1386" s="343"/>
      <c r="AD1386" s="1318"/>
      <c r="AE1386" s="1318"/>
      <c r="AF1386" s="1318"/>
      <c r="AG1386" s="1318"/>
      <c r="AH1386" s="1318"/>
      <c r="AI1386" s="1318"/>
      <c r="AJ1386" s="344"/>
      <c r="AK1386" s="345"/>
      <c r="AL1386" s="340"/>
      <c r="AM1386" s="346" t="s">
        <v>1476</v>
      </c>
      <c r="AN1386" s="346"/>
      <c r="AO1386" s="346"/>
      <c r="AP1386" s="346"/>
      <c r="AQ1386" s="346"/>
      <c r="AR1386" s="346"/>
      <c r="AS1386" s="346"/>
      <c r="AT1386" s="346"/>
      <c r="AU1386" s="346"/>
      <c r="AV1386" s="346"/>
      <c r="AW1386" s="346"/>
      <c r="AX1386" s="346"/>
      <c r="AY1386" s="346"/>
      <c r="AZ1386" s="346"/>
      <c r="BA1386" s="346"/>
      <c r="BB1386" s="346"/>
      <c r="BC1386" s="346"/>
      <c r="BD1386" s="346"/>
      <c r="BE1386" s="346"/>
      <c r="BF1386" s="346"/>
      <c r="BG1386" s="1318">
        <f>W1386</f>
        <v>0</v>
      </c>
      <c r="BH1386" s="1318"/>
      <c r="BI1386" s="1318"/>
      <c r="BJ1386" s="1318"/>
      <c r="BK1386" s="1318"/>
      <c r="BL1386" s="1318"/>
      <c r="BM1386" s="343"/>
      <c r="BN1386" s="1318">
        <f>AD1386</f>
        <v>0</v>
      </c>
      <c r="BO1386" s="1318"/>
      <c r="BP1386" s="1318"/>
      <c r="BQ1386" s="1318"/>
      <c r="BR1386" s="1318"/>
      <c r="BS1386" s="1318"/>
      <c r="BT1386" s="342"/>
      <c r="BU1386" s="346"/>
      <c r="BV1386" s="310"/>
      <c r="BW1386" s="310"/>
      <c r="BX1386" s="291">
        <f>IF(ISNONTEXT($C1386),0,SUM(D1386:AI1386)-SUM(AN1386:BS1386))</f>
        <v>0</v>
      </c>
      <c r="BY1386" s="344"/>
      <c r="BZ1386" s="347"/>
      <c r="CA1386" s="347"/>
    </row>
    <row r="1387" spans="1:79" ht="15" hidden="1" customHeight="1" x14ac:dyDescent="0.25">
      <c r="A1387" s="313"/>
      <c r="B1387" s="340"/>
      <c r="C1387" s="346" t="s">
        <v>1477</v>
      </c>
      <c r="D1387" s="346"/>
      <c r="E1387" s="346"/>
      <c r="F1387" s="346"/>
      <c r="G1387" s="346"/>
      <c r="H1387" s="346"/>
      <c r="I1387" s="346"/>
      <c r="J1387" s="346"/>
      <c r="K1387" s="346"/>
      <c r="L1387" s="346"/>
      <c r="M1387" s="346"/>
      <c r="N1387" s="346"/>
      <c r="O1387" s="346"/>
      <c r="P1387" s="346"/>
      <c r="Q1387" s="346"/>
      <c r="R1387" s="346"/>
      <c r="S1387" s="346"/>
      <c r="T1387" s="346"/>
      <c r="U1387" s="346"/>
      <c r="V1387" s="346"/>
      <c r="W1387" s="1318"/>
      <c r="X1387" s="1318"/>
      <c r="Y1387" s="1318"/>
      <c r="Z1387" s="1318"/>
      <c r="AA1387" s="1318"/>
      <c r="AB1387" s="1318"/>
      <c r="AC1387" s="343"/>
      <c r="AD1387" s="1318"/>
      <c r="AE1387" s="1318"/>
      <c r="AF1387" s="1318"/>
      <c r="AG1387" s="1318"/>
      <c r="AH1387" s="1318"/>
      <c r="AI1387" s="1318"/>
      <c r="AJ1387" s="344"/>
      <c r="AK1387" s="345"/>
      <c r="AL1387" s="340"/>
      <c r="AM1387" s="346" t="s">
        <v>1478</v>
      </c>
      <c r="AN1387" s="346"/>
      <c r="AO1387" s="346"/>
      <c r="AP1387" s="346"/>
      <c r="AQ1387" s="346"/>
      <c r="AR1387" s="346"/>
      <c r="AS1387" s="346"/>
      <c r="AT1387" s="346"/>
      <c r="AU1387" s="346"/>
      <c r="AV1387" s="346"/>
      <c r="AW1387" s="346"/>
      <c r="AX1387" s="346"/>
      <c r="AY1387" s="346"/>
      <c r="AZ1387" s="346"/>
      <c r="BA1387" s="346"/>
      <c r="BB1387" s="346"/>
      <c r="BC1387" s="346"/>
      <c r="BD1387" s="346"/>
      <c r="BE1387" s="346"/>
      <c r="BF1387" s="346"/>
      <c r="BG1387" s="1318">
        <f>W1387</f>
        <v>0</v>
      </c>
      <c r="BH1387" s="1318"/>
      <c r="BI1387" s="1318"/>
      <c r="BJ1387" s="1318"/>
      <c r="BK1387" s="1318"/>
      <c r="BL1387" s="1318"/>
      <c r="BM1387" s="343"/>
      <c r="BN1387" s="1318">
        <f>AD1387</f>
        <v>0</v>
      </c>
      <c r="BO1387" s="1318"/>
      <c r="BP1387" s="1318"/>
      <c r="BQ1387" s="1318"/>
      <c r="BR1387" s="1318"/>
      <c r="BS1387" s="1318"/>
      <c r="BT1387" s="342"/>
      <c r="BU1387" s="346"/>
      <c r="BV1387" s="310"/>
      <c r="BW1387" s="310"/>
      <c r="BX1387" s="291">
        <f>IF(ISNONTEXT($C1387),0,SUM(D1387:AI1387)-SUM(AN1387:BS1387))</f>
        <v>0</v>
      </c>
      <c r="BY1387" s="344"/>
      <c r="BZ1387" s="347"/>
      <c r="CA1387" s="347"/>
    </row>
    <row r="1388" spans="1:79" ht="15" hidden="1" customHeight="1" x14ac:dyDescent="0.25">
      <c r="A1388" s="313"/>
      <c r="B1388" s="340"/>
      <c r="C1388" s="689"/>
      <c r="D1388" s="687"/>
      <c r="E1388" s="687"/>
      <c r="F1388" s="687"/>
      <c r="G1388" s="687"/>
      <c r="H1388" s="687"/>
      <c r="I1388" s="687"/>
      <c r="J1388" s="687"/>
      <c r="K1388" s="687"/>
      <c r="L1388" s="687"/>
      <c r="M1388" s="687"/>
      <c r="N1388" s="687"/>
      <c r="O1388" s="687"/>
      <c r="P1388" s="687"/>
      <c r="Q1388" s="687"/>
      <c r="R1388" s="687"/>
      <c r="S1388" s="687"/>
      <c r="T1388" s="687"/>
      <c r="U1388" s="687"/>
      <c r="V1388" s="687"/>
      <c r="W1388" s="1318"/>
      <c r="X1388" s="1318"/>
      <c r="Y1388" s="1318"/>
      <c r="Z1388" s="1318"/>
      <c r="AA1388" s="1318"/>
      <c r="AB1388" s="1318"/>
      <c r="AC1388" s="343"/>
      <c r="AD1388" s="1318"/>
      <c r="AE1388" s="1318"/>
      <c r="AF1388" s="1318"/>
      <c r="AG1388" s="1318"/>
      <c r="AH1388" s="1318"/>
      <c r="AI1388" s="1318"/>
      <c r="AJ1388" s="344"/>
      <c r="AK1388" s="345"/>
      <c r="AL1388" s="340"/>
      <c r="AM1388" s="689"/>
      <c r="AN1388" s="687"/>
      <c r="AO1388" s="687"/>
      <c r="AP1388" s="687"/>
      <c r="AQ1388" s="687"/>
      <c r="AR1388" s="687"/>
      <c r="AS1388" s="687"/>
      <c r="AT1388" s="687"/>
      <c r="AU1388" s="687"/>
      <c r="AV1388" s="687"/>
      <c r="AW1388" s="687"/>
      <c r="AX1388" s="687"/>
      <c r="AY1388" s="687"/>
      <c r="AZ1388" s="687"/>
      <c r="BA1388" s="687"/>
      <c r="BB1388" s="687"/>
      <c r="BC1388" s="687"/>
      <c r="BD1388" s="687"/>
      <c r="BE1388" s="687"/>
      <c r="BF1388" s="687"/>
      <c r="BG1388" s="1318"/>
      <c r="BH1388" s="1318"/>
      <c r="BI1388" s="1318"/>
      <c r="BJ1388" s="1318"/>
      <c r="BK1388" s="1318"/>
      <c r="BL1388" s="1318"/>
      <c r="BM1388" s="343"/>
      <c r="BN1388" s="1318"/>
      <c r="BO1388" s="1318"/>
      <c r="BP1388" s="1318"/>
      <c r="BQ1388" s="1318"/>
      <c r="BR1388" s="1318"/>
      <c r="BS1388" s="1318"/>
      <c r="BT1388" s="342"/>
      <c r="BU1388" s="346"/>
      <c r="BV1388" s="310"/>
      <c r="BW1388" s="310"/>
      <c r="BX1388" s="291">
        <f t="shared" si="101"/>
        <v>0</v>
      </c>
      <c r="BY1388" s="344"/>
      <c r="BZ1388" s="347"/>
      <c r="CA1388" s="347"/>
    </row>
    <row r="1389" spans="1:79" ht="15" hidden="1" customHeight="1" thickBot="1" x14ac:dyDescent="0.3">
      <c r="A1389" s="313"/>
      <c r="B1389" s="340"/>
      <c r="C1389" s="340" t="s">
        <v>1001</v>
      </c>
      <c r="D1389" s="687"/>
      <c r="E1389" s="687"/>
      <c r="F1389" s="687"/>
      <c r="G1389" s="687"/>
      <c r="H1389" s="687"/>
      <c r="I1389" s="687"/>
      <c r="J1389" s="687"/>
      <c r="K1389" s="687"/>
      <c r="L1389" s="687"/>
      <c r="M1389" s="687"/>
      <c r="N1389" s="687"/>
      <c r="O1389" s="687"/>
      <c r="P1389" s="687"/>
      <c r="Q1389" s="687"/>
      <c r="R1389" s="687"/>
      <c r="S1389" s="687"/>
      <c r="T1389" s="687"/>
      <c r="U1389" s="687"/>
      <c r="V1389" s="687"/>
      <c r="W1389" s="1359">
        <f>SUBTOTAL(109,W1385:AB1387)</f>
        <v>0</v>
      </c>
      <c r="X1389" s="1359"/>
      <c r="Y1389" s="1359"/>
      <c r="Z1389" s="1359"/>
      <c r="AA1389" s="1359"/>
      <c r="AB1389" s="1359"/>
      <c r="AC1389" s="343"/>
      <c r="AD1389" s="1359">
        <f>SUBTOTAL(109,AD1385:AI1387)</f>
        <v>0</v>
      </c>
      <c r="AE1389" s="1359"/>
      <c r="AF1389" s="1359"/>
      <c r="AG1389" s="1359"/>
      <c r="AH1389" s="1359"/>
      <c r="AI1389" s="1359"/>
      <c r="AJ1389" s="344"/>
      <c r="AK1389" s="345"/>
      <c r="AL1389" s="340"/>
      <c r="AM1389" s="550" t="s">
        <v>1013</v>
      </c>
      <c r="AN1389" s="687"/>
      <c r="AO1389" s="687"/>
      <c r="AP1389" s="687"/>
      <c r="AQ1389" s="687"/>
      <c r="AR1389" s="687"/>
      <c r="AS1389" s="687"/>
      <c r="AT1389" s="687"/>
      <c r="AU1389" s="687"/>
      <c r="AV1389" s="687"/>
      <c r="AW1389" s="687"/>
      <c r="AX1389" s="687"/>
      <c r="AY1389" s="687"/>
      <c r="AZ1389" s="687"/>
      <c r="BA1389" s="687"/>
      <c r="BB1389" s="687"/>
      <c r="BC1389" s="687"/>
      <c r="BD1389" s="687"/>
      <c r="BE1389" s="687"/>
      <c r="BF1389" s="687"/>
      <c r="BG1389" s="1359">
        <f>SUBTOTAL(109,BG1385)</f>
        <v>0</v>
      </c>
      <c r="BH1389" s="1359"/>
      <c r="BI1389" s="1359"/>
      <c r="BJ1389" s="1359"/>
      <c r="BK1389" s="1359"/>
      <c r="BL1389" s="1359"/>
      <c r="BM1389" s="343"/>
      <c r="BN1389" s="1359">
        <f>SUBTOTAL(109,BN1385)</f>
        <v>0</v>
      </c>
      <c r="BO1389" s="1359"/>
      <c r="BP1389" s="1359"/>
      <c r="BQ1389" s="1359"/>
      <c r="BR1389" s="1359"/>
      <c r="BS1389" s="1359"/>
      <c r="BT1389" s="342"/>
      <c r="BU1389" s="346"/>
      <c r="BV1389" s="310">
        <f>W1389-KN_CT416</f>
        <v>0</v>
      </c>
      <c r="BW1389" s="310">
        <f>AD1389-[1]TM_VCSH!N22</f>
        <v>0</v>
      </c>
      <c r="BX1389" s="291">
        <f t="shared" si="101"/>
        <v>0</v>
      </c>
      <c r="BY1389" s="344"/>
      <c r="BZ1389" s="347"/>
      <c r="CA1389" s="347"/>
    </row>
    <row r="1390" spans="1:79" ht="15" hidden="1" customHeight="1" thickTop="1" x14ac:dyDescent="0.25">
      <c r="A1390" s="313"/>
      <c r="B1390" s="340"/>
      <c r="C1390" s="342"/>
      <c r="D1390" s="342"/>
      <c r="E1390" s="342"/>
      <c r="F1390" s="342"/>
      <c r="G1390" s="342"/>
      <c r="H1390" s="342"/>
      <c r="I1390" s="342"/>
      <c r="J1390" s="342"/>
      <c r="K1390" s="342"/>
      <c r="L1390" s="342"/>
      <c r="M1390" s="342"/>
      <c r="N1390" s="342"/>
      <c r="O1390" s="342"/>
      <c r="P1390" s="342"/>
      <c r="Q1390" s="342"/>
      <c r="R1390" s="342"/>
      <c r="S1390" s="342"/>
      <c r="T1390" s="342"/>
      <c r="U1390" s="342"/>
      <c r="V1390" s="342"/>
      <c r="W1390" s="343"/>
      <c r="X1390" s="343"/>
      <c r="Y1390" s="343"/>
      <c r="Z1390" s="343"/>
      <c r="AA1390" s="343"/>
      <c r="AB1390" s="343"/>
      <c r="AC1390" s="343"/>
      <c r="AD1390" s="343"/>
      <c r="AE1390" s="343"/>
      <c r="AF1390" s="343"/>
      <c r="AG1390" s="343"/>
      <c r="AH1390" s="343"/>
      <c r="AI1390" s="343"/>
      <c r="AJ1390" s="344"/>
      <c r="AK1390" s="345"/>
      <c r="AL1390" s="340"/>
      <c r="AM1390" s="342"/>
      <c r="AN1390" s="342"/>
      <c r="AO1390" s="342"/>
      <c r="AP1390" s="342"/>
      <c r="AQ1390" s="342"/>
      <c r="AR1390" s="342"/>
      <c r="AS1390" s="342"/>
      <c r="AT1390" s="342"/>
      <c r="AU1390" s="342"/>
      <c r="AV1390" s="342"/>
      <c r="AW1390" s="342"/>
      <c r="AX1390" s="342"/>
      <c r="AY1390" s="342"/>
      <c r="AZ1390" s="342"/>
      <c r="BA1390" s="342"/>
      <c r="BB1390" s="342"/>
      <c r="BC1390" s="342"/>
      <c r="BD1390" s="342"/>
      <c r="BE1390" s="342"/>
      <c r="BF1390" s="342"/>
      <c r="BG1390" s="343"/>
      <c r="BH1390" s="343"/>
      <c r="BI1390" s="343"/>
      <c r="BJ1390" s="343"/>
      <c r="BK1390" s="343"/>
      <c r="BL1390" s="343"/>
      <c r="BM1390" s="343"/>
      <c r="BN1390" s="343"/>
      <c r="BO1390" s="343"/>
      <c r="BP1390" s="343"/>
      <c r="BQ1390" s="343"/>
      <c r="BR1390" s="343"/>
      <c r="BS1390" s="343"/>
      <c r="BT1390" s="342"/>
      <c r="BU1390" s="346"/>
      <c r="BV1390" s="310"/>
      <c r="BW1390" s="310"/>
      <c r="BX1390" s="291">
        <f t="shared" si="101"/>
        <v>0</v>
      </c>
      <c r="BY1390" s="344"/>
      <c r="BZ1390" s="347"/>
      <c r="CA1390" s="347"/>
    </row>
    <row r="1391" spans="1:79" ht="27.95" hidden="1" customHeight="1" x14ac:dyDescent="0.25">
      <c r="A1391" s="313"/>
      <c r="B1391" s="340"/>
      <c r="C1391" s="1342" t="s">
        <v>1479</v>
      </c>
      <c r="D1391" s="1342"/>
      <c r="E1391" s="1342"/>
      <c r="F1391" s="1342"/>
      <c r="G1391" s="1342"/>
      <c r="H1391" s="1342"/>
      <c r="I1391" s="1342"/>
      <c r="J1391" s="1342"/>
      <c r="K1391" s="1342"/>
      <c r="L1391" s="1342"/>
      <c r="M1391" s="1342"/>
      <c r="N1391" s="1342"/>
      <c r="O1391" s="1342"/>
      <c r="P1391" s="1342"/>
      <c r="Q1391" s="1342"/>
      <c r="R1391" s="1342"/>
      <c r="S1391" s="1342"/>
      <c r="T1391" s="1342"/>
      <c r="U1391" s="1342"/>
      <c r="V1391" s="1342"/>
      <c r="W1391" s="1342"/>
      <c r="X1391" s="1342"/>
      <c r="Y1391" s="1342"/>
      <c r="Z1391" s="1342"/>
      <c r="AA1391" s="1342"/>
      <c r="AB1391" s="1342"/>
      <c r="AC1391" s="1342"/>
      <c r="AD1391" s="1342"/>
      <c r="AE1391" s="1342"/>
      <c r="AF1391" s="1342"/>
      <c r="AG1391" s="1342"/>
      <c r="AH1391" s="1342"/>
      <c r="AI1391" s="1342"/>
      <c r="AJ1391" s="344"/>
      <c r="AK1391" s="345"/>
      <c r="AL1391" s="340"/>
      <c r="AM1391" s="1342" t="s">
        <v>1480</v>
      </c>
      <c r="AN1391" s="1342"/>
      <c r="AO1391" s="1342"/>
      <c r="AP1391" s="1342"/>
      <c r="AQ1391" s="1342"/>
      <c r="AR1391" s="1342"/>
      <c r="AS1391" s="1342"/>
      <c r="AT1391" s="1342"/>
      <c r="AU1391" s="1342"/>
      <c r="AV1391" s="1342"/>
      <c r="AW1391" s="1342"/>
      <c r="AX1391" s="1342"/>
      <c r="AY1391" s="1342"/>
      <c r="AZ1391" s="1342"/>
      <c r="BA1391" s="1342"/>
      <c r="BB1391" s="1342"/>
      <c r="BC1391" s="1342"/>
      <c r="BD1391" s="1342"/>
      <c r="BE1391" s="1342"/>
      <c r="BF1391" s="1342"/>
      <c r="BG1391" s="1342"/>
      <c r="BH1391" s="1342"/>
      <c r="BI1391" s="1342"/>
      <c r="BJ1391" s="1342"/>
      <c r="BK1391" s="1342"/>
      <c r="BL1391" s="1342"/>
      <c r="BM1391" s="1342"/>
      <c r="BN1391" s="1342"/>
      <c r="BO1391" s="1342"/>
      <c r="BP1391" s="1342"/>
      <c r="BQ1391" s="1342"/>
      <c r="BR1391" s="1342"/>
      <c r="BS1391" s="1342"/>
      <c r="BT1391" s="342"/>
      <c r="BU1391" s="346"/>
      <c r="BV1391" s="310"/>
      <c r="BW1391" s="310"/>
      <c r="BX1391" s="291">
        <f t="shared" si="101"/>
        <v>0</v>
      </c>
      <c r="BY1391" s="344"/>
      <c r="BZ1391" s="347"/>
      <c r="CA1391" s="347"/>
    </row>
    <row r="1392" spans="1:79" ht="2.1" hidden="1" customHeight="1" x14ac:dyDescent="0.25">
      <c r="A1392" s="313"/>
      <c r="B1392" s="340"/>
      <c r="C1392" s="342"/>
      <c r="D1392" s="342"/>
      <c r="E1392" s="342"/>
      <c r="F1392" s="342"/>
      <c r="G1392" s="342"/>
      <c r="H1392" s="342"/>
      <c r="I1392" s="342"/>
      <c r="J1392" s="342"/>
      <c r="K1392" s="342"/>
      <c r="L1392" s="342"/>
      <c r="M1392" s="342"/>
      <c r="N1392" s="342"/>
      <c r="O1392" s="342"/>
      <c r="P1392" s="342"/>
      <c r="Q1392" s="342"/>
      <c r="R1392" s="342"/>
      <c r="S1392" s="342"/>
      <c r="T1392" s="342"/>
      <c r="U1392" s="342"/>
      <c r="V1392" s="342"/>
      <c r="W1392" s="343"/>
      <c r="X1392" s="343"/>
      <c r="Y1392" s="343"/>
      <c r="Z1392" s="343"/>
      <c r="AA1392" s="343"/>
      <c r="AB1392" s="343"/>
      <c r="AC1392" s="343"/>
      <c r="AD1392" s="343"/>
      <c r="AE1392" s="343"/>
      <c r="AF1392" s="343"/>
      <c r="AG1392" s="343"/>
      <c r="AH1392" s="343"/>
      <c r="AI1392" s="343"/>
      <c r="AJ1392" s="344"/>
      <c r="AK1392" s="345"/>
      <c r="AL1392" s="340"/>
      <c r="AM1392" s="342"/>
      <c r="AN1392" s="342"/>
      <c r="AO1392" s="342"/>
      <c r="AP1392" s="342"/>
      <c r="AQ1392" s="342"/>
      <c r="AR1392" s="342"/>
      <c r="AS1392" s="342"/>
      <c r="AT1392" s="342"/>
      <c r="AU1392" s="342"/>
      <c r="AV1392" s="342"/>
      <c r="AW1392" s="342"/>
      <c r="AX1392" s="342"/>
      <c r="AY1392" s="342"/>
      <c r="AZ1392" s="342"/>
      <c r="BA1392" s="342"/>
      <c r="BB1392" s="342"/>
      <c r="BC1392" s="342"/>
      <c r="BD1392" s="342"/>
      <c r="BE1392" s="342"/>
      <c r="BF1392" s="342"/>
      <c r="BG1392" s="342"/>
      <c r="BH1392" s="342"/>
      <c r="BI1392" s="342"/>
      <c r="BJ1392" s="342"/>
      <c r="BK1392" s="342"/>
      <c r="BL1392" s="342"/>
      <c r="BM1392" s="342"/>
      <c r="BN1392" s="342"/>
      <c r="BO1392" s="342"/>
      <c r="BP1392" s="342"/>
      <c r="BQ1392" s="342"/>
      <c r="BR1392" s="342"/>
      <c r="BS1392" s="342"/>
      <c r="BT1392" s="342"/>
      <c r="BU1392" s="346"/>
      <c r="BV1392" s="310"/>
      <c r="BW1392" s="310"/>
      <c r="BX1392" s="291">
        <f t="shared" si="101"/>
        <v>0</v>
      </c>
      <c r="BY1392" s="344"/>
      <c r="BZ1392" s="347"/>
      <c r="CA1392" s="347"/>
    </row>
    <row r="1393" spans="1:84" ht="12.95" hidden="1" customHeight="1" x14ac:dyDescent="0.25">
      <c r="A1393" s="313"/>
      <c r="B1393" s="340"/>
      <c r="C1393" s="342"/>
      <c r="D1393" s="342"/>
      <c r="E1393" s="342"/>
      <c r="F1393" s="342"/>
      <c r="G1393" s="342"/>
      <c r="H1393" s="342"/>
      <c r="I1393" s="342"/>
      <c r="J1393" s="342"/>
      <c r="K1393" s="342"/>
      <c r="L1393" s="342"/>
      <c r="M1393" s="342"/>
      <c r="N1393" s="342"/>
      <c r="O1393" s="342"/>
      <c r="P1393" s="342"/>
      <c r="Q1393" s="342"/>
      <c r="R1393" s="342"/>
      <c r="S1393" s="342"/>
      <c r="T1393" s="342"/>
      <c r="U1393" s="342"/>
      <c r="V1393" s="342"/>
      <c r="W1393" s="343"/>
      <c r="X1393" s="343"/>
      <c r="Y1393" s="343"/>
      <c r="Z1393" s="343"/>
      <c r="AA1393" s="343"/>
      <c r="AB1393" s="343"/>
      <c r="AC1393" s="343"/>
      <c r="AD1393" s="343"/>
      <c r="AE1393" s="343"/>
      <c r="AF1393" s="343"/>
      <c r="AG1393" s="343"/>
      <c r="AH1393" s="343"/>
      <c r="AI1393" s="343"/>
      <c r="AJ1393" s="344"/>
      <c r="AK1393" s="345"/>
      <c r="AL1393" s="340"/>
      <c r="AM1393" s="342"/>
      <c r="AN1393" s="342"/>
      <c r="AO1393" s="342"/>
      <c r="AP1393" s="342"/>
      <c r="AQ1393" s="342"/>
      <c r="AR1393" s="342"/>
      <c r="AS1393" s="342"/>
      <c r="AT1393" s="342"/>
      <c r="AU1393" s="342"/>
      <c r="AV1393" s="342"/>
      <c r="AW1393" s="342"/>
      <c r="AX1393" s="342"/>
      <c r="AY1393" s="342"/>
      <c r="AZ1393" s="342"/>
      <c r="BA1393" s="342"/>
      <c r="BB1393" s="342"/>
      <c r="BC1393" s="342"/>
      <c r="BD1393" s="342"/>
      <c r="BE1393" s="342"/>
      <c r="BF1393" s="342"/>
      <c r="BG1393" s="342"/>
      <c r="BH1393" s="342"/>
      <c r="BI1393" s="342"/>
      <c r="BJ1393" s="342"/>
      <c r="BK1393" s="342"/>
      <c r="BL1393" s="342"/>
      <c r="BM1393" s="342"/>
      <c r="BN1393" s="342"/>
      <c r="BO1393" s="342"/>
      <c r="BP1393" s="342"/>
      <c r="BQ1393" s="342"/>
      <c r="BR1393" s="342"/>
      <c r="BS1393" s="342"/>
      <c r="BT1393" s="342"/>
      <c r="BU1393" s="346"/>
      <c r="BV1393" s="310"/>
      <c r="BW1393" s="310"/>
      <c r="BX1393" s="291">
        <f t="shared" si="101"/>
        <v>0</v>
      </c>
      <c r="BY1393" s="344"/>
      <c r="BZ1393" s="347"/>
      <c r="CA1393" s="347"/>
    </row>
    <row r="1394" spans="1:84" ht="15" hidden="1" customHeight="1" x14ac:dyDescent="0.25">
      <c r="A1394" s="313">
        <f>STT</f>
        <v>21</v>
      </c>
      <c r="B1394" s="340" t="s">
        <v>345</v>
      </c>
      <c r="C1394" s="341" t="s">
        <v>1481</v>
      </c>
      <c r="D1394" s="342"/>
      <c r="E1394" s="342"/>
      <c r="F1394" s="342"/>
      <c r="G1394" s="342"/>
      <c r="H1394" s="342"/>
      <c r="I1394" s="342"/>
      <c r="J1394" s="342"/>
      <c r="K1394" s="342"/>
      <c r="L1394" s="342"/>
      <c r="M1394" s="342"/>
      <c r="N1394" s="342"/>
      <c r="O1394" s="342"/>
      <c r="P1394" s="342"/>
      <c r="Q1394" s="342"/>
      <c r="R1394" s="342"/>
      <c r="S1394" s="342"/>
      <c r="T1394" s="342"/>
      <c r="U1394" s="342"/>
      <c r="V1394" s="342"/>
      <c r="W1394" s="343"/>
      <c r="X1394" s="343"/>
      <c r="Y1394" s="343"/>
      <c r="Z1394" s="343"/>
      <c r="AA1394" s="343"/>
      <c r="AB1394" s="343"/>
      <c r="AC1394" s="343"/>
      <c r="AD1394" s="343"/>
      <c r="AE1394" s="343"/>
      <c r="AF1394" s="343"/>
      <c r="AG1394" s="343"/>
      <c r="AH1394" s="343"/>
      <c r="AI1394" s="343"/>
      <c r="AJ1394" s="344"/>
      <c r="AK1394" s="345">
        <f>A1394</f>
        <v>21</v>
      </c>
      <c r="AL1394" s="340" t="s">
        <v>345</v>
      </c>
      <c r="AM1394" s="341" t="s">
        <v>1482</v>
      </c>
      <c r="AN1394" s="342"/>
      <c r="AO1394" s="342"/>
      <c r="AP1394" s="342"/>
      <c r="AQ1394" s="342"/>
      <c r="AR1394" s="342"/>
      <c r="AS1394" s="342"/>
      <c r="AT1394" s="342"/>
      <c r="AU1394" s="342"/>
      <c r="AV1394" s="342"/>
      <c r="AW1394" s="342"/>
      <c r="AX1394" s="342"/>
      <c r="AY1394" s="342"/>
      <c r="AZ1394" s="342"/>
      <c r="BA1394" s="342"/>
      <c r="BB1394" s="342"/>
      <c r="BC1394" s="342"/>
      <c r="BD1394" s="342"/>
      <c r="BE1394" s="342"/>
      <c r="BF1394" s="342"/>
      <c r="BG1394" s="342"/>
      <c r="BH1394" s="342"/>
      <c r="BI1394" s="342"/>
      <c r="BJ1394" s="342"/>
      <c r="BK1394" s="342"/>
      <c r="BL1394" s="342"/>
      <c r="BM1394" s="342"/>
      <c r="BN1394" s="342"/>
      <c r="BO1394" s="342"/>
      <c r="BP1394" s="342"/>
      <c r="BQ1394" s="342"/>
      <c r="BR1394" s="342"/>
      <c r="BS1394" s="342"/>
      <c r="BT1394" s="342"/>
      <c r="BU1394" s="346">
        <f>SUBTOTAL(103,A1394)</f>
        <v>0</v>
      </c>
      <c r="BV1394" s="310"/>
      <c r="BW1394" s="310"/>
      <c r="BX1394" s="291">
        <f t="shared" si="101"/>
        <v>0</v>
      </c>
      <c r="BY1394" s="344"/>
      <c r="BZ1394" s="347"/>
      <c r="CA1394" s="347"/>
    </row>
    <row r="1395" spans="1:84" ht="15" hidden="1" customHeight="1" x14ac:dyDescent="0.25">
      <c r="A1395" s="313"/>
      <c r="B1395" s="340"/>
      <c r="C1395" s="342"/>
      <c r="D1395" s="342"/>
      <c r="E1395" s="342"/>
      <c r="F1395" s="342"/>
      <c r="G1395" s="342"/>
      <c r="H1395" s="342"/>
      <c r="I1395" s="342"/>
      <c r="J1395" s="342"/>
      <c r="K1395" s="342"/>
      <c r="L1395" s="342"/>
      <c r="M1395" s="342"/>
      <c r="N1395" s="342"/>
      <c r="O1395" s="342"/>
      <c r="P1395" s="342"/>
      <c r="Q1395" s="342"/>
      <c r="R1395" s="342"/>
      <c r="S1395" s="342"/>
      <c r="T1395" s="342"/>
      <c r="U1395" s="342"/>
      <c r="V1395" s="342"/>
      <c r="W1395" s="1324" t="str">
        <f>Ky_Nay2_V</f>
        <v>Năm 2017</v>
      </c>
      <c r="X1395" s="1324"/>
      <c r="Y1395" s="1324"/>
      <c r="Z1395" s="1324"/>
      <c r="AA1395" s="1324"/>
      <c r="AB1395" s="1324"/>
      <c r="AC1395" s="351"/>
      <c r="AD1395" s="1324" t="str">
        <f>Ky_Truoc2_V</f>
        <v>Năm 2016</v>
      </c>
      <c r="AE1395" s="1324"/>
      <c r="AF1395" s="1324"/>
      <c r="AG1395" s="1324"/>
      <c r="AH1395" s="1324"/>
      <c r="AI1395" s="1324"/>
      <c r="AJ1395" s="344"/>
      <c r="AK1395" s="345"/>
      <c r="AL1395" s="340"/>
      <c r="AM1395" s="342"/>
      <c r="AN1395" s="342"/>
      <c r="AO1395" s="342"/>
      <c r="AP1395" s="342"/>
      <c r="AQ1395" s="342"/>
      <c r="AR1395" s="342"/>
      <c r="AS1395" s="342"/>
      <c r="AT1395" s="342"/>
      <c r="AU1395" s="342"/>
      <c r="AV1395" s="342"/>
      <c r="AW1395" s="342"/>
      <c r="AX1395" s="342"/>
      <c r="AY1395" s="342"/>
      <c r="AZ1395" s="342"/>
      <c r="BA1395" s="342"/>
      <c r="BB1395" s="342"/>
      <c r="BC1395" s="342"/>
      <c r="BD1395" s="342"/>
      <c r="BE1395" s="342"/>
      <c r="BF1395" s="342"/>
      <c r="BG1395" s="1324" t="str">
        <f>Ky_Nay2_E</f>
        <v>Year 2016</v>
      </c>
      <c r="BH1395" s="1324"/>
      <c r="BI1395" s="1324"/>
      <c r="BJ1395" s="1324"/>
      <c r="BK1395" s="1324"/>
      <c r="BL1395" s="1324"/>
      <c r="BM1395" s="351"/>
      <c r="BN1395" s="1324" t="str">
        <f>Ky_Truoc2_E</f>
        <v>Year 2015</v>
      </c>
      <c r="BO1395" s="1324"/>
      <c r="BP1395" s="1324"/>
      <c r="BQ1395" s="1324"/>
      <c r="BR1395" s="1324"/>
      <c r="BS1395" s="1324"/>
      <c r="BT1395" s="342"/>
      <c r="BU1395" s="346"/>
      <c r="BV1395" s="310"/>
      <c r="BW1395" s="310"/>
      <c r="BX1395" s="291">
        <f t="shared" si="101"/>
        <v>0</v>
      </c>
      <c r="BY1395" s="344"/>
      <c r="BZ1395" s="347"/>
      <c r="CA1395" s="347"/>
    </row>
    <row r="1396" spans="1:84" ht="15" hidden="1" customHeight="1" x14ac:dyDescent="0.25">
      <c r="A1396" s="313"/>
      <c r="B1396" s="340"/>
      <c r="C1396" s="342"/>
      <c r="D1396" s="342"/>
      <c r="E1396" s="342"/>
      <c r="F1396" s="342"/>
      <c r="G1396" s="342"/>
      <c r="H1396" s="342"/>
      <c r="I1396" s="342"/>
      <c r="J1396" s="342"/>
      <c r="K1396" s="342"/>
      <c r="L1396" s="342"/>
      <c r="M1396" s="342"/>
      <c r="N1396" s="342"/>
      <c r="O1396" s="342"/>
      <c r="P1396" s="342"/>
      <c r="Q1396" s="342"/>
      <c r="R1396" s="342"/>
      <c r="S1396" s="342"/>
      <c r="T1396" s="342"/>
      <c r="U1396" s="342"/>
      <c r="V1396" s="342"/>
      <c r="W1396" s="1327" t="str">
        <f>Don_Vi_Tinh_V</f>
        <v>VND</v>
      </c>
      <c r="X1396" s="1327"/>
      <c r="Y1396" s="1327"/>
      <c r="Z1396" s="1327"/>
      <c r="AA1396" s="1327"/>
      <c r="AB1396" s="1327"/>
      <c r="AC1396" s="351"/>
      <c r="AD1396" s="1327" t="str">
        <f>Don_Vi_Tinh_V</f>
        <v>VND</v>
      </c>
      <c r="AE1396" s="1327"/>
      <c r="AF1396" s="1327"/>
      <c r="AG1396" s="1327"/>
      <c r="AH1396" s="1327"/>
      <c r="AI1396" s="1327"/>
      <c r="AJ1396" s="344"/>
      <c r="AK1396" s="345"/>
      <c r="AL1396" s="340"/>
      <c r="AM1396" s="342"/>
      <c r="AN1396" s="342"/>
      <c r="AO1396" s="342"/>
      <c r="AP1396" s="342"/>
      <c r="AQ1396" s="342"/>
      <c r="AR1396" s="342"/>
      <c r="AS1396" s="342"/>
      <c r="AT1396" s="342"/>
      <c r="AU1396" s="342"/>
      <c r="AV1396" s="342"/>
      <c r="AW1396" s="342"/>
      <c r="AX1396" s="342"/>
      <c r="AY1396" s="342"/>
      <c r="AZ1396" s="342"/>
      <c r="BA1396" s="342"/>
      <c r="BB1396" s="342"/>
      <c r="BC1396" s="342"/>
      <c r="BD1396" s="342"/>
      <c r="BE1396" s="342"/>
      <c r="BF1396" s="342"/>
      <c r="BG1396" s="1327" t="str">
        <f>Don_Vi_Tinh_E</f>
        <v>VND</v>
      </c>
      <c r="BH1396" s="1327"/>
      <c r="BI1396" s="1327"/>
      <c r="BJ1396" s="1327"/>
      <c r="BK1396" s="1327"/>
      <c r="BL1396" s="1327"/>
      <c r="BM1396" s="351"/>
      <c r="BN1396" s="1327" t="str">
        <f>Don_Vi_Tinh_E</f>
        <v>VND</v>
      </c>
      <c r="BO1396" s="1327"/>
      <c r="BP1396" s="1327"/>
      <c r="BQ1396" s="1327"/>
      <c r="BR1396" s="1327"/>
      <c r="BS1396" s="1327"/>
      <c r="BT1396" s="342"/>
      <c r="BU1396" s="346"/>
      <c r="BV1396" s="310"/>
      <c r="BW1396" s="310"/>
      <c r="BX1396" s="291">
        <f t="shared" si="101"/>
        <v>0</v>
      </c>
      <c r="BY1396" s="344"/>
      <c r="BZ1396" s="347"/>
      <c r="CA1396" s="347"/>
    </row>
    <row r="1397" spans="1:84" ht="15" hidden="1" customHeight="1" x14ac:dyDescent="0.25">
      <c r="A1397" s="313"/>
      <c r="B1397" s="340"/>
      <c r="C1397" s="342"/>
      <c r="D1397" s="342"/>
      <c r="E1397" s="342"/>
      <c r="F1397" s="342"/>
      <c r="G1397" s="342"/>
      <c r="H1397" s="342"/>
      <c r="I1397" s="342"/>
      <c r="J1397" s="342"/>
      <c r="K1397" s="342"/>
      <c r="L1397" s="342"/>
      <c r="M1397" s="342"/>
      <c r="N1397" s="342"/>
      <c r="O1397" s="342"/>
      <c r="P1397" s="342"/>
      <c r="Q1397" s="342"/>
      <c r="R1397" s="342"/>
      <c r="S1397" s="342"/>
      <c r="T1397" s="342"/>
      <c r="U1397" s="342"/>
      <c r="V1397" s="342"/>
      <c r="W1397" s="343"/>
      <c r="X1397" s="343"/>
      <c r="Y1397" s="343"/>
      <c r="Z1397" s="343"/>
      <c r="AA1397" s="343"/>
      <c r="AB1397" s="343"/>
      <c r="AC1397" s="343"/>
      <c r="AD1397" s="343"/>
      <c r="AE1397" s="343"/>
      <c r="AF1397" s="343"/>
      <c r="AG1397" s="343"/>
      <c r="AH1397" s="343"/>
      <c r="AI1397" s="343"/>
      <c r="AJ1397" s="344"/>
      <c r="AK1397" s="345"/>
      <c r="AL1397" s="340"/>
      <c r="AM1397" s="342"/>
      <c r="AN1397" s="342"/>
      <c r="AO1397" s="342"/>
      <c r="AP1397" s="342"/>
      <c r="AQ1397" s="342"/>
      <c r="AR1397" s="342"/>
      <c r="AS1397" s="342"/>
      <c r="AT1397" s="342"/>
      <c r="AU1397" s="342"/>
      <c r="AV1397" s="342"/>
      <c r="AW1397" s="342"/>
      <c r="AX1397" s="342"/>
      <c r="AY1397" s="342"/>
      <c r="AZ1397" s="342"/>
      <c r="BA1397" s="342"/>
      <c r="BB1397" s="342"/>
      <c r="BC1397" s="342"/>
      <c r="BD1397" s="342"/>
      <c r="BE1397" s="342"/>
      <c r="BF1397" s="342"/>
      <c r="BG1397" s="343"/>
      <c r="BH1397" s="343"/>
      <c r="BI1397" s="343"/>
      <c r="BJ1397" s="343"/>
      <c r="BK1397" s="343"/>
      <c r="BL1397" s="343"/>
      <c r="BM1397" s="343"/>
      <c r="BN1397" s="343"/>
      <c r="BO1397" s="343"/>
      <c r="BP1397" s="343"/>
      <c r="BQ1397" s="343"/>
      <c r="BR1397" s="343"/>
      <c r="BS1397" s="343"/>
      <c r="BT1397" s="342"/>
      <c r="BU1397" s="346"/>
      <c r="BV1397" s="310"/>
      <c r="BW1397" s="310"/>
      <c r="BX1397" s="291">
        <f t="shared" si="101"/>
        <v>0</v>
      </c>
      <c r="BY1397" s="344"/>
      <c r="BZ1397" s="347"/>
      <c r="CA1397" s="347"/>
    </row>
    <row r="1398" spans="1:84" ht="15" hidden="1" customHeight="1" x14ac:dyDescent="0.25">
      <c r="A1398" s="313"/>
      <c r="B1398" s="340"/>
      <c r="C1398" s="342" t="s">
        <v>987</v>
      </c>
      <c r="D1398" s="690"/>
      <c r="E1398" s="690"/>
      <c r="F1398" s="690"/>
      <c r="G1398" s="690"/>
      <c r="H1398" s="690"/>
      <c r="I1398" s="690"/>
      <c r="J1398" s="690"/>
      <c r="K1398" s="690"/>
      <c r="L1398" s="690"/>
      <c r="M1398" s="690"/>
      <c r="N1398" s="690"/>
      <c r="O1398" s="690"/>
      <c r="P1398" s="690"/>
      <c r="Q1398" s="690"/>
      <c r="R1398" s="690"/>
      <c r="S1398" s="690"/>
      <c r="T1398" s="690"/>
      <c r="U1398" s="690"/>
      <c r="V1398" s="342"/>
      <c r="W1398" s="1318">
        <v>0</v>
      </c>
      <c r="X1398" s="1318"/>
      <c r="Y1398" s="1318"/>
      <c r="Z1398" s="1318"/>
      <c r="AA1398" s="1318"/>
      <c r="AB1398" s="1318"/>
      <c r="AC1398" s="343"/>
      <c r="AD1398" s="1318">
        <v>0</v>
      </c>
      <c r="AE1398" s="1318"/>
      <c r="AF1398" s="1318"/>
      <c r="AG1398" s="1318"/>
      <c r="AH1398" s="1318"/>
      <c r="AI1398" s="1318"/>
      <c r="AJ1398" s="344"/>
      <c r="AK1398" s="345"/>
      <c r="AL1398" s="340"/>
      <c r="AM1398" s="342" t="s">
        <v>1011</v>
      </c>
      <c r="AN1398" s="342"/>
      <c r="AO1398" s="342"/>
      <c r="AP1398" s="342"/>
      <c r="AQ1398" s="342"/>
      <c r="AR1398" s="342"/>
      <c r="AS1398" s="342"/>
      <c r="AT1398" s="342"/>
      <c r="AU1398" s="342"/>
      <c r="AV1398" s="342"/>
      <c r="AW1398" s="342"/>
      <c r="AX1398" s="342"/>
      <c r="AY1398" s="342"/>
      <c r="AZ1398" s="342"/>
      <c r="BA1398" s="342"/>
      <c r="BB1398" s="342"/>
      <c r="BC1398" s="342"/>
      <c r="BD1398" s="342"/>
      <c r="BE1398" s="342"/>
      <c r="BF1398" s="342"/>
      <c r="BG1398" s="1318">
        <f>W1398</f>
        <v>0</v>
      </c>
      <c r="BH1398" s="1318"/>
      <c r="BI1398" s="1318"/>
      <c r="BJ1398" s="1318"/>
      <c r="BK1398" s="1318"/>
      <c r="BL1398" s="1318"/>
      <c r="BM1398" s="343"/>
      <c r="BN1398" s="1318">
        <f>AD1398</f>
        <v>0</v>
      </c>
      <c r="BO1398" s="1318"/>
      <c r="BP1398" s="1318"/>
      <c r="BQ1398" s="1318"/>
      <c r="BR1398" s="1318"/>
      <c r="BS1398" s="1318"/>
      <c r="BT1398" s="342"/>
      <c r="BU1398" s="346"/>
      <c r="BV1398" s="310">
        <f>W1398-KT_CT417</f>
        <v>0</v>
      </c>
      <c r="BW1398" s="310">
        <f>AD1398-[1]TM_VCSH!P14</f>
        <v>0</v>
      </c>
      <c r="BX1398" s="291">
        <f t="shared" si="101"/>
        <v>0</v>
      </c>
      <c r="BY1398" s="344"/>
      <c r="BZ1398" s="347"/>
      <c r="CA1398" s="347"/>
    </row>
    <row r="1399" spans="1:84" ht="15" hidden="1" customHeight="1" x14ac:dyDescent="0.25">
      <c r="A1399" s="313"/>
      <c r="B1399" s="340"/>
      <c r="C1399" s="342" t="s">
        <v>1475</v>
      </c>
      <c r="D1399" s="690"/>
      <c r="E1399" s="690"/>
      <c r="F1399" s="690"/>
      <c r="G1399" s="690"/>
      <c r="H1399" s="690"/>
      <c r="I1399" s="690"/>
      <c r="J1399" s="690"/>
      <c r="K1399" s="690"/>
      <c r="L1399" s="690"/>
      <c r="M1399" s="690"/>
      <c r="N1399" s="690"/>
      <c r="O1399" s="690"/>
      <c r="P1399" s="690"/>
      <c r="Q1399" s="690"/>
      <c r="R1399" s="690"/>
      <c r="S1399" s="690"/>
      <c r="T1399" s="690"/>
      <c r="U1399" s="690"/>
      <c r="V1399" s="342"/>
      <c r="W1399" s="1318">
        <f>SUBTOTAL(109,W1400:AB1401)</f>
        <v>0</v>
      </c>
      <c r="X1399" s="1318"/>
      <c r="Y1399" s="1318"/>
      <c r="Z1399" s="1318"/>
      <c r="AA1399" s="1318"/>
      <c r="AB1399" s="1318"/>
      <c r="AC1399" s="343"/>
      <c r="AD1399" s="1318">
        <f>SUBTOTAL(109,AD1400:AI1401)</f>
        <v>0</v>
      </c>
      <c r="AE1399" s="1318"/>
      <c r="AF1399" s="1318"/>
      <c r="AG1399" s="1318"/>
      <c r="AH1399" s="1318"/>
      <c r="AI1399" s="1318"/>
      <c r="AJ1399" s="344"/>
      <c r="AK1399" s="345"/>
      <c r="AL1399" s="340"/>
      <c r="AM1399" s="342" t="s">
        <v>1476</v>
      </c>
      <c r="AN1399" s="342"/>
      <c r="AO1399" s="342"/>
      <c r="AP1399" s="342"/>
      <c r="AQ1399" s="342"/>
      <c r="AR1399" s="342"/>
      <c r="AS1399" s="342"/>
      <c r="AT1399" s="342"/>
      <c r="AU1399" s="342"/>
      <c r="AV1399" s="342"/>
      <c r="AW1399" s="342"/>
      <c r="AX1399" s="342"/>
      <c r="AY1399" s="342"/>
      <c r="AZ1399" s="342"/>
      <c r="BA1399" s="342"/>
      <c r="BB1399" s="342"/>
      <c r="BC1399" s="342"/>
      <c r="BD1399" s="342"/>
      <c r="BE1399" s="342"/>
      <c r="BF1399" s="342"/>
      <c r="BG1399" s="1318">
        <f>SUBTOTAL(109,BG1400:BL1401)</f>
        <v>0</v>
      </c>
      <c r="BH1399" s="1318"/>
      <c r="BI1399" s="1318"/>
      <c r="BJ1399" s="1318"/>
      <c r="BK1399" s="1318"/>
      <c r="BL1399" s="1318"/>
      <c r="BM1399" s="343"/>
      <c r="BN1399" s="1318">
        <f>SUBTOTAL(109,BN1400:BS1401)</f>
        <v>0</v>
      </c>
      <c r="BO1399" s="1318"/>
      <c r="BP1399" s="1318"/>
      <c r="BQ1399" s="1318"/>
      <c r="BR1399" s="1318"/>
      <c r="BS1399" s="1318"/>
      <c r="BT1399" s="342"/>
      <c r="BU1399" s="346"/>
      <c r="BV1399" s="310"/>
      <c r="BW1399" s="310"/>
      <c r="BX1399" s="291">
        <f>IF(ISNONTEXT($C1399),0,SUM(D1399:AI1399)-SUM(AN1399:BS1399))</f>
        <v>0</v>
      </c>
      <c r="BY1399" s="344"/>
      <c r="BZ1399" s="347"/>
      <c r="CA1399" s="347"/>
    </row>
    <row r="1400" spans="1:84" s="695" customFormat="1" ht="15" hidden="1" customHeight="1" x14ac:dyDescent="0.25">
      <c r="A1400" s="682"/>
      <c r="B1400" s="679"/>
      <c r="C1400" s="667" t="s">
        <v>355</v>
      </c>
      <c r="D1400" s="429" t="s">
        <v>1483</v>
      </c>
      <c r="E1400" s="691"/>
      <c r="F1400" s="691"/>
      <c r="G1400" s="691"/>
      <c r="H1400" s="691"/>
      <c r="I1400" s="691"/>
      <c r="J1400" s="691"/>
      <c r="K1400" s="691"/>
      <c r="L1400" s="691"/>
      <c r="M1400" s="691"/>
      <c r="N1400" s="691"/>
      <c r="O1400" s="691"/>
      <c r="P1400" s="691"/>
      <c r="Q1400" s="691"/>
      <c r="R1400" s="691"/>
      <c r="S1400" s="691"/>
      <c r="T1400" s="691"/>
      <c r="U1400" s="691"/>
      <c r="V1400" s="429"/>
      <c r="W1400" s="1369"/>
      <c r="X1400" s="1369"/>
      <c r="Y1400" s="1369"/>
      <c r="Z1400" s="1369"/>
      <c r="AA1400" s="1369"/>
      <c r="AB1400" s="1369"/>
      <c r="AC1400" s="530"/>
      <c r="AD1400" s="1369"/>
      <c r="AE1400" s="1369"/>
      <c r="AF1400" s="1369"/>
      <c r="AG1400" s="1369"/>
      <c r="AH1400" s="1369"/>
      <c r="AI1400" s="1369"/>
      <c r="AJ1400" s="677"/>
      <c r="AK1400" s="678"/>
      <c r="AL1400" s="679"/>
      <c r="AM1400" s="667" t="s">
        <v>355</v>
      </c>
      <c r="AN1400" s="1398" t="s">
        <v>1484</v>
      </c>
      <c r="AO1400" s="1398"/>
      <c r="AP1400" s="1398"/>
      <c r="AQ1400" s="1398"/>
      <c r="AR1400" s="1398"/>
      <c r="AS1400" s="1398"/>
      <c r="AT1400" s="1398"/>
      <c r="AU1400" s="1398"/>
      <c r="AV1400" s="1398"/>
      <c r="AW1400" s="1398"/>
      <c r="AX1400" s="1398"/>
      <c r="AY1400" s="1398"/>
      <c r="AZ1400" s="1398"/>
      <c r="BA1400" s="1398"/>
      <c r="BB1400" s="1398"/>
      <c r="BC1400" s="1398"/>
      <c r="BD1400" s="1398"/>
      <c r="BE1400" s="1398"/>
      <c r="BF1400" s="429"/>
      <c r="BG1400" s="1369">
        <f>W1400</f>
        <v>0</v>
      </c>
      <c r="BH1400" s="1369"/>
      <c r="BI1400" s="1369"/>
      <c r="BJ1400" s="1369"/>
      <c r="BK1400" s="1369"/>
      <c r="BL1400" s="1369"/>
      <c r="BM1400" s="530"/>
      <c r="BN1400" s="1369">
        <f>AD1400</f>
        <v>0</v>
      </c>
      <c r="BO1400" s="1369"/>
      <c r="BP1400" s="1369"/>
      <c r="BQ1400" s="1369"/>
      <c r="BR1400" s="1369"/>
      <c r="BS1400" s="1369"/>
      <c r="BT1400" s="429"/>
      <c r="BU1400" s="676"/>
      <c r="BV1400" s="310"/>
      <c r="BW1400" s="310"/>
      <c r="BX1400" s="692">
        <f>IF(ISNONTEXT($C1400),0,SUM(D1400:AI1400)-SUM(AN1400:BS1400))</f>
        <v>0</v>
      </c>
      <c r="BY1400" s="677"/>
      <c r="BZ1400" s="693"/>
      <c r="CA1400" s="693"/>
      <c r="CB1400" s="694"/>
      <c r="CC1400" s="694"/>
      <c r="CD1400" s="694"/>
      <c r="CE1400" s="694"/>
      <c r="CF1400" s="694"/>
    </row>
    <row r="1401" spans="1:84" s="695" customFormat="1" ht="15" hidden="1" customHeight="1" x14ac:dyDescent="0.25">
      <c r="A1401" s="682"/>
      <c r="B1401" s="679"/>
      <c r="C1401" s="667" t="s">
        <v>1485</v>
      </c>
      <c r="D1401" s="429" t="s">
        <v>1486</v>
      </c>
      <c r="E1401" s="691"/>
      <c r="F1401" s="691"/>
      <c r="G1401" s="691"/>
      <c r="H1401" s="691"/>
      <c r="I1401" s="691"/>
      <c r="J1401" s="691"/>
      <c r="K1401" s="691"/>
      <c r="L1401" s="691"/>
      <c r="M1401" s="691"/>
      <c r="N1401" s="691"/>
      <c r="O1401" s="691"/>
      <c r="P1401" s="691"/>
      <c r="Q1401" s="691"/>
      <c r="R1401" s="691"/>
      <c r="S1401" s="691"/>
      <c r="T1401" s="691"/>
      <c r="U1401" s="691"/>
      <c r="V1401" s="429"/>
      <c r="W1401" s="1369"/>
      <c r="X1401" s="1369"/>
      <c r="Y1401" s="1369"/>
      <c r="Z1401" s="1369"/>
      <c r="AA1401" s="1369"/>
      <c r="AB1401" s="1369"/>
      <c r="AC1401" s="530"/>
      <c r="AD1401" s="1369"/>
      <c r="AE1401" s="1369"/>
      <c r="AF1401" s="1369"/>
      <c r="AG1401" s="1369"/>
      <c r="AH1401" s="1369"/>
      <c r="AI1401" s="1369"/>
      <c r="AJ1401" s="677"/>
      <c r="AK1401" s="678"/>
      <c r="AL1401" s="679"/>
      <c r="AM1401" s="667" t="s">
        <v>355</v>
      </c>
      <c r="AN1401" s="429" t="s">
        <v>1487</v>
      </c>
      <c r="AO1401" s="429"/>
      <c r="AP1401" s="429"/>
      <c r="AQ1401" s="429"/>
      <c r="AR1401" s="429"/>
      <c r="AS1401" s="429"/>
      <c r="AT1401" s="429"/>
      <c r="AU1401" s="429"/>
      <c r="AV1401" s="429"/>
      <c r="AW1401" s="429"/>
      <c r="AX1401" s="429"/>
      <c r="AY1401" s="429"/>
      <c r="AZ1401" s="429"/>
      <c r="BA1401" s="429"/>
      <c r="BB1401" s="429"/>
      <c r="BC1401" s="429"/>
      <c r="BD1401" s="429"/>
      <c r="BE1401" s="429"/>
      <c r="BF1401" s="429"/>
      <c r="BG1401" s="1369">
        <f>W1401</f>
        <v>0</v>
      </c>
      <c r="BH1401" s="1369"/>
      <c r="BI1401" s="1369"/>
      <c r="BJ1401" s="1369"/>
      <c r="BK1401" s="1369"/>
      <c r="BL1401" s="1369"/>
      <c r="BM1401" s="530"/>
      <c r="BN1401" s="1369">
        <f>AD1401</f>
        <v>0</v>
      </c>
      <c r="BO1401" s="1369"/>
      <c r="BP1401" s="1369"/>
      <c r="BQ1401" s="1369"/>
      <c r="BR1401" s="1369"/>
      <c r="BS1401" s="1369"/>
      <c r="BT1401" s="429"/>
      <c r="BU1401" s="676"/>
      <c r="BV1401" s="310"/>
      <c r="BW1401" s="310"/>
      <c r="BX1401" s="692">
        <f>IF(ISNONTEXT($C1401),0,SUM(D1401:AI1401)-SUM(AN1401:BS1401))</f>
        <v>0</v>
      </c>
      <c r="BY1401" s="677"/>
      <c r="BZ1401" s="693"/>
      <c r="CA1401" s="693"/>
      <c r="CB1401" s="694"/>
      <c r="CC1401" s="694"/>
      <c r="CD1401" s="694"/>
      <c r="CE1401" s="694"/>
      <c r="CF1401" s="694"/>
    </row>
    <row r="1402" spans="1:84" ht="15" hidden="1" customHeight="1" x14ac:dyDescent="0.25">
      <c r="A1402" s="313"/>
      <c r="B1402" s="340"/>
      <c r="C1402" s="342" t="s">
        <v>1477</v>
      </c>
      <c r="D1402" s="690"/>
      <c r="E1402" s="690"/>
      <c r="F1402" s="690"/>
      <c r="G1402" s="690"/>
      <c r="H1402" s="690"/>
      <c r="I1402" s="690"/>
      <c r="J1402" s="690"/>
      <c r="K1402" s="690"/>
      <c r="L1402" s="690"/>
      <c r="M1402" s="690"/>
      <c r="N1402" s="690"/>
      <c r="O1402" s="690"/>
      <c r="P1402" s="690"/>
      <c r="Q1402" s="690"/>
      <c r="R1402" s="690"/>
      <c r="S1402" s="690"/>
      <c r="T1402" s="690"/>
      <c r="U1402" s="690"/>
      <c r="V1402" s="342"/>
      <c r="W1402" s="1318">
        <f>SUBTOTAL(109,W1403:AB1404)</f>
        <v>0</v>
      </c>
      <c r="X1402" s="1318"/>
      <c r="Y1402" s="1318"/>
      <c r="Z1402" s="1318"/>
      <c r="AA1402" s="1318"/>
      <c r="AB1402" s="1318"/>
      <c r="AC1402" s="343"/>
      <c r="AD1402" s="1318">
        <f>SUBTOTAL(109,AD1403:AI1404)</f>
        <v>0</v>
      </c>
      <c r="AE1402" s="1318"/>
      <c r="AF1402" s="1318"/>
      <c r="AG1402" s="1318"/>
      <c r="AH1402" s="1318"/>
      <c r="AI1402" s="1318"/>
      <c r="AJ1402" s="344"/>
      <c r="AK1402" s="345"/>
      <c r="AL1402" s="340"/>
      <c r="AM1402" s="342" t="s">
        <v>1478</v>
      </c>
      <c r="AN1402" s="342"/>
      <c r="AO1402" s="342"/>
      <c r="AP1402" s="342"/>
      <c r="AQ1402" s="342"/>
      <c r="AR1402" s="342"/>
      <c r="AS1402" s="342"/>
      <c r="AT1402" s="342"/>
      <c r="AU1402" s="342"/>
      <c r="AV1402" s="342"/>
      <c r="AW1402" s="342"/>
      <c r="AX1402" s="342"/>
      <c r="AY1402" s="342"/>
      <c r="AZ1402" s="342"/>
      <c r="BA1402" s="342"/>
      <c r="BB1402" s="342"/>
      <c r="BC1402" s="342"/>
      <c r="BD1402" s="342"/>
      <c r="BE1402" s="342"/>
      <c r="BF1402" s="342"/>
      <c r="BG1402" s="1318">
        <f>SUBTOTAL(109,BG1403:BL1404)</f>
        <v>0</v>
      </c>
      <c r="BH1402" s="1318"/>
      <c r="BI1402" s="1318"/>
      <c r="BJ1402" s="1318"/>
      <c r="BK1402" s="1318"/>
      <c r="BL1402" s="1318"/>
      <c r="BM1402" s="343"/>
      <c r="BN1402" s="1318">
        <f>SUBTOTAL(109,BN1403:BS1404)</f>
        <v>0</v>
      </c>
      <c r="BO1402" s="1318"/>
      <c r="BP1402" s="1318"/>
      <c r="BQ1402" s="1318"/>
      <c r="BR1402" s="1318"/>
      <c r="BS1402" s="1318"/>
      <c r="BT1402" s="342"/>
      <c r="BU1402" s="346"/>
      <c r="BV1402" s="310"/>
      <c r="BW1402" s="310"/>
      <c r="BX1402" s="291">
        <f>IF(ISNONTEXT($C1402),0,SUM(D1402:AI1402)-SUM(AN1402:BS1402))</f>
        <v>0</v>
      </c>
      <c r="BY1402" s="344"/>
      <c r="BZ1402" s="347"/>
      <c r="CA1402" s="347"/>
    </row>
    <row r="1403" spans="1:84" ht="15" hidden="1" customHeight="1" x14ac:dyDescent="0.25">
      <c r="A1403" s="313"/>
      <c r="B1403" s="340"/>
      <c r="C1403" s="667" t="s">
        <v>355</v>
      </c>
      <c r="D1403" s="429" t="s">
        <v>1483</v>
      </c>
      <c r="E1403" s="690"/>
      <c r="F1403" s="690"/>
      <c r="G1403" s="690"/>
      <c r="H1403" s="690"/>
      <c r="I1403" s="690"/>
      <c r="J1403" s="690"/>
      <c r="K1403" s="690"/>
      <c r="L1403" s="690"/>
      <c r="M1403" s="690"/>
      <c r="N1403" s="690"/>
      <c r="O1403" s="690"/>
      <c r="P1403" s="690"/>
      <c r="Q1403" s="690"/>
      <c r="R1403" s="690"/>
      <c r="S1403" s="690"/>
      <c r="T1403" s="690"/>
      <c r="U1403" s="690"/>
      <c r="V1403" s="342"/>
      <c r="W1403" s="1318"/>
      <c r="X1403" s="1318"/>
      <c r="Y1403" s="1318"/>
      <c r="Z1403" s="1318"/>
      <c r="AA1403" s="1318"/>
      <c r="AB1403" s="1318"/>
      <c r="AC1403" s="343"/>
      <c r="AD1403" s="1318"/>
      <c r="AE1403" s="1318"/>
      <c r="AF1403" s="1318"/>
      <c r="AG1403" s="1318"/>
      <c r="AH1403" s="1318"/>
      <c r="AI1403" s="1318"/>
      <c r="AJ1403" s="344"/>
      <c r="AK1403" s="345"/>
      <c r="AL1403" s="340"/>
      <c r="AM1403" s="667" t="s">
        <v>355</v>
      </c>
      <c r="AN1403" s="1398" t="s">
        <v>1484</v>
      </c>
      <c r="AO1403" s="1398"/>
      <c r="AP1403" s="1398"/>
      <c r="AQ1403" s="1398"/>
      <c r="AR1403" s="1398"/>
      <c r="AS1403" s="1398"/>
      <c r="AT1403" s="1398"/>
      <c r="AU1403" s="1398"/>
      <c r="AV1403" s="1398"/>
      <c r="AW1403" s="1398"/>
      <c r="AX1403" s="1398"/>
      <c r="AY1403" s="1398"/>
      <c r="AZ1403" s="1398"/>
      <c r="BA1403" s="1398"/>
      <c r="BB1403" s="1398"/>
      <c r="BC1403" s="1398"/>
      <c r="BD1403" s="1398"/>
      <c r="BE1403" s="1398"/>
      <c r="BF1403" s="342"/>
      <c r="BG1403" s="1318">
        <f>W1403</f>
        <v>0</v>
      </c>
      <c r="BH1403" s="1318"/>
      <c r="BI1403" s="1318"/>
      <c r="BJ1403" s="1318"/>
      <c r="BK1403" s="1318"/>
      <c r="BL1403" s="1318"/>
      <c r="BM1403" s="343"/>
      <c r="BN1403" s="1318">
        <f>AD1403</f>
        <v>0</v>
      </c>
      <c r="BO1403" s="1318"/>
      <c r="BP1403" s="1318"/>
      <c r="BQ1403" s="1318"/>
      <c r="BR1403" s="1318"/>
      <c r="BS1403" s="1318"/>
      <c r="BT1403" s="342"/>
      <c r="BU1403" s="346"/>
      <c r="BV1403" s="310"/>
      <c r="BW1403" s="310"/>
      <c r="BX1403" s="291">
        <f t="shared" si="101"/>
        <v>0</v>
      </c>
      <c r="BY1403" s="344"/>
      <c r="BZ1403" s="347"/>
      <c r="CA1403" s="347"/>
    </row>
    <row r="1404" spans="1:84" ht="15" hidden="1" customHeight="1" x14ac:dyDescent="0.25">
      <c r="A1404" s="313"/>
      <c r="B1404" s="340"/>
      <c r="C1404" s="667" t="s">
        <v>1485</v>
      </c>
      <c r="D1404" s="429" t="s">
        <v>1488</v>
      </c>
      <c r="E1404" s="690"/>
      <c r="F1404" s="690"/>
      <c r="G1404" s="690"/>
      <c r="H1404" s="690"/>
      <c r="I1404" s="690"/>
      <c r="J1404" s="690"/>
      <c r="K1404" s="690"/>
      <c r="L1404" s="690"/>
      <c r="M1404" s="690"/>
      <c r="N1404" s="690"/>
      <c r="O1404" s="690"/>
      <c r="P1404" s="690"/>
      <c r="Q1404" s="690"/>
      <c r="R1404" s="690"/>
      <c r="S1404" s="690"/>
      <c r="T1404" s="690"/>
      <c r="U1404" s="690"/>
      <c r="V1404" s="342"/>
      <c r="W1404" s="1318"/>
      <c r="X1404" s="1318"/>
      <c r="Y1404" s="1318"/>
      <c r="Z1404" s="1318"/>
      <c r="AA1404" s="1318"/>
      <c r="AB1404" s="1318"/>
      <c r="AC1404" s="343"/>
      <c r="AD1404" s="1318"/>
      <c r="AE1404" s="1318"/>
      <c r="AF1404" s="1318"/>
      <c r="AG1404" s="1318"/>
      <c r="AH1404" s="1318"/>
      <c r="AI1404" s="1318"/>
      <c r="AJ1404" s="344"/>
      <c r="AK1404" s="345"/>
      <c r="AL1404" s="340"/>
      <c r="AM1404" s="667" t="s">
        <v>355</v>
      </c>
      <c r="AN1404" s="429" t="s">
        <v>1487</v>
      </c>
      <c r="AO1404" s="429"/>
      <c r="AP1404" s="429"/>
      <c r="AQ1404" s="429"/>
      <c r="AR1404" s="429"/>
      <c r="AS1404" s="429"/>
      <c r="AT1404" s="429"/>
      <c r="AU1404" s="429"/>
      <c r="AV1404" s="429"/>
      <c r="AW1404" s="429"/>
      <c r="AX1404" s="429"/>
      <c r="AY1404" s="429"/>
      <c r="AZ1404" s="429"/>
      <c r="BA1404" s="429"/>
      <c r="BB1404" s="429"/>
      <c r="BC1404" s="429"/>
      <c r="BD1404" s="429"/>
      <c r="BE1404" s="429"/>
      <c r="BF1404" s="342"/>
      <c r="BG1404" s="1318">
        <f>W1404</f>
        <v>0</v>
      </c>
      <c r="BH1404" s="1318"/>
      <c r="BI1404" s="1318"/>
      <c r="BJ1404" s="1318"/>
      <c r="BK1404" s="1318"/>
      <c r="BL1404" s="1318"/>
      <c r="BM1404" s="343"/>
      <c r="BN1404" s="1318">
        <f>AD1404</f>
        <v>0</v>
      </c>
      <c r="BO1404" s="1318"/>
      <c r="BP1404" s="1318"/>
      <c r="BQ1404" s="1318"/>
      <c r="BR1404" s="1318"/>
      <c r="BS1404" s="1318"/>
      <c r="BT1404" s="342"/>
      <c r="BU1404" s="346"/>
      <c r="BV1404" s="310"/>
      <c r="BW1404" s="310"/>
      <c r="BX1404" s="291">
        <f>IF(ISNONTEXT($C1404),0,SUM(D1404:AI1404)-SUM(AN1404:BS1404))</f>
        <v>0</v>
      </c>
      <c r="BY1404" s="344"/>
      <c r="BZ1404" s="347"/>
      <c r="CA1404" s="347"/>
    </row>
    <row r="1405" spans="1:84" ht="15" hidden="1" customHeight="1" x14ac:dyDescent="0.25">
      <c r="A1405" s="313"/>
      <c r="B1405" s="340"/>
      <c r="C1405" s="342"/>
      <c r="D1405" s="342"/>
      <c r="E1405" s="342"/>
      <c r="F1405" s="342"/>
      <c r="G1405" s="342"/>
      <c r="H1405" s="342"/>
      <c r="I1405" s="342"/>
      <c r="J1405" s="342"/>
      <c r="K1405" s="342"/>
      <c r="L1405" s="342"/>
      <c r="M1405" s="342"/>
      <c r="N1405" s="342"/>
      <c r="O1405" s="342"/>
      <c r="P1405" s="342"/>
      <c r="Q1405" s="342"/>
      <c r="R1405" s="342"/>
      <c r="S1405" s="342"/>
      <c r="T1405" s="342"/>
      <c r="U1405" s="342"/>
      <c r="V1405" s="342"/>
      <c r="W1405" s="343"/>
      <c r="X1405" s="343"/>
      <c r="Y1405" s="343"/>
      <c r="Z1405" s="343"/>
      <c r="AA1405" s="343"/>
      <c r="AB1405" s="343"/>
      <c r="AC1405" s="343"/>
      <c r="AD1405" s="343"/>
      <c r="AE1405" s="343"/>
      <c r="AF1405" s="343"/>
      <c r="AG1405" s="343"/>
      <c r="AH1405" s="343"/>
      <c r="AI1405" s="343"/>
      <c r="AJ1405" s="344"/>
      <c r="AK1405" s="345"/>
      <c r="AL1405" s="340"/>
      <c r="AM1405" s="342"/>
      <c r="AN1405" s="342"/>
      <c r="AO1405" s="342"/>
      <c r="AP1405" s="342"/>
      <c r="AQ1405" s="342"/>
      <c r="AR1405" s="342"/>
      <c r="AS1405" s="342"/>
      <c r="AT1405" s="342"/>
      <c r="AU1405" s="342"/>
      <c r="AV1405" s="342"/>
      <c r="AW1405" s="342"/>
      <c r="AX1405" s="342"/>
      <c r="AY1405" s="342"/>
      <c r="AZ1405" s="342"/>
      <c r="BA1405" s="342"/>
      <c r="BB1405" s="342"/>
      <c r="BC1405" s="342"/>
      <c r="BD1405" s="342"/>
      <c r="BE1405" s="342"/>
      <c r="BF1405" s="342"/>
      <c r="BG1405" s="343"/>
      <c r="BH1405" s="343"/>
      <c r="BI1405" s="343"/>
      <c r="BJ1405" s="343"/>
      <c r="BK1405" s="343"/>
      <c r="BL1405" s="343"/>
      <c r="BM1405" s="343"/>
      <c r="BN1405" s="343"/>
      <c r="BO1405" s="343"/>
      <c r="BP1405" s="343"/>
      <c r="BQ1405" s="343"/>
      <c r="BR1405" s="343"/>
      <c r="BS1405" s="343"/>
      <c r="BT1405" s="342"/>
      <c r="BU1405" s="346"/>
      <c r="BV1405" s="310"/>
      <c r="BW1405" s="310"/>
      <c r="BX1405" s="291">
        <f t="shared" si="101"/>
        <v>0</v>
      </c>
      <c r="BY1405" s="344"/>
      <c r="BZ1405" s="347"/>
      <c r="CA1405" s="347"/>
    </row>
    <row r="1406" spans="1:84" s="385" customFormat="1" ht="15" hidden="1" customHeight="1" thickBot="1" x14ac:dyDescent="0.3">
      <c r="A1406" s="313"/>
      <c r="B1406" s="340"/>
      <c r="C1406" s="341" t="s">
        <v>1001</v>
      </c>
      <c r="D1406" s="341"/>
      <c r="E1406" s="341"/>
      <c r="F1406" s="341"/>
      <c r="G1406" s="341"/>
      <c r="H1406" s="341"/>
      <c r="I1406" s="341"/>
      <c r="J1406" s="341"/>
      <c r="K1406" s="341"/>
      <c r="L1406" s="341"/>
      <c r="M1406" s="341"/>
      <c r="N1406" s="341"/>
      <c r="O1406" s="341"/>
      <c r="P1406" s="341"/>
      <c r="Q1406" s="341"/>
      <c r="R1406" s="341"/>
      <c r="S1406" s="341"/>
      <c r="T1406" s="341"/>
      <c r="U1406" s="341"/>
      <c r="V1406" s="341"/>
      <c r="W1406" s="1359">
        <f>SUBTOTAL(109,W1398:AB1404)</f>
        <v>0</v>
      </c>
      <c r="X1406" s="1359"/>
      <c r="Y1406" s="1359"/>
      <c r="Z1406" s="1359"/>
      <c r="AA1406" s="1359"/>
      <c r="AB1406" s="1359"/>
      <c r="AC1406" s="363"/>
      <c r="AD1406" s="1359">
        <f>SUBTOTAL(109,AD1398:AI1404)</f>
        <v>0</v>
      </c>
      <c r="AE1406" s="1359"/>
      <c r="AF1406" s="1359"/>
      <c r="AG1406" s="1359"/>
      <c r="AH1406" s="1359"/>
      <c r="AI1406" s="1359"/>
      <c r="AJ1406" s="374"/>
      <c r="AK1406" s="345"/>
      <c r="AL1406" s="340"/>
      <c r="AM1406" s="341" t="s">
        <v>1013</v>
      </c>
      <c r="AN1406" s="341"/>
      <c r="AO1406" s="341"/>
      <c r="AP1406" s="341"/>
      <c r="AQ1406" s="341"/>
      <c r="AR1406" s="341"/>
      <c r="AS1406" s="341"/>
      <c r="AT1406" s="341"/>
      <c r="AU1406" s="341"/>
      <c r="AV1406" s="341"/>
      <c r="AW1406" s="341"/>
      <c r="AX1406" s="341"/>
      <c r="AY1406" s="341"/>
      <c r="AZ1406" s="341"/>
      <c r="BA1406" s="341"/>
      <c r="BB1406" s="341"/>
      <c r="BC1406" s="341"/>
      <c r="BD1406" s="341"/>
      <c r="BE1406" s="341"/>
      <c r="BF1406" s="341"/>
      <c r="BG1406" s="1359">
        <f>SUBTOTAL(109,BG1398:BL1404)</f>
        <v>0</v>
      </c>
      <c r="BH1406" s="1359"/>
      <c r="BI1406" s="1359"/>
      <c r="BJ1406" s="1359"/>
      <c r="BK1406" s="1359"/>
      <c r="BL1406" s="1359"/>
      <c r="BM1406" s="363"/>
      <c r="BN1406" s="1359">
        <f>SUBTOTAL(109,BN1398:BS1404)</f>
        <v>0</v>
      </c>
      <c r="BO1406" s="1359"/>
      <c r="BP1406" s="1359"/>
      <c r="BQ1406" s="1359"/>
      <c r="BR1406" s="1359"/>
      <c r="BS1406" s="1359"/>
      <c r="BT1406" s="341"/>
      <c r="BU1406" s="550"/>
      <c r="BV1406" s="425">
        <f>W1406-KN_CT417</f>
        <v>0</v>
      </c>
      <c r="BW1406" s="425">
        <f>AD1406-[1]TM_VCSH!P22</f>
        <v>0</v>
      </c>
      <c r="BX1406" s="426">
        <f t="shared" si="101"/>
        <v>0</v>
      </c>
      <c r="BY1406" s="374"/>
      <c r="BZ1406" s="383"/>
      <c r="CA1406" s="383"/>
      <c r="CB1406" s="384"/>
      <c r="CC1406" s="384"/>
      <c r="CD1406" s="384"/>
      <c r="CE1406" s="384"/>
      <c r="CF1406" s="384"/>
    </row>
    <row r="1407" spans="1:84" ht="2.1" hidden="1" customHeight="1" thickTop="1" x14ac:dyDescent="0.25">
      <c r="A1407" s="313"/>
      <c r="B1407" s="340"/>
      <c r="C1407" s="342"/>
      <c r="D1407" s="342"/>
      <c r="E1407" s="342"/>
      <c r="F1407" s="342"/>
      <c r="G1407" s="342"/>
      <c r="H1407" s="342"/>
      <c r="I1407" s="342"/>
      <c r="J1407" s="342"/>
      <c r="K1407" s="342"/>
      <c r="L1407" s="342"/>
      <c r="M1407" s="342"/>
      <c r="N1407" s="342"/>
      <c r="O1407" s="342"/>
      <c r="P1407" s="342"/>
      <c r="Q1407" s="342"/>
      <c r="R1407" s="342"/>
      <c r="S1407" s="342"/>
      <c r="T1407" s="342"/>
      <c r="U1407" s="342"/>
      <c r="V1407" s="342"/>
      <c r="W1407" s="343"/>
      <c r="X1407" s="343"/>
      <c r="Y1407" s="343"/>
      <c r="Z1407" s="343"/>
      <c r="AA1407" s="343"/>
      <c r="AB1407" s="343"/>
      <c r="AC1407" s="343"/>
      <c r="AD1407" s="343"/>
      <c r="AE1407" s="343"/>
      <c r="AF1407" s="343"/>
      <c r="AG1407" s="343"/>
      <c r="AH1407" s="343"/>
      <c r="AI1407" s="343"/>
      <c r="AJ1407" s="344"/>
      <c r="AK1407" s="345"/>
      <c r="AL1407" s="340"/>
      <c r="AM1407" s="342"/>
      <c r="AN1407" s="342"/>
      <c r="AO1407" s="342"/>
      <c r="AP1407" s="342"/>
      <c r="AQ1407" s="342"/>
      <c r="AR1407" s="342"/>
      <c r="AS1407" s="342"/>
      <c r="AT1407" s="342"/>
      <c r="AU1407" s="342"/>
      <c r="AV1407" s="342"/>
      <c r="AW1407" s="342"/>
      <c r="AX1407" s="342"/>
      <c r="AY1407" s="342"/>
      <c r="AZ1407" s="342"/>
      <c r="BA1407" s="342"/>
      <c r="BB1407" s="342"/>
      <c r="BC1407" s="342"/>
      <c r="BD1407" s="342"/>
      <c r="BE1407" s="342"/>
      <c r="BF1407" s="342"/>
      <c r="BG1407" s="342"/>
      <c r="BH1407" s="342"/>
      <c r="BI1407" s="342"/>
      <c r="BJ1407" s="342"/>
      <c r="BK1407" s="342"/>
      <c r="BL1407" s="342"/>
      <c r="BM1407" s="342"/>
      <c r="BN1407" s="342"/>
      <c r="BO1407" s="342"/>
      <c r="BP1407" s="342"/>
      <c r="BQ1407" s="342"/>
      <c r="BR1407" s="342"/>
      <c r="BS1407" s="342"/>
      <c r="BT1407" s="342"/>
      <c r="BU1407" s="346"/>
      <c r="BV1407" s="310"/>
      <c r="BW1407" s="310"/>
      <c r="BX1407" s="291">
        <f t="shared" si="101"/>
        <v>0</v>
      </c>
      <c r="BY1407" s="344"/>
      <c r="BZ1407" s="347"/>
      <c r="CA1407" s="347"/>
    </row>
    <row r="1408" spans="1:84" ht="12.95" hidden="1" customHeight="1" x14ac:dyDescent="0.25">
      <c r="A1408" s="313"/>
      <c r="B1408" s="340"/>
      <c r="C1408" s="342"/>
      <c r="D1408" s="342"/>
      <c r="E1408" s="342"/>
      <c r="F1408" s="342"/>
      <c r="G1408" s="342"/>
      <c r="H1408" s="342"/>
      <c r="I1408" s="342"/>
      <c r="J1408" s="342"/>
      <c r="K1408" s="342"/>
      <c r="L1408" s="342"/>
      <c r="M1408" s="342"/>
      <c r="N1408" s="342"/>
      <c r="O1408" s="342"/>
      <c r="P1408" s="342"/>
      <c r="Q1408" s="342"/>
      <c r="R1408" s="342"/>
      <c r="S1408" s="342"/>
      <c r="T1408" s="342"/>
      <c r="U1408" s="342"/>
      <c r="V1408" s="342"/>
      <c r="W1408" s="343"/>
      <c r="X1408" s="343"/>
      <c r="Y1408" s="343"/>
      <c r="Z1408" s="343"/>
      <c r="AA1408" s="343"/>
      <c r="AB1408" s="343"/>
      <c r="AC1408" s="343"/>
      <c r="AD1408" s="343"/>
      <c r="AE1408" s="343"/>
      <c r="AF1408" s="343"/>
      <c r="AG1408" s="343"/>
      <c r="AH1408" s="343"/>
      <c r="AI1408" s="343"/>
      <c r="AJ1408" s="344"/>
      <c r="AK1408" s="345"/>
      <c r="AL1408" s="340"/>
      <c r="AM1408" s="342"/>
      <c r="AN1408" s="342"/>
      <c r="AO1408" s="342"/>
      <c r="AP1408" s="342"/>
      <c r="AQ1408" s="342"/>
      <c r="AR1408" s="342"/>
      <c r="AS1408" s="342"/>
      <c r="AT1408" s="342"/>
      <c r="AU1408" s="342"/>
      <c r="AV1408" s="342"/>
      <c r="AW1408" s="342"/>
      <c r="AX1408" s="342"/>
      <c r="AY1408" s="342"/>
      <c r="AZ1408" s="342"/>
      <c r="BA1408" s="342"/>
      <c r="BB1408" s="342"/>
      <c r="BC1408" s="342"/>
      <c r="BD1408" s="342"/>
      <c r="BE1408" s="342"/>
      <c r="BF1408" s="342"/>
      <c r="BG1408" s="342"/>
      <c r="BH1408" s="342"/>
      <c r="BI1408" s="342"/>
      <c r="BJ1408" s="342"/>
      <c r="BK1408" s="342"/>
      <c r="BL1408" s="342"/>
      <c r="BM1408" s="342"/>
      <c r="BN1408" s="342"/>
      <c r="BO1408" s="342"/>
      <c r="BP1408" s="342"/>
      <c r="BQ1408" s="342"/>
      <c r="BR1408" s="342"/>
      <c r="BS1408" s="342"/>
      <c r="BT1408" s="342"/>
      <c r="BU1408" s="346"/>
      <c r="BV1408" s="310"/>
      <c r="BW1408" s="310"/>
      <c r="BX1408" s="291">
        <f t="shared" si="101"/>
        <v>0</v>
      </c>
      <c r="BY1408" s="344"/>
      <c r="BZ1408" s="347"/>
      <c r="CA1408" s="347"/>
    </row>
    <row r="1409" spans="1:84" ht="15" hidden="1" customHeight="1" x14ac:dyDescent="0.25">
      <c r="A1409" s="313">
        <f>STT</f>
        <v>21</v>
      </c>
      <c r="B1409" s="340" t="s">
        <v>345</v>
      </c>
      <c r="C1409" s="341" t="s">
        <v>1489</v>
      </c>
      <c r="D1409" s="342"/>
      <c r="E1409" s="342"/>
      <c r="F1409" s="342"/>
      <c r="G1409" s="342"/>
      <c r="H1409" s="342"/>
      <c r="I1409" s="342"/>
      <c r="J1409" s="342"/>
      <c r="K1409" s="342"/>
      <c r="L1409" s="342"/>
      <c r="M1409" s="342"/>
      <c r="N1409" s="342"/>
      <c r="O1409" s="342"/>
      <c r="P1409" s="342"/>
      <c r="Q1409" s="342"/>
      <c r="R1409" s="342"/>
      <c r="S1409" s="342"/>
      <c r="T1409" s="342"/>
      <c r="U1409" s="342"/>
      <c r="V1409" s="342"/>
      <c r="W1409" s="343"/>
      <c r="X1409" s="343"/>
      <c r="Y1409" s="343"/>
      <c r="Z1409" s="343"/>
      <c r="AA1409" s="343"/>
      <c r="AB1409" s="343"/>
      <c r="AC1409" s="343"/>
      <c r="AD1409" s="343"/>
      <c r="AE1409" s="343"/>
      <c r="AF1409" s="343"/>
      <c r="AG1409" s="343"/>
      <c r="AH1409" s="343"/>
      <c r="AI1409" s="343"/>
      <c r="AJ1409" s="344"/>
      <c r="AK1409" s="345">
        <f>A1409</f>
        <v>21</v>
      </c>
      <c r="AL1409" s="340" t="s">
        <v>345</v>
      </c>
      <c r="AM1409" s="341" t="s">
        <v>1490</v>
      </c>
      <c r="AN1409" s="342"/>
      <c r="AO1409" s="342"/>
      <c r="AP1409" s="342"/>
      <c r="AQ1409" s="342"/>
      <c r="AR1409" s="342"/>
      <c r="AS1409" s="342"/>
      <c r="AT1409" s="342"/>
      <c r="AU1409" s="342"/>
      <c r="AV1409" s="342"/>
      <c r="AW1409" s="342"/>
      <c r="AX1409" s="342"/>
      <c r="AY1409" s="342"/>
      <c r="AZ1409" s="342"/>
      <c r="BA1409" s="342"/>
      <c r="BB1409" s="342"/>
      <c r="BC1409" s="342"/>
      <c r="BD1409" s="342"/>
      <c r="BE1409" s="342"/>
      <c r="BF1409" s="342"/>
      <c r="BG1409" s="342"/>
      <c r="BH1409" s="342"/>
      <c r="BI1409" s="342"/>
      <c r="BJ1409" s="342"/>
      <c r="BK1409" s="342"/>
      <c r="BL1409" s="342"/>
      <c r="BM1409" s="342"/>
      <c r="BN1409" s="342"/>
      <c r="BO1409" s="342"/>
      <c r="BP1409" s="342"/>
      <c r="BQ1409" s="342"/>
      <c r="BR1409" s="342"/>
      <c r="BS1409" s="342"/>
      <c r="BT1409" s="342"/>
      <c r="BU1409" s="346">
        <f>SUBTOTAL(103,A1409)</f>
        <v>0</v>
      </c>
      <c r="BV1409" s="310"/>
      <c r="BW1409" s="310"/>
      <c r="BX1409" s="291">
        <f t="shared" si="101"/>
        <v>0</v>
      </c>
      <c r="BY1409" s="344"/>
      <c r="BZ1409" s="347"/>
      <c r="CA1409" s="347"/>
    </row>
    <row r="1410" spans="1:84" ht="15" hidden="1" customHeight="1" x14ac:dyDescent="0.25">
      <c r="A1410" s="313"/>
      <c r="B1410" s="340"/>
      <c r="C1410" s="392"/>
      <c r="D1410" s="392"/>
      <c r="E1410" s="392"/>
      <c r="F1410" s="392"/>
      <c r="G1410" s="392"/>
      <c r="H1410" s="392"/>
      <c r="I1410" s="392"/>
      <c r="J1410" s="392"/>
      <c r="K1410" s="392"/>
      <c r="L1410" s="392"/>
      <c r="M1410" s="392"/>
      <c r="N1410" s="392"/>
      <c r="O1410" s="392"/>
      <c r="P1410" s="392"/>
      <c r="Q1410" s="392"/>
      <c r="R1410" s="392"/>
      <c r="S1410" s="392"/>
      <c r="T1410" s="392"/>
      <c r="U1410" s="392"/>
      <c r="V1410" s="392"/>
      <c r="W1410" s="1324" t="str">
        <f>Ky_Nay2_V</f>
        <v>Năm 2017</v>
      </c>
      <c r="X1410" s="1324"/>
      <c r="Y1410" s="1324"/>
      <c r="Z1410" s="1324"/>
      <c r="AA1410" s="1324"/>
      <c r="AB1410" s="1324"/>
      <c r="AC1410" s="351"/>
      <c r="AD1410" s="1324" t="str">
        <f>Ky_Truoc2_V</f>
        <v>Năm 2016</v>
      </c>
      <c r="AE1410" s="1324"/>
      <c r="AF1410" s="1324"/>
      <c r="AG1410" s="1324"/>
      <c r="AH1410" s="1324"/>
      <c r="AI1410" s="1324"/>
      <c r="AJ1410" s="344"/>
      <c r="AK1410" s="345"/>
      <c r="AL1410" s="340"/>
      <c r="AM1410" s="392"/>
      <c r="AN1410" s="392"/>
      <c r="AO1410" s="392"/>
      <c r="AP1410" s="392"/>
      <c r="AQ1410" s="392"/>
      <c r="AR1410" s="392"/>
      <c r="AS1410" s="392"/>
      <c r="AT1410" s="392"/>
      <c r="AU1410" s="392"/>
      <c r="AV1410" s="392"/>
      <c r="AW1410" s="392"/>
      <c r="AX1410" s="392"/>
      <c r="AY1410" s="392"/>
      <c r="AZ1410" s="392"/>
      <c r="BA1410" s="392"/>
      <c r="BB1410" s="392"/>
      <c r="BC1410" s="392"/>
      <c r="BD1410" s="392"/>
      <c r="BE1410" s="392"/>
      <c r="BF1410" s="392"/>
      <c r="BG1410" s="1325" t="str">
        <f>Ky_Nay2_E</f>
        <v>Year 2016</v>
      </c>
      <c r="BH1410" s="1325"/>
      <c r="BI1410" s="1325"/>
      <c r="BJ1410" s="1325"/>
      <c r="BK1410" s="1325"/>
      <c r="BL1410" s="1325"/>
      <c r="BM1410" s="332"/>
      <c r="BN1410" s="1325" t="str">
        <f>Ky_Truoc2_E</f>
        <v>Year 2015</v>
      </c>
      <c r="BO1410" s="1325"/>
      <c r="BP1410" s="1325"/>
      <c r="BQ1410" s="1325"/>
      <c r="BR1410" s="1325"/>
      <c r="BS1410" s="1325"/>
      <c r="BT1410" s="352"/>
      <c r="BU1410" s="353"/>
      <c r="BV1410" s="310"/>
      <c r="BW1410" s="310"/>
      <c r="BX1410" s="291">
        <f t="shared" si="101"/>
        <v>0</v>
      </c>
      <c r="BY1410" s="344"/>
      <c r="BZ1410" s="347"/>
      <c r="CA1410" s="347"/>
    </row>
    <row r="1411" spans="1:84" ht="15" hidden="1" customHeight="1" x14ac:dyDescent="0.25">
      <c r="A1411" s="313"/>
      <c r="B1411" s="340"/>
      <c r="C1411" s="392"/>
      <c r="D1411" s="392"/>
      <c r="E1411" s="392"/>
      <c r="F1411" s="392"/>
      <c r="G1411" s="392"/>
      <c r="H1411" s="392"/>
      <c r="I1411" s="392"/>
      <c r="J1411" s="392"/>
      <c r="K1411" s="392"/>
      <c r="L1411" s="392"/>
      <c r="M1411" s="392"/>
      <c r="N1411" s="392"/>
      <c r="O1411" s="392"/>
      <c r="P1411" s="392"/>
      <c r="Q1411" s="392"/>
      <c r="R1411" s="392"/>
      <c r="S1411" s="392"/>
      <c r="T1411" s="392"/>
      <c r="U1411" s="392"/>
      <c r="V1411" s="392"/>
      <c r="W1411" s="1327" t="str">
        <f>Don_Vi_Tinh_V</f>
        <v>VND</v>
      </c>
      <c r="X1411" s="1327"/>
      <c r="Y1411" s="1327"/>
      <c r="Z1411" s="1327"/>
      <c r="AA1411" s="1327"/>
      <c r="AB1411" s="1327"/>
      <c r="AC1411" s="351"/>
      <c r="AD1411" s="1327" t="str">
        <f>Don_Vi_Tinh_V</f>
        <v>VND</v>
      </c>
      <c r="AE1411" s="1327"/>
      <c r="AF1411" s="1327"/>
      <c r="AG1411" s="1327"/>
      <c r="AH1411" s="1327"/>
      <c r="AI1411" s="1327"/>
      <c r="AJ1411" s="344"/>
      <c r="AK1411" s="345"/>
      <c r="AL1411" s="340"/>
      <c r="AM1411" s="392"/>
      <c r="AN1411" s="392"/>
      <c r="AO1411" s="392"/>
      <c r="AP1411" s="392"/>
      <c r="AQ1411" s="392"/>
      <c r="AR1411" s="392"/>
      <c r="AS1411" s="392"/>
      <c r="AT1411" s="392"/>
      <c r="AU1411" s="392"/>
      <c r="AV1411" s="392"/>
      <c r="AW1411" s="392"/>
      <c r="AX1411" s="392"/>
      <c r="AY1411" s="392"/>
      <c r="AZ1411" s="392"/>
      <c r="BA1411" s="392"/>
      <c r="BB1411" s="392"/>
      <c r="BC1411" s="392"/>
      <c r="BD1411" s="392"/>
      <c r="BE1411" s="392"/>
      <c r="BF1411" s="392"/>
      <c r="BG1411" s="1327" t="str">
        <f>Don_Vi_Tinh_E</f>
        <v>VND</v>
      </c>
      <c r="BH1411" s="1327"/>
      <c r="BI1411" s="1327"/>
      <c r="BJ1411" s="1327"/>
      <c r="BK1411" s="1327"/>
      <c r="BL1411" s="1327"/>
      <c r="BM1411" s="351"/>
      <c r="BN1411" s="1327" t="str">
        <f>Don_Vi_Tinh_E</f>
        <v>VND</v>
      </c>
      <c r="BO1411" s="1327"/>
      <c r="BP1411" s="1327"/>
      <c r="BQ1411" s="1327"/>
      <c r="BR1411" s="1327"/>
      <c r="BS1411" s="1327"/>
      <c r="BT1411" s="352"/>
      <c r="BU1411" s="353"/>
      <c r="BV1411" s="310"/>
      <c r="BW1411" s="310"/>
      <c r="BX1411" s="291">
        <f t="shared" si="101"/>
        <v>0</v>
      </c>
      <c r="BY1411" s="344"/>
      <c r="BZ1411" s="347"/>
      <c r="CA1411" s="347"/>
    </row>
    <row r="1412" spans="1:84" ht="15" hidden="1" customHeight="1" x14ac:dyDescent="0.25">
      <c r="A1412" s="313"/>
      <c r="B1412" s="340"/>
      <c r="C1412" s="392"/>
      <c r="D1412" s="392"/>
      <c r="E1412" s="392"/>
      <c r="F1412" s="392"/>
      <c r="G1412" s="392"/>
      <c r="H1412" s="392"/>
      <c r="I1412" s="392"/>
      <c r="J1412" s="392"/>
      <c r="K1412" s="392"/>
      <c r="L1412" s="392"/>
      <c r="M1412" s="392"/>
      <c r="N1412" s="392"/>
      <c r="O1412" s="392"/>
      <c r="P1412" s="392"/>
      <c r="Q1412" s="392"/>
      <c r="R1412" s="392"/>
      <c r="S1412" s="392"/>
      <c r="T1412" s="392"/>
      <c r="U1412" s="392"/>
      <c r="V1412" s="392"/>
      <c r="W1412" s="660"/>
      <c r="X1412" s="660"/>
      <c r="Y1412" s="660"/>
      <c r="Z1412" s="660"/>
      <c r="AA1412" s="660"/>
      <c r="AB1412" s="660"/>
      <c r="AC1412" s="437"/>
      <c r="AD1412" s="660"/>
      <c r="AE1412" s="660"/>
      <c r="AF1412" s="660"/>
      <c r="AG1412" s="660"/>
      <c r="AH1412" s="660"/>
      <c r="AI1412" s="660"/>
      <c r="AJ1412" s="344"/>
      <c r="AK1412" s="345"/>
      <c r="AL1412" s="340"/>
      <c r="AM1412" s="392"/>
      <c r="AN1412" s="392"/>
      <c r="AO1412" s="392"/>
      <c r="AP1412" s="392"/>
      <c r="AQ1412" s="392"/>
      <c r="AR1412" s="392"/>
      <c r="AS1412" s="392"/>
      <c r="AT1412" s="392"/>
      <c r="AU1412" s="392"/>
      <c r="AV1412" s="392"/>
      <c r="AW1412" s="392"/>
      <c r="AX1412" s="392"/>
      <c r="AY1412" s="392"/>
      <c r="AZ1412" s="392"/>
      <c r="BA1412" s="392"/>
      <c r="BB1412" s="392"/>
      <c r="BC1412" s="392"/>
      <c r="BD1412" s="392"/>
      <c r="BE1412" s="392"/>
      <c r="BF1412" s="392"/>
      <c r="BG1412" s="599"/>
      <c r="BH1412" s="599"/>
      <c r="BI1412" s="599"/>
      <c r="BJ1412" s="599"/>
      <c r="BK1412" s="599"/>
      <c r="BL1412" s="599"/>
      <c r="BM1412" s="600"/>
      <c r="BN1412" s="599"/>
      <c r="BO1412" s="599"/>
      <c r="BP1412" s="599"/>
      <c r="BQ1412" s="599"/>
      <c r="BR1412" s="599"/>
      <c r="BS1412" s="599"/>
      <c r="BT1412" s="352"/>
      <c r="BU1412" s="353"/>
      <c r="BV1412" s="310"/>
      <c r="BW1412" s="310"/>
      <c r="BX1412" s="291">
        <f t="shared" si="101"/>
        <v>0</v>
      </c>
      <c r="BY1412" s="344"/>
      <c r="BZ1412" s="347"/>
      <c r="CA1412" s="347"/>
    </row>
    <row r="1413" spans="1:84" ht="15" hidden="1" customHeight="1" x14ac:dyDescent="0.25">
      <c r="A1413" s="313"/>
      <c r="B1413" s="340"/>
      <c r="C1413" s="354" t="s">
        <v>1491</v>
      </c>
      <c r="D1413" s="340"/>
      <c r="E1413" s="340"/>
      <c r="F1413" s="340"/>
      <c r="G1413" s="340"/>
      <c r="H1413" s="340"/>
      <c r="I1413" s="340"/>
      <c r="J1413" s="340"/>
      <c r="K1413" s="340"/>
      <c r="L1413" s="340"/>
      <c r="M1413" s="340"/>
      <c r="N1413" s="340"/>
      <c r="O1413" s="340"/>
      <c r="P1413" s="340"/>
      <c r="Q1413" s="340"/>
      <c r="R1413" s="340"/>
      <c r="S1413" s="340"/>
      <c r="T1413" s="340"/>
      <c r="U1413" s="342"/>
      <c r="V1413" s="342"/>
      <c r="W1413" s="1318">
        <f>KT_CT431</f>
        <v>0</v>
      </c>
      <c r="X1413" s="1318"/>
      <c r="Y1413" s="1318"/>
      <c r="Z1413" s="1318"/>
      <c r="AA1413" s="1318"/>
      <c r="AB1413" s="1318"/>
      <c r="AC1413" s="355"/>
      <c r="AD1413" s="1318">
        <v>0</v>
      </c>
      <c r="AE1413" s="1318"/>
      <c r="AF1413" s="1318"/>
      <c r="AG1413" s="1318"/>
      <c r="AH1413" s="1318"/>
      <c r="AI1413" s="1318"/>
      <c r="AJ1413" s="344"/>
      <c r="AK1413" s="345"/>
      <c r="AL1413" s="340"/>
      <c r="AM1413" s="354" t="s">
        <v>988</v>
      </c>
      <c r="AN1413" s="340"/>
      <c r="AO1413" s="340"/>
      <c r="AP1413" s="340"/>
      <c r="AQ1413" s="340"/>
      <c r="AR1413" s="340"/>
      <c r="AS1413" s="340"/>
      <c r="AT1413" s="340"/>
      <c r="AU1413" s="340"/>
      <c r="AV1413" s="340"/>
      <c r="AW1413" s="340"/>
      <c r="AX1413" s="340"/>
      <c r="AY1413" s="340"/>
      <c r="AZ1413" s="340"/>
      <c r="BA1413" s="340"/>
      <c r="BB1413" s="340"/>
      <c r="BC1413" s="340"/>
      <c r="BD1413" s="340"/>
      <c r="BE1413" s="342"/>
      <c r="BF1413" s="342"/>
      <c r="BG1413" s="1318">
        <f>W1413</f>
        <v>0</v>
      </c>
      <c r="BH1413" s="1318"/>
      <c r="BI1413" s="1318"/>
      <c r="BJ1413" s="1318"/>
      <c r="BK1413" s="1318"/>
      <c r="BL1413" s="1318"/>
      <c r="BM1413" s="358"/>
      <c r="BN1413" s="1318">
        <f>AD1413</f>
        <v>0</v>
      </c>
      <c r="BO1413" s="1318"/>
      <c r="BP1413" s="1318"/>
      <c r="BQ1413" s="1318"/>
      <c r="BR1413" s="1318"/>
      <c r="BS1413" s="1318"/>
      <c r="BT1413" s="356"/>
      <c r="BU1413" s="357"/>
      <c r="BV1413" s="310">
        <f>W1413-KT_CT431</f>
        <v>0</v>
      </c>
      <c r="BW1413" s="310"/>
      <c r="BX1413" s="291">
        <f t="shared" si="101"/>
        <v>0</v>
      </c>
      <c r="BY1413" s="344"/>
      <c r="BZ1413" s="347"/>
      <c r="CA1413" s="347"/>
    </row>
    <row r="1414" spans="1:84" ht="15" hidden="1" customHeight="1" x14ac:dyDescent="0.25">
      <c r="A1414" s="313"/>
      <c r="B1414" s="340"/>
      <c r="C1414" s="354" t="s">
        <v>1492</v>
      </c>
      <c r="D1414" s="340"/>
      <c r="E1414" s="340"/>
      <c r="F1414" s="340"/>
      <c r="G1414" s="340"/>
      <c r="H1414" s="340"/>
      <c r="I1414" s="340"/>
      <c r="J1414" s="340"/>
      <c r="K1414" s="340"/>
      <c r="L1414" s="340"/>
      <c r="M1414" s="340"/>
      <c r="N1414" s="340"/>
      <c r="O1414" s="340"/>
      <c r="P1414" s="340"/>
      <c r="Q1414" s="340"/>
      <c r="R1414" s="340"/>
      <c r="S1414" s="340"/>
      <c r="T1414" s="340"/>
      <c r="U1414" s="342"/>
      <c r="V1414" s="342"/>
      <c r="W1414" s="1318">
        <v>0</v>
      </c>
      <c r="X1414" s="1318"/>
      <c r="Y1414" s="1318"/>
      <c r="Z1414" s="1318"/>
      <c r="AA1414" s="1318"/>
      <c r="AB1414" s="1318"/>
      <c r="AC1414" s="355"/>
      <c r="AD1414" s="1318">
        <v>0</v>
      </c>
      <c r="AE1414" s="1318"/>
      <c r="AF1414" s="1318"/>
      <c r="AG1414" s="1318"/>
      <c r="AH1414" s="1318"/>
      <c r="AI1414" s="1318"/>
      <c r="AJ1414" s="344"/>
      <c r="AK1414" s="345"/>
      <c r="AL1414" s="340"/>
      <c r="AM1414" s="354" t="s">
        <v>1493</v>
      </c>
      <c r="AN1414" s="340"/>
      <c r="AO1414" s="340"/>
      <c r="AP1414" s="340"/>
      <c r="AQ1414" s="340"/>
      <c r="AR1414" s="340"/>
      <c r="AS1414" s="340"/>
      <c r="AT1414" s="340"/>
      <c r="AU1414" s="340"/>
      <c r="AV1414" s="340"/>
      <c r="AW1414" s="340"/>
      <c r="AX1414" s="340"/>
      <c r="AY1414" s="340"/>
      <c r="AZ1414" s="340"/>
      <c r="BA1414" s="340"/>
      <c r="BB1414" s="340"/>
      <c r="BC1414" s="340"/>
      <c r="BD1414" s="340"/>
      <c r="BE1414" s="342"/>
      <c r="BF1414" s="342"/>
      <c r="BG1414" s="1318">
        <f>W1414</f>
        <v>0</v>
      </c>
      <c r="BH1414" s="1318"/>
      <c r="BI1414" s="1318"/>
      <c r="BJ1414" s="1318"/>
      <c r="BK1414" s="1318"/>
      <c r="BL1414" s="1318"/>
      <c r="BM1414" s="355"/>
      <c r="BN1414" s="1318">
        <f>AD1414</f>
        <v>0</v>
      </c>
      <c r="BO1414" s="1318"/>
      <c r="BP1414" s="1318"/>
      <c r="BQ1414" s="1318"/>
      <c r="BR1414" s="1318"/>
      <c r="BS1414" s="1318"/>
      <c r="BT1414" s="356"/>
      <c r="BU1414" s="357"/>
      <c r="BV1414" s="310"/>
      <c r="BW1414" s="310"/>
      <c r="BX1414" s="291">
        <f t="shared" ref="BX1414:BX1485" si="102">IF(ISNONTEXT($C1414),0,SUM(D1414:AI1414)-SUM(AN1414:BS1414))</f>
        <v>0</v>
      </c>
      <c r="BY1414" s="344"/>
      <c r="BZ1414" s="347"/>
      <c r="CA1414" s="347"/>
    </row>
    <row r="1415" spans="1:84" s="423" customFormat="1" ht="15" hidden="1" customHeight="1" x14ac:dyDescent="0.25">
      <c r="A1415" s="313"/>
      <c r="B1415" s="340"/>
      <c r="C1415" s="354" t="s">
        <v>1494</v>
      </c>
      <c r="D1415" s="340"/>
      <c r="E1415" s="340"/>
      <c r="F1415" s="340"/>
      <c r="G1415" s="340"/>
      <c r="H1415" s="340"/>
      <c r="I1415" s="340"/>
      <c r="J1415" s="340"/>
      <c r="K1415" s="340"/>
      <c r="L1415" s="340"/>
      <c r="M1415" s="340"/>
      <c r="N1415" s="340"/>
      <c r="O1415" s="340"/>
      <c r="P1415" s="340"/>
      <c r="Q1415" s="340"/>
      <c r="R1415" s="340"/>
      <c r="S1415" s="340"/>
      <c r="T1415" s="340"/>
      <c r="U1415" s="342"/>
      <c r="V1415" s="342"/>
      <c r="W1415" s="1318">
        <v>0</v>
      </c>
      <c r="X1415" s="1318"/>
      <c r="Y1415" s="1318"/>
      <c r="Z1415" s="1318"/>
      <c r="AA1415" s="1318"/>
      <c r="AB1415" s="1318"/>
      <c r="AC1415" s="355"/>
      <c r="AD1415" s="1318">
        <v>0</v>
      </c>
      <c r="AE1415" s="1318"/>
      <c r="AF1415" s="1318"/>
      <c r="AG1415" s="1318"/>
      <c r="AH1415" s="1318"/>
      <c r="AI1415" s="1318"/>
      <c r="AJ1415" s="342"/>
      <c r="AK1415" s="345"/>
      <c r="AL1415" s="340"/>
      <c r="AM1415" s="354" t="s">
        <v>1495</v>
      </c>
      <c r="AN1415" s="340"/>
      <c r="AO1415" s="340"/>
      <c r="AP1415" s="340"/>
      <c r="AQ1415" s="340"/>
      <c r="AR1415" s="340"/>
      <c r="AS1415" s="340"/>
      <c r="AT1415" s="340"/>
      <c r="AU1415" s="340"/>
      <c r="AV1415" s="340"/>
      <c r="AW1415" s="340"/>
      <c r="AX1415" s="340"/>
      <c r="AY1415" s="340"/>
      <c r="AZ1415" s="340"/>
      <c r="BA1415" s="340"/>
      <c r="BB1415" s="340"/>
      <c r="BC1415" s="340"/>
      <c r="BD1415" s="340"/>
      <c r="BE1415" s="342"/>
      <c r="BF1415" s="342"/>
      <c r="BG1415" s="1363">
        <f>W1415</f>
        <v>0</v>
      </c>
      <c r="BH1415" s="1363"/>
      <c r="BI1415" s="1363"/>
      <c r="BJ1415" s="1363"/>
      <c r="BK1415" s="1363"/>
      <c r="BL1415" s="1363"/>
      <c r="BM1415" s="358"/>
      <c r="BN1415" s="1363">
        <f>AD1415</f>
        <v>0</v>
      </c>
      <c r="BO1415" s="1363"/>
      <c r="BP1415" s="1363"/>
      <c r="BQ1415" s="1363"/>
      <c r="BR1415" s="1363"/>
      <c r="BS1415" s="1363"/>
      <c r="BT1415" s="359"/>
      <c r="BU1415" s="346"/>
      <c r="BV1415" s="310"/>
      <c r="BW1415" s="310"/>
      <c r="BX1415" s="300">
        <f t="shared" si="102"/>
        <v>0</v>
      </c>
      <c r="BY1415" s="342"/>
      <c r="BZ1415" s="438"/>
      <c r="CA1415" s="438"/>
      <c r="CB1415" s="439"/>
      <c r="CC1415" s="439"/>
      <c r="CD1415" s="439"/>
      <c r="CE1415" s="439"/>
      <c r="CF1415" s="439"/>
    </row>
    <row r="1416" spans="1:84" ht="15" hidden="1" customHeight="1" x14ac:dyDescent="0.25">
      <c r="A1416" s="313"/>
      <c r="B1416" s="340"/>
      <c r="C1416" s="354"/>
      <c r="D1416" s="340"/>
      <c r="E1416" s="340"/>
      <c r="F1416" s="340"/>
      <c r="G1416" s="340"/>
      <c r="H1416" s="340"/>
      <c r="I1416" s="340"/>
      <c r="J1416" s="340"/>
      <c r="K1416" s="340"/>
      <c r="L1416" s="340"/>
      <c r="M1416" s="340"/>
      <c r="N1416" s="340"/>
      <c r="O1416" s="340"/>
      <c r="P1416" s="340"/>
      <c r="Q1416" s="340"/>
      <c r="R1416" s="340"/>
      <c r="S1416" s="340"/>
      <c r="T1416" s="340"/>
      <c r="U1416" s="342"/>
      <c r="V1416" s="342"/>
      <c r="W1416" s="355"/>
      <c r="X1416" s="355"/>
      <c r="Y1416" s="355"/>
      <c r="Z1416" s="355"/>
      <c r="AA1416" s="355"/>
      <c r="AB1416" s="355"/>
      <c r="AC1416" s="355"/>
      <c r="AD1416" s="355"/>
      <c r="AE1416" s="355"/>
      <c r="AF1416" s="355"/>
      <c r="AG1416" s="355"/>
      <c r="AH1416" s="355"/>
      <c r="AI1416" s="355"/>
      <c r="AJ1416" s="344"/>
      <c r="AK1416" s="345"/>
      <c r="AL1416" s="340"/>
      <c r="AM1416" s="354"/>
      <c r="AN1416" s="340"/>
      <c r="AO1416" s="340"/>
      <c r="AP1416" s="340"/>
      <c r="AQ1416" s="340"/>
      <c r="AR1416" s="340"/>
      <c r="AS1416" s="340"/>
      <c r="AT1416" s="340"/>
      <c r="AU1416" s="340"/>
      <c r="AV1416" s="340"/>
      <c r="AW1416" s="340"/>
      <c r="AX1416" s="340"/>
      <c r="AY1416" s="340"/>
      <c r="AZ1416" s="340"/>
      <c r="BA1416" s="340"/>
      <c r="BB1416" s="340"/>
      <c r="BC1416" s="340"/>
      <c r="BD1416" s="340"/>
      <c r="BE1416" s="342"/>
      <c r="BF1416" s="342"/>
      <c r="BG1416" s="358"/>
      <c r="BH1416" s="358"/>
      <c r="BI1416" s="358"/>
      <c r="BJ1416" s="358"/>
      <c r="BK1416" s="358"/>
      <c r="BL1416" s="358"/>
      <c r="BM1416" s="358"/>
      <c r="BN1416" s="358"/>
      <c r="BO1416" s="358"/>
      <c r="BP1416" s="358"/>
      <c r="BQ1416" s="358"/>
      <c r="BR1416" s="358"/>
      <c r="BS1416" s="358"/>
      <c r="BT1416" s="359"/>
      <c r="BU1416" s="346"/>
      <c r="BV1416" s="310"/>
      <c r="BW1416" s="310"/>
      <c r="BX1416" s="291">
        <f t="shared" si="102"/>
        <v>0</v>
      </c>
      <c r="BY1416" s="344"/>
      <c r="BZ1416" s="347"/>
      <c r="CA1416" s="347"/>
    </row>
    <row r="1417" spans="1:84" ht="15" hidden="1" customHeight="1" thickBot="1" x14ac:dyDescent="0.3">
      <c r="A1417" s="313"/>
      <c r="B1417" s="340"/>
      <c r="C1417" s="341" t="s">
        <v>1496</v>
      </c>
      <c r="D1417" s="342"/>
      <c r="E1417" s="342"/>
      <c r="F1417" s="342"/>
      <c r="G1417" s="342"/>
      <c r="H1417" s="342"/>
      <c r="I1417" s="342"/>
      <c r="J1417" s="342"/>
      <c r="K1417" s="342"/>
      <c r="L1417" s="342"/>
      <c r="M1417" s="342"/>
      <c r="N1417" s="342"/>
      <c r="O1417" s="342"/>
      <c r="P1417" s="342"/>
      <c r="Q1417" s="342"/>
      <c r="R1417" s="342"/>
      <c r="S1417" s="342"/>
      <c r="T1417" s="342"/>
      <c r="U1417" s="342"/>
      <c r="V1417" s="342"/>
      <c r="W1417" s="1359">
        <f>SUBTOTAL(109,W1413:AB1415)</f>
        <v>0</v>
      </c>
      <c r="X1417" s="1359"/>
      <c r="Y1417" s="1359"/>
      <c r="Z1417" s="1359"/>
      <c r="AA1417" s="1359"/>
      <c r="AB1417" s="1359"/>
      <c r="AC1417" s="363"/>
      <c r="AD1417" s="1359">
        <f>SUBTOTAL(109,AD1413:AI1415)</f>
        <v>0</v>
      </c>
      <c r="AE1417" s="1359"/>
      <c r="AF1417" s="1359"/>
      <c r="AG1417" s="1359"/>
      <c r="AH1417" s="1359"/>
      <c r="AI1417" s="1359"/>
      <c r="AJ1417" s="344"/>
      <c r="AK1417" s="345"/>
      <c r="AL1417" s="340"/>
      <c r="AM1417" s="341" t="s">
        <v>1497</v>
      </c>
      <c r="AN1417" s="342"/>
      <c r="AO1417" s="342"/>
      <c r="AP1417" s="342"/>
      <c r="AQ1417" s="342"/>
      <c r="AR1417" s="342"/>
      <c r="AS1417" s="342"/>
      <c r="AT1417" s="342"/>
      <c r="AU1417" s="342"/>
      <c r="AV1417" s="342"/>
      <c r="AW1417" s="342"/>
      <c r="AX1417" s="342"/>
      <c r="AY1417" s="342"/>
      <c r="AZ1417" s="342"/>
      <c r="BA1417" s="342"/>
      <c r="BB1417" s="342"/>
      <c r="BC1417" s="342"/>
      <c r="BD1417" s="342"/>
      <c r="BE1417" s="342"/>
      <c r="BF1417" s="342"/>
      <c r="BG1417" s="1359">
        <f>SUBTOTAL(109,BG1413:BL1415)</f>
        <v>0</v>
      </c>
      <c r="BH1417" s="1359"/>
      <c r="BI1417" s="1359"/>
      <c r="BJ1417" s="1359"/>
      <c r="BK1417" s="1359"/>
      <c r="BL1417" s="1359"/>
      <c r="BM1417" s="363"/>
      <c r="BN1417" s="1359">
        <f>SUBTOTAL(109,BN1413:BS1415)</f>
        <v>0</v>
      </c>
      <c r="BO1417" s="1359"/>
      <c r="BP1417" s="1359"/>
      <c r="BQ1417" s="1359"/>
      <c r="BR1417" s="1359"/>
      <c r="BS1417" s="1359"/>
      <c r="BT1417" s="356"/>
      <c r="BU1417" s="357"/>
      <c r="BV1417" s="310">
        <f>W1417-KN_CT431</f>
        <v>0</v>
      </c>
      <c r="BW1417" s="310"/>
      <c r="BX1417" s="291">
        <f t="shared" si="102"/>
        <v>0</v>
      </c>
      <c r="BY1417" s="344"/>
      <c r="BZ1417" s="347"/>
      <c r="CA1417" s="347"/>
    </row>
    <row r="1418" spans="1:84" ht="42" hidden="1" customHeight="1" thickTop="1" x14ac:dyDescent="0.25">
      <c r="A1418" s="313"/>
      <c r="B1418" s="340"/>
      <c r="C1418" s="1394" t="s">
        <v>1498</v>
      </c>
      <c r="D1418" s="1395"/>
      <c r="E1418" s="1395"/>
      <c r="F1418" s="1395"/>
      <c r="G1418" s="1395"/>
      <c r="H1418" s="1395"/>
      <c r="I1418" s="1395"/>
      <c r="J1418" s="1395"/>
      <c r="K1418" s="1395"/>
      <c r="L1418" s="1395"/>
      <c r="M1418" s="1395"/>
      <c r="N1418" s="1395"/>
      <c r="O1418" s="1395"/>
      <c r="P1418" s="1395"/>
      <c r="Q1418" s="1395"/>
      <c r="R1418" s="1395"/>
      <c r="S1418" s="1395"/>
      <c r="T1418" s="1395"/>
      <c r="U1418" s="1395"/>
      <c r="V1418" s="1395"/>
      <c r="W1418" s="1395"/>
      <c r="X1418" s="1395"/>
      <c r="Y1418" s="1395"/>
      <c r="Z1418" s="1395"/>
      <c r="AA1418" s="1395"/>
      <c r="AB1418" s="1395"/>
      <c r="AC1418" s="1395"/>
      <c r="AD1418" s="1395"/>
      <c r="AE1418" s="1395"/>
      <c r="AF1418" s="1395"/>
      <c r="AG1418" s="1395"/>
      <c r="AH1418" s="1395"/>
      <c r="AI1418" s="1395"/>
      <c r="AJ1418" s="344"/>
      <c r="AK1418" s="345"/>
      <c r="AL1418" s="340"/>
      <c r="AM1418" s="1394" t="s">
        <v>1499</v>
      </c>
      <c r="AN1418" s="1395"/>
      <c r="AO1418" s="1395"/>
      <c r="AP1418" s="1395"/>
      <c r="AQ1418" s="1395"/>
      <c r="AR1418" s="1395"/>
      <c r="AS1418" s="1395"/>
      <c r="AT1418" s="1395"/>
      <c r="AU1418" s="1395"/>
      <c r="AV1418" s="1395"/>
      <c r="AW1418" s="1395"/>
      <c r="AX1418" s="1395"/>
      <c r="AY1418" s="1395"/>
      <c r="AZ1418" s="1395"/>
      <c r="BA1418" s="1395"/>
      <c r="BB1418" s="1395"/>
      <c r="BC1418" s="1395"/>
      <c r="BD1418" s="1395"/>
      <c r="BE1418" s="1395"/>
      <c r="BF1418" s="1395"/>
      <c r="BG1418" s="1395"/>
      <c r="BH1418" s="1395"/>
      <c r="BI1418" s="1395"/>
      <c r="BJ1418" s="1395"/>
      <c r="BK1418" s="1395"/>
      <c r="BL1418" s="1395"/>
      <c r="BM1418" s="1395"/>
      <c r="BN1418" s="1395"/>
      <c r="BO1418" s="1395"/>
      <c r="BP1418" s="1395"/>
      <c r="BQ1418" s="1395"/>
      <c r="BR1418" s="1395"/>
      <c r="BS1418" s="1395"/>
      <c r="BT1418" s="356"/>
      <c r="BU1418" s="357"/>
      <c r="BV1418" s="310"/>
      <c r="BW1418" s="310"/>
      <c r="BX1418" s="291">
        <f t="shared" si="102"/>
        <v>0</v>
      </c>
      <c r="BY1418" s="344"/>
      <c r="BZ1418" s="347"/>
      <c r="CA1418" s="347"/>
    </row>
    <row r="1419" spans="1:84" ht="2.1" hidden="1" customHeight="1" x14ac:dyDescent="0.25">
      <c r="A1419" s="313"/>
      <c r="B1419" s="454"/>
      <c r="C1419" s="342"/>
      <c r="D1419" s="342"/>
      <c r="E1419" s="342"/>
      <c r="F1419" s="342"/>
      <c r="G1419" s="342"/>
      <c r="H1419" s="342"/>
      <c r="I1419" s="342"/>
      <c r="J1419" s="342"/>
      <c r="K1419" s="342"/>
      <c r="L1419" s="342"/>
      <c r="M1419" s="342"/>
      <c r="N1419" s="342"/>
      <c r="O1419" s="342"/>
      <c r="P1419" s="342"/>
      <c r="Q1419" s="342"/>
      <c r="R1419" s="342"/>
      <c r="S1419" s="342"/>
      <c r="T1419" s="342"/>
      <c r="U1419" s="342"/>
      <c r="V1419" s="342"/>
      <c r="W1419" s="343"/>
      <c r="X1419" s="343"/>
      <c r="Y1419" s="343"/>
      <c r="Z1419" s="343"/>
      <c r="AA1419" s="343"/>
      <c r="AB1419" s="343"/>
      <c r="AC1419" s="343"/>
      <c r="AD1419" s="343"/>
      <c r="AE1419" s="343"/>
      <c r="AF1419" s="343"/>
      <c r="AG1419" s="343"/>
      <c r="AH1419" s="343"/>
      <c r="AI1419" s="343"/>
      <c r="AJ1419" s="344"/>
      <c r="AK1419" s="345"/>
      <c r="AL1419" s="340"/>
      <c r="AM1419" s="342"/>
      <c r="AN1419" s="342"/>
      <c r="AO1419" s="342"/>
      <c r="AP1419" s="342"/>
      <c r="AQ1419" s="342"/>
      <c r="AR1419" s="342"/>
      <c r="AS1419" s="342"/>
      <c r="AT1419" s="342"/>
      <c r="AU1419" s="342"/>
      <c r="AV1419" s="342"/>
      <c r="AW1419" s="342"/>
      <c r="AX1419" s="342"/>
      <c r="AY1419" s="342"/>
      <c r="AZ1419" s="342"/>
      <c r="BA1419" s="342"/>
      <c r="BB1419" s="342"/>
      <c r="BC1419" s="342"/>
      <c r="BD1419" s="342"/>
      <c r="BE1419" s="342"/>
      <c r="BF1419" s="342"/>
      <c r="BG1419" s="342"/>
      <c r="BH1419" s="342"/>
      <c r="BI1419" s="342"/>
      <c r="BJ1419" s="342"/>
      <c r="BK1419" s="342"/>
      <c r="BL1419" s="342"/>
      <c r="BM1419" s="342"/>
      <c r="BN1419" s="342"/>
      <c r="BO1419" s="342"/>
      <c r="BP1419" s="342"/>
      <c r="BQ1419" s="342"/>
      <c r="BR1419" s="342"/>
      <c r="BS1419" s="342"/>
      <c r="BT1419" s="342"/>
      <c r="BU1419" s="346"/>
      <c r="BV1419" s="310"/>
      <c r="BW1419" s="310"/>
      <c r="BX1419" s="291">
        <f t="shared" si="102"/>
        <v>0</v>
      </c>
      <c r="BY1419" s="344"/>
      <c r="BZ1419" s="347"/>
      <c r="CA1419" s="347"/>
    </row>
    <row r="1420" spans="1:84" ht="12.95" customHeight="1" thickTop="1" x14ac:dyDescent="0.25">
      <c r="A1420" s="313"/>
      <c r="B1420" s="340"/>
      <c r="C1420" s="342"/>
      <c r="D1420" s="342"/>
      <c r="E1420" s="342"/>
      <c r="F1420" s="342"/>
      <c r="G1420" s="342"/>
      <c r="H1420" s="342"/>
      <c r="I1420" s="342"/>
      <c r="J1420" s="342"/>
      <c r="K1420" s="342"/>
      <c r="L1420" s="342"/>
      <c r="M1420" s="342"/>
      <c r="N1420" s="342"/>
      <c r="O1420" s="342"/>
      <c r="P1420" s="342"/>
      <c r="Q1420" s="342"/>
      <c r="R1420" s="342"/>
      <c r="S1420" s="342"/>
      <c r="T1420" s="342"/>
      <c r="U1420" s="342"/>
      <c r="V1420" s="342"/>
      <c r="W1420" s="343"/>
      <c r="X1420" s="343"/>
      <c r="Y1420" s="343"/>
      <c r="Z1420" s="343"/>
      <c r="AA1420" s="343"/>
      <c r="AB1420" s="343"/>
      <c r="AC1420" s="343"/>
      <c r="AD1420" s="343"/>
      <c r="AE1420" s="343"/>
      <c r="AF1420" s="343"/>
      <c r="AG1420" s="343"/>
      <c r="AH1420" s="343"/>
      <c r="AI1420" s="343"/>
      <c r="AJ1420" s="344"/>
      <c r="AK1420" s="345"/>
      <c r="AL1420" s="340"/>
      <c r="AM1420" s="342"/>
      <c r="AN1420" s="342"/>
      <c r="AO1420" s="342"/>
      <c r="AP1420" s="342"/>
      <c r="AQ1420" s="342"/>
      <c r="AR1420" s="342"/>
      <c r="AS1420" s="342"/>
      <c r="AT1420" s="342"/>
      <c r="AU1420" s="342"/>
      <c r="AV1420" s="342"/>
      <c r="AW1420" s="342"/>
      <c r="AX1420" s="342"/>
      <c r="AY1420" s="342"/>
      <c r="AZ1420" s="342"/>
      <c r="BA1420" s="342"/>
      <c r="BB1420" s="342"/>
      <c r="BC1420" s="342"/>
      <c r="BD1420" s="342"/>
      <c r="BE1420" s="342"/>
      <c r="BF1420" s="342"/>
      <c r="BG1420" s="342"/>
      <c r="BH1420" s="342"/>
      <c r="BI1420" s="342"/>
      <c r="BJ1420" s="342"/>
      <c r="BK1420" s="342"/>
      <c r="BL1420" s="342"/>
      <c r="BM1420" s="342"/>
      <c r="BN1420" s="342"/>
      <c r="BO1420" s="342"/>
      <c r="BP1420" s="342"/>
      <c r="BQ1420" s="342"/>
      <c r="BR1420" s="342"/>
      <c r="BS1420" s="342"/>
      <c r="BT1420" s="342"/>
      <c r="BU1420" s="346"/>
      <c r="BV1420" s="310"/>
      <c r="BW1420" s="310"/>
      <c r="BX1420" s="291">
        <f t="shared" si="102"/>
        <v>0</v>
      </c>
      <c r="BY1420" s="344"/>
      <c r="BZ1420" s="347"/>
      <c r="CA1420" s="347"/>
    </row>
    <row r="1421" spans="1:84" ht="15" customHeight="1" x14ac:dyDescent="0.25">
      <c r="A1421" s="313">
        <v>21</v>
      </c>
      <c r="B1421" s="340" t="s">
        <v>345</v>
      </c>
      <c r="C1421" s="341" t="s">
        <v>1500</v>
      </c>
      <c r="D1421" s="342"/>
      <c r="E1421" s="342"/>
      <c r="F1421" s="342"/>
      <c r="G1421" s="342"/>
      <c r="H1421" s="342"/>
      <c r="I1421" s="342"/>
      <c r="J1421" s="342"/>
      <c r="K1421" s="342"/>
      <c r="L1421" s="342"/>
      <c r="M1421" s="342"/>
      <c r="N1421" s="342"/>
      <c r="O1421" s="342"/>
      <c r="P1421" s="342"/>
      <c r="Q1421" s="342"/>
      <c r="R1421" s="342"/>
      <c r="S1421" s="342"/>
      <c r="T1421" s="342"/>
      <c r="U1421" s="342"/>
      <c r="V1421" s="342"/>
      <c r="W1421" s="343"/>
      <c r="X1421" s="343"/>
      <c r="Y1421" s="343"/>
      <c r="Z1421" s="343"/>
      <c r="AA1421" s="343"/>
      <c r="AB1421" s="343"/>
      <c r="AC1421" s="343"/>
      <c r="AD1421" s="343"/>
      <c r="AE1421" s="343"/>
      <c r="AF1421" s="343"/>
      <c r="AG1421" s="343"/>
      <c r="AH1421" s="343"/>
      <c r="AI1421" s="343"/>
      <c r="AJ1421" s="344"/>
      <c r="AK1421" s="345">
        <f>A1421</f>
        <v>21</v>
      </c>
      <c r="AL1421" s="340" t="s">
        <v>345</v>
      </c>
      <c r="AM1421" s="341" t="s">
        <v>1501</v>
      </c>
      <c r="AN1421" s="342"/>
      <c r="AO1421" s="342"/>
      <c r="AP1421" s="342"/>
      <c r="AQ1421" s="342"/>
      <c r="AR1421" s="342"/>
      <c r="AS1421" s="342"/>
      <c r="AT1421" s="342"/>
      <c r="AU1421" s="342"/>
      <c r="AV1421" s="342"/>
      <c r="AW1421" s="342"/>
      <c r="AX1421" s="342"/>
      <c r="AY1421" s="342"/>
      <c r="AZ1421" s="342"/>
      <c r="BA1421" s="342"/>
      <c r="BB1421" s="342"/>
      <c r="BC1421" s="342"/>
      <c r="BD1421" s="342"/>
      <c r="BE1421" s="342"/>
      <c r="BF1421" s="342"/>
      <c r="BG1421" s="342"/>
      <c r="BH1421" s="342"/>
      <c r="BI1421" s="342"/>
      <c r="BJ1421" s="342"/>
      <c r="BK1421" s="342"/>
      <c r="BL1421" s="342"/>
      <c r="BM1421" s="342"/>
      <c r="BN1421" s="342"/>
      <c r="BO1421" s="342"/>
      <c r="BP1421" s="342"/>
      <c r="BQ1421" s="342"/>
      <c r="BR1421" s="342"/>
      <c r="BS1421" s="342"/>
      <c r="BT1421" s="342"/>
      <c r="BU1421" s="346">
        <f>SUBTOTAL(103,A1421)</f>
        <v>1</v>
      </c>
      <c r="BV1421" s="310"/>
      <c r="BW1421" s="310"/>
      <c r="BX1421" s="291">
        <f t="shared" si="102"/>
        <v>0</v>
      </c>
      <c r="BY1421" s="344"/>
      <c r="BZ1421" s="347"/>
      <c r="CA1421" s="347"/>
    </row>
    <row r="1422" spans="1:84" ht="12.95" customHeight="1" x14ac:dyDescent="0.25">
      <c r="A1422" s="313"/>
      <c r="B1422" s="340"/>
      <c r="C1422" s="341"/>
      <c r="D1422" s="342"/>
      <c r="E1422" s="342"/>
      <c r="F1422" s="342"/>
      <c r="G1422" s="342"/>
      <c r="H1422" s="342"/>
      <c r="I1422" s="342"/>
      <c r="J1422" s="342"/>
      <c r="K1422" s="342"/>
      <c r="L1422" s="342"/>
      <c r="M1422" s="342"/>
      <c r="N1422" s="342"/>
      <c r="O1422" s="342"/>
      <c r="P1422" s="342"/>
      <c r="Q1422" s="342"/>
      <c r="R1422" s="342"/>
      <c r="S1422" s="342"/>
      <c r="T1422" s="342"/>
      <c r="U1422" s="342"/>
      <c r="V1422" s="342"/>
      <c r="W1422" s="343"/>
      <c r="X1422" s="343"/>
      <c r="Y1422" s="343"/>
      <c r="Z1422" s="343"/>
      <c r="AA1422" s="343"/>
      <c r="AB1422" s="343"/>
      <c r="AC1422" s="343"/>
      <c r="AD1422" s="343"/>
      <c r="AE1422" s="343"/>
      <c r="AF1422" s="343"/>
      <c r="AG1422" s="343"/>
      <c r="AH1422" s="343"/>
      <c r="AI1422" s="343"/>
      <c r="AJ1422" s="344"/>
      <c r="AK1422" s="345"/>
      <c r="AL1422" s="340"/>
      <c r="AM1422" s="341"/>
      <c r="AN1422" s="342"/>
      <c r="AO1422" s="342"/>
      <c r="AP1422" s="342"/>
      <c r="AQ1422" s="342"/>
      <c r="AR1422" s="342"/>
      <c r="AS1422" s="342"/>
      <c r="AT1422" s="342"/>
      <c r="AU1422" s="342"/>
      <c r="AV1422" s="342"/>
      <c r="AW1422" s="342"/>
      <c r="AX1422" s="342"/>
      <c r="AY1422" s="342"/>
      <c r="AZ1422" s="342"/>
      <c r="BA1422" s="342"/>
      <c r="BB1422" s="342"/>
      <c r="BC1422" s="342"/>
      <c r="BD1422" s="342"/>
      <c r="BE1422" s="342"/>
      <c r="BF1422" s="342"/>
      <c r="BG1422" s="342"/>
      <c r="BH1422" s="342"/>
      <c r="BI1422" s="342"/>
      <c r="BJ1422" s="342"/>
      <c r="BK1422" s="342"/>
      <c r="BL1422" s="342"/>
      <c r="BM1422" s="342"/>
      <c r="BN1422" s="342"/>
      <c r="BO1422" s="342"/>
      <c r="BP1422" s="342"/>
      <c r="BQ1422" s="342"/>
      <c r="BR1422" s="342"/>
      <c r="BS1422" s="342"/>
      <c r="BT1422" s="342"/>
      <c r="BU1422" s="346"/>
      <c r="BV1422" s="310"/>
      <c r="BW1422" s="310"/>
      <c r="BX1422" s="291">
        <f t="shared" si="102"/>
        <v>0</v>
      </c>
      <c r="BY1422" s="344"/>
      <c r="BZ1422" s="347"/>
      <c r="CA1422" s="347"/>
    </row>
    <row r="1423" spans="1:84" ht="15" hidden="1" customHeight="1" x14ac:dyDescent="0.25">
      <c r="A1423" s="313"/>
      <c r="B1423" s="340"/>
      <c r="C1423" s="341" t="s">
        <v>1502</v>
      </c>
      <c r="D1423" s="342"/>
      <c r="E1423" s="342"/>
      <c r="F1423" s="342"/>
      <c r="G1423" s="342"/>
      <c r="H1423" s="342"/>
      <c r="I1423" s="342"/>
      <c r="J1423" s="342"/>
      <c r="K1423" s="342"/>
      <c r="L1423" s="342"/>
      <c r="M1423" s="342"/>
      <c r="N1423" s="342"/>
      <c r="O1423" s="342"/>
      <c r="P1423" s="342"/>
      <c r="Q1423" s="342"/>
      <c r="R1423" s="342"/>
      <c r="S1423" s="342"/>
      <c r="T1423" s="342"/>
      <c r="U1423" s="342"/>
      <c r="V1423" s="342"/>
      <c r="W1423" s="343"/>
      <c r="X1423" s="343"/>
      <c r="Y1423" s="343"/>
      <c r="Z1423" s="343"/>
      <c r="AA1423" s="343"/>
      <c r="AB1423" s="343"/>
      <c r="AC1423" s="343"/>
      <c r="AD1423" s="343"/>
      <c r="AE1423" s="343"/>
      <c r="AF1423" s="343"/>
      <c r="AG1423" s="343"/>
      <c r="AH1423" s="343"/>
      <c r="AI1423" s="343"/>
      <c r="AJ1423" s="344"/>
      <c r="AK1423" s="345"/>
      <c r="AL1423" s="340"/>
      <c r="AM1423" s="341" t="s">
        <v>1503</v>
      </c>
      <c r="AN1423" s="342"/>
      <c r="AO1423" s="342"/>
      <c r="AP1423" s="342"/>
      <c r="AQ1423" s="342"/>
      <c r="AR1423" s="342"/>
      <c r="AS1423" s="342"/>
      <c r="AT1423" s="342"/>
      <c r="AU1423" s="342"/>
      <c r="AV1423" s="342"/>
      <c r="AW1423" s="342"/>
      <c r="AX1423" s="342"/>
      <c r="AY1423" s="342"/>
      <c r="AZ1423" s="342"/>
      <c r="BA1423" s="342"/>
      <c r="BB1423" s="342"/>
      <c r="BC1423" s="342"/>
      <c r="BD1423" s="342"/>
      <c r="BE1423" s="342"/>
      <c r="BF1423" s="342"/>
      <c r="BG1423" s="343"/>
      <c r="BH1423" s="343"/>
      <c r="BI1423" s="343"/>
      <c r="BJ1423" s="343"/>
      <c r="BK1423" s="343"/>
      <c r="BL1423" s="343"/>
      <c r="BM1423" s="343"/>
      <c r="BN1423" s="343"/>
      <c r="BO1423" s="343"/>
      <c r="BP1423" s="343"/>
      <c r="BQ1423" s="343"/>
      <c r="BR1423" s="343"/>
      <c r="BS1423" s="343"/>
      <c r="BT1423" s="342"/>
      <c r="BU1423" s="346"/>
      <c r="BV1423" s="310"/>
      <c r="BW1423" s="310"/>
      <c r="BX1423" s="291">
        <f t="shared" si="102"/>
        <v>0</v>
      </c>
      <c r="BY1423" s="344"/>
      <c r="BZ1423" s="347"/>
      <c r="CA1423" s="347"/>
    </row>
    <row r="1424" spans="1:84" ht="15" hidden="1" customHeight="1" x14ac:dyDescent="0.25">
      <c r="A1424" s="313"/>
      <c r="B1424" s="340"/>
      <c r="C1424" s="342"/>
      <c r="D1424" s="342"/>
      <c r="E1424" s="342"/>
      <c r="F1424" s="342"/>
      <c r="G1424" s="342"/>
      <c r="H1424" s="342"/>
      <c r="I1424" s="342"/>
      <c r="J1424" s="342"/>
      <c r="K1424" s="342"/>
      <c r="L1424" s="342"/>
      <c r="M1424" s="342"/>
      <c r="N1424" s="342"/>
      <c r="O1424" s="342"/>
      <c r="P1424" s="342"/>
      <c r="Q1424" s="342"/>
      <c r="R1424" s="342"/>
      <c r="S1424" s="342"/>
      <c r="T1424" s="342"/>
      <c r="U1424" s="342"/>
      <c r="V1424" s="342"/>
      <c r="W1424" s="1325" t="str">
        <f>Ky_Nay1_V</f>
        <v>31/12/2017</v>
      </c>
      <c r="X1424" s="1325"/>
      <c r="Y1424" s="1325"/>
      <c r="Z1424" s="1325"/>
      <c r="AA1424" s="1325"/>
      <c r="AB1424" s="1325"/>
      <c r="AC1424" s="357"/>
      <c r="AD1424" s="1325" t="str">
        <f>Ky_Truoc1_V</f>
        <v>01/01/2017</v>
      </c>
      <c r="AE1424" s="1325"/>
      <c r="AF1424" s="1325"/>
      <c r="AG1424" s="1325"/>
      <c r="AH1424" s="1325"/>
      <c r="AI1424" s="1325"/>
      <c r="AJ1424" s="344"/>
      <c r="AK1424" s="345"/>
      <c r="AL1424" s="340"/>
      <c r="AM1424" s="342"/>
      <c r="AN1424" s="342"/>
      <c r="AO1424" s="342"/>
      <c r="AP1424" s="342"/>
      <c r="AQ1424" s="342"/>
      <c r="AR1424" s="342"/>
      <c r="AS1424" s="342"/>
      <c r="AT1424" s="342"/>
      <c r="AU1424" s="342"/>
      <c r="AV1424" s="342"/>
      <c r="AW1424" s="342"/>
      <c r="AX1424" s="342"/>
      <c r="AY1424" s="342"/>
      <c r="AZ1424" s="342"/>
      <c r="BA1424" s="342"/>
      <c r="BB1424" s="342"/>
      <c r="BC1424" s="342"/>
      <c r="BD1424" s="342"/>
      <c r="BE1424" s="342"/>
      <c r="BF1424" s="342"/>
      <c r="BG1424" s="1325" t="str">
        <f>Ky_Nay1_E</f>
        <v>31/12/2017</v>
      </c>
      <c r="BH1424" s="1325"/>
      <c r="BI1424" s="1325"/>
      <c r="BJ1424" s="1325"/>
      <c r="BK1424" s="1325"/>
      <c r="BL1424" s="1325"/>
      <c r="BM1424" s="357"/>
      <c r="BN1424" s="1325" t="str">
        <f>Ky_Truoc1_E</f>
        <v>01/01/2017</v>
      </c>
      <c r="BO1424" s="1325"/>
      <c r="BP1424" s="1325"/>
      <c r="BQ1424" s="1325"/>
      <c r="BR1424" s="1325"/>
      <c r="BS1424" s="1325"/>
      <c r="BT1424" s="352"/>
      <c r="BU1424" s="353"/>
      <c r="BV1424" s="310"/>
      <c r="BW1424" s="310"/>
      <c r="BX1424" s="291">
        <f t="shared" si="102"/>
        <v>0</v>
      </c>
      <c r="BY1424" s="344"/>
      <c r="BZ1424" s="347"/>
      <c r="CA1424" s="347"/>
    </row>
    <row r="1425" spans="1:84" ht="15" hidden="1" customHeight="1" x14ac:dyDescent="0.25">
      <c r="A1425" s="313"/>
      <c r="B1425" s="340"/>
      <c r="C1425" s="342"/>
      <c r="D1425" s="342"/>
      <c r="E1425" s="342"/>
      <c r="F1425" s="342"/>
      <c r="G1425" s="342"/>
      <c r="H1425" s="342"/>
      <c r="I1425" s="342"/>
      <c r="J1425" s="342"/>
      <c r="K1425" s="342"/>
      <c r="L1425" s="342"/>
      <c r="M1425" s="342"/>
      <c r="N1425" s="342"/>
      <c r="O1425" s="342"/>
      <c r="P1425" s="342"/>
      <c r="Q1425" s="342"/>
      <c r="R1425" s="342"/>
      <c r="S1425" s="342"/>
      <c r="T1425" s="342"/>
      <c r="U1425" s="342"/>
      <c r="V1425" s="342"/>
      <c r="W1425" s="1327" t="str">
        <f>Don_Vi_Tinh_V</f>
        <v>VND</v>
      </c>
      <c r="X1425" s="1327"/>
      <c r="Y1425" s="1327"/>
      <c r="Z1425" s="1327"/>
      <c r="AA1425" s="1327"/>
      <c r="AB1425" s="1327"/>
      <c r="AC1425" s="357"/>
      <c r="AD1425" s="1327" t="str">
        <f>Don_Vi_Tinh_V</f>
        <v>VND</v>
      </c>
      <c r="AE1425" s="1327"/>
      <c r="AF1425" s="1327"/>
      <c r="AG1425" s="1327"/>
      <c r="AH1425" s="1327"/>
      <c r="AI1425" s="1327"/>
      <c r="AJ1425" s="344"/>
      <c r="AK1425" s="345"/>
      <c r="AL1425" s="340"/>
      <c r="AM1425" s="342"/>
      <c r="AN1425" s="342"/>
      <c r="AO1425" s="342"/>
      <c r="AP1425" s="342"/>
      <c r="AQ1425" s="342"/>
      <c r="AR1425" s="342"/>
      <c r="AS1425" s="342"/>
      <c r="AT1425" s="342"/>
      <c r="AU1425" s="342"/>
      <c r="AV1425" s="342"/>
      <c r="AW1425" s="342"/>
      <c r="AX1425" s="342"/>
      <c r="AY1425" s="342"/>
      <c r="AZ1425" s="342"/>
      <c r="BA1425" s="342"/>
      <c r="BB1425" s="342"/>
      <c r="BC1425" s="342"/>
      <c r="BD1425" s="342"/>
      <c r="BE1425" s="342"/>
      <c r="BF1425" s="342"/>
      <c r="BG1425" s="1327" t="str">
        <f>Don_Vi_Tinh_E</f>
        <v>VND</v>
      </c>
      <c r="BH1425" s="1327"/>
      <c r="BI1425" s="1327"/>
      <c r="BJ1425" s="1327"/>
      <c r="BK1425" s="1327"/>
      <c r="BL1425" s="1327"/>
      <c r="BM1425" s="357"/>
      <c r="BN1425" s="1327" t="str">
        <f>Don_Vi_Tinh_E</f>
        <v>VND</v>
      </c>
      <c r="BO1425" s="1327"/>
      <c r="BP1425" s="1327"/>
      <c r="BQ1425" s="1327"/>
      <c r="BR1425" s="1327"/>
      <c r="BS1425" s="1327"/>
      <c r="BT1425" s="352"/>
      <c r="BU1425" s="353"/>
      <c r="BV1425" s="310"/>
      <c r="BW1425" s="310"/>
      <c r="BX1425" s="291">
        <f t="shared" si="102"/>
        <v>0</v>
      </c>
      <c r="BY1425" s="344"/>
      <c r="BZ1425" s="347"/>
      <c r="CA1425" s="347"/>
    </row>
    <row r="1426" spans="1:84" ht="15" hidden="1" customHeight="1" x14ac:dyDescent="0.25">
      <c r="A1426" s="313"/>
      <c r="B1426" s="340"/>
      <c r="C1426" s="342"/>
      <c r="D1426" s="342"/>
      <c r="E1426" s="342"/>
      <c r="F1426" s="342"/>
      <c r="G1426" s="342"/>
      <c r="H1426" s="342"/>
      <c r="I1426" s="342"/>
      <c r="J1426" s="342"/>
      <c r="K1426" s="342"/>
      <c r="L1426" s="342"/>
      <c r="M1426" s="342"/>
      <c r="N1426" s="342"/>
      <c r="O1426" s="342"/>
      <c r="P1426" s="342"/>
      <c r="Q1426" s="342"/>
      <c r="R1426" s="342"/>
      <c r="S1426" s="342"/>
      <c r="T1426" s="342"/>
      <c r="U1426" s="342"/>
      <c r="V1426" s="342"/>
      <c r="W1426" s="660"/>
      <c r="X1426" s="660"/>
      <c r="Y1426" s="660"/>
      <c r="Z1426" s="660"/>
      <c r="AA1426" s="660"/>
      <c r="AB1426" s="660"/>
      <c r="AC1426" s="343"/>
      <c r="AD1426" s="660"/>
      <c r="AE1426" s="660"/>
      <c r="AF1426" s="660"/>
      <c r="AG1426" s="660"/>
      <c r="AH1426" s="660"/>
      <c r="AI1426" s="660"/>
      <c r="AJ1426" s="344"/>
      <c r="AK1426" s="345"/>
      <c r="AL1426" s="340"/>
      <c r="AM1426" s="342"/>
      <c r="AN1426" s="342"/>
      <c r="AO1426" s="342"/>
      <c r="AP1426" s="342"/>
      <c r="AQ1426" s="342"/>
      <c r="AR1426" s="342"/>
      <c r="AS1426" s="342"/>
      <c r="AT1426" s="342"/>
      <c r="AU1426" s="342"/>
      <c r="AV1426" s="342"/>
      <c r="AW1426" s="342"/>
      <c r="AX1426" s="342"/>
      <c r="AY1426" s="342"/>
      <c r="AZ1426" s="342"/>
      <c r="BA1426" s="342"/>
      <c r="BB1426" s="342"/>
      <c r="BC1426" s="342"/>
      <c r="BD1426" s="342"/>
      <c r="BE1426" s="342"/>
      <c r="BF1426" s="342"/>
      <c r="BG1426" s="660"/>
      <c r="BH1426" s="660"/>
      <c r="BI1426" s="660"/>
      <c r="BJ1426" s="660"/>
      <c r="BK1426" s="660"/>
      <c r="BL1426" s="660"/>
      <c r="BM1426" s="343"/>
      <c r="BN1426" s="660"/>
      <c r="BO1426" s="660"/>
      <c r="BP1426" s="660"/>
      <c r="BQ1426" s="660"/>
      <c r="BR1426" s="660"/>
      <c r="BS1426" s="660"/>
      <c r="BT1426" s="352"/>
      <c r="BU1426" s="353"/>
      <c r="BV1426" s="310"/>
      <c r="BW1426" s="310"/>
      <c r="BX1426" s="291">
        <f t="shared" si="102"/>
        <v>0</v>
      </c>
      <c r="BY1426" s="344"/>
      <c r="BZ1426" s="347"/>
      <c r="CA1426" s="347"/>
    </row>
    <row r="1427" spans="1:84" ht="27.95" hidden="1" customHeight="1" x14ac:dyDescent="0.25">
      <c r="A1427" s="313"/>
      <c r="B1427" s="340"/>
      <c r="C1427" s="1348" t="s">
        <v>1504</v>
      </c>
      <c r="D1427" s="1348"/>
      <c r="E1427" s="1348"/>
      <c r="F1427" s="1348"/>
      <c r="G1427" s="1348"/>
      <c r="H1427" s="1348"/>
      <c r="I1427" s="1348"/>
      <c r="J1427" s="1348"/>
      <c r="K1427" s="1348"/>
      <c r="L1427" s="1348"/>
      <c r="M1427" s="1348"/>
      <c r="N1427" s="1348"/>
      <c r="O1427" s="1348"/>
      <c r="P1427" s="1348"/>
      <c r="Q1427" s="1348"/>
      <c r="R1427" s="1348"/>
      <c r="S1427" s="1348"/>
      <c r="T1427" s="1348"/>
      <c r="U1427" s="1348"/>
      <c r="V1427" s="1348"/>
      <c r="W1427" s="1318">
        <f>SUBTOTAL(109,W1428:AB1430)</f>
        <v>0</v>
      </c>
      <c r="X1427" s="1318"/>
      <c r="Y1427" s="1318"/>
      <c r="Z1427" s="1318"/>
      <c r="AA1427" s="1318"/>
      <c r="AB1427" s="1318"/>
      <c r="AC1427" s="355"/>
      <c r="AD1427" s="1318">
        <f>SUBTOTAL(109,AD1428:AI1430)</f>
        <v>0</v>
      </c>
      <c r="AE1427" s="1318"/>
      <c r="AF1427" s="1318"/>
      <c r="AG1427" s="1318"/>
      <c r="AH1427" s="1318"/>
      <c r="AI1427" s="1318"/>
      <c r="AJ1427" s="344"/>
      <c r="AK1427" s="345"/>
      <c r="AL1427" s="340"/>
      <c r="AM1427" s="1348" t="s">
        <v>1505</v>
      </c>
      <c r="AN1427" s="1348"/>
      <c r="AO1427" s="1348"/>
      <c r="AP1427" s="1348"/>
      <c r="AQ1427" s="1348"/>
      <c r="AR1427" s="1348"/>
      <c r="AS1427" s="1348"/>
      <c r="AT1427" s="1348"/>
      <c r="AU1427" s="1348"/>
      <c r="AV1427" s="1348"/>
      <c r="AW1427" s="1348"/>
      <c r="AX1427" s="1348"/>
      <c r="AY1427" s="1348"/>
      <c r="AZ1427" s="1348"/>
      <c r="BA1427" s="1348"/>
      <c r="BB1427" s="1348"/>
      <c r="BC1427" s="1348"/>
      <c r="BD1427" s="1348"/>
      <c r="BE1427" s="1348"/>
      <c r="BF1427" s="1348"/>
      <c r="BG1427" s="1318">
        <f>SUBTOTAL(109,BG1428:BL1430)</f>
        <v>0</v>
      </c>
      <c r="BH1427" s="1318"/>
      <c r="BI1427" s="1318"/>
      <c r="BJ1427" s="1318"/>
      <c r="BK1427" s="1318"/>
      <c r="BL1427" s="1318"/>
      <c r="BM1427" s="355"/>
      <c r="BN1427" s="1318">
        <f>SUBTOTAL(109,BN1428:BS1430)</f>
        <v>0</v>
      </c>
      <c r="BO1427" s="1318"/>
      <c r="BP1427" s="1318"/>
      <c r="BQ1427" s="1318"/>
      <c r="BR1427" s="1318"/>
      <c r="BS1427" s="1318"/>
      <c r="BT1427" s="352"/>
      <c r="BU1427" s="353"/>
      <c r="BV1427" s="310"/>
      <c r="BW1427" s="310"/>
      <c r="BX1427" s="291">
        <f t="shared" si="102"/>
        <v>0</v>
      </c>
      <c r="BY1427" s="344"/>
      <c r="BZ1427" s="347"/>
      <c r="CA1427" s="347"/>
    </row>
    <row r="1428" spans="1:84" s="695" customFormat="1" ht="15" hidden="1" customHeight="1" x14ac:dyDescent="0.25">
      <c r="A1428" s="682"/>
      <c r="B1428" s="679"/>
      <c r="C1428" s="429" t="s">
        <v>1506</v>
      </c>
      <c r="D1428" s="429"/>
      <c r="E1428" s="429"/>
      <c r="F1428" s="429"/>
      <c r="G1428" s="429"/>
      <c r="H1428" s="429"/>
      <c r="I1428" s="429"/>
      <c r="J1428" s="429"/>
      <c r="K1428" s="429"/>
      <c r="L1428" s="429"/>
      <c r="M1428" s="429"/>
      <c r="N1428" s="429"/>
      <c r="O1428" s="429"/>
      <c r="P1428" s="429"/>
      <c r="Q1428" s="429"/>
      <c r="R1428" s="429"/>
      <c r="S1428" s="429"/>
      <c r="T1428" s="429"/>
      <c r="U1428" s="429"/>
      <c r="V1428" s="429"/>
      <c r="W1428" s="1369">
        <v>0</v>
      </c>
      <c r="X1428" s="1369"/>
      <c r="Y1428" s="1369"/>
      <c r="Z1428" s="1369"/>
      <c r="AA1428" s="1369"/>
      <c r="AB1428" s="1369"/>
      <c r="AC1428" s="665"/>
      <c r="AD1428" s="1369">
        <v>0</v>
      </c>
      <c r="AE1428" s="1369"/>
      <c r="AF1428" s="1369"/>
      <c r="AG1428" s="1369"/>
      <c r="AH1428" s="1369"/>
      <c r="AI1428" s="1369"/>
      <c r="AJ1428" s="677"/>
      <c r="AK1428" s="678"/>
      <c r="AL1428" s="679"/>
      <c r="AM1428" s="429" t="s">
        <v>1507</v>
      </c>
      <c r="AN1428" s="429"/>
      <c r="AO1428" s="429"/>
      <c r="AP1428" s="429"/>
      <c r="AQ1428" s="429"/>
      <c r="AR1428" s="429"/>
      <c r="AS1428" s="429"/>
      <c r="AT1428" s="429"/>
      <c r="AU1428" s="429"/>
      <c r="AV1428" s="429"/>
      <c r="AW1428" s="429"/>
      <c r="AX1428" s="429"/>
      <c r="AY1428" s="429"/>
      <c r="AZ1428" s="429"/>
      <c r="BA1428" s="429"/>
      <c r="BB1428" s="429"/>
      <c r="BC1428" s="429"/>
      <c r="BD1428" s="429"/>
      <c r="BE1428" s="429"/>
      <c r="BF1428" s="429"/>
      <c r="BG1428" s="1369">
        <f>W1428</f>
        <v>0</v>
      </c>
      <c r="BH1428" s="1369"/>
      <c r="BI1428" s="1369"/>
      <c r="BJ1428" s="1369"/>
      <c r="BK1428" s="1369"/>
      <c r="BL1428" s="1369"/>
      <c r="BM1428" s="665"/>
      <c r="BN1428" s="1369">
        <f>AD1428</f>
        <v>0</v>
      </c>
      <c r="BO1428" s="1369"/>
      <c r="BP1428" s="1369"/>
      <c r="BQ1428" s="1369"/>
      <c r="BR1428" s="1369"/>
      <c r="BS1428" s="1369"/>
      <c r="BT1428" s="696"/>
      <c r="BU1428" s="697"/>
      <c r="BV1428" s="310"/>
      <c r="BW1428" s="310"/>
      <c r="BX1428" s="291">
        <f t="shared" si="102"/>
        <v>0</v>
      </c>
      <c r="BY1428" s="677"/>
      <c r="BZ1428" s="693"/>
      <c r="CA1428" s="693"/>
      <c r="CB1428" s="694"/>
      <c r="CC1428" s="694"/>
      <c r="CD1428" s="694"/>
      <c r="CE1428" s="694"/>
      <c r="CF1428" s="694"/>
    </row>
    <row r="1429" spans="1:84" s="695" customFormat="1" ht="15" hidden="1" customHeight="1" x14ac:dyDescent="0.25">
      <c r="A1429" s="682"/>
      <c r="B1429" s="679"/>
      <c r="C1429" s="429" t="s">
        <v>1508</v>
      </c>
      <c r="D1429" s="429"/>
      <c r="E1429" s="429"/>
      <c r="F1429" s="429"/>
      <c r="G1429" s="429"/>
      <c r="H1429" s="429"/>
      <c r="I1429" s="429"/>
      <c r="J1429" s="429"/>
      <c r="K1429" s="429"/>
      <c r="L1429" s="429"/>
      <c r="M1429" s="429"/>
      <c r="N1429" s="429"/>
      <c r="O1429" s="429"/>
      <c r="P1429" s="429"/>
      <c r="Q1429" s="429"/>
      <c r="R1429" s="429"/>
      <c r="S1429" s="429"/>
      <c r="T1429" s="429"/>
      <c r="U1429" s="429"/>
      <c r="V1429" s="429"/>
      <c r="W1429" s="1369">
        <v>0</v>
      </c>
      <c r="X1429" s="1369"/>
      <c r="Y1429" s="1369"/>
      <c r="Z1429" s="1369"/>
      <c r="AA1429" s="1369"/>
      <c r="AB1429" s="1369"/>
      <c r="AC1429" s="665"/>
      <c r="AD1429" s="1369">
        <v>0</v>
      </c>
      <c r="AE1429" s="1369"/>
      <c r="AF1429" s="1369"/>
      <c r="AG1429" s="1369"/>
      <c r="AH1429" s="1369"/>
      <c r="AI1429" s="1369"/>
      <c r="AJ1429" s="677"/>
      <c r="AK1429" s="678"/>
      <c r="AL1429" s="679"/>
      <c r="AM1429" s="429" t="s">
        <v>1509</v>
      </c>
      <c r="AN1429" s="429"/>
      <c r="AO1429" s="429"/>
      <c r="AP1429" s="429"/>
      <c r="AQ1429" s="429"/>
      <c r="AR1429" s="429"/>
      <c r="AS1429" s="429"/>
      <c r="AT1429" s="429"/>
      <c r="AU1429" s="429"/>
      <c r="AV1429" s="429"/>
      <c r="AW1429" s="429"/>
      <c r="AX1429" s="429"/>
      <c r="AY1429" s="429"/>
      <c r="AZ1429" s="429"/>
      <c r="BA1429" s="429"/>
      <c r="BB1429" s="429"/>
      <c r="BC1429" s="429"/>
      <c r="BD1429" s="429"/>
      <c r="BE1429" s="429"/>
      <c r="BF1429" s="429"/>
      <c r="BG1429" s="1369">
        <f>W1429</f>
        <v>0</v>
      </c>
      <c r="BH1429" s="1369"/>
      <c r="BI1429" s="1369"/>
      <c r="BJ1429" s="1369"/>
      <c r="BK1429" s="1369"/>
      <c r="BL1429" s="1369"/>
      <c r="BM1429" s="665"/>
      <c r="BN1429" s="1369">
        <f>AD1429</f>
        <v>0</v>
      </c>
      <c r="BO1429" s="1369"/>
      <c r="BP1429" s="1369"/>
      <c r="BQ1429" s="1369"/>
      <c r="BR1429" s="1369"/>
      <c r="BS1429" s="1369"/>
      <c r="BT1429" s="696"/>
      <c r="BU1429" s="697"/>
      <c r="BV1429" s="310"/>
      <c r="BW1429" s="310"/>
      <c r="BX1429" s="291">
        <f t="shared" si="102"/>
        <v>0</v>
      </c>
      <c r="BY1429" s="677"/>
      <c r="BZ1429" s="693"/>
      <c r="CA1429" s="693"/>
      <c r="CB1429" s="694"/>
      <c r="CC1429" s="694"/>
      <c r="CD1429" s="694"/>
      <c r="CE1429" s="694"/>
      <c r="CF1429" s="694"/>
    </row>
    <row r="1430" spans="1:84" s="695" customFormat="1" ht="15" hidden="1" customHeight="1" x14ac:dyDescent="0.25">
      <c r="A1430" s="682"/>
      <c r="B1430" s="679"/>
      <c r="C1430" s="429" t="s">
        <v>1510</v>
      </c>
      <c r="D1430" s="429"/>
      <c r="E1430" s="429"/>
      <c r="F1430" s="429"/>
      <c r="G1430" s="429"/>
      <c r="H1430" s="429"/>
      <c r="I1430" s="429"/>
      <c r="J1430" s="429"/>
      <c r="K1430" s="429"/>
      <c r="L1430" s="429"/>
      <c r="M1430" s="429"/>
      <c r="N1430" s="429"/>
      <c r="O1430" s="429"/>
      <c r="P1430" s="429"/>
      <c r="Q1430" s="429"/>
      <c r="R1430" s="429"/>
      <c r="S1430" s="429"/>
      <c r="T1430" s="429"/>
      <c r="U1430" s="429"/>
      <c r="V1430" s="429"/>
      <c r="W1430" s="1369">
        <v>0</v>
      </c>
      <c r="X1430" s="1369"/>
      <c r="Y1430" s="1369"/>
      <c r="Z1430" s="1369"/>
      <c r="AA1430" s="1369"/>
      <c r="AB1430" s="1369"/>
      <c r="AC1430" s="665"/>
      <c r="AD1430" s="1369">
        <v>0</v>
      </c>
      <c r="AE1430" s="1369"/>
      <c r="AF1430" s="1369"/>
      <c r="AG1430" s="1369"/>
      <c r="AH1430" s="1369"/>
      <c r="AI1430" s="1369"/>
      <c r="AJ1430" s="677"/>
      <c r="AK1430" s="678"/>
      <c r="AL1430" s="679"/>
      <c r="AM1430" s="429" t="s">
        <v>1511</v>
      </c>
      <c r="AN1430" s="429"/>
      <c r="AO1430" s="429"/>
      <c r="AP1430" s="429"/>
      <c r="AQ1430" s="429"/>
      <c r="AR1430" s="429"/>
      <c r="AS1430" s="429"/>
      <c r="AT1430" s="429"/>
      <c r="AU1430" s="429"/>
      <c r="AV1430" s="429"/>
      <c r="AW1430" s="429"/>
      <c r="AX1430" s="429"/>
      <c r="AY1430" s="429"/>
      <c r="AZ1430" s="429"/>
      <c r="BA1430" s="429"/>
      <c r="BB1430" s="429"/>
      <c r="BC1430" s="429"/>
      <c r="BD1430" s="429"/>
      <c r="BE1430" s="429"/>
      <c r="BF1430" s="429"/>
      <c r="BG1430" s="1369">
        <f>W1430</f>
        <v>0</v>
      </c>
      <c r="BH1430" s="1369"/>
      <c r="BI1430" s="1369"/>
      <c r="BJ1430" s="1369"/>
      <c r="BK1430" s="1369"/>
      <c r="BL1430" s="1369"/>
      <c r="BM1430" s="665"/>
      <c r="BN1430" s="1369">
        <f>AD1430</f>
        <v>0</v>
      </c>
      <c r="BO1430" s="1369"/>
      <c r="BP1430" s="1369"/>
      <c r="BQ1430" s="1369"/>
      <c r="BR1430" s="1369"/>
      <c r="BS1430" s="1369"/>
      <c r="BT1430" s="696"/>
      <c r="BU1430" s="697"/>
      <c r="BV1430" s="310"/>
      <c r="BW1430" s="310"/>
      <c r="BX1430" s="291">
        <f t="shared" si="102"/>
        <v>0</v>
      </c>
      <c r="BY1430" s="677"/>
      <c r="BZ1430" s="693"/>
      <c r="CA1430" s="693"/>
      <c r="CB1430" s="694"/>
      <c r="CC1430" s="694"/>
      <c r="CD1430" s="694"/>
      <c r="CE1430" s="694"/>
      <c r="CF1430" s="694"/>
    </row>
    <row r="1431" spans="1:84" ht="15" hidden="1" customHeight="1" x14ac:dyDescent="0.25">
      <c r="A1431" s="313"/>
      <c r="B1431" s="340"/>
      <c r="C1431" s="342"/>
      <c r="D1431" s="342"/>
      <c r="E1431" s="342"/>
      <c r="F1431" s="342"/>
      <c r="G1431" s="342"/>
      <c r="H1431" s="342"/>
      <c r="I1431" s="342"/>
      <c r="J1431" s="342"/>
      <c r="K1431" s="342"/>
      <c r="L1431" s="342"/>
      <c r="M1431" s="342"/>
      <c r="N1431" s="342"/>
      <c r="O1431" s="342"/>
      <c r="P1431" s="342"/>
      <c r="Q1431" s="342"/>
      <c r="R1431" s="342"/>
      <c r="S1431" s="342"/>
      <c r="T1431" s="342"/>
      <c r="U1431" s="342"/>
      <c r="V1431" s="342"/>
      <c r="W1431" s="355"/>
      <c r="X1431" s="355"/>
      <c r="Y1431" s="355"/>
      <c r="Z1431" s="355"/>
      <c r="AA1431" s="355"/>
      <c r="AB1431" s="355"/>
      <c r="AC1431" s="355"/>
      <c r="AD1431" s="355"/>
      <c r="AE1431" s="355"/>
      <c r="AF1431" s="355"/>
      <c r="AG1431" s="355"/>
      <c r="AH1431" s="355"/>
      <c r="AI1431" s="355"/>
      <c r="AJ1431" s="344"/>
      <c r="AK1431" s="345"/>
      <c r="AL1431" s="340"/>
      <c r="AM1431" s="342"/>
      <c r="AN1431" s="342"/>
      <c r="AO1431" s="342"/>
      <c r="AP1431" s="342"/>
      <c r="AQ1431" s="342"/>
      <c r="AR1431" s="342"/>
      <c r="AS1431" s="342"/>
      <c r="AT1431" s="342"/>
      <c r="AU1431" s="342"/>
      <c r="AV1431" s="342"/>
      <c r="AW1431" s="342"/>
      <c r="AX1431" s="342"/>
      <c r="AY1431" s="342"/>
      <c r="AZ1431" s="342"/>
      <c r="BA1431" s="342"/>
      <c r="BB1431" s="342"/>
      <c r="BC1431" s="342"/>
      <c r="BD1431" s="342"/>
      <c r="BE1431" s="342"/>
      <c r="BF1431" s="342"/>
      <c r="BG1431" s="355"/>
      <c r="BH1431" s="355"/>
      <c r="BI1431" s="355"/>
      <c r="BJ1431" s="355"/>
      <c r="BK1431" s="355"/>
      <c r="BL1431" s="355"/>
      <c r="BM1431" s="355"/>
      <c r="BN1431" s="355"/>
      <c r="BO1431" s="355"/>
      <c r="BP1431" s="355"/>
      <c r="BQ1431" s="355"/>
      <c r="BR1431" s="355"/>
      <c r="BS1431" s="355"/>
      <c r="BT1431" s="352"/>
      <c r="BU1431" s="353"/>
      <c r="BV1431" s="310"/>
      <c r="BW1431" s="310"/>
      <c r="BX1431" s="291">
        <f t="shared" si="102"/>
        <v>0</v>
      </c>
      <c r="BY1431" s="344"/>
      <c r="BZ1431" s="347"/>
      <c r="CA1431" s="347"/>
    </row>
    <row r="1432" spans="1:84" ht="15" hidden="1" customHeight="1" x14ac:dyDescent="0.25">
      <c r="A1432" s="313"/>
      <c r="B1432" s="340"/>
      <c r="C1432" s="341" t="s">
        <v>1512</v>
      </c>
      <c r="D1432" s="342"/>
      <c r="E1432" s="342"/>
      <c r="F1432" s="342"/>
      <c r="G1432" s="342"/>
      <c r="H1432" s="342"/>
      <c r="I1432" s="342"/>
      <c r="J1432" s="342"/>
      <c r="K1432" s="342"/>
      <c r="L1432" s="342"/>
      <c r="M1432" s="342"/>
      <c r="N1432" s="342"/>
      <c r="O1432" s="342"/>
      <c r="P1432" s="342"/>
      <c r="Q1432" s="342"/>
      <c r="R1432" s="342"/>
      <c r="S1432" s="342"/>
      <c r="T1432" s="342"/>
      <c r="U1432" s="342"/>
      <c r="V1432" s="342"/>
      <c r="W1432" s="355"/>
      <c r="X1432" s="355"/>
      <c r="Y1432" s="355"/>
      <c r="Z1432" s="355"/>
      <c r="AA1432" s="355"/>
      <c r="AB1432" s="355"/>
      <c r="AC1432" s="355"/>
      <c r="AD1432" s="355"/>
      <c r="AE1432" s="355"/>
      <c r="AF1432" s="355"/>
      <c r="AG1432" s="355"/>
      <c r="AH1432" s="355"/>
      <c r="AI1432" s="355"/>
      <c r="AJ1432" s="344"/>
      <c r="AK1432" s="345"/>
      <c r="AL1432" s="340"/>
      <c r="AM1432" s="341" t="s">
        <v>1513</v>
      </c>
      <c r="AN1432" s="342"/>
      <c r="AO1432" s="342"/>
      <c r="AP1432" s="342"/>
      <c r="AQ1432" s="342"/>
      <c r="AR1432" s="342"/>
      <c r="AS1432" s="342"/>
      <c r="AT1432" s="342"/>
      <c r="AU1432" s="342"/>
      <c r="AV1432" s="342"/>
      <c r="AW1432" s="342"/>
      <c r="AX1432" s="342"/>
      <c r="AY1432" s="342"/>
      <c r="AZ1432" s="342"/>
      <c r="BA1432" s="342"/>
      <c r="BB1432" s="342"/>
      <c r="BC1432" s="342"/>
      <c r="BD1432" s="342"/>
      <c r="BE1432" s="342"/>
      <c r="BF1432" s="342"/>
      <c r="BG1432" s="355"/>
      <c r="BH1432" s="355"/>
      <c r="BI1432" s="355"/>
      <c r="BJ1432" s="355"/>
      <c r="BK1432" s="355"/>
      <c r="BL1432" s="355"/>
      <c r="BM1432" s="355"/>
      <c r="BN1432" s="355"/>
      <c r="BO1432" s="355"/>
      <c r="BP1432" s="355"/>
      <c r="BQ1432" s="355"/>
      <c r="BR1432" s="355"/>
      <c r="BS1432" s="355"/>
      <c r="BT1432" s="352"/>
      <c r="BU1432" s="353"/>
      <c r="BV1432" s="310"/>
      <c r="BW1432" s="310"/>
      <c r="BX1432" s="291">
        <f t="shared" si="102"/>
        <v>0</v>
      </c>
      <c r="BY1432" s="344"/>
      <c r="BZ1432" s="347"/>
      <c r="CA1432" s="347"/>
    </row>
    <row r="1433" spans="1:84" ht="15" hidden="1" customHeight="1" x14ac:dyDescent="0.25">
      <c r="A1433" s="313"/>
      <c r="B1433" s="340"/>
      <c r="C1433" s="698"/>
      <c r="D1433" s="698"/>
      <c r="E1433" s="698"/>
      <c r="F1433" s="698"/>
      <c r="G1433" s="698"/>
      <c r="H1433" s="698"/>
      <c r="I1433" s="698"/>
      <c r="J1433" s="698"/>
      <c r="K1433" s="698"/>
      <c r="L1433" s="698"/>
      <c r="M1433" s="698"/>
      <c r="N1433" s="698"/>
      <c r="O1433" s="698"/>
      <c r="P1433" s="698"/>
      <c r="Q1433" s="698"/>
      <c r="R1433" s="698"/>
      <c r="S1433" s="698"/>
      <c r="T1433" s="698"/>
      <c r="U1433" s="698"/>
      <c r="V1433" s="698"/>
      <c r="W1433" s="1325" t="str">
        <f>Ky_Nay1_V</f>
        <v>31/12/2017</v>
      </c>
      <c r="X1433" s="1325"/>
      <c r="Y1433" s="1325"/>
      <c r="Z1433" s="1325"/>
      <c r="AA1433" s="1325"/>
      <c r="AB1433" s="1325"/>
      <c r="AC1433" s="357"/>
      <c r="AD1433" s="1325" t="str">
        <f>Ky_Truoc1_V</f>
        <v>01/01/2017</v>
      </c>
      <c r="AE1433" s="1325"/>
      <c r="AF1433" s="1325"/>
      <c r="AG1433" s="1325"/>
      <c r="AH1433" s="1325"/>
      <c r="AI1433" s="1325"/>
      <c r="AJ1433" s="344"/>
      <c r="AK1433" s="345"/>
      <c r="AL1433" s="340"/>
      <c r="AM1433" s="698"/>
      <c r="AN1433" s="698"/>
      <c r="AO1433" s="698"/>
      <c r="AP1433" s="698"/>
      <c r="AQ1433" s="698"/>
      <c r="AR1433" s="698"/>
      <c r="AS1433" s="698"/>
      <c r="AT1433" s="698"/>
      <c r="AU1433" s="698"/>
      <c r="AV1433" s="698"/>
      <c r="AW1433" s="698"/>
      <c r="AX1433" s="698"/>
      <c r="AY1433" s="698"/>
      <c r="AZ1433" s="698"/>
      <c r="BA1433" s="698"/>
      <c r="BB1433" s="698"/>
      <c r="BC1433" s="698"/>
      <c r="BD1433" s="698"/>
      <c r="BE1433" s="698"/>
      <c r="BF1433" s="698"/>
      <c r="BG1433" s="1325" t="str">
        <f>Ky_Nay1_E</f>
        <v>31/12/2017</v>
      </c>
      <c r="BH1433" s="1325"/>
      <c r="BI1433" s="1325"/>
      <c r="BJ1433" s="1325"/>
      <c r="BK1433" s="1325"/>
      <c r="BL1433" s="1325"/>
      <c r="BM1433" s="357"/>
      <c r="BN1433" s="1325" t="str">
        <f>Ky_Truoc1_E</f>
        <v>01/01/2017</v>
      </c>
      <c r="BO1433" s="1325"/>
      <c r="BP1433" s="1325"/>
      <c r="BQ1433" s="1325"/>
      <c r="BR1433" s="1325"/>
      <c r="BS1433" s="1325"/>
      <c r="BT1433" s="352"/>
      <c r="BU1433" s="353"/>
      <c r="BV1433" s="310"/>
      <c r="BW1433" s="310"/>
      <c r="BX1433" s="291">
        <f t="shared" si="102"/>
        <v>0</v>
      </c>
      <c r="BY1433" s="344"/>
      <c r="BZ1433" s="347"/>
      <c r="CA1433" s="347"/>
    </row>
    <row r="1434" spans="1:84" ht="15" hidden="1" customHeight="1" x14ac:dyDescent="0.25">
      <c r="A1434" s="313"/>
      <c r="B1434" s="340"/>
      <c r="C1434" s="698"/>
      <c r="D1434" s="698"/>
      <c r="E1434" s="698"/>
      <c r="F1434" s="698"/>
      <c r="G1434" s="698"/>
      <c r="H1434" s="698"/>
      <c r="I1434" s="698"/>
      <c r="J1434" s="698"/>
      <c r="K1434" s="698"/>
      <c r="L1434" s="698"/>
      <c r="M1434" s="698"/>
      <c r="N1434" s="698"/>
      <c r="O1434" s="698"/>
      <c r="P1434" s="698"/>
      <c r="Q1434" s="698"/>
      <c r="R1434" s="698"/>
      <c r="S1434" s="698"/>
      <c r="T1434" s="698"/>
      <c r="U1434" s="698"/>
      <c r="V1434" s="698"/>
      <c r="W1434" s="1327" t="str">
        <f>Don_Vi_Tinh_V</f>
        <v>VND</v>
      </c>
      <c r="X1434" s="1327"/>
      <c r="Y1434" s="1327"/>
      <c r="Z1434" s="1327"/>
      <c r="AA1434" s="1327"/>
      <c r="AB1434" s="1327"/>
      <c r="AC1434" s="357"/>
      <c r="AD1434" s="1327" t="str">
        <f>Don_Vi_Tinh_V</f>
        <v>VND</v>
      </c>
      <c r="AE1434" s="1327"/>
      <c r="AF1434" s="1327"/>
      <c r="AG1434" s="1327"/>
      <c r="AH1434" s="1327"/>
      <c r="AI1434" s="1327"/>
      <c r="AJ1434" s="344"/>
      <c r="AK1434" s="345"/>
      <c r="AL1434" s="340"/>
      <c r="AM1434" s="698"/>
      <c r="AN1434" s="698"/>
      <c r="AO1434" s="698"/>
      <c r="AP1434" s="698"/>
      <c r="AQ1434" s="698"/>
      <c r="AR1434" s="698"/>
      <c r="AS1434" s="698"/>
      <c r="AT1434" s="698"/>
      <c r="AU1434" s="698"/>
      <c r="AV1434" s="698"/>
      <c r="AW1434" s="698"/>
      <c r="AX1434" s="698"/>
      <c r="AY1434" s="698"/>
      <c r="AZ1434" s="698"/>
      <c r="BA1434" s="698"/>
      <c r="BB1434" s="698"/>
      <c r="BC1434" s="698"/>
      <c r="BD1434" s="698"/>
      <c r="BE1434" s="698"/>
      <c r="BF1434" s="698"/>
      <c r="BG1434" s="1327" t="str">
        <f>Don_Vi_Tinh_E</f>
        <v>VND</v>
      </c>
      <c r="BH1434" s="1327"/>
      <c r="BI1434" s="1327"/>
      <c r="BJ1434" s="1327"/>
      <c r="BK1434" s="1327"/>
      <c r="BL1434" s="1327"/>
      <c r="BM1434" s="357"/>
      <c r="BN1434" s="1327" t="str">
        <f>Don_Vi_Tinh_E</f>
        <v>VND</v>
      </c>
      <c r="BO1434" s="1327"/>
      <c r="BP1434" s="1327"/>
      <c r="BQ1434" s="1327"/>
      <c r="BR1434" s="1327"/>
      <c r="BS1434" s="1327"/>
      <c r="BT1434" s="352"/>
      <c r="BU1434" s="353"/>
      <c r="BV1434" s="310"/>
      <c r="BW1434" s="310"/>
      <c r="BX1434" s="291">
        <f>IF(ISNONTEXT($C1434),0,SUM(D1434:AI1434)-SUM(AN1434:BS1434))</f>
        <v>0</v>
      </c>
      <c r="BY1434" s="344"/>
      <c r="BZ1434" s="347"/>
      <c r="CA1434" s="347"/>
    </row>
    <row r="1435" spans="1:84" ht="15" hidden="1" customHeight="1" x14ac:dyDescent="0.25">
      <c r="A1435" s="313"/>
      <c r="B1435" s="340"/>
      <c r="C1435" s="698"/>
      <c r="D1435" s="698"/>
      <c r="E1435" s="698"/>
      <c r="F1435" s="698"/>
      <c r="G1435" s="698"/>
      <c r="H1435" s="698"/>
      <c r="I1435" s="698"/>
      <c r="J1435" s="698"/>
      <c r="K1435" s="698"/>
      <c r="L1435" s="698"/>
      <c r="M1435" s="698"/>
      <c r="N1435" s="698"/>
      <c r="O1435" s="698"/>
      <c r="P1435" s="698"/>
      <c r="Q1435" s="698"/>
      <c r="R1435" s="698"/>
      <c r="S1435" s="698"/>
      <c r="T1435" s="698"/>
      <c r="U1435" s="698"/>
      <c r="V1435" s="698"/>
      <c r="W1435" s="660"/>
      <c r="X1435" s="660"/>
      <c r="Y1435" s="660"/>
      <c r="Z1435" s="660"/>
      <c r="AA1435" s="660"/>
      <c r="AB1435" s="660"/>
      <c r="AC1435" s="343"/>
      <c r="AD1435" s="660"/>
      <c r="AE1435" s="660"/>
      <c r="AF1435" s="660"/>
      <c r="AG1435" s="660"/>
      <c r="AH1435" s="660"/>
      <c r="AI1435" s="660"/>
      <c r="AJ1435" s="344"/>
      <c r="AK1435" s="345"/>
      <c r="AL1435" s="340"/>
      <c r="AM1435" s="698"/>
      <c r="AN1435" s="698"/>
      <c r="AO1435" s="698"/>
      <c r="AP1435" s="698"/>
      <c r="AQ1435" s="698"/>
      <c r="AR1435" s="698"/>
      <c r="AS1435" s="698"/>
      <c r="AT1435" s="698"/>
      <c r="AU1435" s="698"/>
      <c r="AV1435" s="698"/>
      <c r="AW1435" s="698"/>
      <c r="AX1435" s="698"/>
      <c r="AY1435" s="698"/>
      <c r="AZ1435" s="698"/>
      <c r="BA1435" s="698"/>
      <c r="BB1435" s="698"/>
      <c r="BC1435" s="698"/>
      <c r="BD1435" s="698"/>
      <c r="BE1435" s="698"/>
      <c r="BF1435" s="698"/>
      <c r="BG1435" s="660"/>
      <c r="BH1435" s="660"/>
      <c r="BI1435" s="660"/>
      <c r="BJ1435" s="660"/>
      <c r="BK1435" s="660"/>
      <c r="BL1435" s="660"/>
      <c r="BM1435" s="343"/>
      <c r="BN1435" s="660"/>
      <c r="BO1435" s="660"/>
      <c r="BP1435" s="660"/>
      <c r="BQ1435" s="660"/>
      <c r="BR1435" s="660"/>
      <c r="BS1435" s="660"/>
      <c r="BT1435" s="352"/>
      <c r="BU1435" s="353"/>
      <c r="BV1435" s="310"/>
      <c r="BW1435" s="310"/>
      <c r="BX1435" s="291">
        <f>IF(ISNONTEXT($C1435),0,SUM(D1435:AI1435)-SUM(AN1435:BS1435))</f>
        <v>0</v>
      </c>
      <c r="BY1435" s="344"/>
      <c r="BZ1435" s="347"/>
      <c r="CA1435" s="347"/>
    </row>
    <row r="1436" spans="1:84" ht="15" hidden="1" customHeight="1" x14ac:dyDescent="0.25">
      <c r="A1436" s="313"/>
      <c r="B1436" s="340"/>
      <c r="C1436" s="346" t="s">
        <v>1514</v>
      </c>
      <c r="D1436" s="346"/>
      <c r="E1436" s="346"/>
      <c r="F1436" s="346"/>
      <c r="G1436" s="346"/>
      <c r="H1436" s="346"/>
      <c r="I1436" s="346"/>
      <c r="J1436" s="346"/>
      <c r="K1436" s="346"/>
      <c r="L1436" s="346"/>
      <c r="M1436" s="346"/>
      <c r="N1436" s="346"/>
      <c r="O1436" s="346"/>
      <c r="P1436" s="346"/>
      <c r="Q1436" s="346"/>
      <c r="R1436" s="346"/>
      <c r="S1436" s="346"/>
      <c r="T1436" s="346"/>
      <c r="U1436" s="346"/>
      <c r="V1436" s="346"/>
      <c r="W1436" s="1318">
        <v>0</v>
      </c>
      <c r="X1436" s="1318"/>
      <c r="Y1436" s="1318"/>
      <c r="Z1436" s="1318"/>
      <c r="AA1436" s="1318"/>
      <c r="AB1436" s="1318"/>
      <c r="AC1436" s="355"/>
      <c r="AD1436" s="1318">
        <v>0</v>
      </c>
      <c r="AE1436" s="1318"/>
      <c r="AF1436" s="1318"/>
      <c r="AG1436" s="1318"/>
      <c r="AH1436" s="1318"/>
      <c r="AI1436" s="1318"/>
      <c r="AJ1436" s="344"/>
      <c r="AK1436" s="345"/>
      <c r="AL1436" s="340"/>
      <c r="AM1436" s="346" t="s">
        <v>1515</v>
      </c>
      <c r="AN1436" s="346"/>
      <c r="AO1436" s="346"/>
      <c r="AP1436" s="346"/>
      <c r="AQ1436" s="346"/>
      <c r="AR1436" s="346"/>
      <c r="AS1436" s="346"/>
      <c r="AT1436" s="346"/>
      <c r="AU1436" s="346"/>
      <c r="AV1436" s="346"/>
      <c r="AW1436" s="346"/>
      <c r="AX1436" s="346"/>
      <c r="AY1436" s="346"/>
      <c r="AZ1436" s="346"/>
      <c r="BA1436" s="346"/>
      <c r="BB1436" s="346"/>
      <c r="BC1436" s="346"/>
      <c r="BD1436" s="346"/>
      <c r="BE1436" s="346"/>
      <c r="BF1436" s="346"/>
      <c r="BG1436" s="1318">
        <f>W1436</f>
        <v>0</v>
      </c>
      <c r="BH1436" s="1318"/>
      <c r="BI1436" s="1318"/>
      <c r="BJ1436" s="1318"/>
      <c r="BK1436" s="1318"/>
      <c r="BL1436" s="1318"/>
      <c r="BM1436" s="355"/>
      <c r="BN1436" s="1318">
        <f>AD1436</f>
        <v>0</v>
      </c>
      <c r="BO1436" s="1318"/>
      <c r="BP1436" s="1318"/>
      <c r="BQ1436" s="1318"/>
      <c r="BR1436" s="1318"/>
      <c r="BS1436" s="1318"/>
      <c r="BT1436" s="352"/>
      <c r="BU1436" s="353"/>
      <c r="BV1436" s="310"/>
      <c r="BW1436" s="310"/>
      <c r="BX1436" s="291">
        <f t="shared" si="102"/>
        <v>0</v>
      </c>
      <c r="BY1436" s="344"/>
      <c r="BZ1436" s="347"/>
      <c r="CA1436" s="347"/>
    </row>
    <row r="1437" spans="1:84" ht="15" hidden="1" customHeight="1" x14ac:dyDescent="0.25">
      <c r="A1437" s="313"/>
      <c r="B1437" s="340"/>
      <c r="C1437" s="346" t="s">
        <v>1516</v>
      </c>
      <c r="D1437" s="346"/>
      <c r="E1437" s="346"/>
      <c r="F1437" s="346"/>
      <c r="G1437" s="346"/>
      <c r="H1437" s="346"/>
      <c r="I1437" s="346"/>
      <c r="J1437" s="346"/>
      <c r="K1437" s="346"/>
      <c r="L1437" s="346"/>
      <c r="M1437" s="346"/>
      <c r="N1437" s="346"/>
      <c r="O1437" s="346"/>
      <c r="P1437" s="346"/>
      <c r="Q1437" s="346"/>
      <c r="R1437" s="346"/>
      <c r="S1437" s="346"/>
      <c r="T1437" s="346"/>
      <c r="U1437" s="346"/>
      <c r="V1437" s="346"/>
      <c r="W1437" s="1318">
        <v>0</v>
      </c>
      <c r="X1437" s="1318"/>
      <c r="Y1437" s="1318"/>
      <c r="Z1437" s="1318"/>
      <c r="AA1437" s="1318"/>
      <c r="AB1437" s="1318"/>
      <c r="AC1437" s="665"/>
      <c r="AD1437" s="1318">
        <v>0</v>
      </c>
      <c r="AE1437" s="1318"/>
      <c r="AF1437" s="1318"/>
      <c r="AG1437" s="1318"/>
      <c r="AH1437" s="1318"/>
      <c r="AI1437" s="1318"/>
      <c r="AJ1437" s="344"/>
      <c r="AK1437" s="345"/>
      <c r="AL1437" s="340"/>
      <c r="AM1437" s="346" t="s">
        <v>1517</v>
      </c>
      <c r="AN1437" s="346"/>
      <c r="AO1437" s="346"/>
      <c r="AP1437" s="346"/>
      <c r="AQ1437" s="346"/>
      <c r="AR1437" s="346"/>
      <c r="AS1437" s="346"/>
      <c r="AT1437" s="346"/>
      <c r="AU1437" s="346"/>
      <c r="AV1437" s="346"/>
      <c r="AW1437" s="346"/>
      <c r="AX1437" s="346"/>
      <c r="AY1437" s="346"/>
      <c r="AZ1437" s="346"/>
      <c r="BA1437" s="346"/>
      <c r="BB1437" s="346"/>
      <c r="BC1437" s="346"/>
      <c r="BD1437" s="346"/>
      <c r="BE1437" s="346"/>
      <c r="BF1437" s="346"/>
      <c r="BG1437" s="1318">
        <f>W1437</f>
        <v>0</v>
      </c>
      <c r="BH1437" s="1318"/>
      <c r="BI1437" s="1318"/>
      <c r="BJ1437" s="1318"/>
      <c r="BK1437" s="1318"/>
      <c r="BL1437" s="1318"/>
      <c r="BM1437" s="665"/>
      <c r="BN1437" s="1318">
        <f>AD1437</f>
        <v>0</v>
      </c>
      <c r="BO1437" s="1318"/>
      <c r="BP1437" s="1318"/>
      <c r="BQ1437" s="1318"/>
      <c r="BR1437" s="1318"/>
      <c r="BS1437" s="1318"/>
      <c r="BT1437" s="352"/>
      <c r="BU1437" s="353"/>
      <c r="BV1437" s="310"/>
      <c r="BW1437" s="310"/>
      <c r="BX1437" s="291">
        <f t="shared" si="102"/>
        <v>0</v>
      </c>
      <c r="BY1437" s="344"/>
      <c r="BZ1437" s="347"/>
      <c r="CA1437" s="347"/>
    </row>
    <row r="1438" spans="1:84" ht="15" hidden="1" customHeight="1" x14ac:dyDescent="0.25">
      <c r="A1438" s="313"/>
      <c r="B1438" s="340"/>
      <c r="C1438" s="1394" t="s">
        <v>1518</v>
      </c>
      <c r="D1438" s="1395"/>
      <c r="E1438" s="1395"/>
      <c r="F1438" s="1395"/>
      <c r="G1438" s="1395"/>
      <c r="H1438" s="1395"/>
      <c r="I1438" s="1395"/>
      <c r="J1438" s="1395"/>
      <c r="K1438" s="1395"/>
      <c r="L1438" s="1395"/>
      <c r="M1438" s="1395"/>
      <c r="N1438" s="1395"/>
      <c r="O1438" s="1395"/>
      <c r="P1438" s="1395"/>
      <c r="Q1438" s="1395"/>
      <c r="R1438" s="1395"/>
      <c r="S1438" s="1395"/>
      <c r="T1438" s="1395"/>
      <c r="U1438" s="1395"/>
      <c r="V1438" s="1395"/>
      <c r="W1438" s="1395"/>
      <c r="X1438" s="1395"/>
      <c r="Y1438" s="1395"/>
      <c r="Z1438" s="1395"/>
      <c r="AA1438" s="1395"/>
      <c r="AB1438" s="1395"/>
      <c r="AC1438" s="1395"/>
      <c r="AD1438" s="1395"/>
      <c r="AE1438" s="1395"/>
      <c r="AF1438" s="1395"/>
      <c r="AG1438" s="1395"/>
      <c r="AH1438" s="1395"/>
      <c r="AI1438" s="1395"/>
      <c r="AJ1438" s="344"/>
      <c r="AK1438" s="345"/>
      <c r="AL1438" s="340"/>
      <c r="AM1438" s="1394" t="s">
        <v>1519</v>
      </c>
      <c r="AN1438" s="1395"/>
      <c r="AO1438" s="1395"/>
      <c r="AP1438" s="1395"/>
      <c r="AQ1438" s="1395"/>
      <c r="AR1438" s="1395"/>
      <c r="AS1438" s="1395"/>
      <c r="AT1438" s="1395"/>
      <c r="AU1438" s="1395"/>
      <c r="AV1438" s="1395"/>
      <c r="AW1438" s="1395"/>
      <c r="AX1438" s="1395"/>
      <c r="AY1438" s="1395"/>
      <c r="AZ1438" s="1395"/>
      <c r="BA1438" s="1395"/>
      <c r="BB1438" s="1395"/>
      <c r="BC1438" s="1395"/>
      <c r="BD1438" s="1395"/>
      <c r="BE1438" s="1395"/>
      <c r="BF1438" s="1395"/>
      <c r="BG1438" s="1395"/>
      <c r="BH1438" s="1395"/>
      <c r="BI1438" s="1395"/>
      <c r="BJ1438" s="1395"/>
      <c r="BK1438" s="1395"/>
      <c r="BL1438" s="1395"/>
      <c r="BM1438" s="1395"/>
      <c r="BN1438" s="1395"/>
      <c r="BO1438" s="1395"/>
      <c r="BP1438" s="1395"/>
      <c r="BQ1438" s="1395"/>
      <c r="BR1438" s="1395"/>
      <c r="BS1438" s="1395"/>
      <c r="BT1438" s="352"/>
      <c r="BU1438" s="353"/>
      <c r="BV1438" s="310"/>
      <c r="BW1438" s="310"/>
      <c r="BX1438" s="291">
        <f t="shared" si="102"/>
        <v>0</v>
      </c>
      <c r="BY1438" s="344"/>
      <c r="BZ1438" s="347"/>
      <c r="CA1438" s="347"/>
    </row>
    <row r="1439" spans="1:84" ht="15" hidden="1" customHeight="1" x14ac:dyDescent="0.25">
      <c r="A1439" s="313"/>
      <c r="B1439" s="340"/>
      <c r="C1439" s="687"/>
      <c r="D1439" s="688"/>
      <c r="E1439" s="688"/>
      <c r="F1439" s="688"/>
      <c r="G1439" s="688"/>
      <c r="H1439" s="688"/>
      <c r="I1439" s="688"/>
      <c r="J1439" s="688"/>
      <c r="K1439" s="688"/>
      <c r="L1439" s="688"/>
      <c r="M1439" s="688"/>
      <c r="N1439" s="688"/>
      <c r="O1439" s="688"/>
      <c r="P1439" s="688"/>
      <c r="Q1439" s="688"/>
      <c r="R1439" s="688"/>
      <c r="S1439" s="688"/>
      <c r="T1439" s="688"/>
      <c r="U1439" s="688"/>
      <c r="V1439" s="688"/>
      <c r="W1439" s="688"/>
      <c r="X1439" s="688"/>
      <c r="Y1439" s="688"/>
      <c r="Z1439" s="688"/>
      <c r="AA1439" s="688"/>
      <c r="AB1439" s="688"/>
      <c r="AC1439" s="688"/>
      <c r="AD1439" s="688"/>
      <c r="AE1439" s="688"/>
      <c r="AF1439" s="688"/>
      <c r="AG1439" s="688"/>
      <c r="AH1439" s="688"/>
      <c r="AI1439" s="688"/>
      <c r="AJ1439" s="344"/>
      <c r="AK1439" s="345"/>
      <c r="AL1439" s="340"/>
      <c r="AM1439" s="687"/>
      <c r="AN1439" s="688"/>
      <c r="AO1439" s="688"/>
      <c r="AP1439" s="688"/>
      <c r="AQ1439" s="688"/>
      <c r="AR1439" s="688"/>
      <c r="AS1439" s="688"/>
      <c r="AT1439" s="688"/>
      <c r="AU1439" s="688"/>
      <c r="AV1439" s="688"/>
      <c r="AW1439" s="688"/>
      <c r="AX1439" s="688"/>
      <c r="AY1439" s="688"/>
      <c r="AZ1439" s="688"/>
      <c r="BA1439" s="688"/>
      <c r="BB1439" s="688"/>
      <c r="BC1439" s="688"/>
      <c r="BD1439" s="688"/>
      <c r="BE1439" s="688"/>
      <c r="BF1439" s="688"/>
      <c r="BG1439" s="688"/>
      <c r="BH1439" s="688"/>
      <c r="BI1439" s="688"/>
      <c r="BJ1439" s="688"/>
      <c r="BK1439" s="688"/>
      <c r="BL1439" s="688"/>
      <c r="BM1439" s="688"/>
      <c r="BN1439" s="688"/>
      <c r="BO1439" s="688"/>
      <c r="BP1439" s="688"/>
      <c r="BQ1439" s="688"/>
      <c r="BR1439" s="688"/>
      <c r="BS1439" s="688"/>
      <c r="BT1439" s="352"/>
      <c r="BU1439" s="353"/>
      <c r="BV1439" s="310"/>
      <c r="BW1439" s="310"/>
      <c r="BX1439" s="291">
        <f t="shared" si="102"/>
        <v>0</v>
      </c>
      <c r="BY1439" s="344"/>
      <c r="BZ1439" s="347"/>
      <c r="CA1439" s="347"/>
    </row>
    <row r="1440" spans="1:84" ht="15" customHeight="1" x14ac:dyDescent="0.25">
      <c r="A1440" s="313"/>
      <c r="B1440" s="340"/>
      <c r="C1440" s="550" t="s">
        <v>1520</v>
      </c>
      <c r="D1440" s="698"/>
      <c r="E1440" s="698"/>
      <c r="F1440" s="698"/>
      <c r="G1440" s="698"/>
      <c r="H1440" s="698"/>
      <c r="I1440" s="698"/>
      <c r="J1440" s="698"/>
      <c r="K1440" s="698"/>
      <c r="L1440" s="698"/>
      <c r="M1440" s="698"/>
      <c r="N1440" s="698"/>
      <c r="O1440" s="698"/>
      <c r="P1440" s="698"/>
      <c r="Q1440" s="698"/>
      <c r="R1440" s="698"/>
      <c r="S1440" s="698"/>
      <c r="T1440" s="698"/>
      <c r="U1440" s="698"/>
      <c r="V1440" s="698"/>
      <c r="W1440" s="698"/>
      <c r="X1440" s="698"/>
      <c r="Y1440" s="698"/>
      <c r="Z1440" s="698"/>
      <c r="AA1440" s="698"/>
      <c r="AB1440" s="698"/>
      <c r="AC1440" s="698"/>
      <c r="AD1440" s="698"/>
      <c r="AE1440" s="698"/>
      <c r="AF1440" s="698"/>
      <c r="AG1440" s="698"/>
      <c r="AH1440" s="698"/>
      <c r="AI1440" s="698"/>
      <c r="AJ1440" s="344"/>
      <c r="AK1440" s="345"/>
      <c r="AL1440" s="340"/>
      <c r="AM1440" s="550" t="s">
        <v>1521</v>
      </c>
      <c r="AN1440" s="698"/>
      <c r="AO1440" s="698"/>
      <c r="AP1440" s="698"/>
      <c r="AQ1440" s="698"/>
      <c r="AR1440" s="698"/>
      <c r="AS1440" s="698"/>
      <c r="AT1440" s="698"/>
      <c r="AU1440" s="698"/>
      <c r="AV1440" s="698"/>
      <c r="AW1440" s="698"/>
      <c r="AX1440" s="698"/>
      <c r="AY1440" s="698"/>
      <c r="AZ1440" s="698"/>
      <c r="BA1440" s="698"/>
      <c r="BB1440" s="698"/>
      <c r="BC1440" s="698"/>
      <c r="BD1440" s="698"/>
      <c r="BE1440" s="698"/>
      <c r="BF1440" s="698"/>
      <c r="BG1440" s="698"/>
      <c r="BH1440" s="698"/>
      <c r="BI1440" s="698"/>
      <c r="BJ1440" s="698"/>
      <c r="BK1440" s="698"/>
      <c r="BL1440" s="698"/>
      <c r="BM1440" s="698"/>
      <c r="BN1440" s="698"/>
      <c r="BO1440" s="698"/>
      <c r="BP1440" s="698"/>
      <c r="BQ1440" s="698"/>
      <c r="BR1440" s="698"/>
      <c r="BS1440" s="698"/>
      <c r="BT1440" s="352"/>
      <c r="BU1440" s="353"/>
      <c r="BV1440" s="310"/>
      <c r="BW1440" s="310"/>
      <c r="BX1440" s="291">
        <f t="shared" si="102"/>
        <v>0</v>
      </c>
      <c r="BY1440" s="344"/>
      <c r="BZ1440" s="347"/>
      <c r="CA1440" s="347"/>
    </row>
    <row r="1441" spans="1:79" ht="27.95" hidden="1" customHeight="1" x14ac:dyDescent="0.25">
      <c r="A1441" s="313"/>
      <c r="B1441" s="340"/>
      <c r="C1441" s="1394" t="s">
        <v>1522</v>
      </c>
      <c r="D1441" s="1395"/>
      <c r="E1441" s="1395"/>
      <c r="F1441" s="1395"/>
      <c r="G1441" s="1395"/>
      <c r="H1441" s="1395"/>
      <c r="I1441" s="1395"/>
      <c r="J1441" s="1395"/>
      <c r="K1441" s="1395"/>
      <c r="L1441" s="1395"/>
      <c r="M1441" s="1395"/>
      <c r="N1441" s="1395"/>
      <c r="O1441" s="1395"/>
      <c r="P1441" s="1395"/>
      <c r="Q1441" s="1395"/>
      <c r="R1441" s="1395"/>
      <c r="S1441" s="1395"/>
      <c r="T1441" s="1395"/>
      <c r="U1441" s="1395"/>
      <c r="V1441" s="1395"/>
      <c r="W1441" s="1395"/>
      <c r="X1441" s="1395"/>
      <c r="Y1441" s="1395"/>
      <c r="Z1441" s="1395"/>
      <c r="AA1441" s="1395"/>
      <c r="AB1441" s="1395"/>
      <c r="AC1441" s="1395"/>
      <c r="AD1441" s="1395"/>
      <c r="AE1441" s="1395"/>
      <c r="AF1441" s="1395"/>
      <c r="AG1441" s="1395"/>
      <c r="AH1441" s="1395"/>
      <c r="AI1441" s="1395"/>
      <c r="AJ1441" s="344"/>
      <c r="AK1441" s="345"/>
      <c r="AL1441" s="340"/>
      <c r="AM1441" s="1394" t="s">
        <v>1523</v>
      </c>
      <c r="AN1441" s="1395"/>
      <c r="AO1441" s="1395"/>
      <c r="AP1441" s="1395"/>
      <c r="AQ1441" s="1395"/>
      <c r="AR1441" s="1395"/>
      <c r="AS1441" s="1395"/>
      <c r="AT1441" s="1395"/>
      <c r="AU1441" s="1395"/>
      <c r="AV1441" s="1395"/>
      <c r="AW1441" s="1395"/>
      <c r="AX1441" s="1395"/>
      <c r="AY1441" s="1395"/>
      <c r="AZ1441" s="1395"/>
      <c r="BA1441" s="1395"/>
      <c r="BB1441" s="1395"/>
      <c r="BC1441" s="1395"/>
      <c r="BD1441" s="1395"/>
      <c r="BE1441" s="1395"/>
      <c r="BF1441" s="1395"/>
      <c r="BG1441" s="1395"/>
      <c r="BH1441" s="1395"/>
      <c r="BI1441" s="1395"/>
      <c r="BJ1441" s="1395"/>
      <c r="BK1441" s="1395"/>
      <c r="BL1441" s="1395"/>
      <c r="BM1441" s="1395"/>
      <c r="BN1441" s="1395"/>
      <c r="BO1441" s="1395"/>
      <c r="BP1441" s="1395"/>
      <c r="BQ1441" s="1395"/>
      <c r="BR1441" s="1395"/>
      <c r="BS1441" s="1395"/>
      <c r="BT1441" s="352"/>
      <c r="BU1441" s="353"/>
      <c r="BV1441" s="310"/>
      <c r="BW1441" s="310"/>
      <c r="BX1441" s="291">
        <f t="shared" si="102"/>
        <v>0</v>
      </c>
      <c r="BY1441" s="344"/>
      <c r="BZ1441" s="347"/>
      <c r="CA1441" s="347"/>
    </row>
    <row r="1442" spans="1:79" ht="15" hidden="1" customHeight="1" x14ac:dyDescent="0.25">
      <c r="A1442" s="313"/>
      <c r="B1442" s="340"/>
      <c r="C1442" s="699"/>
      <c r="D1442" s="698"/>
      <c r="E1442" s="698"/>
      <c r="F1442" s="698"/>
      <c r="G1442" s="698"/>
      <c r="H1442" s="698"/>
      <c r="I1442" s="698"/>
      <c r="J1442" s="698"/>
      <c r="K1442" s="698"/>
      <c r="L1442" s="698"/>
      <c r="M1442" s="698"/>
      <c r="N1442" s="698"/>
      <c r="O1442" s="698"/>
      <c r="P1442" s="698"/>
      <c r="Q1442" s="698"/>
      <c r="R1442" s="698"/>
      <c r="S1442" s="698"/>
      <c r="T1442" s="698"/>
      <c r="U1442" s="698"/>
      <c r="V1442" s="698"/>
      <c r="W1442" s="698"/>
      <c r="X1442" s="698"/>
      <c r="Y1442" s="698"/>
      <c r="Z1442" s="698"/>
      <c r="AA1442" s="698"/>
      <c r="AB1442" s="698"/>
      <c r="AC1442" s="698"/>
      <c r="AD1442" s="698"/>
      <c r="AE1442" s="698"/>
      <c r="AF1442" s="698"/>
      <c r="AG1442" s="698"/>
      <c r="AH1442" s="698"/>
      <c r="AI1442" s="698"/>
      <c r="AJ1442" s="344"/>
      <c r="AK1442" s="345"/>
      <c r="AL1442" s="340"/>
      <c r="AM1442" s="699"/>
      <c r="AN1442" s="698"/>
      <c r="AO1442" s="698"/>
      <c r="AP1442" s="698"/>
      <c r="AQ1442" s="698"/>
      <c r="AR1442" s="698"/>
      <c r="AS1442" s="698"/>
      <c r="AT1442" s="698"/>
      <c r="AU1442" s="698"/>
      <c r="AV1442" s="698"/>
      <c r="AW1442" s="698"/>
      <c r="AX1442" s="698"/>
      <c r="AY1442" s="698"/>
      <c r="AZ1442" s="698"/>
      <c r="BA1442" s="698"/>
      <c r="BB1442" s="698"/>
      <c r="BC1442" s="698"/>
      <c r="BD1442" s="698"/>
      <c r="BE1442" s="698"/>
      <c r="BF1442" s="698"/>
      <c r="BG1442" s="698"/>
      <c r="BH1442" s="698"/>
      <c r="BI1442" s="698"/>
      <c r="BJ1442" s="698"/>
      <c r="BK1442" s="698"/>
      <c r="BL1442" s="698"/>
      <c r="BM1442" s="698"/>
      <c r="BN1442" s="698"/>
      <c r="BO1442" s="698"/>
      <c r="BP1442" s="698"/>
      <c r="BQ1442" s="698"/>
      <c r="BR1442" s="698"/>
      <c r="BS1442" s="698"/>
      <c r="BT1442" s="352"/>
      <c r="BU1442" s="353"/>
      <c r="BV1442" s="310"/>
      <c r="BW1442" s="310"/>
      <c r="BX1442" s="291">
        <f t="shared" si="102"/>
        <v>0</v>
      </c>
      <c r="BY1442" s="344"/>
      <c r="BZ1442" s="347"/>
      <c r="CA1442" s="347"/>
    </row>
    <row r="1443" spans="1:79" ht="15" customHeight="1" x14ac:dyDescent="0.25">
      <c r="A1443" s="313"/>
      <c r="B1443" s="340"/>
      <c r="C1443" s="699"/>
      <c r="D1443" s="698"/>
      <c r="E1443" s="698"/>
      <c r="F1443" s="698"/>
      <c r="G1443" s="698"/>
      <c r="H1443" s="698"/>
      <c r="I1443" s="698"/>
      <c r="J1443" s="698"/>
      <c r="K1443" s="698"/>
      <c r="L1443" s="698"/>
      <c r="M1443" s="698"/>
      <c r="N1443" s="698"/>
      <c r="O1443" s="698"/>
      <c r="P1443" s="698"/>
      <c r="Q1443" s="698"/>
      <c r="R1443" s="698"/>
      <c r="S1443" s="698"/>
      <c r="T1443" s="698"/>
      <c r="U1443" s="698"/>
      <c r="V1443" s="698"/>
      <c r="W1443" s="1325" t="str">
        <f>Ky_Nay1_V</f>
        <v>31/12/2017</v>
      </c>
      <c r="X1443" s="1325"/>
      <c r="Y1443" s="1325"/>
      <c r="Z1443" s="1325"/>
      <c r="AA1443" s="1325"/>
      <c r="AB1443" s="1325"/>
      <c r="AC1443" s="357"/>
      <c r="AD1443" s="1325" t="str">
        <f>Ky_Truoc1_V</f>
        <v>01/01/2017</v>
      </c>
      <c r="AE1443" s="1325"/>
      <c r="AF1443" s="1325"/>
      <c r="AG1443" s="1325"/>
      <c r="AH1443" s="1325"/>
      <c r="AI1443" s="1325"/>
      <c r="AJ1443" s="344"/>
      <c r="AK1443" s="345"/>
      <c r="AL1443" s="340"/>
      <c r="AM1443" s="699"/>
      <c r="AN1443" s="698"/>
      <c r="AO1443" s="698"/>
      <c r="AP1443" s="698"/>
      <c r="AQ1443" s="698"/>
      <c r="AR1443" s="698"/>
      <c r="AS1443" s="698"/>
      <c r="AT1443" s="698"/>
      <c r="AU1443" s="698"/>
      <c r="AV1443" s="698"/>
      <c r="AW1443" s="698"/>
      <c r="AX1443" s="698"/>
      <c r="AY1443" s="698"/>
      <c r="AZ1443" s="698"/>
      <c r="BA1443" s="698"/>
      <c r="BB1443" s="698"/>
      <c r="BC1443" s="698"/>
      <c r="BD1443" s="698"/>
      <c r="BE1443" s="698"/>
      <c r="BF1443" s="698"/>
      <c r="BG1443" s="1325" t="str">
        <f>Ky_Nay1_E</f>
        <v>31/12/2017</v>
      </c>
      <c r="BH1443" s="1325"/>
      <c r="BI1443" s="1325"/>
      <c r="BJ1443" s="1325"/>
      <c r="BK1443" s="1325"/>
      <c r="BL1443" s="1325"/>
      <c r="BM1443" s="357"/>
      <c r="BN1443" s="1325" t="str">
        <f>Ky_Truoc1_E</f>
        <v>01/01/2017</v>
      </c>
      <c r="BO1443" s="1325"/>
      <c r="BP1443" s="1325"/>
      <c r="BQ1443" s="1325"/>
      <c r="BR1443" s="1325"/>
      <c r="BS1443" s="1325"/>
      <c r="BT1443" s="352"/>
      <c r="BU1443" s="353"/>
      <c r="BV1443" s="310"/>
      <c r="BW1443" s="310"/>
      <c r="BX1443" s="291">
        <f t="shared" si="102"/>
        <v>0</v>
      </c>
      <c r="BY1443" s="344"/>
      <c r="BZ1443" s="347"/>
      <c r="CA1443" s="347"/>
    </row>
    <row r="1444" spans="1:79" ht="12.95" customHeight="1" x14ac:dyDescent="0.25">
      <c r="A1444" s="313"/>
      <c r="B1444" s="340"/>
      <c r="C1444" s="699"/>
      <c r="D1444" s="698"/>
      <c r="E1444" s="698"/>
      <c r="F1444" s="698"/>
      <c r="G1444" s="698"/>
      <c r="H1444" s="698"/>
      <c r="I1444" s="698"/>
      <c r="J1444" s="698"/>
      <c r="K1444" s="698"/>
      <c r="L1444" s="698"/>
      <c r="M1444" s="698"/>
      <c r="N1444" s="698"/>
      <c r="O1444" s="698"/>
      <c r="P1444" s="698"/>
      <c r="Q1444" s="698"/>
      <c r="R1444" s="698"/>
      <c r="S1444" s="698"/>
      <c r="T1444" s="698"/>
      <c r="U1444" s="698"/>
      <c r="V1444" s="698"/>
      <c r="W1444" s="698"/>
      <c r="X1444" s="698"/>
      <c r="Y1444" s="698"/>
      <c r="Z1444" s="698"/>
      <c r="AA1444" s="698"/>
      <c r="AB1444" s="698"/>
      <c r="AC1444" s="698"/>
      <c r="AD1444" s="698"/>
      <c r="AE1444" s="698"/>
      <c r="AF1444" s="698"/>
      <c r="AG1444" s="698"/>
      <c r="AH1444" s="698"/>
      <c r="AI1444" s="698"/>
      <c r="AJ1444" s="344"/>
      <c r="AK1444" s="345"/>
      <c r="AL1444" s="340"/>
      <c r="AM1444" s="699"/>
      <c r="AN1444" s="698"/>
      <c r="AO1444" s="698"/>
      <c r="AP1444" s="698"/>
      <c r="AQ1444" s="698"/>
      <c r="AR1444" s="698"/>
      <c r="AS1444" s="698"/>
      <c r="AT1444" s="698"/>
      <c r="AU1444" s="698"/>
      <c r="AV1444" s="698"/>
      <c r="AW1444" s="698"/>
      <c r="AX1444" s="698"/>
      <c r="AY1444" s="698"/>
      <c r="AZ1444" s="698"/>
      <c r="BA1444" s="698"/>
      <c r="BB1444" s="698"/>
      <c r="BC1444" s="698"/>
      <c r="BD1444" s="698"/>
      <c r="BE1444" s="698"/>
      <c r="BF1444" s="698"/>
      <c r="BG1444" s="698"/>
      <c r="BH1444" s="698"/>
      <c r="BI1444" s="698"/>
      <c r="BJ1444" s="698"/>
      <c r="BK1444" s="698"/>
      <c r="BL1444" s="698"/>
      <c r="BM1444" s="698"/>
      <c r="BN1444" s="698"/>
      <c r="BO1444" s="698"/>
      <c r="BP1444" s="698"/>
      <c r="BQ1444" s="698"/>
      <c r="BR1444" s="698"/>
      <c r="BS1444" s="698"/>
      <c r="BT1444" s="352"/>
      <c r="BU1444" s="353"/>
      <c r="BV1444" s="310"/>
      <c r="BW1444" s="310"/>
      <c r="BX1444" s="291">
        <f t="shared" si="102"/>
        <v>0</v>
      </c>
      <c r="BY1444" s="344"/>
      <c r="BZ1444" s="347"/>
      <c r="CA1444" s="347"/>
    </row>
    <row r="1445" spans="1:79" ht="15" customHeight="1" x14ac:dyDescent="0.25">
      <c r="A1445" s="313"/>
      <c r="B1445" s="340"/>
      <c r="C1445" s="698" t="s">
        <v>1524</v>
      </c>
      <c r="D1445" s="698"/>
      <c r="E1445" s="698"/>
      <c r="F1445" s="698"/>
      <c r="G1445" s="698"/>
      <c r="H1445" s="698"/>
      <c r="I1445" s="698"/>
      <c r="J1445" s="698"/>
      <c r="K1445" s="698"/>
      <c r="L1445" s="698"/>
      <c r="M1445" s="698"/>
      <c r="N1445" s="698"/>
      <c r="O1445" s="698"/>
      <c r="P1445" s="698"/>
      <c r="Q1445" s="698"/>
      <c r="R1445" s="698"/>
      <c r="S1445" s="698"/>
      <c r="T1445" s="698"/>
      <c r="U1445" s="698"/>
      <c r="V1445" s="698"/>
      <c r="W1445" s="1397">
        <v>4423.82</v>
      </c>
      <c r="X1445" s="1397"/>
      <c r="Y1445" s="1397"/>
      <c r="Z1445" s="1397"/>
      <c r="AA1445" s="1397"/>
      <c r="AB1445" s="1397"/>
      <c r="AC1445" s="700"/>
      <c r="AD1445" s="1396">
        <v>4434.82</v>
      </c>
      <c r="AE1445" s="1396"/>
      <c r="AF1445" s="1396"/>
      <c r="AG1445" s="1396"/>
      <c r="AH1445" s="1396"/>
      <c r="AI1445" s="1396"/>
      <c r="AJ1445" s="344"/>
      <c r="AK1445" s="345"/>
      <c r="AL1445" s="340"/>
      <c r="AM1445" s="698" t="s">
        <v>1524</v>
      </c>
      <c r="AN1445" s="698"/>
      <c r="AO1445" s="698"/>
      <c r="AP1445" s="698"/>
      <c r="AQ1445" s="698"/>
      <c r="AR1445" s="698"/>
      <c r="AS1445" s="698"/>
      <c r="AT1445" s="698"/>
      <c r="AU1445" s="698"/>
      <c r="AV1445" s="698"/>
      <c r="AW1445" s="698"/>
      <c r="AX1445" s="698"/>
      <c r="AY1445" s="698"/>
      <c r="AZ1445" s="698"/>
      <c r="BA1445" s="698"/>
      <c r="BB1445" s="698"/>
      <c r="BC1445" s="698"/>
      <c r="BD1445" s="698"/>
      <c r="BE1445" s="698"/>
      <c r="BF1445" s="698"/>
      <c r="BG1445" s="1396">
        <f t="shared" ref="BG1445:BG1450" si="103">W1445</f>
        <v>4423.82</v>
      </c>
      <c r="BH1445" s="1396"/>
      <c r="BI1445" s="1396"/>
      <c r="BJ1445" s="1396"/>
      <c r="BK1445" s="1396"/>
      <c r="BL1445" s="1396"/>
      <c r="BM1445" s="698"/>
      <c r="BN1445" s="1396">
        <f t="shared" ref="BN1445:BN1450" si="104">AD1445</f>
        <v>4434.82</v>
      </c>
      <c r="BO1445" s="1396"/>
      <c r="BP1445" s="1396"/>
      <c r="BQ1445" s="1396"/>
      <c r="BR1445" s="1396"/>
      <c r="BS1445" s="1396"/>
      <c r="BT1445" s="352"/>
      <c r="BU1445" s="353"/>
      <c r="BV1445" s="310"/>
      <c r="BW1445" s="310"/>
      <c r="BX1445" s="291">
        <f t="shared" si="102"/>
        <v>0</v>
      </c>
      <c r="BY1445" s="344"/>
      <c r="BZ1445" s="347"/>
      <c r="CA1445" s="347"/>
    </row>
    <row r="1446" spans="1:79" ht="15" hidden="1" customHeight="1" x14ac:dyDescent="0.25">
      <c r="A1446" s="313"/>
      <c r="B1446" s="340"/>
      <c r="C1446" s="698" t="s">
        <v>1525</v>
      </c>
      <c r="D1446" s="698"/>
      <c r="E1446" s="698"/>
      <c r="F1446" s="698"/>
      <c r="G1446" s="698"/>
      <c r="H1446" s="698"/>
      <c r="I1446" s="698"/>
      <c r="J1446" s="698"/>
      <c r="K1446" s="698"/>
      <c r="L1446" s="698"/>
      <c r="M1446" s="698"/>
      <c r="N1446" s="698"/>
      <c r="O1446" s="698"/>
      <c r="P1446" s="698"/>
      <c r="Q1446" s="698"/>
      <c r="R1446" s="698"/>
      <c r="S1446" s="698"/>
      <c r="T1446" s="698"/>
      <c r="U1446" s="698"/>
      <c r="V1446" s="698"/>
      <c r="W1446" s="1396">
        <v>1</v>
      </c>
      <c r="X1446" s="1396"/>
      <c r="Y1446" s="1396"/>
      <c r="Z1446" s="1396"/>
      <c r="AA1446" s="1396"/>
      <c r="AB1446" s="1396"/>
      <c r="AC1446" s="700"/>
      <c r="AD1446" s="1396">
        <v>0</v>
      </c>
      <c r="AE1446" s="1396"/>
      <c r="AF1446" s="1396"/>
      <c r="AG1446" s="1396"/>
      <c r="AH1446" s="1396"/>
      <c r="AI1446" s="1396"/>
      <c r="AJ1446" s="344"/>
      <c r="AK1446" s="345"/>
      <c r="AL1446" s="340"/>
      <c r="AM1446" s="698" t="s">
        <v>1525</v>
      </c>
      <c r="AN1446" s="698"/>
      <c r="AO1446" s="698"/>
      <c r="AP1446" s="698"/>
      <c r="AQ1446" s="698"/>
      <c r="AR1446" s="698"/>
      <c r="AS1446" s="698"/>
      <c r="AT1446" s="698"/>
      <c r="AU1446" s="698"/>
      <c r="AV1446" s="698"/>
      <c r="AW1446" s="698"/>
      <c r="AX1446" s="698"/>
      <c r="AY1446" s="698"/>
      <c r="AZ1446" s="698"/>
      <c r="BA1446" s="698"/>
      <c r="BB1446" s="698"/>
      <c r="BC1446" s="698"/>
      <c r="BD1446" s="698"/>
      <c r="BE1446" s="698"/>
      <c r="BF1446" s="698"/>
      <c r="BG1446" s="1396">
        <f t="shared" si="103"/>
        <v>1</v>
      </c>
      <c r="BH1446" s="1396"/>
      <c r="BI1446" s="1396"/>
      <c r="BJ1446" s="1396"/>
      <c r="BK1446" s="1396"/>
      <c r="BL1446" s="1396"/>
      <c r="BM1446" s="698"/>
      <c r="BN1446" s="1396">
        <f t="shared" si="104"/>
        <v>0</v>
      </c>
      <c r="BO1446" s="1396"/>
      <c r="BP1446" s="1396"/>
      <c r="BQ1446" s="1396"/>
      <c r="BR1446" s="1396"/>
      <c r="BS1446" s="1396"/>
      <c r="BT1446" s="352"/>
      <c r="BU1446" s="353"/>
      <c r="BV1446" s="310"/>
      <c r="BW1446" s="310"/>
      <c r="BX1446" s="291">
        <f t="shared" si="102"/>
        <v>0</v>
      </c>
      <c r="BY1446" s="344"/>
      <c r="BZ1446" s="347"/>
      <c r="CA1446" s="347"/>
    </row>
    <row r="1447" spans="1:79" ht="15" hidden="1" customHeight="1" x14ac:dyDescent="0.25">
      <c r="A1447" s="313"/>
      <c r="B1447" s="340"/>
      <c r="C1447" s="698" t="s">
        <v>1526</v>
      </c>
      <c r="D1447" s="698"/>
      <c r="E1447" s="698"/>
      <c r="F1447" s="698"/>
      <c r="G1447" s="698"/>
      <c r="H1447" s="698"/>
      <c r="I1447" s="698"/>
      <c r="J1447" s="698"/>
      <c r="K1447" s="698"/>
      <c r="L1447" s="698"/>
      <c r="M1447" s="698"/>
      <c r="N1447" s="698"/>
      <c r="O1447" s="698"/>
      <c r="P1447" s="698"/>
      <c r="Q1447" s="698"/>
      <c r="R1447" s="698"/>
      <c r="S1447" s="698"/>
      <c r="T1447" s="698"/>
      <c r="U1447" s="698"/>
      <c r="V1447" s="698"/>
      <c r="W1447" s="1396">
        <v>1</v>
      </c>
      <c r="X1447" s="1396"/>
      <c r="Y1447" s="1396"/>
      <c r="Z1447" s="1396"/>
      <c r="AA1447" s="1396"/>
      <c r="AB1447" s="1396"/>
      <c r="AC1447" s="700"/>
      <c r="AD1447" s="1396">
        <v>0</v>
      </c>
      <c r="AE1447" s="1396"/>
      <c r="AF1447" s="1396"/>
      <c r="AG1447" s="1396"/>
      <c r="AH1447" s="1396"/>
      <c r="AI1447" s="1396"/>
      <c r="AJ1447" s="344"/>
      <c r="AK1447" s="345"/>
      <c r="AL1447" s="340"/>
      <c r="AM1447" s="698" t="s">
        <v>1526</v>
      </c>
      <c r="AN1447" s="698"/>
      <c r="AO1447" s="698"/>
      <c r="AP1447" s="698"/>
      <c r="AQ1447" s="698"/>
      <c r="AR1447" s="698"/>
      <c r="AS1447" s="698"/>
      <c r="AT1447" s="698"/>
      <c r="AU1447" s="698"/>
      <c r="AV1447" s="698"/>
      <c r="AW1447" s="698"/>
      <c r="AX1447" s="698"/>
      <c r="AY1447" s="698"/>
      <c r="AZ1447" s="698"/>
      <c r="BA1447" s="698"/>
      <c r="BB1447" s="698"/>
      <c r="BC1447" s="698"/>
      <c r="BD1447" s="698"/>
      <c r="BE1447" s="698"/>
      <c r="BF1447" s="698"/>
      <c r="BG1447" s="1396">
        <f t="shared" si="103"/>
        <v>1</v>
      </c>
      <c r="BH1447" s="1396"/>
      <c r="BI1447" s="1396"/>
      <c r="BJ1447" s="1396"/>
      <c r="BK1447" s="1396"/>
      <c r="BL1447" s="1396"/>
      <c r="BM1447" s="698"/>
      <c r="BN1447" s="1396">
        <f t="shared" si="104"/>
        <v>0</v>
      </c>
      <c r="BO1447" s="1396"/>
      <c r="BP1447" s="1396"/>
      <c r="BQ1447" s="1396"/>
      <c r="BR1447" s="1396"/>
      <c r="BS1447" s="1396"/>
      <c r="BT1447" s="356"/>
      <c r="BU1447" s="357"/>
      <c r="BV1447" s="310"/>
      <c r="BW1447" s="310"/>
      <c r="BX1447" s="291">
        <f t="shared" si="102"/>
        <v>0</v>
      </c>
      <c r="BY1447" s="344"/>
      <c r="BZ1447" s="347"/>
      <c r="CA1447" s="347"/>
    </row>
    <row r="1448" spans="1:79" ht="15" hidden="1" customHeight="1" x14ac:dyDescent="0.25">
      <c r="A1448" s="313"/>
      <c r="B1448" s="340"/>
      <c r="C1448" s="698" t="s">
        <v>1527</v>
      </c>
      <c r="D1448" s="698"/>
      <c r="E1448" s="698"/>
      <c r="F1448" s="698"/>
      <c r="G1448" s="698"/>
      <c r="H1448" s="698"/>
      <c r="I1448" s="698"/>
      <c r="J1448" s="698"/>
      <c r="K1448" s="698"/>
      <c r="L1448" s="698"/>
      <c r="M1448" s="698"/>
      <c r="N1448" s="698"/>
      <c r="O1448" s="698"/>
      <c r="P1448" s="698"/>
      <c r="Q1448" s="698"/>
      <c r="R1448" s="698"/>
      <c r="S1448" s="698"/>
      <c r="T1448" s="698"/>
      <c r="U1448" s="698"/>
      <c r="V1448" s="698"/>
      <c r="W1448" s="1396">
        <v>1</v>
      </c>
      <c r="X1448" s="1396"/>
      <c r="Y1448" s="1396"/>
      <c r="Z1448" s="1396"/>
      <c r="AA1448" s="1396"/>
      <c r="AB1448" s="1396"/>
      <c r="AC1448" s="700"/>
      <c r="AD1448" s="1396">
        <v>0</v>
      </c>
      <c r="AE1448" s="1396"/>
      <c r="AF1448" s="1396"/>
      <c r="AG1448" s="1396"/>
      <c r="AH1448" s="1396"/>
      <c r="AI1448" s="1396"/>
      <c r="AJ1448" s="344"/>
      <c r="AK1448" s="345"/>
      <c r="AL1448" s="340"/>
      <c r="AM1448" s="698" t="s">
        <v>1527</v>
      </c>
      <c r="AN1448" s="698"/>
      <c r="AO1448" s="698"/>
      <c r="AP1448" s="698"/>
      <c r="AQ1448" s="698"/>
      <c r="AR1448" s="698"/>
      <c r="AS1448" s="698"/>
      <c r="AT1448" s="698"/>
      <c r="AU1448" s="698"/>
      <c r="AV1448" s="698"/>
      <c r="AW1448" s="698"/>
      <c r="AX1448" s="698"/>
      <c r="AY1448" s="698"/>
      <c r="AZ1448" s="698"/>
      <c r="BA1448" s="698"/>
      <c r="BB1448" s="698"/>
      <c r="BC1448" s="698"/>
      <c r="BD1448" s="698"/>
      <c r="BE1448" s="698"/>
      <c r="BF1448" s="698"/>
      <c r="BG1448" s="1396">
        <f t="shared" si="103"/>
        <v>1</v>
      </c>
      <c r="BH1448" s="1396"/>
      <c r="BI1448" s="1396"/>
      <c r="BJ1448" s="1396"/>
      <c r="BK1448" s="1396"/>
      <c r="BL1448" s="1396"/>
      <c r="BM1448" s="698"/>
      <c r="BN1448" s="1396">
        <f t="shared" si="104"/>
        <v>0</v>
      </c>
      <c r="BO1448" s="1396"/>
      <c r="BP1448" s="1396"/>
      <c r="BQ1448" s="1396"/>
      <c r="BR1448" s="1396"/>
      <c r="BS1448" s="1396"/>
      <c r="BT1448" s="359"/>
      <c r="BU1448" s="346"/>
      <c r="BV1448" s="310"/>
      <c r="BW1448" s="310"/>
      <c r="BX1448" s="291">
        <f t="shared" si="102"/>
        <v>0</v>
      </c>
      <c r="BY1448" s="344"/>
      <c r="BZ1448" s="347"/>
      <c r="CA1448" s="347"/>
    </row>
    <row r="1449" spans="1:79" ht="15" hidden="1" customHeight="1" x14ac:dyDescent="0.25">
      <c r="A1449" s="313"/>
      <c r="B1449" s="340"/>
      <c r="C1449" s="698" t="s">
        <v>1528</v>
      </c>
      <c r="D1449" s="698"/>
      <c r="E1449" s="698"/>
      <c r="F1449" s="698"/>
      <c r="G1449" s="698"/>
      <c r="H1449" s="698"/>
      <c r="I1449" s="698"/>
      <c r="J1449" s="698"/>
      <c r="K1449" s="698"/>
      <c r="L1449" s="698"/>
      <c r="M1449" s="698"/>
      <c r="N1449" s="698"/>
      <c r="O1449" s="698"/>
      <c r="P1449" s="698"/>
      <c r="Q1449" s="698"/>
      <c r="R1449" s="698"/>
      <c r="S1449" s="698"/>
      <c r="T1449" s="698"/>
      <c r="U1449" s="698"/>
      <c r="V1449" s="698"/>
      <c r="W1449" s="1396">
        <v>1</v>
      </c>
      <c r="X1449" s="1396"/>
      <c r="Y1449" s="1396"/>
      <c r="Z1449" s="1396"/>
      <c r="AA1449" s="1396"/>
      <c r="AB1449" s="1396"/>
      <c r="AC1449" s="700"/>
      <c r="AD1449" s="1396">
        <v>0</v>
      </c>
      <c r="AE1449" s="1396"/>
      <c r="AF1449" s="1396"/>
      <c r="AG1449" s="1396"/>
      <c r="AH1449" s="1396"/>
      <c r="AI1449" s="1396"/>
      <c r="AJ1449" s="344"/>
      <c r="AK1449" s="345"/>
      <c r="AL1449" s="340"/>
      <c r="AM1449" s="698" t="s">
        <v>1528</v>
      </c>
      <c r="AN1449" s="698"/>
      <c r="AO1449" s="698"/>
      <c r="AP1449" s="698"/>
      <c r="AQ1449" s="698"/>
      <c r="AR1449" s="698"/>
      <c r="AS1449" s="698"/>
      <c r="AT1449" s="698"/>
      <c r="AU1449" s="698"/>
      <c r="AV1449" s="698"/>
      <c r="AW1449" s="698"/>
      <c r="AX1449" s="698"/>
      <c r="AY1449" s="698"/>
      <c r="AZ1449" s="698"/>
      <c r="BA1449" s="698"/>
      <c r="BB1449" s="698"/>
      <c r="BC1449" s="698"/>
      <c r="BD1449" s="698"/>
      <c r="BE1449" s="698"/>
      <c r="BF1449" s="698"/>
      <c r="BG1449" s="1396">
        <f t="shared" si="103"/>
        <v>1</v>
      </c>
      <c r="BH1449" s="1396"/>
      <c r="BI1449" s="1396"/>
      <c r="BJ1449" s="1396"/>
      <c r="BK1449" s="1396"/>
      <c r="BL1449" s="1396"/>
      <c r="BM1449" s="698"/>
      <c r="BN1449" s="1396">
        <f t="shared" si="104"/>
        <v>0</v>
      </c>
      <c r="BO1449" s="1396"/>
      <c r="BP1449" s="1396"/>
      <c r="BQ1449" s="1396"/>
      <c r="BR1449" s="1396"/>
      <c r="BS1449" s="1396"/>
      <c r="BT1449" s="359"/>
      <c r="BU1449" s="346"/>
      <c r="BV1449" s="310"/>
      <c r="BW1449" s="310"/>
      <c r="BX1449" s="291">
        <f t="shared" si="102"/>
        <v>0</v>
      </c>
      <c r="BY1449" s="344"/>
      <c r="BZ1449" s="347"/>
      <c r="CA1449" s="347"/>
    </row>
    <row r="1450" spans="1:79" ht="15" hidden="1" customHeight="1" x14ac:dyDescent="0.25">
      <c r="A1450" s="313"/>
      <c r="B1450" s="340"/>
      <c r="C1450" s="698" t="s">
        <v>1529</v>
      </c>
      <c r="D1450" s="698"/>
      <c r="E1450" s="698"/>
      <c r="F1450" s="698"/>
      <c r="G1450" s="698"/>
      <c r="H1450" s="698"/>
      <c r="I1450" s="698"/>
      <c r="J1450" s="698"/>
      <c r="K1450" s="698"/>
      <c r="L1450" s="698"/>
      <c r="M1450" s="698"/>
      <c r="N1450" s="698"/>
      <c r="O1450" s="698"/>
      <c r="P1450" s="698"/>
      <c r="Q1450" s="698"/>
      <c r="R1450" s="698"/>
      <c r="S1450" s="698"/>
      <c r="T1450" s="698"/>
      <c r="U1450" s="698"/>
      <c r="V1450" s="698"/>
      <c r="W1450" s="1396">
        <v>1</v>
      </c>
      <c r="X1450" s="1396"/>
      <c r="Y1450" s="1396"/>
      <c r="Z1450" s="1396"/>
      <c r="AA1450" s="1396"/>
      <c r="AB1450" s="1396"/>
      <c r="AC1450" s="700"/>
      <c r="AD1450" s="1396">
        <v>0</v>
      </c>
      <c r="AE1450" s="1396"/>
      <c r="AF1450" s="1396"/>
      <c r="AG1450" s="1396"/>
      <c r="AH1450" s="1396"/>
      <c r="AI1450" s="1396"/>
      <c r="AJ1450" s="344"/>
      <c r="AK1450" s="345"/>
      <c r="AL1450" s="340"/>
      <c r="AM1450" s="698" t="s">
        <v>1529</v>
      </c>
      <c r="AN1450" s="698"/>
      <c r="AO1450" s="698"/>
      <c r="AP1450" s="698"/>
      <c r="AQ1450" s="698"/>
      <c r="AR1450" s="698"/>
      <c r="AS1450" s="698"/>
      <c r="AT1450" s="698"/>
      <c r="AU1450" s="698"/>
      <c r="AV1450" s="698"/>
      <c r="AW1450" s="698"/>
      <c r="AX1450" s="698"/>
      <c r="AY1450" s="698"/>
      <c r="AZ1450" s="698"/>
      <c r="BA1450" s="698"/>
      <c r="BB1450" s="698"/>
      <c r="BC1450" s="698"/>
      <c r="BD1450" s="698"/>
      <c r="BE1450" s="698"/>
      <c r="BF1450" s="698"/>
      <c r="BG1450" s="1396">
        <f t="shared" si="103"/>
        <v>1</v>
      </c>
      <c r="BH1450" s="1396"/>
      <c r="BI1450" s="1396"/>
      <c r="BJ1450" s="1396"/>
      <c r="BK1450" s="1396"/>
      <c r="BL1450" s="1396"/>
      <c r="BM1450" s="698"/>
      <c r="BN1450" s="1396">
        <f t="shared" si="104"/>
        <v>0</v>
      </c>
      <c r="BO1450" s="1396"/>
      <c r="BP1450" s="1396"/>
      <c r="BQ1450" s="1396"/>
      <c r="BR1450" s="1396"/>
      <c r="BS1450" s="1396"/>
      <c r="BT1450" s="359"/>
      <c r="BU1450" s="346"/>
      <c r="BV1450" s="310"/>
      <c r="BW1450" s="310"/>
      <c r="BX1450" s="291">
        <f t="shared" si="102"/>
        <v>0</v>
      </c>
      <c r="BY1450" s="344"/>
      <c r="BZ1450" s="347"/>
      <c r="CA1450" s="347"/>
    </row>
    <row r="1451" spans="1:79" ht="12.95" customHeight="1" x14ac:dyDescent="0.25">
      <c r="A1451" s="313"/>
      <c r="B1451" s="340"/>
      <c r="C1451" s="699"/>
      <c r="D1451" s="698"/>
      <c r="E1451" s="698"/>
      <c r="F1451" s="698"/>
      <c r="G1451" s="698"/>
      <c r="H1451" s="698"/>
      <c r="I1451" s="698"/>
      <c r="J1451" s="698"/>
      <c r="K1451" s="698"/>
      <c r="L1451" s="698"/>
      <c r="M1451" s="698"/>
      <c r="N1451" s="698"/>
      <c r="O1451" s="698"/>
      <c r="P1451" s="698"/>
      <c r="Q1451" s="698"/>
      <c r="R1451" s="698"/>
      <c r="S1451" s="698"/>
      <c r="T1451" s="698"/>
      <c r="U1451" s="698"/>
      <c r="V1451" s="698"/>
      <c r="W1451" s="698"/>
      <c r="X1451" s="698"/>
      <c r="Y1451" s="698"/>
      <c r="Z1451" s="698"/>
      <c r="AA1451" s="698"/>
      <c r="AB1451" s="698"/>
      <c r="AC1451" s="698"/>
      <c r="AD1451" s="698"/>
      <c r="AE1451" s="698"/>
      <c r="AF1451" s="698"/>
      <c r="AG1451" s="698"/>
      <c r="AH1451" s="698"/>
      <c r="AI1451" s="698"/>
      <c r="AJ1451" s="344"/>
      <c r="AK1451" s="345"/>
      <c r="AL1451" s="340"/>
      <c r="AM1451" s="699"/>
      <c r="AN1451" s="698"/>
      <c r="AO1451" s="698"/>
      <c r="AP1451" s="698"/>
      <c r="AQ1451" s="698"/>
      <c r="AR1451" s="698"/>
      <c r="AS1451" s="698"/>
      <c r="AT1451" s="698"/>
      <c r="AU1451" s="698"/>
      <c r="AV1451" s="698"/>
      <c r="AW1451" s="698"/>
      <c r="AX1451" s="698"/>
      <c r="AY1451" s="698"/>
      <c r="AZ1451" s="698"/>
      <c r="BA1451" s="698"/>
      <c r="BB1451" s="698"/>
      <c r="BC1451" s="698"/>
      <c r="BD1451" s="698"/>
      <c r="BE1451" s="698"/>
      <c r="BF1451" s="698"/>
      <c r="BG1451" s="698"/>
      <c r="BH1451" s="698"/>
      <c r="BI1451" s="698"/>
      <c r="BJ1451" s="698"/>
      <c r="BK1451" s="698"/>
      <c r="BL1451" s="698"/>
      <c r="BM1451" s="698"/>
      <c r="BN1451" s="698"/>
      <c r="BO1451" s="698"/>
      <c r="BP1451" s="698"/>
      <c r="BQ1451" s="698"/>
      <c r="BR1451" s="698"/>
      <c r="BS1451" s="698"/>
      <c r="BT1451" s="359"/>
      <c r="BU1451" s="346"/>
      <c r="BV1451" s="310"/>
      <c r="BW1451" s="310"/>
      <c r="BX1451" s="291">
        <f t="shared" si="102"/>
        <v>0</v>
      </c>
      <c r="BY1451" s="344"/>
      <c r="BZ1451" s="347"/>
      <c r="CA1451" s="347"/>
    </row>
    <row r="1452" spans="1:79" ht="15" hidden="1" customHeight="1" x14ac:dyDescent="0.25">
      <c r="A1452" s="313"/>
      <c r="B1452" s="340"/>
      <c r="C1452" s="550" t="s">
        <v>1530</v>
      </c>
      <c r="D1452" s="698"/>
      <c r="E1452" s="698"/>
      <c r="F1452" s="698"/>
      <c r="G1452" s="698"/>
      <c r="H1452" s="698"/>
      <c r="I1452" s="698"/>
      <c r="J1452" s="698"/>
      <c r="K1452" s="698"/>
      <c r="L1452" s="698"/>
      <c r="M1452" s="698"/>
      <c r="N1452" s="698"/>
      <c r="O1452" s="698"/>
      <c r="P1452" s="698"/>
      <c r="Q1452" s="698"/>
      <c r="R1452" s="698"/>
      <c r="S1452" s="698"/>
      <c r="T1452" s="698"/>
      <c r="U1452" s="698"/>
      <c r="V1452" s="698"/>
      <c r="W1452" s="698"/>
      <c r="X1452" s="698"/>
      <c r="Y1452" s="698"/>
      <c r="Z1452" s="698"/>
      <c r="AA1452" s="698"/>
      <c r="AB1452" s="698"/>
      <c r="AC1452" s="698"/>
      <c r="AD1452" s="698"/>
      <c r="AE1452" s="698"/>
      <c r="AF1452" s="698"/>
      <c r="AG1452" s="698"/>
      <c r="AH1452" s="698"/>
      <c r="AI1452" s="698"/>
      <c r="AJ1452" s="344"/>
      <c r="AK1452" s="345"/>
      <c r="AL1452" s="340"/>
      <c r="AM1452" s="550" t="s">
        <v>1531</v>
      </c>
      <c r="AN1452" s="698"/>
      <c r="AO1452" s="698"/>
      <c r="AP1452" s="698"/>
      <c r="AQ1452" s="698"/>
      <c r="AR1452" s="698"/>
      <c r="AS1452" s="698"/>
      <c r="AT1452" s="698"/>
      <c r="AU1452" s="698"/>
      <c r="AV1452" s="698"/>
      <c r="AW1452" s="698"/>
      <c r="AX1452" s="698"/>
      <c r="AY1452" s="698"/>
      <c r="AZ1452" s="698"/>
      <c r="BA1452" s="698"/>
      <c r="BB1452" s="698"/>
      <c r="BC1452" s="698"/>
      <c r="BD1452" s="698"/>
      <c r="BE1452" s="698"/>
      <c r="BF1452" s="698"/>
      <c r="BG1452" s="698"/>
      <c r="BH1452" s="698"/>
      <c r="BI1452" s="698"/>
      <c r="BJ1452" s="698"/>
      <c r="BK1452" s="698"/>
      <c r="BL1452" s="698"/>
      <c r="BM1452" s="698"/>
      <c r="BN1452" s="698"/>
      <c r="BO1452" s="698"/>
      <c r="BP1452" s="698"/>
      <c r="BQ1452" s="698"/>
      <c r="BR1452" s="698"/>
      <c r="BS1452" s="698"/>
      <c r="BT1452" s="359"/>
      <c r="BU1452" s="346"/>
      <c r="BV1452" s="310"/>
      <c r="BW1452" s="310"/>
      <c r="BX1452" s="291">
        <f t="shared" si="102"/>
        <v>0</v>
      </c>
      <c r="BY1452" s="344"/>
      <c r="BZ1452" s="347"/>
      <c r="CA1452" s="347"/>
    </row>
    <row r="1453" spans="1:79" ht="15" hidden="1" customHeight="1" x14ac:dyDescent="0.25">
      <c r="A1453" s="313"/>
      <c r="B1453" s="340"/>
      <c r="C1453" s="1394" t="s">
        <v>1532</v>
      </c>
      <c r="D1453" s="1395"/>
      <c r="E1453" s="1395"/>
      <c r="F1453" s="1395"/>
      <c r="G1453" s="1395"/>
      <c r="H1453" s="1395"/>
      <c r="I1453" s="1395"/>
      <c r="J1453" s="1395"/>
      <c r="K1453" s="1395"/>
      <c r="L1453" s="1395"/>
      <c r="M1453" s="1395"/>
      <c r="N1453" s="1395"/>
      <c r="O1453" s="1395"/>
      <c r="P1453" s="1395"/>
      <c r="Q1453" s="1395"/>
      <c r="R1453" s="1395"/>
      <c r="S1453" s="1395"/>
      <c r="T1453" s="1395"/>
      <c r="U1453" s="1395"/>
      <c r="V1453" s="1395"/>
      <c r="W1453" s="1395"/>
      <c r="X1453" s="1395"/>
      <c r="Y1453" s="1395"/>
      <c r="Z1453" s="1395"/>
      <c r="AA1453" s="1395"/>
      <c r="AB1453" s="1395"/>
      <c r="AC1453" s="1395"/>
      <c r="AD1453" s="1395"/>
      <c r="AE1453" s="1395"/>
      <c r="AF1453" s="1395"/>
      <c r="AG1453" s="1395"/>
      <c r="AH1453" s="1395"/>
      <c r="AI1453" s="1395"/>
      <c r="AJ1453" s="344"/>
      <c r="AK1453" s="345"/>
      <c r="AL1453" s="340"/>
      <c r="AM1453" s="1394" t="s">
        <v>1532</v>
      </c>
      <c r="AN1453" s="1395"/>
      <c r="AO1453" s="1395"/>
      <c r="AP1453" s="1395"/>
      <c r="AQ1453" s="1395"/>
      <c r="AR1453" s="1395"/>
      <c r="AS1453" s="1395"/>
      <c r="AT1453" s="1395"/>
      <c r="AU1453" s="1395"/>
      <c r="AV1453" s="1395"/>
      <c r="AW1453" s="1395"/>
      <c r="AX1453" s="1395"/>
      <c r="AY1453" s="1395"/>
      <c r="AZ1453" s="1395"/>
      <c r="BA1453" s="1395"/>
      <c r="BB1453" s="1395"/>
      <c r="BC1453" s="1395"/>
      <c r="BD1453" s="1395"/>
      <c r="BE1453" s="1395"/>
      <c r="BF1453" s="1395"/>
      <c r="BG1453" s="1395"/>
      <c r="BH1453" s="1395"/>
      <c r="BI1453" s="1395"/>
      <c r="BJ1453" s="1395"/>
      <c r="BK1453" s="1395"/>
      <c r="BL1453" s="1395"/>
      <c r="BM1453" s="1395"/>
      <c r="BN1453" s="1395"/>
      <c r="BO1453" s="1395"/>
      <c r="BP1453" s="1395"/>
      <c r="BQ1453" s="1395"/>
      <c r="BR1453" s="1395"/>
      <c r="BS1453" s="1395"/>
      <c r="BT1453" s="359"/>
      <c r="BU1453" s="346"/>
      <c r="BV1453" s="310"/>
      <c r="BW1453" s="310"/>
      <c r="BX1453" s="291">
        <f t="shared" si="102"/>
        <v>0</v>
      </c>
      <c r="BY1453" s="344"/>
      <c r="BZ1453" s="347"/>
      <c r="CA1453" s="347"/>
    </row>
    <row r="1454" spans="1:79" ht="15" hidden="1" customHeight="1" x14ac:dyDescent="0.25">
      <c r="A1454" s="313"/>
      <c r="B1454" s="340"/>
      <c r="C1454" s="699"/>
      <c r="D1454" s="698"/>
      <c r="E1454" s="698"/>
      <c r="F1454" s="698"/>
      <c r="G1454" s="698"/>
      <c r="H1454" s="698"/>
      <c r="I1454" s="698"/>
      <c r="J1454" s="698"/>
      <c r="K1454" s="698"/>
      <c r="L1454" s="698"/>
      <c r="M1454" s="698"/>
      <c r="N1454" s="698"/>
      <c r="O1454" s="698"/>
      <c r="P1454" s="698"/>
      <c r="Q1454" s="698"/>
      <c r="R1454" s="698"/>
      <c r="S1454" s="698"/>
      <c r="T1454" s="698"/>
      <c r="U1454" s="698"/>
      <c r="V1454" s="698"/>
      <c r="W1454" s="698"/>
      <c r="X1454" s="698"/>
      <c r="Y1454" s="698"/>
      <c r="Z1454" s="698"/>
      <c r="AA1454" s="698"/>
      <c r="AB1454" s="698"/>
      <c r="AC1454" s="698"/>
      <c r="AD1454" s="698"/>
      <c r="AE1454" s="698"/>
      <c r="AF1454" s="698"/>
      <c r="AG1454" s="698"/>
      <c r="AH1454" s="698"/>
      <c r="AI1454" s="698"/>
      <c r="AJ1454" s="344"/>
      <c r="AK1454" s="345"/>
      <c r="AL1454" s="340"/>
      <c r="AM1454" s="699"/>
      <c r="AN1454" s="698"/>
      <c r="AO1454" s="698"/>
      <c r="AP1454" s="698"/>
      <c r="AQ1454" s="698"/>
      <c r="AR1454" s="698"/>
      <c r="AS1454" s="698"/>
      <c r="AT1454" s="698"/>
      <c r="AU1454" s="698"/>
      <c r="AV1454" s="698"/>
      <c r="AW1454" s="698"/>
      <c r="AX1454" s="698"/>
      <c r="AY1454" s="698"/>
      <c r="AZ1454" s="698"/>
      <c r="BA1454" s="698"/>
      <c r="BB1454" s="698"/>
      <c r="BC1454" s="698"/>
      <c r="BD1454" s="698"/>
      <c r="BE1454" s="698"/>
      <c r="BF1454" s="698"/>
      <c r="BG1454" s="698"/>
      <c r="BH1454" s="698"/>
      <c r="BI1454" s="698"/>
      <c r="BJ1454" s="698"/>
      <c r="BK1454" s="698"/>
      <c r="BL1454" s="698"/>
      <c r="BM1454" s="698"/>
      <c r="BN1454" s="698"/>
      <c r="BO1454" s="698"/>
      <c r="BP1454" s="698"/>
      <c r="BQ1454" s="698"/>
      <c r="BR1454" s="698"/>
      <c r="BS1454" s="698"/>
      <c r="BT1454" s="356"/>
      <c r="BU1454" s="357"/>
      <c r="BV1454" s="310"/>
      <c r="BW1454" s="310"/>
      <c r="BX1454" s="291">
        <f t="shared" si="102"/>
        <v>0</v>
      </c>
      <c r="BY1454" s="344"/>
      <c r="BZ1454" s="347"/>
      <c r="CA1454" s="347"/>
    </row>
    <row r="1455" spans="1:79" ht="15" customHeight="1" x14ac:dyDescent="0.25">
      <c r="A1455" s="313"/>
      <c r="B1455" s="340"/>
      <c r="C1455" s="550" t="s">
        <v>1533</v>
      </c>
      <c r="D1455" s="698"/>
      <c r="E1455" s="698"/>
      <c r="F1455" s="698"/>
      <c r="G1455" s="698"/>
      <c r="H1455" s="698"/>
      <c r="I1455" s="698"/>
      <c r="J1455" s="698"/>
      <c r="K1455" s="698"/>
      <c r="L1455" s="698"/>
      <c r="M1455" s="698"/>
      <c r="N1455" s="698"/>
      <c r="O1455" s="698"/>
      <c r="P1455" s="698"/>
      <c r="Q1455" s="698"/>
      <c r="R1455" s="698"/>
      <c r="S1455" s="698"/>
      <c r="T1455" s="698"/>
      <c r="U1455" s="698"/>
      <c r="V1455" s="698"/>
      <c r="W1455" s="698"/>
      <c r="X1455" s="698"/>
      <c r="Y1455" s="698"/>
      <c r="Z1455" s="698"/>
      <c r="AA1455" s="698"/>
      <c r="AB1455" s="698"/>
      <c r="AC1455" s="698"/>
      <c r="AD1455" s="698"/>
      <c r="AE1455" s="698"/>
      <c r="AF1455" s="698"/>
      <c r="AG1455" s="698"/>
      <c r="AH1455" s="698"/>
      <c r="AI1455" s="698"/>
      <c r="AJ1455" s="344"/>
      <c r="AK1455" s="345"/>
      <c r="AL1455" s="340"/>
      <c r="AM1455" s="550" t="s">
        <v>1534</v>
      </c>
      <c r="AN1455" s="698"/>
      <c r="AO1455" s="698"/>
      <c r="AP1455" s="698"/>
      <c r="AQ1455" s="698"/>
      <c r="AR1455" s="698"/>
      <c r="AS1455" s="698"/>
      <c r="AT1455" s="698"/>
      <c r="AU1455" s="698"/>
      <c r="AV1455" s="698"/>
      <c r="AW1455" s="698"/>
      <c r="AX1455" s="698"/>
      <c r="AY1455" s="698"/>
      <c r="AZ1455" s="698"/>
      <c r="BA1455" s="698"/>
      <c r="BB1455" s="698"/>
      <c r="BC1455" s="698"/>
      <c r="BD1455" s="698"/>
      <c r="BE1455" s="698"/>
      <c r="BF1455" s="698"/>
      <c r="BG1455" s="698"/>
      <c r="BH1455" s="698"/>
      <c r="BI1455" s="698"/>
      <c r="BJ1455" s="698"/>
      <c r="BK1455" s="698"/>
      <c r="BL1455" s="698"/>
      <c r="BM1455" s="698"/>
      <c r="BN1455" s="698"/>
      <c r="BO1455" s="698"/>
      <c r="BP1455" s="698"/>
      <c r="BQ1455" s="698"/>
      <c r="BR1455" s="698"/>
      <c r="BS1455" s="698"/>
      <c r="BT1455" s="359"/>
      <c r="BU1455" s="346"/>
      <c r="BV1455" s="310"/>
      <c r="BW1455" s="310"/>
      <c r="BX1455" s="291">
        <f t="shared" si="102"/>
        <v>0</v>
      </c>
      <c r="BY1455" s="344"/>
      <c r="BZ1455" s="347"/>
      <c r="CA1455" s="347"/>
    </row>
    <row r="1456" spans="1:79" ht="27.95" hidden="1" customHeight="1" x14ac:dyDescent="0.25">
      <c r="A1456" s="313"/>
      <c r="B1456" s="340"/>
      <c r="C1456" s="1394"/>
      <c r="D1456" s="1395"/>
      <c r="E1456" s="1395"/>
      <c r="F1456" s="1395"/>
      <c r="G1456" s="1395"/>
      <c r="H1456" s="1395"/>
      <c r="I1456" s="1395"/>
      <c r="J1456" s="1395"/>
      <c r="K1456" s="1395"/>
      <c r="L1456" s="1395"/>
      <c r="M1456" s="1395"/>
      <c r="N1456" s="1395"/>
      <c r="O1456" s="1395"/>
      <c r="P1456" s="1395"/>
      <c r="Q1456" s="1395"/>
      <c r="R1456" s="1395"/>
      <c r="S1456" s="1395"/>
      <c r="T1456" s="1395"/>
      <c r="U1456" s="1395"/>
      <c r="V1456" s="1395"/>
      <c r="W1456" s="1395"/>
      <c r="X1456" s="1395"/>
      <c r="Y1456" s="1395"/>
      <c r="Z1456" s="1395"/>
      <c r="AA1456" s="1395"/>
      <c r="AB1456" s="1395"/>
      <c r="AC1456" s="1395"/>
      <c r="AD1456" s="1395"/>
      <c r="AE1456" s="1395"/>
      <c r="AF1456" s="1395"/>
      <c r="AG1456" s="1395"/>
      <c r="AH1456" s="1395"/>
      <c r="AI1456" s="1395"/>
      <c r="AJ1456" s="344"/>
      <c r="AK1456" s="345"/>
      <c r="AL1456" s="340"/>
      <c r="AM1456" s="1394"/>
      <c r="AN1456" s="1395"/>
      <c r="AO1456" s="1395"/>
      <c r="AP1456" s="1395"/>
      <c r="AQ1456" s="1395"/>
      <c r="AR1456" s="1395"/>
      <c r="AS1456" s="1395"/>
      <c r="AT1456" s="1395"/>
      <c r="AU1456" s="1395"/>
      <c r="AV1456" s="1395"/>
      <c r="AW1456" s="1395"/>
      <c r="AX1456" s="1395"/>
      <c r="AY1456" s="1395"/>
      <c r="AZ1456" s="1395"/>
      <c r="BA1456" s="1395"/>
      <c r="BB1456" s="1395"/>
      <c r="BC1456" s="1395"/>
      <c r="BD1456" s="1395"/>
      <c r="BE1456" s="1395"/>
      <c r="BF1456" s="1395"/>
      <c r="BG1456" s="1395"/>
      <c r="BH1456" s="1395"/>
      <c r="BI1456" s="1395"/>
      <c r="BJ1456" s="1395"/>
      <c r="BK1456" s="1395"/>
      <c r="BL1456" s="1395"/>
      <c r="BM1456" s="1395"/>
      <c r="BN1456" s="1395"/>
      <c r="BO1456" s="1395"/>
      <c r="BP1456" s="1395"/>
      <c r="BQ1456" s="1395"/>
      <c r="BR1456" s="1395"/>
      <c r="BS1456" s="1395"/>
      <c r="BT1456" s="359"/>
      <c r="BU1456" s="346"/>
      <c r="BV1456" s="310"/>
      <c r="BW1456" s="310"/>
      <c r="BX1456" s="291"/>
      <c r="BY1456" s="344"/>
      <c r="BZ1456" s="347"/>
      <c r="CA1456" s="347"/>
    </row>
    <row r="1457" spans="1:84" s="423" customFormat="1" ht="15" customHeight="1" x14ac:dyDescent="0.25">
      <c r="A1457" s="313"/>
      <c r="B1457" s="340"/>
      <c r="C1457" s="699"/>
      <c r="D1457" s="698"/>
      <c r="E1457" s="698"/>
      <c r="F1457" s="698"/>
      <c r="G1457" s="698"/>
      <c r="H1457" s="698"/>
      <c r="I1457" s="698"/>
      <c r="J1457" s="698"/>
      <c r="K1457" s="698"/>
      <c r="L1457" s="698"/>
      <c r="M1457" s="698"/>
      <c r="N1457" s="698"/>
      <c r="O1457" s="698"/>
      <c r="P1457" s="698"/>
      <c r="Q1457" s="698"/>
      <c r="R1457" s="698"/>
      <c r="S1457" s="698"/>
      <c r="T1457" s="698"/>
      <c r="U1457" s="698"/>
      <c r="V1457" s="698"/>
      <c r="W1457" s="1325" t="str">
        <f>Ky_Nay1_V</f>
        <v>31/12/2017</v>
      </c>
      <c r="X1457" s="1325"/>
      <c r="Y1457" s="1325"/>
      <c r="Z1457" s="1325"/>
      <c r="AA1457" s="1325"/>
      <c r="AB1457" s="1325"/>
      <c r="AC1457" s="357"/>
      <c r="AD1457" s="1325" t="str">
        <f>Ky_Truoc1_V</f>
        <v>01/01/2017</v>
      </c>
      <c r="AE1457" s="1325"/>
      <c r="AF1457" s="1325"/>
      <c r="AG1457" s="1325"/>
      <c r="AH1457" s="1325"/>
      <c r="AI1457" s="1325"/>
      <c r="AJ1457" s="342"/>
      <c r="AK1457" s="345"/>
      <c r="AL1457" s="340"/>
      <c r="AM1457" s="687"/>
      <c r="AN1457" s="688"/>
      <c r="AO1457" s="688"/>
      <c r="AP1457" s="688"/>
      <c r="AQ1457" s="688"/>
      <c r="AR1457" s="688"/>
      <c r="AS1457" s="688"/>
      <c r="AT1457" s="688"/>
      <c r="AU1457" s="688"/>
      <c r="AV1457" s="688"/>
      <c r="AW1457" s="688"/>
      <c r="AX1457" s="688"/>
      <c r="AY1457" s="688"/>
      <c r="AZ1457" s="688"/>
      <c r="BA1457" s="688"/>
      <c r="BB1457" s="688"/>
      <c r="BC1457" s="688"/>
      <c r="BD1457" s="688"/>
      <c r="BE1457" s="688"/>
      <c r="BF1457" s="688"/>
      <c r="BG1457" s="688"/>
      <c r="BH1457" s="688"/>
      <c r="BI1457" s="688"/>
      <c r="BJ1457" s="688"/>
      <c r="BK1457" s="688"/>
      <c r="BL1457" s="688"/>
      <c r="BM1457" s="688"/>
      <c r="BN1457" s="688"/>
      <c r="BO1457" s="688"/>
      <c r="BP1457" s="688"/>
      <c r="BQ1457" s="688"/>
      <c r="BR1457" s="688"/>
      <c r="BS1457" s="688"/>
      <c r="BT1457" s="359"/>
      <c r="BU1457" s="346"/>
      <c r="BV1457" s="299"/>
      <c r="BW1457" s="299"/>
      <c r="BX1457" s="300"/>
      <c r="BY1457" s="342"/>
      <c r="BZ1457" s="438"/>
      <c r="CA1457" s="438"/>
      <c r="CB1457" s="439"/>
      <c r="CC1457" s="439"/>
      <c r="CD1457" s="439"/>
      <c r="CE1457" s="439"/>
      <c r="CF1457" s="439"/>
    </row>
    <row r="1458" spans="1:84" s="423" customFormat="1" ht="12.95" customHeight="1" x14ac:dyDescent="0.25">
      <c r="A1458" s="313"/>
      <c r="B1458" s="340"/>
      <c r="C1458" s="699"/>
      <c r="D1458" s="698"/>
      <c r="E1458" s="698"/>
      <c r="F1458" s="698"/>
      <c r="G1458" s="698"/>
      <c r="H1458" s="698"/>
      <c r="I1458" s="698"/>
      <c r="J1458" s="698"/>
      <c r="K1458" s="698"/>
      <c r="L1458" s="698"/>
      <c r="M1458" s="698"/>
      <c r="N1458" s="698"/>
      <c r="O1458" s="698"/>
      <c r="P1458" s="698"/>
      <c r="Q1458" s="698"/>
      <c r="R1458" s="698"/>
      <c r="S1458" s="698"/>
      <c r="T1458" s="698"/>
      <c r="U1458" s="698"/>
      <c r="V1458" s="698"/>
      <c r="W1458" s="698"/>
      <c r="X1458" s="698"/>
      <c r="Y1458" s="698"/>
      <c r="Z1458" s="698"/>
      <c r="AA1458" s="698"/>
      <c r="AB1458" s="698"/>
      <c r="AC1458" s="698"/>
      <c r="AD1458" s="698"/>
      <c r="AE1458" s="698"/>
      <c r="AF1458" s="698"/>
      <c r="AG1458" s="698"/>
      <c r="AH1458" s="698"/>
      <c r="AI1458" s="698"/>
      <c r="AJ1458" s="342"/>
      <c r="AK1458" s="345"/>
      <c r="AL1458" s="340"/>
      <c r="AM1458" s="687"/>
      <c r="AN1458" s="688"/>
      <c r="AO1458" s="688"/>
      <c r="AP1458" s="688"/>
      <c r="AQ1458" s="688"/>
      <c r="AR1458" s="688"/>
      <c r="AS1458" s="688"/>
      <c r="AT1458" s="688"/>
      <c r="AU1458" s="688"/>
      <c r="AV1458" s="688"/>
      <c r="AW1458" s="688"/>
      <c r="AX1458" s="688"/>
      <c r="AY1458" s="688"/>
      <c r="AZ1458" s="688"/>
      <c r="BA1458" s="688"/>
      <c r="BB1458" s="688"/>
      <c r="BC1458" s="688"/>
      <c r="BD1458" s="688"/>
      <c r="BE1458" s="688"/>
      <c r="BF1458" s="688"/>
      <c r="BG1458" s="688"/>
      <c r="BH1458" s="688"/>
      <c r="BI1458" s="688"/>
      <c r="BJ1458" s="688"/>
      <c r="BK1458" s="688"/>
      <c r="BL1458" s="688"/>
      <c r="BM1458" s="688"/>
      <c r="BN1458" s="688"/>
      <c r="BO1458" s="688"/>
      <c r="BP1458" s="688"/>
      <c r="BQ1458" s="688"/>
      <c r="BR1458" s="688"/>
      <c r="BS1458" s="688"/>
      <c r="BT1458" s="359"/>
      <c r="BU1458" s="346"/>
      <c r="BV1458" s="299"/>
      <c r="BW1458" s="299"/>
      <c r="BX1458" s="300"/>
      <c r="BY1458" s="342"/>
      <c r="BZ1458" s="438"/>
      <c r="CA1458" s="438"/>
      <c r="CB1458" s="439"/>
      <c r="CC1458" s="439"/>
      <c r="CD1458" s="439"/>
      <c r="CE1458" s="439"/>
      <c r="CF1458" s="439"/>
    </row>
    <row r="1459" spans="1:84" s="423" customFormat="1" ht="15" customHeight="1" x14ac:dyDescent="0.25">
      <c r="A1459" s="313"/>
      <c r="B1459" s="340"/>
      <c r="C1459" s="701" t="s">
        <v>904</v>
      </c>
      <c r="D1459" s="698"/>
      <c r="E1459" s="698"/>
      <c r="F1459" s="698"/>
      <c r="G1459" s="698"/>
      <c r="H1459" s="698"/>
      <c r="I1459" s="698"/>
      <c r="J1459" s="698"/>
      <c r="K1459" s="698"/>
      <c r="L1459" s="698"/>
      <c r="M1459" s="698"/>
      <c r="N1459" s="698"/>
      <c r="O1459" s="698"/>
      <c r="P1459" s="698"/>
      <c r="Q1459" s="698"/>
      <c r="R1459" s="698"/>
      <c r="S1459" s="698"/>
      <c r="T1459" s="698"/>
      <c r="U1459" s="698"/>
      <c r="V1459" s="698"/>
      <c r="W1459" s="1393">
        <f>292422798+18490972</f>
        <v>310913770</v>
      </c>
      <c r="X1459" s="1393"/>
      <c r="Y1459" s="1393"/>
      <c r="Z1459" s="1393"/>
      <c r="AA1459" s="1393"/>
      <c r="AB1459" s="1393"/>
      <c r="AC1459" s="702"/>
      <c r="AD1459" s="1393">
        <v>292422798</v>
      </c>
      <c r="AE1459" s="1393"/>
      <c r="AF1459" s="1393"/>
      <c r="AG1459" s="1393"/>
      <c r="AH1459" s="1393"/>
      <c r="AI1459" s="1393"/>
      <c r="AJ1459" s="342"/>
      <c r="AK1459" s="345"/>
      <c r="AL1459" s="340"/>
      <c r="AM1459" s="687"/>
      <c r="AN1459" s="688"/>
      <c r="AO1459" s="688"/>
      <c r="AP1459" s="688"/>
      <c r="AQ1459" s="688"/>
      <c r="AR1459" s="688"/>
      <c r="AS1459" s="688"/>
      <c r="AT1459" s="688"/>
      <c r="AU1459" s="688"/>
      <c r="AV1459" s="688"/>
      <c r="AW1459" s="688"/>
      <c r="AX1459" s="688"/>
      <c r="AY1459" s="688"/>
      <c r="AZ1459" s="688"/>
      <c r="BA1459" s="688"/>
      <c r="BB1459" s="688"/>
      <c r="BC1459" s="688"/>
      <c r="BD1459" s="688"/>
      <c r="BE1459" s="688"/>
      <c r="BF1459" s="688"/>
      <c r="BG1459" s="688"/>
      <c r="BH1459" s="688"/>
      <c r="BI1459" s="688"/>
      <c r="BJ1459" s="688"/>
      <c r="BK1459" s="688"/>
      <c r="BL1459" s="688"/>
      <c r="BM1459" s="688"/>
      <c r="BN1459" s="688"/>
      <c r="BO1459" s="688"/>
      <c r="BP1459" s="688"/>
      <c r="BQ1459" s="688"/>
      <c r="BR1459" s="688"/>
      <c r="BS1459" s="688"/>
      <c r="BT1459" s="359"/>
      <c r="BU1459" s="346"/>
      <c r="BV1459" s="299"/>
      <c r="BW1459" s="299"/>
      <c r="BX1459" s="300"/>
      <c r="BY1459" s="342"/>
      <c r="BZ1459" s="438">
        <f>W1459-AD1459</f>
        <v>18490972</v>
      </c>
      <c r="CA1459" s="438"/>
      <c r="CB1459" s="439"/>
      <c r="CC1459" s="439"/>
      <c r="CD1459" s="439"/>
      <c r="CE1459" s="439"/>
      <c r="CF1459" s="439"/>
    </row>
    <row r="1460" spans="1:84" s="423" customFormat="1" ht="15" customHeight="1" x14ac:dyDescent="0.25">
      <c r="A1460" s="313"/>
      <c r="B1460" s="340"/>
      <c r="C1460" s="701" t="s">
        <v>865</v>
      </c>
      <c r="D1460" s="688"/>
      <c r="E1460" s="688"/>
      <c r="F1460" s="688"/>
      <c r="G1460" s="688"/>
      <c r="H1460" s="688"/>
      <c r="I1460" s="688"/>
      <c r="J1460" s="688"/>
      <c r="K1460" s="688"/>
      <c r="L1460" s="688"/>
      <c r="M1460" s="688"/>
      <c r="N1460" s="688"/>
      <c r="O1460" s="688"/>
      <c r="P1460" s="688"/>
      <c r="Q1460" s="688"/>
      <c r="R1460" s="688"/>
      <c r="S1460" s="688"/>
      <c r="T1460" s="688"/>
      <c r="U1460" s="688"/>
      <c r="V1460" s="688"/>
      <c r="W1460" s="1393">
        <v>9026000</v>
      </c>
      <c r="X1460" s="1393"/>
      <c r="Y1460" s="1393"/>
      <c r="Z1460" s="1393"/>
      <c r="AA1460" s="1393"/>
      <c r="AB1460" s="1393"/>
      <c r="AC1460" s="703"/>
      <c r="AD1460" s="1393">
        <v>9026000</v>
      </c>
      <c r="AE1460" s="1393"/>
      <c r="AF1460" s="1393"/>
      <c r="AG1460" s="1393"/>
      <c r="AH1460" s="1393"/>
      <c r="AI1460" s="1393"/>
      <c r="AJ1460" s="342"/>
      <c r="AK1460" s="345"/>
      <c r="AL1460" s="340"/>
      <c r="AM1460" s="687"/>
      <c r="AN1460" s="688"/>
      <c r="AO1460" s="688"/>
      <c r="AP1460" s="688"/>
      <c r="AQ1460" s="688"/>
      <c r="AR1460" s="688"/>
      <c r="AS1460" s="688"/>
      <c r="AT1460" s="688"/>
      <c r="AU1460" s="688"/>
      <c r="AV1460" s="688"/>
      <c r="AW1460" s="688"/>
      <c r="AX1460" s="688"/>
      <c r="AY1460" s="688"/>
      <c r="AZ1460" s="688"/>
      <c r="BA1460" s="688"/>
      <c r="BB1460" s="688"/>
      <c r="BC1460" s="688"/>
      <c r="BD1460" s="688"/>
      <c r="BE1460" s="688"/>
      <c r="BF1460" s="688"/>
      <c r="BG1460" s="688"/>
      <c r="BH1460" s="688"/>
      <c r="BI1460" s="688"/>
      <c r="BJ1460" s="688"/>
      <c r="BK1460" s="688"/>
      <c r="BL1460" s="688"/>
      <c r="BM1460" s="688"/>
      <c r="BN1460" s="688"/>
      <c r="BO1460" s="688"/>
      <c r="BP1460" s="688"/>
      <c r="BQ1460" s="688"/>
      <c r="BR1460" s="688"/>
      <c r="BS1460" s="688"/>
      <c r="BT1460" s="359"/>
      <c r="BU1460" s="346"/>
      <c r="BV1460" s="299"/>
      <c r="BW1460" s="299"/>
      <c r="BX1460" s="300">
        <f>IF(ISNONTEXT($C1460),0,SUM(D1460:AI1460)-SUM(AN1460:BS1460))</f>
        <v>18052000</v>
      </c>
      <c r="BY1460" s="342"/>
      <c r="BZ1460" s="438"/>
      <c r="CA1460" s="438"/>
      <c r="CB1460" s="439"/>
      <c r="CC1460" s="439"/>
      <c r="CD1460" s="439"/>
      <c r="CE1460" s="439"/>
      <c r="CF1460" s="439"/>
    </row>
    <row r="1461" spans="1:84" ht="12.95" customHeight="1" x14ac:dyDescent="0.25">
      <c r="A1461" s="313"/>
      <c r="B1461" s="340"/>
      <c r="C1461" s="687"/>
      <c r="D1461" s="688"/>
      <c r="E1461" s="688"/>
      <c r="F1461" s="688"/>
      <c r="G1461" s="688"/>
      <c r="H1461" s="688"/>
      <c r="I1461" s="688"/>
      <c r="J1461" s="688"/>
      <c r="K1461" s="688"/>
      <c r="L1461" s="688"/>
      <c r="M1461" s="688"/>
      <c r="N1461" s="688"/>
      <c r="O1461" s="688"/>
      <c r="P1461" s="688"/>
      <c r="Q1461" s="688"/>
      <c r="R1461" s="688"/>
      <c r="S1461" s="688"/>
      <c r="T1461" s="688"/>
      <c r="U1461" s="688"/>
      <c r="V1461" s="688"/>
      <c r="W1461" s="688"/>
      <c r="X1461" s="688"/>
      <c r="Y1461" s="688"/>
      <c r="Z1461" s="688"/>
      <c r="AA1461" s="688"/>
      <c r="AB1461" s="688"/>
      <c r="AC1461" s="688"/>
      <c r="AD1461" s="688"/>
      <c r="AE1461" s="688"/>
      <c r="AF1461" s="688"/>
      <c r="AG1461" s="688"/>
      <c r="AH1461" s="688"/>
      <c r="AI1461" s="688"/>
      <c r="AJ1461" s="344"/>
      <c r="AK1461" s="345"/>
      <c r="AL1461" s="340"/>
      <c r="AM1461" s="687"/>
      <c r="AN1461" s="688"/>
      <c r="AO1461" s="688"/>
      <c r="AP1461" s="688"/>
      <c r="AQ1461" s="688"/>
      <c r="AR1461" s="688"/>
      <c r="AS1461" s="688"/>
      <c r="AT1461" s="688"/>
      <c r="AU1461" s="688"/>
      <c r="AV1461" s="688"/>
      <c r="AW1461" s="688"/>
      <c r="AX1461" s="688"/>
      <c r="AY1461" s="688"/>
      <c r="AZ1461" s="688"/>
      <c r="BA1461" s="688"/>
      <c r="BB1461" s="688"/>
      <c r="BC1461" s="688"/>
      <c r="BD1461" s="688"/>
      <c r="BE1461" s="688"/>
      <c r="BF1461" s="688"/>
      <c r="BG1461" s="688"/>
      <c r="BH1461" s="688"/>
      <c r="BI1461" s="688"/>
      <c r="BJ1461" s="688"/>
      <c r="BK1461" s="688"/>
      <c r="BL1461" s="688"/>
      <c r="BM1461" s="688"/>
      <c r="BN1461" s="688"/>
      <c r="BO1461" s="688"/>
      <c r="BP1461" s="688"/>
      <c r="BQ1461" s="688"/>
      <c r="BR1461" s="688"/>
      <c r="BS1461" s="688"/>
      <c r="BT1461" s="359"/>
      <c r="BU1461" s="346"/>
      <c r="BV1461" s="310"/>
      <c r="BW1461" s="310"/>
      <c r="BX1461" s="291"/>
      <c r="BY1461" s="344"/>
      <c r="BZ1461" s="347"/>
      <c r="CA1461" s="347"/>
    </row>
    <row r="1462" spans="1:84" s="385" customFormat="1" ht="15" customHeight="1" thickBot="1" x14ac:dyDescent="0.3">
      <c r="A1462" s="313"/>
      <c r="B1462" s="340"/>
      <c r="C1462" s="704"/>
      <c r="D1462" s="705"/>
      <c r="E1462" s="705"/>
      <c r="F1462" s="705"/>
      <c r="G1462" s="705"/>
      <c r="H1462" s="705"/>
      <c r="I1462" s="705"/>
      <c r="J1462" s="705"/>
      <c r="K1462" s="705"/>
      <c r="L1462" s="705"/>
      <c r="M1462" s="705"/>
      <c r="N1462" s="705"/>
      <c r="O1462" s="705"/>
      <c r="P1462" s="705"/>
      <c r="Q1462" s="705"/>
      <c r="R1462" s="705"/>
      <c r="S1462" s="705"/>
      <c r="T1462" s="705"/>
      <c r="U1462" s="705"/>
      <c r="V1462" s="705"/>
      <c r="W1462" s="1359">
        <f>SUBTOTAL(109,W1459:AB1460)</f>
        <v>319939770</v>
      </c>
      <c r="X1462" s="1359"/>
      <c r="Y1462" s="1359"/>
      <c r="Z1462" s="1359"/>
      <c r="AA1462" s="1359"/>
      <c r="AB1462" s="1359"/>
      <c r="AC1462" s="705"/>
      <c r="AD1462" s="1359">
        <f>SUBTOTAL(109,AD1459:AI1460)</f>
        <v>301448798</v>
      </c>
      <c r="AE1462" s="1359"/>
      <c r="AF1462" s="1359"/>
      <c r="AG1462" s="1359"/>
      <c r="AH1462" s="1359"/>
      <c r="AI1462" s="1359"/>
      <c r="AJ1462" s="374"/>
      <c r="AK1462" s="345"/>
      <c r="AL1462" s="340"/>
      <c r="AM1462" s="704"/>
      <c r="AN1462" s="705"/>
      <c r="AO1462" s="705"/>
      <c r="AP1462" s="705"/>
      <c r="AQ1462" s="705"/>
      <c r="AR1462" s="705"/>
      <c r="AS1462" s="705"/>
      <c r="AT1462" s="705"/>
      <c r="AU1462" s="705"/>
      <c r="AV1462" s="705"/>
      <c r="AW1462" s="705"/>
      <c r="AX1462" s="705"/>
      <c r="AY1462" s="705"/>
      <c r="AZ1462" s="705"/>
      <c r="BA1462" s="705"/>
      <c r="BB1462" s="705"/>
      <c r="BC1462" s="705"/>
      <c r="BD1462" s="705"/>
      <c r="BE1462" s="705"/>
      <c r="BF1462" s="705"/>
      <c r="BG1462" s="705"/>
      <c r="BH1462" s="705"/>
      <c r="BI1462" s="705"/>
      <c r="BJ1462" s="705"/>
      <c r="BK1462" s="705"/>
      <c r="BL1462" s="705"/>
      <c r="BM1462" s="705"/>
      <c r="BN1462" s="705"/>
      <c r="BO1462" s="705"/>
      <c r="BP1462" s="705"/>
      <c r="BQ1462" s="705"/>
      <c r="BR1462" s="705"/>
      <c r="BS1462" s="705"/>
      <c r="BT1462" s="549"/>
      <c r="BU1462" s="550"/>
      <c r="BV1462" s="425"/>
      <c r="BW1462" s="425"/>
      <c r="BX1462" s="426"/>
      <c r="BY1462" s="374"/>
      <c r="BZ1462" s="383"/>
      <c r="CA1462" s="383"/>
      <c r="CB1462" s="384"/>
      <c r="CC1462" s="384"/>
      <c r="CD1462" s="384"/>
      <c r="CE1462" s="384"/>
      <c r="CF1462" s="384"/>
    </row>
    <row r="1463" spans="1:84" ht="15" hidden="1" customHeight="1" thickTop="1" x14ac:dyDescent="0.25">
      <c r="A1463" s="313"/>
      <c r="B1463" s="340"/>
      <c r="C1463" s="687"/>
      <c r="D1463" s="688"/>
      <c r="E1463" s="688"/>
      <c r="F1463" s="688"/>
      <c r="G1463" s="688"/>
      <c r="H1463" s="688"/>
      <c r="I1463" s="688"/>
      <c r="J1463" s="688"/>
      <c r="K1463" s="688"/>
      <c r="L1463" s="688"/>
      <c r="M1463" s="688"/>
      <c r="N1463" s="688"/>
      <c r="O1463" s="688"/>
      <c r="P1463" s="688"/>
      <c r="Q1463" s="688"/>
      <c r="R1463" s="688"/>
      <c r="S1463" s="688"/>
      <c r="T1463" s="688"/>
      <c r="U1463" s="688"/>
      <c r="V1463" s="688"/>
      <c r="W1463" s="688"/>
      <c r="X1463" s="688"/>
      <c r="Y1463" s="688"/>
      <c r="Z1463" s="688"/>
      <c r="AA1463" s="688"/>
      <c r="AB1463" s="688"/>
      <c r="AC1463" s="688"/>
      <c r="AD1463" s="688"/>
      <c r="AE1463" s="688"/>
      <c r="AF1463" s="688"/>
      <c r="AG1463" s="688"/>
      <c r="AH1463" s="688"/>
      <c r="AI1463" s="688"/>
      <c r="AJ1463" s="344"/>
      <c r="AK1463" s="345"/>
      <c r="AL1463" s="340"/>
      <c r="AM1463" s="687"/>
      <c r="AN1463" s="688"/>
      <c r="AO1463" s="688"/>
      <c r="AP1463" s="688"/>
      <c r="AQ1463" s="688"/>
      <c r="AR1463" s="688"/>
      <c r="AS1463" s="688"/>
      <c r="AT1463" s="688"/>
      <c r="AU1463" s="688"/>
      <c r="AV1463" s="688"/>
      <c r="AW1463" s="688"/>
      <c r="AX1463" s="688"/>
      <c r="AY1463" s="688"/>
      <c r="AZ1463" s="688"/>
      <c r="BA1463" s="688"/>
      <c r="BB1463" s="688"/>
      <c r="BC1463" s="688"/>
      <c r="BD1463" s="688"/>
      <c r="BE1463" s="688"/>
      <c r="BF1463" s="688"/>
      <c r="BG1463" s="688"/>
      <c r="BH1463" s="688"/>
      <c r="BI1463" s="688"/>
      <c r="BJ1463" s="688"/>
      <c r="BK1463" s="688"/>
      <c r="BL1463" s="688"/>
      <c r="BM1463" s="688"/>
      <c r="BN1463" s="688"/>
      <c r="BO1463" s="688"/>
      <c r="BP1463" s="688"/>
      <c r="BQ1463" s="688"/>
      <c r="BR1463" s="688"/>
      <c r="BS1463" s="688"/>
      <c r="BT1463" s="359"/>
      <c r="BU1463" s="346"/>
      <c r="BV1463" s="310"/>
      <c r="BW1463" s="310"/>
      <c r="BX1463" s="291"/>
      <c r="BY1463" s="344"/>
      <c r="BZ1463" s="347"/>
      <c r="CA1463" s="347"/>
    </row>
    <row r="1464" spans="1:84" ht="15" hidden="1" customHeight="1" x14ac:dyDescent="0.25">
      <c r="A1464" s="313"/>
      <c r="B1464" s="340"/>
      <c r="C1464" s="687"/>
      <c r="D1464" s="688"/>
      <c r="E1464" s="688"/>
      <c r="F1464" s="688"/>
      <c r="G1464" s="688"/>
      <c r="H1464" s="688"/>
      <c r="I1464" s="688"/>
      <c r="J1464" s="688"/>
      <c r="K1464" s="688"/>
      <c r="L1464" s="688"/>
      <c r="M1464" s="688"/>
      <c r="N1464" s="688"/>
      <c r="O1464" s="688"/>
      <c r="P1464" s="688"/>
      <c r="Q1464" s="688"/>
      <c r="R1464" s="688"/>
      <c r="S1464" s="688"/>
      <c r="T1464" s="688"/>
      <c r="U1464" s="688"/>
      <c r="V1464" s="688"/>
      <c r="W1464" s="688"/>
      <c r="X1464" s="688"/>
      <c r="Y1464" s="688"/>
      <c r="Z1464" s="688"/>
      <c r="AA1464" s="688"/>
      <c r="AB1464" s="688"/>
      <c r="AC1464" s="688"/>
      <c r="AD1464" s="688"/>
      <c r="AE1464" s="688"/>
      <c r="AF1464" s="688"/>
      <c r="AG1464" s="688"/>
      <c r="AH1464" s="688"/>
      <c r="AI1464" s="688"/>
      <c r="AJ1464" s="344"/>
      <c r="AK1464" s="345"/>
      <c r="AL1464" s="340"/>
      <c r="AM1464" s="687"/>
      <c r="AN1464" s="688"/>
      <c r="AO1464" s="688"/>
      <c r="AP1464" s="688"/>
      <c r="AQ1464" s="688"/>
      <c r="AR1464" s="688"/>
      <c r="AS1464" s="688"/>
      <c r="AT1464" s="688"/>
      <c r="AU1464" s="688"/>
      <c r="AV1464" s="688"/>
      <c r="AW1464" s="688"/>
      <c r="AX1464" s="688"/>
      <c r="AY1464" s="688"/>
      <c r="AZ1464" s="688"/>
      <c r="BA1464" s="688"/>
      <c r="BB1464" s="688"/>
      <c r="BC1464" s="688"/>
      <c r="BD1464" s="688"/>
      <c r="BE1464" s="688"/>
      <c r="BF1464" s="688"/>
      <c r="BG1464" s="688"/>
      <c r="BH1464" s="688"/>
      <c r="BI1464" s="688"/>
      <c r="BJ1464" s="688"/>
      <c r="BK1464" s="688"/>
      <c r="BL1464" s="688"/>
      <c r="BM1464" s="688"/>
      <c r="BN1464" s="688"/>
      <c r="BO1464" s="688"/>
      <c r="BP1464" s="688"/>
      <c r="BQ1464" s="688"/>
      <c r="BR1464" s="688"/>
      <c r="BS1464" s="688"/>
      <c r="BT1464" s="359"/>
      <c r="BU1464" s="346"/>
      <c r="BV1464" s="310"/>
      <c r="BW1464" s="310"/>
      <c r="BX1464" s="291">
        <f t="shared" si="102"/>
        <v>0</v>
      </c>
      <c r="BY1464" s="344"/>
      <c r="BZ1464" s="347"/>
      <c r="CA1464" s="347"/>
    </row>
    <row r="1465" spans="1:84" ht="15" hidden="1" customHeight="1" x14ac:dyDescent="0.25">
      <c r="A1465" s="313"/>
      <c r="B1465" s="340"/>
      <c r="C1465" s="311" t="s">
        <v>1535</v>
      </c>
      <c r="D1465" s="698"/>
      <c r="E1465" s="698"/>
      <c r="F1465" s="698"/>
      <c r="G1465" s="698"/>
      <c r="H1465" s="698"/>
      <c r="I1465" s="698"/>
      <c r="J1465" s="698"/>
      <c r="K1465" s="698"/>
      <c r="L1465" s="698"/>
      <c r="M1465" s="698"/>
      <c r="N1465" s="698"/>
      <c r="O1465" s="698"/>
      <c r="P1465" s="698"/>
      <c r="Q1465" s="698"/>
      <c r="R1465" s="698"/>
      <c r="S1465" s="698"/>
      <c r="T1465" s="698"/>
      <c r="U1465" s="698"/>
      <c r="V1465" s="698"/>
      <c r="W1465" s="698"/>
      <c r="X1465" s="698"/>
      <c r="Y1465" s="698"/>
      <c r="Z1465" s="698"/>
      <c r="AA1465" s="698"/>
      <c r="AB1465" s="698"/>
      <c r="AC1465" s="698"/>
      <c r="AD1465" s="698"/>
      <c r="AE1465" s="698"/>
      <c r="AF1465" s="698"/>
      <c r="AG1465" s="698"/>
      <c r="AH1465" s="698"/>
      <c r="AI1465" s="698"/>
      <c r="AJ1465" s="344"/>
      <c r="AK1465" s="345"/>
      <c r="AL1465" s="340"/>
      <c r="AM1465" s="311" t="s">
        <v>1536</v>
      </c>
      <c r="AN1465" s="698"/>
      <c r="AO1465" s="698"/>
      <c r="AP1465" s="698"/>
      <c r="AQ1465" s="698"/>
      <c r="AR1465" s="698"/>
      <c r="AS1465" s="698"/>
      <c r="AT1465" s="698"/>
      <c r="AU1465" s="698"/>
      <c r="AV1465" s="698"/>
      <c r="AW1465" s="698"/>
      <c r="AX1465" s="698"/>
      <c r="AY1465" s="698"/>
      <c r="AZ1465" s="698"/>
      <c r="BA1465" s="698"/>
      <c r="BB1465" s="698"/>
      <c r="BC1465" s="698"/>
      <c r="BD1465" s="698"/>
      <c r="BE1465" s="698"/>
      <c r="BF1465" s="698"/>
      <c r="BG1465" s="698"/>
      <c r="BH1465" s="698"/>
      <c r="BI1465" s="698"/>
      <c r="BJ1465" s="698"/>
      <c r="BK1465" s="698"/>
      <c r="BL1465" s="698"/>
      <c r="BM1465" s="698"/>
      <c r="BN1465" s="698"/>
      <c r="BO1465" s="698"/>
      <c r="BP1465" s="698"/>
      <c r="BQ1465" s="698"/>
      <c r="BR1465" s="698"/>
      <c r="BS1465" s="698"/>
      <c r="BT1465" s="359"/>
      <c r="BU1465" s="346"/>
      <c r="BV1465" s="310"/>
      <c r="BW1465" s="310"/>
      <c r="BX1465" s="291">
        <f t="shared" si="102"/>
        <v>0</v>
      </c>
      <c r="BY1465" s="344"/>
      <c r="BZ1465" s="347"/>
      <c r="CA1465" s="347"/>
    </row>
    <row r="1466" spans="1:84" ht="15" hidden="1" customHeight="1" x14ac:dyDescent="0.25">
      <c r="A1466" s="313"/>
      <c r="B1466" s="340"/>
      <c r="C1466" s="706" t="s">
        <v>1181</v>
      </c>
      <c r="D1466" s="698"/>
      <c r="E1466" s="698"/>
      <c r="F1466" s="698"/>
      <c r="G1466" s="698"/>
      <c r="H1466" s="698"/>
      <c r="I1466" s="698"/>
      <c r="J1466" s="698"/>
      <c r="K1466" s="698"/>
      <c r="L1466" s="698"/>
      <c r="M1466" s="698"/>
      <c r="N1466" s="698"/>
      <c r="O1466" s="698"/>
      <c r="P1466" s="698"/>
      <c r="Q1466" s="698"/>
      <c r="R1466" s="698"/>
      <c r="S1466" s="698"/>
      <c r="T1466" s="698"/>
      <c r="U1466" s="698"/>
      <c r="V1466" s="698"/>
      <c r="W1466" s="698"/>
      <c r="X1466" s="698"/>
      <c r="Y1466" s="698"/>
      <c r="Z1466" s="698"/>
      <c r="AA1466" s="698"/>
      <c r="AB1466" s="698"/>
      <c r="AC1466" s="698"/>
      <c r="AD1466" s="698"/>
      <c r="AE1466" s="698"/>
      <c r="AF1466" s="698"/>
      <c r="AG1466" s="698"/>
      <c r="AH1466" s="698"/>
      <c r="AI1466" s="698"/>
      <c r="AJ1466" s="344"/>
      <c r="AK1466" s="345"/>
      <c r="AL1466" s="340"/>
      <c r="AM1466" s="706" t="s">
        <v>1181</v>
      </c>
      <c r="AN1466" s="698"/>
      <c r="AO1466" s="698"/>
      <c r="AP1466" s="698"/>
      <c r="AQ1466" s="698"/>
      <c r="AR1466" s="698"/>
      <c r="AS1466" s="698"/>
      <c r="AT1466" s="698"/>
      <c r="AU1466" s="698"/>
      <c r="AV1466" s="698"/>
      <c r="AW1466" s="698"/>
      <c r="AX1466" s="698"/>
      <c r="AY1466" s="698"/>
      <c r="AZ1466" s="698"/>
      <c r="BA1466" s="698"/>
      <c r="BB1466" s="698"/>
      <c r="BC1466" s="698"/>
      <c r="BD1466" s="698"/>
      <c r="BE1466" s="698"/>
      <c r="BF1466" s="698"/>
      <c r="BG1466" s="698"/>
      <c r="BH1466" s="698"/>
      <c r="BI1466" s="698"/>
      <c r="BJ1466" s="698"/>
      <c r="BK1466" s="698"/>
      <c r="BL1466" s="698"/>
      <c r="BM1466" s="698"/>
      <c r="BN1466" s="698"/>
      <c r="BO1466" s="698"/>
      <c r="BP1466" s="698"/>
      <c r="BQ1466" s="698"/>
      <c r="BR1466" s="698"/>
      <c r="BS1466" s="698"/>
      <c r="BT1466" s="359"/>
      <c r="BU1466" s="346"/>
      <c r="BV1466" s="310"/>
      <c r="BW1466" s="310"/>
      <c r="BX1466" s="291">
        <f t="shared" si="102"/>
        <v>0</v>
      </c>
      <c r="BY1466" s="344"/>
      <c r="BZ1466" s="347"/>
      <c r="CA1466" s="347"/>
    </row>
    <row r="1467" spans="1:84" ht="15" hidden="1" customHeight="1" x14ac:dyDescent="0.25">
      <c r="A1467" s="313"/>
      <c r="B1467" s="340"/>
      <c r="C1467" s="706"/>
      <c r="D1467" s="698"/>
      <c r="E1467" s="698"/>
      <c r="F1467" s="698"/>
      <c r="G1467" s="698"/>
      <c r="H1467" s="698"/>
      <c r="I1467" s="698"/>
      <c r="J1467" s="698"/>
      <c r="K1467" s="698"/>
      <c r="L1467" s="698"/>
      <c r="M1467" s="698"/>
      <c r="N1467" s="698"/>
      <c r="O1467" s="698"/>
      <c r="P1467" s="698"/>
      <c r="Q1467" s="698"/>
      <c r="R1467" s="698"/>
      <c r="S1467" s="698"/>
      <c r="T1467" s="698"/>
      <c r="U1467" s="698"/>
      <c r="V1467" s="698"/>
      <c r="W1467" s="698"/>
      <c r="X1467" s="698"/>
      <c r="Y1467" s="698"/>
      <c r="Z1467" s="698"/>
      <c r="AA1467" s="698"/>
      <c r="AB1467" s="698"/>
      <c r="AC1467" s="698"/>
      <c r="AD1467" s="698"/>
      <c r="AE1467" s="698"/>
      <c r="AF1467" s="698"/>
      <c r="AG1467" s="698"/>
      <c r="AH1467" s="698"/>
      <c r="AI1467" s="698"/>
      <c r="AJ1467" s="344"/>
      <c r="AK1467" s="345"/>
      <c r="AL1467" s="340"/>
      <c r="AM1467" s="706"/>
      <c r="AN1467" s="698"/>
      <c r="AO1467" s="698"/>
      <c r="AP1467" s="698"/>
      <c r="AQ1467" s="698"/>
      <c r="AR1467" s="698"/>
      <c r="AS1467" s="698"/>
      <c r="AT1467" s="698"/>
      <c r="AU1467" s="698"/>
      <c r="AV1467" s="698"/>
      <c r="AW1467" s="698"/>
      <c r="AX1467" s="698"/>
      <c r="AY1467" s="698"/>
      <c r="AZ1467" s="698"/>
      <c r="BA1467" s="698"/>
      <c r="BB1467" s="698"/>
      <c r="BC1467" s="698"/>
      <c r="BD1467" s="698"/>
      <c r="BE1467" s="698"/>
      <c r="BF1467" s="698"/>
      <c r="BG1467" s="698"/>
      <c r="BH1467" s="698"/>
      <c r="BI1467" s="698"/>
      <c r="BJ1467" s="698"/>
      <c r="BK1467" s="698"/>
      <c r="BL1467" s="698"/>
      <c r="BM1467" s="698"/>
      <c r="BN1467" s="698"/>
      <c r="BO1467" s="698"/>
      <c r="BP1467" s="698"/>
      <c r="BQ1467" s="698"/>
      <c r="BR1467" s="698"/>
      <c r="BS1467" s="698"/>
      <c r="BT1467" s="359"/>
      <c r="BU1467" s="346"/>
      <c r="BV1467" s="310"/>
      <c r="BW1467" s="310"/>
      <c r="BX1467" s="291">
        <f t="shared" si="102"/>
        <v>0</v>
      </c>
      <c r="BY1467" s="344"/>
      <c r="BZ1467" s="347"/>
      <c r="CA1467" s="347"/>
    </row>
    <row r="1468" spans="1:84" ht="2.1" hidden="1" customHeight="1" x14ac:dyDescent="0.25">
      <c r="A1468" s="313"/>
      <c r="B1468" s="340"/>
      <c r="C1468" s="1391" t="s">
        <v>1537</v>
      </c>
      <c r="D1468" s="1392"/>
      <c r="E1468" s="1392"/>
      <c r="F1468" s="1392"/>
      <c r="G1468" s="1392"/>
      <c r="H1468" s="1392"/>
      <c r="I1468" s="1392"/>
      <c r="J1468" s="1392"/>
      <c r="K1468" s="1392"/>
      <c r="L1468" s="1392"/>
      <c r="M1468" s="1392"/>
      <c r="N1468" s="1392"/>
      <c r="O1468" s="1392"/>
      <c r="P1468" s="1392"/>
      <c r="Q1468" s="1392"/>
      <c r="R1468" s="1392"/>
      <c r="S1468" s="1392"/>
      <c r="T1468" s="1392"/>
      <c r="U1468" s="1392"/>
      <c r="V1468" s="1392"/>
      <c r="W1468" s="1392"/>
      <c r="X1468" s="1392"/>
      <c r="Y1468" s="1392"/>
      <c r="Z1468" s="1392"/>
      <c r="AA1468" s="1392"/>
      <c r="AB1468" s="1392"/>
      <c r="AC1468" s="1392"/>
      <c r="AD1468" s="1392"/>
      <c r="AE1468" s="1392"/>
      <c r="AF1468" s="1392"/>
      <c r="AG1468" s="1392"/>
      <c r="AH1468" s="1392"/>
      <c r="AI1468" s="1392"/>
      <c r="AJ1468" s="344"/>
      <c r="AK1468" s="345"/>
      <c r="AL1468" s="340"/>
      <c r="AM1468" s="1391" t="s">
        <v>1537</v>
      </c>
      <c r="AN1468" s="1392"/>
      <c r="AO1468" s="1392"/>
      <c r="AP1468" s="1392"/>
      <c r="AQ1468" s="1392"/>
      <c r="AR1468" s="1392"/>
      <c r="AS1468" s="1392"/>
      <c r="AT1468" s="1392"/>
      <c r="AU1468" s="1392"/>
      <c r="AV1468" s="1392"/>
      <c r="AW1468" s="1392"/>
      <c r="AX1468" s="1392"/>
      <c r="AY1468" s="1392"/>
      <c r="AZ1468" s="1392"/>
      <c r="BA1468" s="1392"/>
      <c r="BB1468" s="1392"/>
      <c r="BC1468" s="1392"/>
      <c r="BD1468" s="1392"/>
      <c r="BE1468" s="1392"/>
      <c r="BF1468" s="1392"/>
      <c r="BG1468" s="1392"/>
      <c r="BH1468" s="1392"/>
      <c r="BI1468" s="1392"/>
      <c r="BJ1468" s="1392"/>
      <c r="BK1468" s="1392"/>
      <c r="BL1468" s="1392"/>
      <c r="BM1468" s="1392"/>
      <c r="BN1468" s="1392"/>
      <c r="BO1468" s="1392"/>
      <c r="BP1468" s="1392"/>
      <c r="BQ1468" s="1392"/>
      <c r="BR1468" s="1392"/>
      <c r="BS1468" s="1392"/>
      <c r="BT1468" s="342"/>
      <c r="BU1468" s="346"/>
      <c r="BV1468" s="310"/>
      <c r="BW1468" s="310"/>
      <c r="BX1468" s="291">
        <f t="shared" si="102"/>
        <v>0</v>
      </c>
      <c r="BY1468" s="344"/>
      <c r="BZ1468" s="347"/>
      <c r="CA1468" s="347"/>
    </row>
    <row r="1469" spans="1:84" ht="12.95" customHeight="1" thickTop="1" x14ac:dyDescent="0.25">
      <c r="A1469" s="313"/>
      <c r="B1469" s="340"/>
      <c r="C1469" s="342"/>
      <c r="D1469" s="342"/>
      <c r="E1469" s="342"/>
      <c r="F1469" s="342"/>
      <c r="G1469" s="342"/>
      <c r="H1469" s="342"/>
      <c r="I1469" s="342"/>
      <c r="J1469" s="342"/>
      <c r="K1469" s="342"/>
      <c r="L1469" s="342"/>
      <c r="M1469" s="342"/>
      <c r="N1469" s="342"/>
      <c r="O1469" s="342"/>
      <c r="P1469" s="342"/>
      <c r="Q1469" s="342"/>
      <c r="R1469" s="342"/>
      <c r="S1469" s="342"/>
      <c r="T1469" s="342"/>
      <c r="U1469" s="342"/>
      <c r="V1469" s="342"/>
      <c r="W1469" s="343"/>
      <c r="X1469" s="343"/>
      <c r="Y1469" s="343"/>
      <c r="Z1469" s="343"/>
      <c r="AA1469" s="343"/>
      <c r="AB1469" s="343"/>
      <c r="AC1469" s="343"/>
      <c r="AD1469" s="343"/>
      <c r="AE1469" s="343"/>
      <c r="AF1469" s="343"/>
      <c r="AG1469" s="343"/>
      <c r="AH1469" s="343"/>
      <c r="AI1469" s="343"/>
      <c r="AJ1469" s="344"/>
      <c r="AK1469" s="345"/>
      <c r="AL1469" s="340"/>
      <c r="AM1469" s="342"/>
      <c r="AN1469" s="342"/>
      <c r="AO1469" s="342"/>
      <c r="AP1469" s="342"/>
      <c r="AQ1469" s="342"/>
      <c r="AR1469" s="342"/>
      <c r="AS1469" s="342"/>
      <c r="AT1469" s="342"/>
      <c r="AU1469" s="342"/>
      <c r="AV1469" s="342"/>
      <c r="AW1469" s="342"/>
      <c r="AX1469" s="342"/>
      <c r="AY1469" s="342"/>
      <c r="AZ1469" s="342"/>
      <c r="BA1469" s="342"/>
      <c r="BB1469" s="342"/>
      <c r="BC1469" s="342"/>
      <c r="BD1469" s="342"/>
      <c r="BE1469" s="342"/>
      <c r="BF1469" s="342"/>
      <c r="BG1469" s="343"/>
      <c r="BH1469" s="343"/>
      <c r="BI1469" s="343"/>
      <c r="BJ1469" s="343"/>
      <c r="BK1469" s="343"/>
      <c r="BL1469" s="343"/>
      <c r="BM1469" s="343"/>
      <c r="BN1469" s="343"/>
      <c r="BO1469" s="343"/>
      <c r="BP1469" s="343"/>
      <c r="BQ1469" s="343"/>
      <c r="BR1469" s="343"/>
      <c r="BS1469" s="343"/>
      <c r="BT1469" s="342"/>
      <c r="BU1469" s="346"/>
      <c r="BV1469" s="310"/>
      <c r="BW1469" s="310"/>
      <c r="BX1469" s="291">
        <f t="shared" si="102"/>
        <v>0</v>
      </c>
      <c r="BY1469" s="344"/>
      <c r="BZ1469" s="347"/>
      <c r="CA1469" s="347"/>
    </row>
    <row r="1470" spans="1:84" ht="15" customHeight="1" x14ac:dyDescent="0.25">
      <c r="A1470" s="313">
        <v>22</v>
      </c>
      <c r="B1470" s="340" t="s">
        <v>345</v>
      </c>
      <c r="C1470" s="341" t="s">
        <v>1538</v>
      </c>
      <c r="D1470" s="342"/>
      <c r="E1470" s="342"/>
      <c r="F1470" s="342"/>
      <c r="G1470" s="342"/>
      <c r="H1470" s="342"/>
      <c r="I1470" s="342"/>
      <c r="J1470" s="342"/>
      <c r="K1470" s="342"/>
      <c r="L1470" s="342"/>
      <c r="M1470" s="342"/>
      <c r="N1470" s="342"/>
      <c r="O1470" s="342"/>
      <c r="P1470" s="342"/>
      <c r="Q1470" s="342"/>
      <c r="R1470" s="342"/>
      <c r="S1470" s="342"/>
      <c r="T1470" s="342"/>
      <c r="U1470" s="342"/>
      <c r="V1470" s="342"/>
      <c r="W1470" s="343"/>
      <c r="X1470" s="343"/>
      <c r="Y1470" s="343"/>
      <c r="Z1470" s="343"/>
      <c r="AA1470" s="343"/>
      <c r="AB1470" s="343"/>
      <c r="AC1470" s="343"/>
      <c r="AD1470" s="343"/>
      <c r="AE1470" s="343"/>
      <c r="AF1470" s="343"/>
      <c r="AG1470" s="343"/>
      <c r="AH1470" s="343"/>
      <c r="AI1470" s="343"/>
      <c r="AJ1470" s="344"/>
      <c r="AK1470" s="345">
        <f>A1470</f>
        <v>22</v>
      </c>
      <c r="AL1470" s="340" t="s">
        <v>345</v>
      </c>
      <c r="AM1470" s="341" t="s">
        <v>1539</v>
      </c>
      <c r="AN1470" s="342"/>
      <c r="AO1470" s="342"/>
      <c r="AP1470" s="342"/>
      <c r="AQ1470" s="342"/>
      <c r="AR1470" s="342"/>
      <c r="AS1470" s="342"/>
      <c r="AT1470" s="342"/>
      <c r="AU1470" s="342"/>
      <c r="AV1470" s="342"/>
      <c r="AW1470" s="342"/>
      <c r="AX1470" s="342"/>
      <c r="AY1470" s="342"/>
      <c r="AZ1470" s="342"/>
      <c r="BA1470" s="342"/>
      <c r="BB1470" s="342"/>
      <c r="BC1470" s="342"/>
      <c r="BD1470" s="342"/>
      <c r="BE1470" s="342"/>
      <c r="BF1470" s="342"/>
      <c r="BG1470" s="342"/>
      <c r="BH1470" s="342"/>
      <c r="BI1470" s="342"/>
      <c r="BJ1470" s="342"/>
      <c r="BK1470" s="342"/>
      <c r="BL1470" s="342"/>
      <c r="BM1470" s="342"/>
      <c r="BN1470" s="342"/>
      <c r="BO1470" s="342"/>
      <c r="BP1470" s="342"/>
      <c r="BQ1470" s="342"/>
      <c r="BR1470" s="342"/>
      <c r="BS1470" s="342"/>
      <c r="BT1470" s="342"/>
      <c r="BU1470" s="346">
        <f>SUBTOTAL(103,A1470)</f>
        <v>1</v>
      </c>
      <c r="BV1470" s="310"/>
      <c r="BW1470" s="310"/>
      <c r="BX1470" s="291">
        <f t="shared" si="102"/>
        <v>0</v>
      </c>
      <c r="BY1470" s="344"/>
      <c r="BZ1470" s="347"/>
      <c r="CA1470" s="347"/>
    </row>
    <row r="1471" spans="1:84" ht="15" customHeight="1" x14ac:dyDescent="0.25">
      <c r="A1471" s="313"/>
      <c r="B1471" s="340"/>
      <c r="C1471" s="342"/>
      <c r="D1471" s="342"/>
      <c r="E1471" s="342"/>
      <c r="F1471" s="342"/>
      <c r="G1471" s="342"/>
      <c r="H1471" s="342"/>
      <c r="I1471" s="342"/>
      <c r="J1471" s="342"/>
      <c r="K1471" s="342"/>
      <c r="L1471" s="342"/>
      <c r="M1471" s="342"/>
      <c r="N1471" s="342"/>
      <c r="O1471" s="342"/>
      <c r="P1471" s="342"/>
      <c r="Q1471" s="342"/>
      <c r="R1471" s="342"/>
      <c r="S1471" s="342"/>
      <c r="T1471" s="342"/>
      <c r="U1471" s="342"/>
      <c r="V1471" s="342"/>
      <c r="W1471" s="1324" t="str">
        <f>Ky_Nay2_V</f>
        <v>Năm 2017</v>
      </c>
      <c r="X1471" s="1324"/>
      <c r="Y1471" s="1324"/>
      <c r="Z1471" s="1324"/>
      <c r="AA1471" s="1324"/>
      <c r="AB1471" s="1324"/>
      <c r="AC1471" s="351"/>
      <c r="AD1471" s="1324" t="str">
        <f>Ky_Truoc2_V</f>
        <v>Năm 2016</v>
      </c>
      <c r="AE1471" s="1324"/>
      <c r="AF1471" s="1324"/>
      <c r="AG1471" s="1324"/>
      <c r="AH1471" s="1324"/>
      <c r="AI1471" s="1324"/>
      <c r="AJ1471" s="344"/>
      <c r="AK1471" s="345"/>
      <c r="AL1471" s="340"/>
      <c r="AM1471" s="342"/>
      <c r="AN1471" s="342"/>
      <c r="AO1471" s="342"/>
      <c r="AP1471" s="342"/>
      <c r="AQ1471" s="342"/>
      <c r="AR1471" s="342"/>
      <c r="AS1471" s="342"/>
      <c r="AT1471" s="342"/>
      <c r="AU1471" s="342"/>
      <c r="AV1471" s="342"/>
      <c r="AW1471" s="342"/>
      <c r="AX1471" s="342"/>
      <c r="AY1471" s="342"/>
      <c r="AZ1471" s="342"/>
      <c r="BA1471" s="342"/>
      <c r="BB1471" s="342"/>
      <c r="BC1471" s="342"/>
      <c r="BD1471" s="342"/>
      <c r="BE1471" s="342"/>
      <c r="BF1471" s="342"/>
      <c r="BG1471" s="1324" t="str">
        <f>Ky_Nay2_E</f>
        <v>Year 2016</v>
      </c>
      <c r="BH1471" s="1324"/>
      <c r="BI1471" s="1324"/>
      <c r="BJ1471" s="1324"/>
      <c r="BK1471" s="1324"/>
      <c r="BL1471" s="1324"/>
      <c r="BM1471" s="351"/>
      <c r="BN1471" s="1324" t="str">
        <f>Ky_Truoc2_E</f>
        <v>Year 2015</v>
      </c>
      <c r="BO1471" s="1324"/>
      <c r="BP1471" s="1324"/>
      <c r="BQ1471" s="1324"/>
      <c r="BR1471" s="1324"/>
      <c r="BS1471" s="1324"/>
      <c r="BT1471" s="344"/>
      <c r="BU1471" s="370"/>
      <c r="BV1471" s="310"/>
      <c r="BW1471" s="310"/>
      <c r="BX1471" s="291">
        <f t="shared" si="102"/>
        <v>0</v>
      </c>
      <c r="BY1471" s="344"/>
      <c r="BZ1471" s="347"/>
      <c r="CA1471" s="347"/>
    </row>
    <row r="1472" spans="1:84" ht="15" customHeight="1" x14ac:dyDescent="0.25">
      <c r="A1472" s="313"/>
      <c r="B1472" s="340"/>
      <c r="C1472" s="342"/>
      <c r="D1472" s="342"/>
      <c r="E1472" s="342"/>
      <c r="F1472" s="342"/>
      <c r="G1472" s="342"/>
      <c r="H1472" s="342"/>
      <c r="I1472" s="342"/>
      <c r="J1472" s="342"/>
      <c r="K1472" s="342"/>
      <c r="L1472" s="342"/>
      <c r="M1472" s="342"/>
      <c r="N1472" s="342"/>
      <c r="O1472" s="342"/>
      <c r="P1472" s="342"/>
      <c r="Q1472" s="342"/>
      <c r="R1472" s="342"/>
      <c r="S1472" s="342"/>
      <c r="T1472" s="342"/>
      <c r="U1472" s="342"/>
      <c r="V1472" s="342"/>
      <c r="W1472" s="1327" t="str">
        <f>Don_Vi_Tinh_V</f>
        <v>VND</v>
      </c>
      <c r="X1472" s="1327"/>
      <c r="Y1472" s="1327"/>
      <c r="Z1472" s="1327"/>
      <c r="AA1472" s="1327"/>
      <c r="AB1472" s="1327"/>
      <c r="AC1472" s="351"/>
      <c r="AD1472" s="1327" t="str">
        <f>Don_Vi_Tinh_V</f>
        <v>VND</v>
      </c>
      <c r="AE1472" s="1327"/>
      <c r="AF1472" s="1327"/>
      <c r="AG1472" s="1327"/>
      <c r="AH1472" s="1327"/>
      <c r="AI1472" s="1327"/>
      <c r="AJ1472" s="344"/>
      <c r="AK1472" s="345"/>
      <c r="AL1472" s="340"/>
      <c r="AM1472" s="342"/>
      <c r="AN1472" s="342"/>
      <c r="AO1472" s="342"/>
      <c r="AP1472" s="342"/>
      <c r="AQ1472" s="342"/>
      <c r="AR1472" s="342"/>
      <c r="AS1472" s="342"/>
      <c r="AT1472" s="342"/>
      <c r="AU1472" s="342"/>
      <c r="AV1472" s="342"/>
      <c r="AW1472" s="342"/>
      <c r="AX1472" s="342"/>
      <c r="AY1472" s="342"/>
      <c r="AZ1472" s="342"/>
      <c r="BA1472" s="342"/>
      <c r="BB1472" s="342"/>
      <c r="BC1472" s="342"/>
      <c r="BD1472" s="342"/>
      <c r="BE1472" s="342"/>
      <c r="BF1472" s="342"/>
      <c r="BG1472" s="1327" t="str">
        <f>Don_Vi_Tinh_E</f>
        <v>VND</v>
      </c>
      <c r="BH1472" s="1327"/>
      <c r="BI1472" s="1327"/>
      <c r="BJ1472" s="1327"/>
      <c r="BK1472" s="1327"/>
      <c r="BL1472" s="1327"/>
      <c r="BM1472" s="351"/>
      <c r="BN1472" s="1327" t="str">
        <f>Don_Vi_Tinh_E</f>
        <v>VND</v>
      </c>
      <c r="BO1472" s="1327"/>
      <c r="BP1472" s="1327"/>
      <c r="BQ1472" s="1327"/>
      <c r="BR1472" s="1327"/>
      <c r="BS1472" s="1327"/>
      <c r="BT1472" s="344"/>
      <c r="BU1472" s="370"/>
      <c r="BV1472" s="310"/>
      <c r="BW1472" s="310"/>
      <c r="BX1472" s="291">
        <f t="shared" si="102"/>
        <v>0</v>
      </c>
      <c r="BY1472" s="344"/>
      <c r="BZ1472" s="347"/>
      <c r="CA1472" s="347"/>
    </row>
    <row r="1473" spans="1:84" ht="14.1" customHeight="1" x14ac:dyDescent="0.25">
      <c r="A1473" s="313"/>
      <c r="B1473" s="340"/>
      <c r="C1473" s="342"/>
      <c r="D1473" s="342"/>
      <c r="E1473" s="342"/>
      <c r="F1473" s="342"/>
      <c r="G1473" s="342"/>
      <c r="H1473" s="342"/>
      <c r="I1473" s="342"/>
      <c r="J1473" s="342"/>
      <c r="K1473" s="342"/>
      <c r="L1473" s="342"/>
      <c r="M1473" s="342"/>
      <c r="N1473" s="342"/>
      <c r="O1473" s="342"/>
      <c r="P1473" s="342"/>
      <c r="Q1473" s="342"/>
      <c r="R1473" s="342"/>
      <c r="S1473" s="342"/>
      <c r="T1473" s="342"/>
      <c r="U1473" s="342"/>
      <c r="V1473" s="342"/>
      <c r="W1473" s="1318"/>
      <c r="X1473" s="1318"/>
      <c r="Y1473" s="1318"/>
      <c r="Z1473" s="1318"/>
      <c r="AA1473" s="1318"/>
      <c r="AB1473" s="1318"/>
      <c r="AC1473" s="355"/>
      <c r="AD1473" s="1318"/>
      <c r="AE1473" s="1318"/>
      <c r="AF1473" s="1318"/>
      <c r="AG1473" s="1318"/>
      <c r="AH1473" s="1318"/>
      <c r="AI1473" s="1318"/>
      <c r="AJ1473" s="344"/>
      <c r="AK1473" s="345"/>
      <c r="AL1473" s="340"/>
      <c r="AM1473" s="342"/>
      <c r="AN1473" s="342"/>
      <c r="AO1473" s="342"/>
      <c r="AP1473" s="342"/>
      <c r="AQ1473" s="342"/>
      <c r="AR1473" s="342"/>
      <c r="AS1473" s="342"/>
      <c r="AT1473" s="342"/>
      <c r="AU1473" s="342"/>
      <c r="AV1473" s="342"/>
      <c r="AW1473" s="342"/>
      <c r="AX1473" s="342"/>
      <c r="AY1473" s="342"/>
      <c r="AZ1473" s="342"/>
      <c r="BA1473" s="342"/>
      <c r="BB1473" s="342"/>
      <c r="BC1473" s="342"/>
      <c r="BD1473" s="342"/>
      <c r="BE1473" s="342"/>
      <c r="BF1473" s="342"/>
      <c r="BG1473" s="1318"/>
      <c r="BH1473" s="1318"/>
      <c r="BI1473" s="1318"/>
      <c r="BJ1473" s="1318"/>
      <c r="BK1473" s="1318"/>
      <c r="BL1473" s="1318"/>
      <c r="BM1473" s="355"/>
      <c r="BN1473" s="1318"/>
      <c r="BO1473" s="1318"/>
      <c r="BP1473" s="1318"/>
      <c r="BQ1473" s="1318"/>
      <c r="BR1473" s="1318"/>
      <c r="BS1473" s="1318"/>
      <c r="BT1473" s="344"/>
      <c r="BU1473" s="370"/>
      <c r="BV1473" s="310"/>
      <c r="BW1473" s="310"/>
      <c r="BX1473" s="291">
        <f t="shared" si="102"/>
        <v>0</v>
      </c>
      <c r="BY1473" s="344"/>
      <c r="BZ1473" s="347"/>
      <c r="CA1473" s="347"/>
    </row>
    <row r="1474" spans="1:84" ht="15" customHeight="1" x14ac:dyDescent="0.25">
      <c r="A1474" s="313"/>
      <c r="B1474" s="340"/>
      <c r="C1474" s="342" t="s">
        <v>631</v>
      </c>
      <c r="D1474" s="342"/>
      <c r="E1474" s="342"/>
      <c r="F1474" s="342"/>
      <c r="G1474" s="342"/>
      <c r="H1474" s="342"/>
      <c r="I1474" s="342"/>
      <c r="J1474" s="342"/>
      <c r="K1474" s="342"/>
      <c r="L1474" s="342"/>
      <c r="M1474" s="342"/>
      <c r="N1474" s="342"/>
      <c r="O1474" s="342"/>
      <c r="P1474" s="342"/>
      <c r="Q1474" s="342"/>
      <c r="R1474" s="342"/>
      <c r="S1474" s="342"/>
      <c r="T1474" s="342"/>
      <c r="U1474" s="342"/>
      <c r="V1474" s="342"/>
      <c r="W1474" s="1318">
        <f>KN_5111+KN_5112-W1477</f>
        <v>47305943238</v>
      </c>
      <c r="X1474" s="1318"/>
      <c r="Y1474" s="1318"/>
      <c r="Z1474" s="1318"/>
      <c r="AA1474" s="1318"/>
      <c r="AB1474" s="1318"/>
      <c r="AC1474" s="355"/>
      <c r="AD1474" s="1318">
        <f>KT_5111+KT_5112-AD1477</f>
        <v>58097846033</v>
      </c>
      <c r="AE1474" s="1318"/>
      <c r="AF1474" s="1318"/>
      <c r="AG1474" s="1318"/>
      <c r="AH1474" s="1318"/>
      <c r="AI1474" s="1318"/>
      <c r="AJ1474" s="344"/>
      <c r="AK1474" s="345"/>
      <c r="AL1474" s="340"/>
      <c r="AM1474" s="342" t="s">
        <v>1540</v>
      </c>
      <c r="AN1474" s="342"/>
      <c r="AO1474" s="342"/>
      <c r="AP1474" s="342"/>
      <c r="AQ1474" s="342"/>
      <c r="AR1474" s="342"/>
      <c r="AS1474" s="342"/>
      <c r="AT1474" s="342"/>
      <c r="AU1474" s="342"/>
      <c r="AV1474" s="342"/>
      <c r="AW1474" s="342"/>
      <c r="AX1474" s="342"/>
      <c r="AY1474" s="342"/>
      <c r="AZ1474" s="342"/>
      <c r="BA1474" s="342"/>
      <c r="BB1474" s="342"/>
      <c r="BC1474" s="342"/>
      <c r="BD1474" s="342"/>
      <c r="BE1474" s="342"/>
      <c r="BF1474" s="342"/>
      <c r="BG1474" s="1318">
        <f>W1474</f>
        <v>47305943238</v>
      </c>
      <c r="BH1474" s="1318"/>
      <c r="BI1474" s="1318"/>
      <c r="BJ1474" s="1318"/>
      <c r="BK1474" s="1318"/>
      <c r="BL1474" s="1318"/>
      <c r="BM1474" s="355"/>
      <c r="BN1474" s="1318">
        <f t="shared" ref="BN1474:BN1480" si="105">AD1474</f>
        <v>58097846033</v>
      </c>
      <c r="BO1474" s="1318"/>
      <c r="BP1474" s="1318"/>
      <c r="BQ1474" s="1318"/>
      <c r="BR1474" s="1318"/>
      <c r="BS1474" s="1318"/>
      <c r="BT1474" s="344"/>
      <c r="BU1474" s="346"/>
      <c r="BV1474" s="310"/>
      <c r="BW1474" s="310"/>
      <c r="BX1474" s="291">
        <f t="shared" si="102"/>
        <v>0</v>
      </c>
      <c r="BY1474" s="344"/>
      <c r="BZ1474" s="347"/>
      <c r="CA1474" s="347">
        <f>W1474-W1506</f>
        <v>9584044291</v>
      </c>
      <c r="CB1474" s="348">
        <f>AD1474-AD1506</f>
        <v>11696737304</v>
      </c>
    </row>
    <row r="1475" spans="1:84" ht="15" hidden="1" customHeight="1" x14ac:dyDescent="0.25">
      <c r="A1475" s="313"/>
      <c r="B1475" s="340"/>
      <c r="C1475" s="342" t="s">
        <v>643</v>
      </c>
      <c r="D1475" s="342"/>
      <c r="E1475" s="342"/>
      <c r="F1475" s="342"/>
      <c r="G1475" s="342"/>
      <c r="H1475" s="342"/>
      <c r="I1475" s="342"/>
      <c r="J1475" s="342"/>
      <c r="K1475" s="342"/>
      <c r="L1475" s="342"/>
      <c r="M1475" s="342"/>
      <c r="N1475" s="342"/>
      <c r="O1475" s="342"/>
      <c r="P1475" s="342"/>
      <c r="Q1475" s="342"/>
      <c r="R1475" s="342"/>
      <c r="S1475" s="342"/>
      <c r="T1475" s="342"/>
      <c r="U1475" s="342"/>
      <c r="V1475" s="342"/>
      <c r="W1475" s="1318">
        <f>KN_5113</f>
        <v>0</v>
      </c>
      <c r="X1475" s="1318"/>
      <c r="Y1475" s="1318"/>
      <c r="Z1475" s="1318"/>
      <c r="AA1475" s="1318"/>
      <c r="AB1475" s="1318"/>
      <c r="AC1475" s="355"/>
      <c r="AD1475" s="1318">
        <f>KT_5113</f>
        <v>0</v>
      </c>
      <c r="AE1475" s="1318"/>
      <c r="AF1475" s="1318"/>
      <c r="AG1475" s="1318"/>
      <c r="AH1475" s="1318"/>
      <c r="AI1475" s="1318"/>
      <c r="AJ1475" s="344"/>
      <c r="AK1475" s="345"/>
      <c r="AL1475" s="340"/>
      <c r="AM1475" s="342" t="s">
        <v>1541</v>
      </c>
      <c r="AN1475" s="342"/>
      <c r="AO1475" s="342"/>
      <c r="AP1475" s="342"/>
      <c r="AQ1475" s="342"/>
      <c r="AR1475" s="342"/>
      <c r="AS1475" s="342"/>
      <c r="AT1475" s="342"/>
      <c r="AU1475" s="342"/>
      <c r="AV1475" s="342"/>
      <c r="AW1475" s="342"/>
      <c r="AX1475" s="342"/>
      <c r="AY1475" s="342"/>
      <c r="AZ1475" s="342"/>
      <c r="BA1475" s="342"/>
      <c r="BB1475" s="342"/>
      <c r="BC1475" s="342"/>
      <c r="BD1475" s="342"/>
      <c r="BE1475" s="342"/>
      <c r="BF1475" s="342"/>
      <c r="BG1475" s="1318">
        <f>W1475</f>
        <v>0</v>
      </c>
      <c r="BH1475" s="1318"/>
      <c r="BI1475" s="1318"/>
      <c r="BJ1475" s="1318"/>
      <c r="BK1475" s="1318"/>
      <c r="BL1475" s="1318"/>
      <c r="BM1475" s="355"/>
      <c r="BN1475" s="1318">
        <f t="shared" si="105"/>
        <v>0</v>
      </c>
      <c r="BO1475" s="1318"/>
      <c r="BP1475" s="1318"/>
      <c r="BQ1475" s="1318"/>
      <c r="BR1475" s="1318"/>
      <c r="BS1475" s="1318"/>
      <c r="BT1475" s="344"/>
      <c r="BU1475" s="707"/>
      <c r="BV1475" s="310"/>
      <c r="BW1475" s="310"/>
      <c r="BX1475" s="291">
        <f t="shared" si="102"/>
        <v>0</v>
      </c>
      <c r="BY1475" s="344"/>
      <c r="BZ1475" s="347"/>
      <c r="CA1475" s="347"/>
    </row>
    <row r="1476" spans="1:84" ht="15" hidden="1" customHeight="1" x14ac:dyDescent="0.25">
      <c r="A1476" s="313"/>
      <c r="B1476" s="340"/>
      <c r="C1476" s="342" t="s">
        <v>1542</v>
      </c>
      <c r="D1476" s="342"/>
      <c r="E1476" s="342"/>
      <c r="F1476" s="342"/>
      <c r="G1476" s="342"/>
      <c r="H1476" s="342"/>
      <c r="I1476" s="342"/>
      <c r="J1476" s="342"/>
      <c r="K1476" s="342"/>
      <c r="L1476" s="342"/>
      <c r="M1476" s="342"/>
      <c r="N1476" s="342"/>
      <c r="O1476" s="342"/>
      <c r="P1476" s="342"/>
      <c r="Q1476" s="342"/>
      <c r="R1476" s="342"/>
      <c r="S1476" s="342"/>
      <c r="T1476" s="342"/>
      <c r="U1476" s="342"/>
      <c r="V1476" s="342"/>
      <c r="W1476" s="1318"/>
      <c r="X1476" s="1318"/>
      <c r="Y1476" s="1318"/>
      <c r="Z1476" s="1318"/>
      <c r="AA1476" s="1318"/>
      <c r="AB1476" s="1318"/>
      <c r="AC1476" s="355"/>
      <c r="AD1476" s="1318"/>
      <c r="AE1476" s="1318"/>
      <c r="AF1476" s="1318"/>
      <c r="AG1476" s="1318"/>
      <c r="AH1476" s="1318"/>
      <c r="AI1476" s="1318"/>
      <c r="AJ1476" s="344"/>
      <c r="AK1476" s="345"/>
      <c r="AL1476" s="340"/>
      <c r="AM1476" s="342" t="s">
        <v>1543</v>
      </c>
      <c r="AN1476" s="342"/>
      <c r="AO1476" s="342"/>
      <c r="AP1476" s="342"/>
      <c r="AQ1476" s="342"/>
      <c r="AR1476" s="342"/>
      <c r="AS1476" s="342"/>
      <c r="AT1476" s="342"/>
      <c r="AU1476" s="342"/>
      <c r="AV1476" s="342"/>
      <c r="AW1476" s="342"/>
      <c r="AX1476" s="342"/>
      <c r="AY1476" s="342"/>
      <c r="AZ1476" s="342"/>
      <c r="BA1476" s="342"/>
      <c r="BB1476" s="342"/>
      <c r="BC1476" s="342"/>
      <c r="BD1476" s="342"/>
      <c r="BE1476" s="342"/>
      <c r="BF1476" s="342"/>
      <c r="BG1476" s="1318"/>
      <c r="BH1476" s="1318"/>
      <c r="BI1476" s="1318"/>
      <c r="BJ1476" s="1318"/>
      <c r="BK1476" s="1318"/>
      <c r="BL1476" s="1318"/>
      <c r="BM1476" s="355"/>
      <c r="BN1476" s="1318"/>
      <c r="BO1476" s="1318"/>
      <c r="BP1476" s="1318"/>
      <c r="BQ1476" s="1318"/>
      <c r="BR1476" s="1318"/>
      <c r="BS1476" s="1318"/>
      <c r="BT1476" s="344"/>
      <c r="BU1476" s="707"/>
      <c r="BV1476" s="310"/>
      <c r="BW1476" s="310"/>
      <c r="BX1476" s="291">
        <f t="shared" si="102"/>
        <v>0</v>
      </c>
      <c r="BY1476" s="344"/>
      <c r="BZ1476" s="347"/>
      <c r="CA1476" s="347"/>
    </row>
    <row r="1477" spans="1:84" s="695" customFormat="1" ht="15" hidden="1" customHeight="1" x14ac:dyDescent="0.25">
      <c r="A1477" s="682"/>
      <c r="B1477" s="679"/>
      <c r="C1477" s="1389" t="s">
        <v>1544</v>
      </c>
      <c r="D1477" s="1390"/>
      <c r="E1477" s="1390"/>
      <c r="F1477" s="1390"/>
      <c r="G1477" s="1390"/>
      <c r="H1477" s="1390"/>
      <c r="I1477" s="1390"/>
      <c r="J1477" s="1390"/>
      <c r="K1477" s="1390"/>
      <c r="L1477" s="1390"/>
      <c r="M1477" s="1390"/>
      <c r="N1477" s="1390"/>
      <c r="O1477" s="1390"/>
      <c r="P1477" s="1390"/>
      <c r="Q1477" s="1390"/>
      <c r="R1477" s="1390"/>
      <c r="S1477" s="1390"/>
      <c r="T1477" s="1390"/>
      <c r="U1477" s="1390"/>
      <c r="V1477" s="1390"/>
      <c r="W1477" s="1369">
        <v>0</v>
      </c>
      <c r="X1477" s="1369"/>
      <c r="Y1477" s="1369"/>
      <c r="Z1477" s="1369"/>
      <c r="AA1477" s="1369"/>
      <c r="AB1477" s="1369"/>
      <c r="AC1477" s="665"/>
      <c r="AD1477" s="1369">
        <v>0</v>
      </c>
      <c r="AE1477" s="1369"/>
      <c r="AF1477" s="1369"/>
      <c r="AG1477" s="1369"/>
      <c r="AH1477" s="1369"/>
      <c r="AI1477" s="1369"/>
      <c r="AJ1477" s="677"/>
      <c r="AK1477" s="678"/>
      <c r="AL1477" s="679"/>
      <c r="AM1477" s="1389" t="s">
        <v>1545</v>
      </c>
      <c r="AN1477" s="1390"/>
      <c r="AO1477" s="1390"/>
      <c r="AP1477" s="1390"/>
      <c r="AQ1477" s="1390"/>
      <c r="AR1477" s="1390"/>
      <c r="AS1477" s="1390"/>
      <c r="AT1477" s="1390"/>
      <c r="AU1477" s="1390"/>
      <c r="AV1477" s="1390"/>
      <c r="AW1477" s="1390"/>
      <c r="AX1477" s="1390"/>
      <c r="AY1477" s="1390"/>
      <c r="AZ1477" s="1390"/>
      <c r="BA1477" s="1390"/>
      <c r="BB1477" s="1390"/>
      <c r="BC1477" s="1390"/>
      <c r="BD1477" s="1390"/>
      <c r="BE1477" s="1390"/>
      <c r="BF1477" s="1390"/>
      <c r="BG1477" s="1369">
        <f>W1477</f>
        <v>0</v>
      </c>
      <c r="BH1477" s="1369"/>
      <c r="BI1477" s="1369"/>
      <c r="BJ1477" s="1369"/>
      <c r="BK1477" s="1369"/>
      <c r="BL1477" s="1369"/>
      <c r="BM1477" s="665"/>
      <c r="BN1477" s="1369">
        <f t="shared" si="105"/>
        <v>0</v>
      </c>
      <c r="BO1477" s="1369"/>
      <c r="BP1477" s="1369"/>
      <c r="BQ1477" s="1369"/>
      <c r="BR1477" s="1369"/>
      <c r="BS1477" s="1369"/>
      <c r="BT1477" s="677"/>
      <c r="BU1477" s="707"/>
      <c r="BV1477" s="310"/>
      <c r="BW1477" s="310"/>
      <c r="BX1477" s="291">
        <f t="shared" si="102"/>
        <v>0</v>
      </c>
      <c r="BY1477" s="677"/>
      <c r="BZ1477" s="693"/>
      <c r="CA1477" s="693"/>
      <c r="CB1477" s="694"/>
      <c r="CC1477" s="694"/>
      <c r="CD1477" s="694"/>
      <c r="CE1477" s="694"/>
      <c r="CF1477" s="694"/>
    </row>
    <row r="1478" spans="1:84" s="695" customFormat="1" ht="27.95" hidden="1" customHeight="1" x14ac:dyDescent="0.25">
      <c r="A1478" s="682"/>
      <c r="B1478" s="679"/>
      <c r="C1478" s="1387" t="s">
        <v>1546</v>
      </c>
      <c r="D1478" s="1388"/>
      <c r="E1478" s="1388"/>
      <c r="F1478" s="1388"/>
      <c r="G1478" s="1388"/>
      <c r="H1478" s="1388"/>
      <c r="I1478" s="1388"/>
      <c r="J1478" s="1388"/>
      <c r="K1478" s="1388"/>
      <c r="L1478" s="1388"/>
      <c r="M1478" s="1388"/>
      <c r="N1478" s="1388"/>
      <c r="O1478" s="1388"/>
      <c r="P1478" s="1388"/>
      <c r="Q1478" s="1388"/>
      <c r="R1478" s="1388"/>
      <c r="S1478" s="1388"/>
      <c r="T1478" s="1388"/>
      <c r="U1478" s="1388"/>
      <c r="V1478" s="1388"/>
      <c r="W1478" s="1369">
        <v>0</v>
      </c>
      <c r="X1478" s="1369"/>
      <c r="Y1478" s="1369"/>
      <c r="Z1478" s="1369"/>
      <c r="AA1478" s="1369"/>
      <c r="AB1478" s="1369"/>
      <c r="AC1478" s="665"/>
      <c r="AD1478" s="1369">
        <v>0</v>
      </c>
      <c r="AE1478" s="1369"/>
      <c r="AF1478" s="1369"/>
      <c r="AG1478" s="1369"/>
      <c r="AH1478" s="1369"/>
      <c r="AI1478" s="1369"/>
      <c r="AJ1478" s="677"/>
      <c r="AK1478" s="678"/>
      <c r="AL1478" s="679"/>
      <c r="AM1478" s="1387" t="s">
        <v>1547</v>
      </c>
      <c r="AN1478" s="1388"/>
      <c r="AO1478" s="1388"/>
      <c r="AP1478" s="1388"/>
      <c r="AQ1478" s="1388"/>
      <c r="AR1478" s="1388"/>
      <c r="AS1478" s="1388"/>
      <c r="AT1478" s="1388"/>
      <c r="AU1478" s="1388"/>
      <c r="AV1478" s="1388"/>
      <c r="AW1478" s="1388"/>
      <c r="AX1478" s="1388"/>
      <c r="AY1478" s="1388"/>
      <c r="AZ1478" s="1388"/>
      <c r="BA1478" s="1388"/>
      <c r="BB1478" s="1388"/>
      <c r="BC1478" s="1388"/>
      <c r="BD1478" s="1388"/>
      <c r="BE1478" s="1388"/>
      <c r="BF1478" s="1388"/>
      <c r="BG1478" s="1369">
        <f>W1478</f>
        <v>0</v>
      </c>
      <c r="BH1478" s="1369"/>
      <c r="BI1478" s="1369"/>
      <c r="BJ1478" s="1369"/>
      <c r="BK1478" s="1369"/>
      <c r="BL1478" s="1369"/>
      <c r="BM1478" s="665"/>
      <c r="BN1478" s="1369">
        <f t="shared" si="105"/>
        <v>0</v>
      </c>
      <c r="BO1478" s="1369"/>
      <c r="BP1478" s="1369"/>
      <c r="BQ1478" s="1369"/>
      <c r="BR1478" s="1369"/>
      <c r="BS1478" s="1369"/>
      <c r="BT1478" s="677"/>
      <c r="BU1478" s="707"/>
      <c r="BV1478" s="310"/>
      <c r="BW1478" s="310"/>
      <c r="BX1478" s="291">
        <f t="shared" si="102"/>
        <v>0</v>
      </c>
      <c r="BY1478" s="677"/>
      <c r="BZ1478" s="693"/>
      <c r="CA1478" s="693"/>
      <c r="CB1478" s="694"/>
      <c r="CC1478" s="694"/>
      <c r="CD1478" s="694"/>
      <c r="CE1478" s="694"/>
      <c r="CF1478" s="694"/>
    </row>
    <row r="1479" spans="1:84" ht="15" hidden="1" customHeight="1" x14ac:dyDescent="0.25">
      <c r="A1479" s="313"/>
      <c r="B1479" s="340"/>
      <c r="C1479" s="1347" t="s">
        <v>1548</v>
      </c>
      <c r="D1479" s="1347"/>
      <c r="E1479" s="1347"/>
      <c r="F1479" s="1347"/>
      <c r="G1479" s="1347"/>
      <c r="H1479" s="1347"/>
      <c r="I1479" s="1347"/>
      <c r="J1479" s="1347"/>
      <c r="K1479" s="1347"/>
      <c r="L1479" s="1347"/>
      <c r="M1479" s="1347"/>
      <c r="N1479" s="1347"/>
      <c r="O1479" s="1347"/>
      <c r="P1479" s="1347"/>
      <c r="Q1479" s="1347"/>
      <c r="R1479" s="1347"/>
      <c r="S1479" s="1347"/>
      <c r="T1479" s="1347"/>
      <c r="U1479" s="1347"/>
      <c r="V1479" s="1347"/>
      <c r="W1479" s="1318">
        <f>KN_5117</f>
        <v>0</v>
      </c>
      <c r="X1479" s="1318"/>
      <c r="Y1479" s="1318"/>
      <c r="Z1479" s="1318"/>
      <c r="AA1479" s="1318"/>
      <c r="AB1479" s="1318"/>
      <c r="AC1479" s="355"/>
      <c r="AD1479" s="1318">
        <f>KT_5117</f>
        <v>0</v>
      </c>
      <c r="AE1479" s="1318"/>
      <c r="AF1479" s="1318"/>
      <c r="AG1479" s="1318"/>
      <c r="AH1479" s="1318"/>
      <c r="AI1479" s="1318"/>
      <c r="AJ1479" s="344"/>
      <c r="AK1479" s="345"/>
      <c r="AL1479" s="340"/>
      <c r="AM1479" s="1347" t="s">
        <v>1549</v>
      </c>
      <c r="AN1479" s="1347"/>
      <c r="AO1479" s="1347"/>
      <c r="AP1479" s="1347"/>
      <c r="AQ1479" s="1347"/>
      <c r="AR1479" s="1347"/>
      <c r="AS1479" s="1347"/>
      <c r="AT1479" s="1347"/>
      <c r="AU1479" s="1347"/>
      <c r="AV1479" s="1347"/>
      <c r="AW1479" s="1347"/>
      <c r="AX1479" s="1347"/>
      <c r="AY1479" s="1347"/>
      <c r="AZ1479" s="1347"/>
      <c r="BA1479" s="1347"/>
      <c r="BB1479" s="1347"/>
      <c r="BC1479" s="1347"/>
      <c r="BD1479" s="1347"/>
      <c r="BE1479" s="1347"/>
      <c r="BF1479" s="1347"/>
      <c r="BG1479" s="1318">
        <f>W1479</f>
        <v>0</v>
      </c>
      <c r="BH1479" s="1318"/>
      <c r="BI1479" s="1318"/>
      <c r="BJ1479" s="1318"/>
      <c r="BK1479" s="1318"/>
      <c r="BL1479" s="1318"/>
      <c r="BM1479" s="355"/>
      <c r="BN1479" s="1318">
        <f t="shared" si="105"/>
        <v>0</v>
      </c>
      <c r="BO1479" s="1318"/>
      <c r="BP1479" s="1318"/>
      <c r="BQ1479" s="1318"/>
      <c r="BR1479" s="1318"/>
      <c r="BS1479" s="1318"/>
      <c r="BT1479" s="344"/>
      <c r="BU1479" s="707"/>
      <c r="BV1479" s="310"/>
      <c r="BW1479" s="310"/>
      <c r="BX1479" s="291">
        <f t="shared" si="102"/>
        <v>0</v>
      </c>
      <c r="BY1479" s="344"/>
      <c r="BZ1479" s="347"/>
      <c r="CA1479" s="347"/>
    </row>
    <row r="1480" spans="1:84" ht="15" hidden="1" customHeight="1" x14ac:dyDescent="0.25">
      <c r="A1480" s="313"/>
      <c r="B1480" s="340"/>
      <c r="C1480" s="1347" t="s">
        <v>1550</v>
      </c>
      <c r="D1480" s="1347"/>
      <c r="E1480" s="1347"/>
      <c r="F1480" s="1347"/>
      <c r="G1480" s="1347"/>
      <c r="H1480" s="1347"/>
      <c r="I1480" s="1347"/>
      <c r="J1480" s="1347"/>
      <c r="K1480" s="1347"/>
      <c r="L1480" s="1347"/>
      <c r="M1480" s="1347"/>
      <c r="N1480" s="1347"/>
      <c r="O1480" s="1347"/>
      <c r="P1480" s="1347"/>
      <c r="Q1480" s="1347"/>
      <c r="R1480" s="1347"/>
      <c r="S1480" s="1347"/>
      <c r="T1480" s="1347"/>
      <c r="U1480" s="1347"/>
      <c r="V1480" s="1347"/>
      <c r="W1480" s="1318">
        <f>KN_5118</f>
        <v>0</v>
      </c>
      <c r="X1480" s="1318"/>
      <c r="Y1480" s="1318"/>
      <c r="Z1480" s="1318"/>
      <c r="AA1480" s="1318"/>
      <c r="AB1480" s="1318"/>
      <c r="AC1480" s="355"/>
      <c r="AD1480" s="1318">
        <f>KT_5118</f>
        <v>0</v>
      </c>
      <c r="AE1480" s="1318"/>
      <c r="AF1480" s="1318"/>
      <c r="AG1480" s="1318"/>
      <c r="AH1480" s="1318"/>
      <c r="AI1480" s="1318"/>
      <c r="AJ1480" s="344"/>
      <c r="AK1480" s="345"/>
      <c r="AL1480" s="340"/>
      <c r="AM1480" s="1347" t="s">
        <v>1551</v>
      </c>
      <c r="AN1480" s="1347"/>
      <c r="AO1480" s="1347"/>
      <c r="AP1480" s="1347"/>
      <c r="AQ1480" s="1347"/>
      <c r="AR1480" s="1347"/>
      <c r="AS1480" s="1347"/>
      <c r="AT1480" s="1347"/>
      <c r="AU1480" s="1347"/>
      <c r="AV1480" s="1347"/>
      <c r="AW1480" s="1347"/>
      <c r="AX1480" s="1347"/>
      <c r="AY1480" s="1347"/>
      <c r="AZ1480" s="1347"/>
      <c r="BA1480" s="1347"/>
      <c r="BB1480" s="1347"/>
      <c r="BC1480" s="1347"/>
      <c r="BD1480" s="1347"/>
      <c r="BE1480" s="1347"/>
      <c r="BF1480" s="1347"/>
      <c r="BG1480" s="1318">
        <f>W1480</f>
        <v>0</v>
      </c>
      <c r="BH1480" s="1318"/>
      <c r="BI1480" s="1318"/>
      <c r="BJ1480" s="1318"/>
      <c r="BK1480" s="1318"/>
      <c r="BL1480" s="1318"/>
      <c r="BM1480" s="355"/>
      <c r="BN1480" s="1318">
        <f t="shared" si="105"/>
        <v>0</v>
      </c>
      <c r="BO1480" s="1318"/>
      <c r="BP1480" s="1318"/>
      <c r="BQ1480" s="1318"/>
      <c r="BR1480" s="1318"/>
      <c r="BS1480" s="1318"/>
      <c r="BT1480" s="344"/>
      <c r="BU1480" s="707"/>
      <c r="BV1480" s="310"/>
      <c r="BW1480" s="310"/>
      <c r="BX1480" s="291">
        <f t="shared" si="102"/>
        <v>0</v>
      </c>
      <c r="BY1480" s="344"/>
      <c r="BZ1480" s="347"/>
      <c r="CA1480" s="347"/>
    </row>
    <row r="1481" spans="1:84" ht="14.1" customHeight="1" x14ac:dyDescent="0.25">
      <c r="A1481" s="313"/>
      <c r="B1481" s="340"/>
      <c r="C1481" s="342"/>
      <c r="D1481" s="342"/>
      <c r="E1481" s="342"/>
      <c r="F1481" s="342"/>
      <c r="G1481" s="342"/>
      <c r="H1481" s="342"/>
      <c r="I1481" s="342"/>
      <c r="J1481" s="342"/>
      <c r="K1481" s="342"/>
      <c r="L1481" s="342"/>
      <c r="M1481" s="342"/>
      <c r="N1481" s="342"/>
      <c r="O1481" s="342"/>
      <c r="P1481" s="342"/>
      <c r="Q1481" s="342"/>
      <c r="R1481" s="342"/>
      <c r="S1481" s="342"/>
      <c r="T1481" s="342"/>
      <c r="U1481" s="342"/>
      <c r="V1481" s="342"/>
      <c r="W1481" s="1318"/>
      <c r="X1481" s="1318"/>
      <c r="Y1481" s="1318"/>
      <c r="Z1481" s="1318"/>
      <c r="AA1481" s="1318"/>
      <c r="AB1481" s="1318"/>
      <c r="AC1481" s="355"/>
      <c r="AD1481" s="1318"/>
      <c r="AE1481" s="1318"/>
      <c r="AF1481" s="1318"/>
      <c r="AG1481" s="1318"/>
      <c r="AH1481" s="1318"/>
      <c r="AI1481" s="1318"/>
      <c r="AJ1481" s="344"/>
      <c r="AK1481" s="345"/>
      <c r="AL1481" s="340"/>
      <c r="AM1481" s="342"/>
      <c r="AN1481" s="342"/>
      <c r="AO1481" s="342"/>
      <c r="AP1481" s="342"/>
      <c r="AQ1481" s="342"/>
      <c r="AR1481" s="342"/>
      <c r="AS1481" s="342"/>
      <c r="AT1481" s="342"/>
      <c r="AU1481" s="342"/>
      <c r="AV1481" s="342"/>
      <c r="AW1481" s="342"/>
      <c r="AX1481" s="342"/>
      <c r="AY1481" s="342"/>
      <c r="AZ1481" s="342"/>
      <c r="BA1481" s="342"/>
      <c r="BB1481" s="342"/>
      <c r="BC1481" s="342"/>
      <c r="BD1481" s="342"/>
      <c r="BE1481" s="342"/>
      <c r="BF1481" s="342"/>
      <c r="BG1481" s="1318"/>
      <c r="BH1481" s="1318"/>
      <c r="BI1481" s="1318"/>
      <c r="BJ1481" s="1318"/>
      <c r="BK1481" s="1318"/>
      <c r="BL1481" s="1318"/>
      <c r="BM1481" s="355"/>
      <c r="BN1481" s="1318"/>
      <c r="BO1481" s="1318"/>
      <c r="BP1481" s="1318"/>
      <c r="BQ1481" s="1318"/>
      <c r="BR1481" s="1318"/>
      <c r="BS1481" s="1318"/>
      <c r="BT1481" s="344"/>
      <c r="BU1481" s="707"/>
      <c r="BV1481" s="310"/>
      <c r="BW1481" s="310"/>
      <c r="BX1481" s="291">
        <f t="shared" si="102"/>
        <v>0</v>
      </c>
      <c r="BY1481" s="344"/>
      <c r="BZ1481" s="347"/>
      <c r="CA1481" s="708">
        <f>CA1474/W1506</f>
        <v>0.25407109818267021</v>
      </c>
      <c r="CB1481" s="709">
        <f>CB1474/AD1506</f>
        <v>0.25207883226052558</v>
      </c>
    </row>
    <row r="1482" spans="1:84" s="423" customFormat="1" ht="15" customHeight="1" thickBot="1" x14ac:dyDescent="0.3">
      <c r="A1482" s="313"/>
      <c r="B1482" s="340"/>
      <c r="C1482" s="360" t="s">
        <v>752</v>
      </c>
      <c r="D1482" s="342"/>
      <c r="E1482" s="342"/>
      <c r="F1482" s="342"/>
      <c r="G1482" s="342"/>
      <c r="H1482" s="342"/>
      <c r="I1482" s="342"/>
      <c r="J1482" s="342"/>
      <c r="K1482" s="342"/>
      <c r="L1482" s="342"/>
      <c r="M1482" s="342"/>
      <c r="N1482" s="342"/>
      <c r="O1482" s="342"/>
      <c r="P1482" s="342"/>
      <c r="Q1482" s="342"/>
      <c r="R1482" s="342"/>
      <c r="S1482" s="342"/>
      <c r="T1482" s="342"/>
      <c r="U1482" s="342"/>
      <c r="V1482" s="342"/>
      <c r="W1482" s="1359">
        <f>SUBTOTAL(109,W1474:AB1480)-W1478</f>
        <v>47305943238</v>
      </c>
      <c r="X1482" s="1359"/>
      <c r="Y1482" s="1359"/>
      <c r="Z1482" s="1359"/>
      <c r="AA1482" s="1359"/>
      <c r="AB1482" s="1359"/>
      <c r="AC1482" s="355"/>
      <c r="AD1482" s="1359">
        <f>SUBTOTAL(109,AD1474:AI1480)-AD1478</f>
        <v>58097846033</v>
      </c>
      <c r="AE1482" s="1359"/>
      <c r="AF1482" s="1359"/>
      <c r="AG1482" s="1359"/>
      <c r="AH1482" s="1359"/>
      <c r="AI1482" s="1359"/>
      <c r="AJ1482" s="342"/>
      <c r="AK1482" s="345"/>
      <c r="AL1482" s="340"/>
      <c r="AM1482" s="360" t="s">
        <v>752</v>
      </c>
      <c r="AN1482" s="342"/>
      <c r="AO1482" s="342"/>
      <c r="AP1482" s="342"/>
      <c r="AQ1482" s="342"/>
      <c r="AR1482" s="342"/>
      <c r="AS1482" s="342"/>
      <c r="AT1482" s="342"/>
      <c r="AU1482" s="342"/>
      <c r="AV1482" s="342"/>
      <c r="AW1482" s="342"/>
      <c r="AX1482" s="342"/>
      <c r="AY1482" s="342"/>
      <c r="AZ1482" s="342"/>
      <c r="BA1482" s="342"/>
      <c r="BB1482" s="342"/>
      <c r="BC1482" s="342"/>
      <c r="BD1482" s="342"/>
      <c r="BE1482" s="342"/>
      <c r="BF1482" s="342"/>
      <c r="BG1482" s="1359">
        <f>SUBTOTAL(109,BG1474:BL1480)-BG1478</f>
        <v>47305943238</v>
      </c>
      <c r="BH1482" s="1359"/>
      <c r="BI1482" s="1359"/>
      <c r="BJ1482" s="1359"/>
      <c r="BK1482" s="1359"/>
      <c r="BL1482" s="1359"/>
      <c r="BM1482" s="355"/>
      <c r="BN1482" s="1359">
        <f>SUBTOTAL(109,BN1474:BS1480)-BN1478</f>
        <v>58097846033</v>
      </c>
      <c r="BO1482" s="1359"/>
      <c r="BP1482" s="1359"/>
      <c r="BQ1482" s="1359"/>
      <c r="BR1482" s="1359"/>
      <c r="BS1482" s="1359"/>
      <c r="BT1482" s="342"/>
      <c r="BU1482" s="707"/>
      <c r="BV1482" s="310">
        <f>W1482-KN_CT01</f>
        <v>0</v>
      </c>
      <c r="BW1482" s="310">
        <f>AD1482-KT_CT01</f>
        <v>0</v>
      </c>
      <c r="BX1482" s="300">
        <f t="shared" si="102"/>
        <v>0</v>
      </c>
      <c r="BY1482" s="342"/>
      <c r="BZ1482" s="438"/>
      <c r="CA1482" s="438"/>
      <c r="CB1482" s="439"/>
      <c r="CC1482" s="439"/>
      <c r="CD1482" s="439"/>
      <c r="CE1482" s="439"/>
      <c r="CF1482" s="439"/>
    </row>
    <row r="1483" spans="1:84" ht="15" hidden="1" customHeight="1" thickTop="1" x14ac:dyDescent="0.25">
      <c r="A1483" s="313"/>
      <c r="B1483" s="340"/>
      <c r="C1483" s="341"/>
      <c r="D1483" s="342"/>
      <c r="E1483" s="342"/>
      <c r="F1483" s="342"/>
      <c r="G1483" s="342"/>
      <c r="H1483" s="342"/>
      <c r="I1483" s="342"/>
      <c r="J1483" s="342"/>
      <c r="K1483" s="342"/>
      <c r="L1483" s="342"/>
      <c r="M1483" s="342"/>
      <c r="N1483" s="342"/>
      <c r="O1483" s="342"/>
      <c r="P1483" s="342"/>
      <c r="Q1483" s="342"/>
      <c r="R1483" s="342"/>
      <c r="S1483" s="342"/>
      <c r="T1483" s="342"/>
      <c r="U1483" s="342"/>
      <c r="V1483" s="342"/>
      <c r="W1483" s="368"/>
      <c r="X1483" s="368"/>
      <c r="Y1483" s="368"/>
      <c r="Z1483" s="368"/>
      <c r="AA1483" s="368"/>
      <c r="AB1483" s="368"/>
      <c r="AC1483" s="343"/>
      <c r="AD1483" s="368"/>
      <c r="AE1483" s="368"/>
      <c r="AF1483" s="368"/>
      <c r="AG1483" s="368"/>
      <c r="AH1483" s="368"/>
      <c r="AI1483" s="368"/>
      <c r="AJ1483" s="344"/>
      <c r="AK1483" s="345"/>
      <c r="AL1483" s="340"/>
      <c r="AM1483" s="341"/>
      <c r="AN1483" s="342"/>
      <c r="AO1483" s="342"/>
      <c r="AP1483" s="342"/>
      <c r="AQ1483" s="342"/>
      <c r="AR1483" s="342"/>
      <c r="AS1483" s="342"/>
      <c r="AT1483" s="342"/>
      <c r="AU1483" s="342"/>
      <c r="AV1483" s="342"/>
      <c r="AW1483" s="342"/>
      <c r="AX1483" s="342"/>
      <c r="AY1483" s="342"/>
      <c r="AZ1483" s="342"/>
      <c r="BA1483" s="342"/>
      <c r="BB1483" s="342"/>
      <c r="BC1483" s="342"/>
      <c r="BD1483" s="342"/>
      <c r="BE1483" s="342"/>
      <c r="BF1483" s="342"/>
      <c r="BG1483" s="368"/>
      <c r="BH1483" s="368"/>
      <c r="BI1483" s="368"/>
      <c r="BJ1483" s="368"/>
      <c r="BK1483" s="368"/>
      <c r="BL1483" s="368"/>
      <c r="BM1483" s="343"/>
      <c r="BN1483" s="368"/>
      <c r="BO1483" s="368"/>
      <c r="BP1483" s="368"/>
      <c r="BQ1483" s="368"/>
      <c r="BR1483" s="368"/>
      <c r="BS1483" s="368"/>
      <c r="BT1483" s="344"/>
      <c r="BU1483" s="707"/>
      <c r="BV1483" s="310"/>
      <c r="BW1483" s="310"/>
      <c r="BX1483" s="291">
        <f t="shared" si="102"/>
        <v>0</v>
      </c>
      <c r="BY1483" s="344"/>
      <c r="BZ1483" s="347"/>
      <c r="CA1483" s="347"/>
    </row>
    <row r="1484" spans="1:84" ht="15" hidden="1" customHeight="1" thickBot="1" x14ac:dyDescent="0.3">
      <c r="A1484" s="313"/>
      <c r="B1484" s="340"/>
      <c r="C1484" s="710" t="s">
        <v>1552</v>
      </c>
      <c r="D1484" s="342"/>
      <c r="E1484" s="342"/>
      <c r="F1484" s="342"/>
      <c r="G1484" s="342"/>
      <c r="H1484" s="342"/>
      <c r="I1484" s="342"/>
      <c r="J1484" s="342"/>
      <c r="K1484" s="342"/>
      <c r="L1484" s="342"/>
      <c r="M1484" s="342"/>
      <c r="N1484" s="342"/>
      <c r="O1484" s="342"/>
      <c r="P1484" s="342"/>
      <c r="Q1484" s="342"/>
      <c r="R1484" s="342"/>
      <c r="S1484" s="342"/>
      <c r="T1484" s="342"/>
      <c r="U1484" s="342"/>
      <c r="V1484" s="342"/>
      <c r="W1484" s="1359">
        <v>0</v>
      </c>
      <c r="X1484" s="1359"/>
      <c r="Y1484" s="1359"/>
      <c r="Z1484" s="1359"/>
      <c r="AA1484" s="1359"/>
      <c r="AB1484" s="1359"/>
      <c r="AC1484" s="355"/>
      <c r="AD1484" s="1359">
        <v>0</v>
      </c>
      <c r="AE1484" s="1359"/>
      <c r="AF1484" s="1359"/>
      <c r="AG1484" s="1359"/>
      <c r="AH1484" s="1359"/>
      <c r="AI1484" s="1359"/>
      <c r="AJ1484" s="344"/>
      <c r="AK1484" s="345"/>
      <c r="AL1484" s="340"/>
      <c r="AM1484" s="710" t="s">
        <v>1553</v>
      </c>
      <c r="AN1484" s="342"/>
      <c r="AO1484" s="342"/>
      <c r="AP1484" s="342"/>
      <c r="AQ1484" s="342"/>
      <c r="AR1484" s="342"/>
      <c r="AS1484" s="342"/>
      <c r="AT1484" s="342"/>
      <c r="AU1484" s="342"/>
      <c r="AV1484" s="342"/>
      <c r="AW1484" s="342"/>
      <c r="AX1484" s="342"/>
      <c r="AY1484" s="342"/>
      <c r="AZ1484" s="342"/>
      <c r="BA1484" s="342"/>
      <c r="BB1484" s="342"/>
      <c r="BC1484" s="342"/>
      <c r="BD1484" s="342"/>
      <c r="BE1484" s="342"/>
      <c r="BF1484" s="342"/>
      <c r="BG1484" s="1359">
        <f>W1484</f>
        <v>0</v>
      </c>
      <c r="BH1484" s="1359"/>
      <c r="BI1484" s="1359"/>
      <c r="BJ1484" s="1359"/>
      <c r="BK1484" s="1359"/>
      <c r="BL1484" s="1359"/>
      <c r="BM1484" s="355"/>
      <c r="BN1484" s="1359">
        <f>AD1484</f>
        <v>0</v>
      </c>
      <c r="BO1484" s="1359"/>
      <c r="BP1484" s="1359"/>
      <c r="BQ1484" s="1359"/>
      <c r="BR1484" s="1359"/>
      <c r="BS1484" s="1359"/>
      <c r="BT1484" s="344"/>
      <c r="BU1484" s="357"/>
      <c r="BV1484" s="310"/>
      <c r="BW1484" s="310"/>
      <c r="BX1484" s="291">
        <f t="shared" si="102"/>
        <v>0</v>
      </c>
      <c r="BY1484" s="344"/>
      <c r="BZ1484" s="347"/>
      <c r="CA1484" s="347"/>
    </row>
    <row r="1485" spans="1:84" ht="15" hidden="1" customHeight="1" thickTop="1" x14ac:dyDescent="0.25">
      <c r="A1485" s="313"/>
      <c r="B1485" s="340"/>
      <c r="C1485" s="429" t="str">
        <f>CONCATENATE("(Xem thông tin chi tiết tại Thuyết minh ",STT_BenLQ,")")</f>
        <v>(Xem thông tin chi tiết tại Thuyết minh 37)</v>
      </c>
      <c r="D1485" s="342"/>
      <c r="E1485" s="342"/>
      <c r="F1485" s="342"/>
      <c r="G1485" s="342"/>
      <c r="H1485" s="342"/>
      <c r="I1485" s="342"/>
      <c r="J1485" s="342"/>
      <c r="K1485" s="342"/>
      <c r="L1485" s="342"/>
      <c r="M1485" s="342"/>
      <c r="N1485" s="342"/>
      <c r="O1485" s="342"/>
      <c r="P1485" s="342"/>
      <c r="Q1485" s="342"/>
      <c r="R1485" s="342"/>
      <c r="S1485" s="342"/>
      <c r="T1485" s="342"/>
      <c r="U1485" s="342"/>
      <c r="V1485" s="342"/>
      <c r="W1485" s="363"/>
      <c r="X1485" s="363"/>
      <c r="Y1485" s="363"/>
      <c r="Z1485" s="363"/>
      <c r="AA1485" s="363"/>
      <c r="AB1485" s="363"/>
      <c r="AC1485" s="343"/>
      <c r="AD1485" s="363"/>
      <c r="AE1485" s="363"/>
      <c r="AF1485" s="363"/>
      <c r="AG1485" s="363"/>
      <c r="AH1485" s="363"/>
      <c r="AI1485" s="363"/>
      <c r="AJ1485" s="344"/>
      <c r="AK1485" s="345"/>
      <c r="AL1485" s="340"/>
      <c r="AM1485" s="429" t="str">
        <f>CONCATENATE("(Details as in Notes No. ",STT_BenLQ,")")</f>
        <v>(Details as in Notes No. 37)</v>
      </c>
      <c r="AN1485" s="342"/>
      <c r="AO1485" s="342"/>
      <c r="AP1485" s="342"/>
      <c r="AQ1485" s="342"/>
      <c r="AR1485" s="342"/>
      <c r="AS1485" s="342"/>
      <c r="AT1485" s="342"/>
      <c r="AU1485" s="342"/>
      <c r="AV1485" s="342"/>
      <c r="AW1485" s="342"/>
      <c r="AX1485" s="342"/>
      <c r="AY1485" s="342"/>
      <c r="AZ1485" s="342"/>
      <c r="BA1485" s="342"/>
      <c r="BB1485" s="342"/>
      <c r="BC1485" s="342"/>
      <c r="BD1485" s="342"/>
      <c r="BE1485" s="342"/>
      <c r="BF1485" s="342"/>
      <c r="BG1485" s="363"/>
      <c r="BH1485" s="363"/>
      <c r="BI1485" s="363"/>
      <c r="BJ1485" s="363"/>
      <c r="BK1485" s="363"/>
      <c r="BL1485" s="363"/>
      <c r="BM1485" s="343"/>
      <c r="BN1485" s="363"/>
      <c r="BO1485" s="363"/>
      <c r="BP1485" s="363"/>
      <c r="BQ1485" s="363"/>
      <c r="BR1485" s="363"/>
      <c r="BS1485" s="363"/>
      <c r="BT1485" s="344"/>
      <c r="BU1485" s="707"/>
      <c r="BV1485" s="310"/>
      <c r="BW1485" s="310"/>
      <c r="BX1485" s="291">
        <f t="shared" si="102"/>
        <v>0</v>
      </c>
      <c r="BY1485" s="344"/>
      <c r="BZ1485" s="347"/>
      <c r="CA1485" s="347"/>
    </row>
    <row r="1486" spans="1:84" ht="15" hidden="1" customHeight="1" x14ac:dyDescent="0.25">
      <c r="A1486" s="313"/>
      <c r="B1486" s="340"/>
      <c r="C1486" s="429"/>
      <c r="D1486" s="342"/>
      <c r="E1486" s="342"/>
      <c r="F1486" s="342"/>
      <c r="G1486" s="342"/>
      <c r="H1486" s="342"/>
      <c r="I1486" s="342"/>
      <c r="J1486" s="342"/>
      <c r="K1486" s="342"/>
      <c r="L1486" s="342"/>
      <c r="M1486" s="342"/>
      <c r="N1486" s="342"/>
      <c r="O1486" s="342"/>
      <c r="P1486" s="342"/>
      <c r="Q1486" s="342"/>
      <c r="R1486" s="342"/>
      <c r="S1486" s="342"/>
      <c r="T1486" s="342"/>
      <c r="U1486" s="342"/>
      <c r="V1486" s="342"/>
      <c r="W1486" s="368"/>
      <c r="X1486" s="368"/>
      <c r="Y1486" s="368"/>
      <c r="Z1486" s="368"/>
      <c r="AA1486" s="368"/>
      <c r="AB1486" s="368"/>
      <c r="AC1486" s="343"/>
      <c r="AD1486" s="368"/>
      <c r="AE1486" s="368"/>
      <c r="AF1486" s="368"/>
      <c r="AG1486" s="368"/>
      <c r="AH1486" s="368"/>
      <c r="AI1486" s="368"/>
      <c r="AJ1486" s="344"/>
      <c r="AK1486" s="345"/>
      <c r="AL1486" s="340"/>
      <c r="AM1486" s="342"/>
      <c r="AN1486" s="342"/>
      <c r="AO1486" s="342"/>
      <c r="AP1486" s="342"/>
      <c r="AQ1486" s="342"/>
      <c r="AR1486" s="342"/>
      <c r="AS1486" s="342"/>
      <c r="AT1486" s="342"/>
      <c r="AU1486" s="342"/>
      <c r="AV1486" s="342"/>
      <c r="AW1486" s="342"/>
      <c r="AX1486" s="342"/>
      <c r="AY1486" s="342"/>
      <c r="AZ1486" s="342"/>
      <c r="BA1486" s="342"/>
      <c r="BB1486" s="342"/>
      <c r="BC1486" s="342"/>
      <c r="BD1486" s="342"/>
      <c r="BE1486" s="342"/>
      <c r="BF1486" s="342"/>
      <c r="BG1486" s="368"/>
      <c r="BH1486" s="368"/>
      <c r="BI1486" s="368"/>
      <c r="BJ1486" s="368"/>
      <c r="BK1486" s="368"/>
      <c r="BL1486" s="368"/>
      <c r="BM1486" s="343"/>
      <c r="BN1486" s="368"/>
      <c r="BO1486" s="368"/>
      <c r="BP1486" s="368"/>
      <c r="BQ1486" s="368"/>
      <c r="BR1486" s="368"/>
      <c r="BS1486" s="368"/>
      <c r="BT1486" s="344"/>
      <c r="BU1486" s="707"/>
      <c r="BV1486" s="310"/>
      <c r="BW1486" s="310"/>
      <c r="BX1486" s="291">
        <f>IF(ISNONTEXT($C1486),0,SUM(D1486:AI1486)-SUM(AN1486:BS1486))</f>
        <v>0</v>
      </c>
      <c r="BY1486" s="344"/>
      <c r="BZ1486" s="347"/>
      <c r="CA1486" s="347"/>
    </row>
    <row r="1487" spans="1:84" ht="56.1" hidden="1" customHeight="1" x14ac:dyDescent="0.25">
      <c r="A1487" s="313"/>
      <c r="B1487" s="340"/>
      <c r="C1487" s="1385" t="s">
        <v>1554</v>
      </c>
      <c r="D1487" s="1386"/>
      <c r="E1487" s="1386"/>
      <c r="F1487" s="1386"/>
      <c r="G1487" s="1386"/>
      <c r="H1487" s="1386"/>
      <c r="I1487" s="1386"/>
      <c r="J1487" s="1386"/>
      <c r="K1487" s="1386"/>
      <c r="L1487" s="1386"/>
      <c r="M1487" s="1386"/>
      <c r="N1487" s="1386"/>
      <c r="O1487" s="1386"/>
      <c r="P1487" s="1386"/>
      <c r="Q1487" s="1386"/>
      <c r="R1487" s="1386"/>
      <c r="S1487" s="1386"/>
      <c r="T1487" s="1386"/>
      <c r="U1487" s="1386"/>
      <c r="V1487" s="1386"/>
      <c r="W1487" s="1386"/>
      <c r="X1487" s="1386"/>
      <c r="Y1487" s="1386"/>
      <c r="Z1487" s="1386"/>
      <c r="AA1487" s="1386"/>
      <c r="AB1487" s="1386"/>
      <c r="AC1487" s="1386"/>
      <c r="AD1487" s="1386"/>
      <c r="AE1487" s="1386"/>
      <c r="AF1487" s="1386"/>
      <c r="AG1487" s="1386"/>
      <c r="AH1487" s="1386"/>
      <c r="AI1487" s="1386"/>
      <c r="AJ1487" s="344"/>
      <c r="AK1487" s="345"/>
      <c r="AL1487" s="340"/>
      <c r="AM1487" s="1385" t="s">
        <v>1554</v>
      </c>
      <c r="AN1487" s="1386"/>
      <c r="AO1487" s="1386"/>
      <c r="AP1487" s="1386"/>
      <c r="AQ1487" s="1386"/>
      <c r="AR1487" s="1386"/>
      <c r="AS1487" s="1386"/>
      <c r="AT1487" s="1386"/>
      <c r="AU1487" s="1386"/>
      <c r="AV1487" s="1386"/>
      <c r="AW1487" s="1386"/>
      <c r="AX1487" s="1386"/>
      <c r="AY1487" s="1386"/>
      <c r="AZ1487" s="1386"/>
      <c r="BA1487" s="1386"/>
      <c r="BB1487" s="1386"/>
      <c r="BC1487" s="1386"/>
      <c r="BD1487" s="1386"/>
      <c r="BE1487" s="1386"/>
      <c r="BF1487" s="1386"/>
      <c r="BG1487" s="1386"/>
      <c r="BH1487" s="1386"/>
      <c r="BI1487" s="1386"/>
      <c r="BJ1487" s="1386"/>
      <c r="BK1487" s="1386"/>
      <c r="BL1487" s="1386"/>
      <c r="BM1487" s="1386"/>
      <c r="BN1487" s="1386"/>
      <c r="BO1487" s="1386"/>
      <c r="BP1487" s="1386"/>
      <c r="BQ1487" s="1386"/>
      <c r="BR1487" s="1386"/>
      <c r="BS1487" s="1386"/>
      <c r="BT1487" s="344"/>
      <c r="BU1487" s="357"/>
      <c r="BV1487" s="310"/>
      <c r="BW1487" s="310"/>
      <c r="BX1487" s="291">
        <f t="shared" ref="BX1487:BX1550" si="106">IF(ISNONTEXT($C1487),0,SUM(D1487:AI1487)-SUM(AN1487:BS1487))</f>
        <v>0</v>
      </c>
      <c r="BY1487" s="344"/>
      <c r="BZ1487" s="347"/>
      <c r="CA1487" s="347"/>
    </row>
    <row r="1488" spans="1:84" ht="2.1" hidden="1" customHeight="1" x14ac:dyDescent="0.2">
      <c r="A1488" s="313"/>
      <c r="B1488" s="340"/>
      <c r="C1488" s="711"/>
      <c r="D1488" s="712"/>
      <c r="E1488" s="712"/>
      <c r="F1488" s="712"/>
      <c r="G1488" s="712"/>
      <c r="H1488" s="712"/>
      <c r="I1488" s="712"/>
      <c r="J1488" s="712"/>
      <c r="K1488" s="712"/>
      <c r="L1488" s="712"/>
      <c r="M1488" s="712"/>
      <c r="N1488" s="712"/>
      <c r="O1488" s="712"/>
      <c r="P1488" s="712"/>
      <c r="Q1488" s="712"/>
      <c r="R1488" s="712"/>
      <c r="S1488" s="712"/>
      <c r="T1488" s="712"/>
      <c r="U1488" s="712"/>
      <c r="V1488" s="712"/>
      <c r="W1488" s="712"/>
      <c r="X1488" s="712"/>
      <c r="Y1488" s="712"/>
      <c r="Z1488" s="712"/>
      <c r="AA1488" s="712"/>
      <c r="AB1488" s="712"/>
      <c r="AC1488" s="712"/>
      <c r="AD1488" s="712"/>
      <c r="AE1488" s="712"/>
      <c r="AF1488" s="712"/>
      <c r="AG1488" s="712"/>
      <c r="AH1488" s="712"/>
      <c r="AI1488" s="712"/>
      <c r="AJ1488" s="344"/>
      <c r="AK1488" s="345"/>
      <c r="AL1488" s="340"/>
      <c r="AM1488" s="429"/>
      <c r="AN1488" s="342"/>
      <c r="AO1488" s="342"/>
      <c r="AP1488" s="342"/>
      <c r="AQ1488" s="342"/>
      <c r="AR1488" s="342"/>
      <c r="AS1488" s="342"/>
      <c r="AT1488" s="342"/>
      <c r="AU1488" s="342"/>
      <c r="AV1488" s="342"/>
      <c r="AW1488" s="342"/>
      <c r="AX1488" s="342"/>
      <c r="AY1488" s="342"/>
      <c r="AZ1488" s="342"/>
      <c r="BA1488" s="342"/>
      <c r="BB1488" s="342"/>
      <c r="BC1488" s="342"/>
      <c r="BD1488" s="342"/>
      <c r="BE1488" s="342"/>
      <c r="BF1488" s="342"/>
      <c r="BG1488" s="713"/>
      <c r="BH1488" s="713"/>
      <c r="BI1488" s="713"/>
      <c r="BJ1488" s="713"/>
      <c r="BK1488" s="713"/>
      <c r="BL1488" s="713"/>
      <c r="BM1488" s="356"/>
      <c r="BN1488" s="713"/>
      <c r="BO1488" s="713"/>
      <c r="BP1488" s="713"/>
      <c r="BQ1488" s="713"/>
      <c r="BR1488" s="713"/>
      <c r="BS1488" s="713"/>
      <c r="BT1488" s="713"/>
      <c r="BU1488" s="707"/>
      <c r="BV1488" s="310"/>
      <c r="BW1488" s="310"/>
      <c r="BX1488" s="291">
        <f t="shared" si="106"/>
        <v>0</v>
      </c>
      <c r="BY1488" s="344"/>
      <c r="BZ1488" s="347"/>
      <c r="CA1488" s="347"/>
    </row>
    <row r="1489" spans="1:79" ht="12.95" hidden="1" customHeight="1" x14ac:dyDescent="0.25">
      <c r="A1489" s="313"/>
      <c r="B1489" s="340"/>
      <c r="C1489" s="341"/>
      <c r="D1489" s="342"/>
      <c r="E1489" s="342"/>
      <c r="F1489" s="342"/>
      <c r="G1489" s="342"/>
      <c r="H1489" s="342"/>
      <c r="I1489" s="342"/>
      <c r="J1489" s="342"/>
      <c r="K1489" s="342"/>
      <c r="L1489" s="342"/>
      <c r="M1489" s="342"/>
      <c r="N1489" s="342"/>
      <c r="O1489" s="342"/>
      <c r="P1489" s="342"/>
      <c r="Q1489" s="342"/>
      <c r="R1489" s="342"/>
      <c r="S1489" s="342"/>
      <c r="T1489" s="342"/>
      <c r="U1489" s="342"/>
      <c r="V1489" s="342"/>
      <c r="W1489" s="1383"/>
      <c r="X1489" s="1383"/>
      <c r="Y1489" s="1383"/>
      <c r="Z1489" s="1383"/>
      <c r="AA1489" s="1383"/>
      <c r="AB1489" s="1383"/>
      <c r="AC1489" s="343"/>
      <c r="AD1489" s="368"/>
      <c r="AE1489" s="368"/>
      <c r="AF1489" s="368"/>
      <c r="AG1489" s="368"/>
      <c r="AH1489" s="368"/>
      <c r="AI1489" s="368"/>
      <c r="AJ1489" s="344"/>
      <c r="AK1489" s="345"/>
      <c r="AL1489" s="340"/>
      <c r="AM1489" s="429"/>
      <c r="AN1489" s="342"/>
      <c r="AO1489" s="342"/>
      <c r="AP1489" s="342"/>
      <c r="AQ1489" s="342"/>
      <c r="AR1489" s="342"/>
      <c r="AS1489" s="342"/>
      <c r="AT1489" s="342"/>
      <c r="AU1489" s="342"/>
      <c r="AV1489" s="342"/>
      <c r="AW1489" s="342"/>
      <c r="AX1489" s="342"/>
      <c r="AY1489" s="342"/>
      <c r="AZ1489" s="342"/>
      <c r="BA1489" s="342"/>
      <c r="BB1489" s="342"/>
      <c r="BC1489" s="342"/>
      <c r="BD1489" s="342"/>
      <c r="BE1489" s="342"/>
      <c r="BF1489" s="342"/>
      <c r="BG1489" s="713"/>
      <c r="BH1489" s="713"/>
      <c r="BI1489" s="713"/>
      <c r="BJ1489" s="713"/>
      <c r="BK1489" s="713"/>
      <c r="BL1489" s="713"/>
      <c r="BM1489" s="356"/>
      <c r="BN1489" s="713"/>
      <c r="BO1489" s="713"/>
      <c r="BP1489" s="713"/>
      <c r="BQ1489" s="713"/>
      <c r="BR1489" s="713"/>
      <c r="BS1489" s="713"/>
      <c r="BT1489" s="713"/>
      <c r="BU1489" s="707"/>
      <c r="BV1489" s="310"/>
      <c r="BW1489" s="310"/>
      <c r="BX1489" s="291">
        <f t="shared" si="106"/>
        <v>0</v>
      </c>
      <c r="BY1489" s="344"/>
      <c r="BZ1489" s="347"/>
      <c r="CA1489" s="347"/>
    </row>
    <row r="1490" spans="1:79" ht="15" hidden="1" customHeight="1" x14ac:dyDescent="0.25">
      <c r="A1490" s="313">
        <f>STT</f>
        <v>23</v>
      </c>
      <c r="B1490" s="340" t="s">
        <v>345</v>
      </c>
      <c r="C1490" s="341" t="s">
        <v>1555</v>
      </c>
      <c r="D1490" s="342"/>
      <c r="E1490" s="342"/>
      <c r="F1490" s="342"/>
      <c r="G1490" s="342"/>
      <c r="H1490" s="342"/>
      <c r="I1490" s="342"/>
      <c r="J1490" s="342"/>
      <c r="K1490" s="342"/>
      <c r="L1490" s="342"/>
      <c r="M1490" s="342"/>
      <c r="N1490" s="342"/>
      <c r="O1490" s="342"/>
      <c r="P1490" s="342"/>
      <c r="Q1490" s="342"/>
      <c r="R1490" s="342"/>
      <c r="S1490" s="342"/>
      <c r="T1490" s="342"/>
      <c r="U1490" s="342"/>
      <c r="V1490" s="342"/>
      <c r="W1490" s="1383"/>
      <c r="X1490" s="1383"/>
      <c r="Y1490" s="1383"/>
      <c r="Z1490" s="1383"/>
      <c r="AA1490" s="1383"/>
      <c r="AB1490" s="1383"/>
      <c r="AC1490" s="343"/>
      <c r="AD1490" s="1383"/>
      <c r="AE1490" s="1383"/>
      <c r="AF1490" s="1383"/>
      <c r="AG1490" s="1383"/>
      <c r="AH1490" s="1383"/>
      <c r="AI1490" s="1383"/>
      <c r="AJ1490" s="344"/>
      <c r="AK1490" s="345">
        <f>A1490</f>
        <v>23</v>
      </c>
      <c r="AL1490" s="340" t="s">
        <v>345</v>
      </c>
      <c r="AM1490" s="341" t="s">
        <v>1556</v>
      </c>
      <c r="AN1490" s="342"/>
      <c r="AO1490" s="342"/>
      <c r="AP1490" s="342"/>
      <c r="AQ1490" s="342"/>
      <c r="AR1490" s="342"/>
      <c r="AS1490" s="342"/>
      <c r="AT1490" s="342"/>
      <c r="AU1490" s="342"/>
      <c r="AV1490" s="342"/>
      <c r="AW1490" s="342"/>
      <c r="AX1490" s="342"/>
      <c r="AY1490" s="342"/>
      <c r="AZ1490" s="342"/>
      <c r="BA1490" s="342"/>
      <c r="BB1490" s="342"/>
      <c r="BC1490" s="342"/>
      <c r="BD1490" s="342"/>
      <c r="BE1490" s="342"/>
      <c r="BF1490" s="342"/>
      <c r="BG1490" s="1384"/>
      <c r="BH1490" s="1384"/>
      <c r="BI1490" s="1384"/>
      <c r="BJ1490" s="1384"/>
      <c r="BK1490" s="1384"/>
      <c r="BL1490" s="1384"/>
      <c r="BM1490" s="356"/>
      <c r="BN1490" s="1384"/>
      <c r="BO1490" s="1384"/>
      <c r="BP1490" s="1384"/>
      <c r="BQ1490" s="1384"/>
      <c r="BR1490" s="1384"/>
      <c r="BS1490" s="1384"/>
      <c r="BT1490" s="356"/>
      <c r="BU1490" s="346">
        <f>SUBTOTAL(103,A1490)</f>
        <v>0</v>
      </c>
      <c r="BV1490" s="310"/>
      <c r="BW1490" s="310"/>
      <c r="BX1490" s="291">
        <f t="shared" si="106"/>
        <v>0</v>
      </c>
      <c r="BY1490" s="344"/>
      <c r="BZ1490" s="347"/>
      <c r="CA1490" s="347"/>
    </row>
    <row r="1491" spans="1:79" ht="15.75" hidden="1" customHeight="1" x14ac:dyDescent="0.25">
      <c r="A1491" s="313"/>
      <c r="B1491" s="340"/>
      <c r="C1491" s="342"/>
      <c r="D1491" s="342"/>
      <c r="E1491" s="342"/>
      <c r="F1491" s="342"/>
      <c r="G1491" s="342"/>
      <c r="H1491" s="342"/>
      <c r="I1491" s="342"/>
      <c r="J1491" s="342"/>
      <c r="K1491" s="342"/>
      <c r="L1491" s="342"/>
      <c r="M1491" s="342"/>
      <c r="N1491" s="342"/>
      <c r="O1491" s="342"/>
      <c r="P1491" s="342"/>
      <c r="Q1491" s="342"/>
      <c r="R1491" s="342"/>
      <c r="S1491" s="342"/>
      <c r="T1491" s="342"/>
      <c r="U1491" s="342"/>
      <c r="V1491" s="342"/>
      <c r="W1491" s="1324" t="str">
        <f>Ky_Nay2_V</f>
        <v>Năm 2017</v>
      </c>
      <c r="X1491" s="1324"/>
      <c r="Y1491" s="1324"/>
      <c r="Z1491" s="1324"/>
      <c r="AA1491" s="1324"/>
      <c r="AB1491" s="1324"/>
      <c r="AC1491" s="351"/>
      <c r="AD1491" s="1324" t="str">
        <f>Ky_Truoc2_V</f>
        <v>Năm 2016</v>
      </c>
      <c r="AE1491" s="1324"/>
      <c r="AF1491" s="1324"/>
      <c r="AG1491" s="1324"/>
      <c r="AH1491" s="1324"/>
      <c r="AI1491" s="1324"/>
      <c r="AJ1491" s="344"/>
      <c r="AK1491" s="345"/>
      <c r="AL1491" s="340"/>
      <c r="AM1491" s="342"/>
      <c r="AN1491" s="342"/>
      <c r="AO1491" s="342"/>
      <c r="AP1491" s="342"/>
      <c r="AQ1491" s="342"/>
      <c r="AR1491" s="342"/>
      <c r="AS1491" s="342"/>
      <c r="AT1491" s="342"/>
      <c r="AU1491" s="342"/>
      <c r="AV1491" s="342"/>
      <c r="AW1491" s="342"/>
      <c r="AX1491" s="342"/>
      <c r="AY1491" s="342"/>
      <c r="AZ1491" s="342"/>
      <c r="BA1491" s="342"/>
      <c r="BB1491" s="342"/>
      <c r="BC1491" s="342"/>
      <c r="BD1491" s="342"/>
      <c r="BE1491" s="342"/>
      <c r="BF1491" s="342"/>
      <c r="BG1491" s="1325" t="str">
        <f>Ky_Nay2_E</f>
        <v>Year 2016</v>
      </c>
      <c r="BH1491" s="1325"/>
      <c r="BI1491" s="1325"/>
      <c r="BJ1491" s="1325"/>
      <c r="BK1491" s="1325"/>
      <c r="BL1491" s="1325"/>
      <c r="BM1491" s="351"/>
      <c r="BN1491" s="1325" t="str">
        <f>Ky_Truoc2_E</f>
        <v>Year 2015</v>
      </c>
      <c r="BO1491" s="1325"/>
      <c r="BP1491" s="1325"/>
      <c r="BQ1491" s="1325"/>
      <c r="BR1491" s="1325"/>
      <c r="BS1491" s="1325"/>
      <c r="BT1491" s="714"/>
      <c r="BU1491" s="370"/>
      <c r="BV1491" s="310"/>
      <c r="BW1491" s="310"/>
      <c r="BX1491" s="291">
        <f t="shared" si="106"/>
        <v>0</v>
      </c>
      <c r="BY1491" s="344"/>
      <c r="BZ1491" s="347"/>
      <c r="CA1491" s="347"/>
    </row>
    <row r="1492" spans="1:79" ht="15" hidden="1" customHeight="1" x14ac:dyDescent="0.25">
      <c r="A1492" s="313"/>
      <c r="B1492" s="340"/>
      <c r="C1492" s="342"/>
      <c r="D1492" s="342"/>
      <c r="E1492" s="342"/>
      <c r="F1492" s="342"/>
      <c r="G1492" s="342"/>
      <c r="H1492" s="342"/>
      <c r="I1492" s="342"/>
      <c r="J1492" s="342"/>
      <c r="K1492" s="342"/>
      <c r="L1492" s="342"/>
      <c r="M1492" s="342"/>
      <c r="N1492" s="342"/>
      <c r="O1492" s="342"/>
      <c r="P1492" s="342"/>
      <c r="Q1492" s="342"/>
      <c r="R1492" s="342"/>
      <c r="S1492" s="342"/>
      <c r="T1492" s="342"/>
      <c r="U1492" s="342"/>
      <c r="V1492" s="342"/>
      <c r="W1492" s="1327" t="str">
        <f>Don_Vi_Tinh_V</f>
        <v>VND</v>
      </c>
      <c r="X1492" s="1327"/>
      <c r="Y1492" s="1327"/>
      <c r="Z1492" s="1327"/>
      <c r="AA1492" s="1327"/>
      <c r="AB1492" s="1327"/>
      <c r="AC1492" s="351"/>
      <c r="AD1492" s="1327" t="str">
        <f>Don_Vi_Tinh_V</f>
        <v>VND</v>
      </c>
      <c r="AE1492" s="1327"/>
      <c r="AF1492" s="1327"/>
      <c r="AG1492" s="1327"/>
      <c r="AH1492" s="1327"/>
      <c r="AI1492" s="1327"/>
      <c r="AJ1492" s="344"/>
      <c r="AK1492" s="345"/>
      <c r="AL1492" s="340"/>
      <c r="AM1492" s="342"/>
      <c r="AN1492" s="342"/>
      <c r="AO1492" s="342"/>
      <c r="AP1492" s="342"/>
      <c r="AQ1492" s="342"/>
      <c r="AR1492" s="342"/>
      <c r="AS1492" s="342"/>
      <c r="AT1492" s="342"/>
      <c r="AU1492" s="342"/>
      <c r="AV1492" s="342"/>
      <c r="AW1492" s="342"/>
      <c r="AX1492" s="342"/>
      <c r="AY1492" s="342"/>
      <c r="AZ1492" s="342"/>
      <c r="BA1492" s="342"/>
      <c r="BB1492" s="342"/>
      <c r="BC1492" s="342"/>
      <c r="BD1492" s="342"/>
      <c r="BE1492" s="342"/>
      <c r="BF1492" s="342"/>
      <c r="BG1492" s="1327" t="str">
        <f>Don_Vi_Tinh_E</f>
        <v>VND</v>
      </c>
      <c r="BH1492" s="1327"/>
      <c r="BI1492" s="1327"/>
      <c r="BJ1492" s="1327"/>
      <c r="BK1492" s="1327"/>
      <c r="BL1492" s="1327"/>
      <c r="BM1492" s="351"/>
      <c r="BN1492" s="1327" t="str">
        <f>Don_Vi_Tinh_E</f>
        <v>VND</v>
      </c>
      <c r="BO1492" s="1327"/>
      <c r="BP1492" s="1327"/>
      <c r="BQ1492" s="1327"/>
      <c r="BR1492" s="1327"/>
      <c r="BS1492" s="1327"/>
      <c r="BT1492" s="714"/>
      <c r="BU1492" s="370"/>
      <c r="BV1492" s="310"/>
      <c r="BW1492" s="310"/>
      <c r="BX1492" s="291">
        <f t="shared" si="106"/>
        <v>0</v>
      </c>
      <c r="BY1492" s="344"/>
      <c r="BZ1492" s="347"/>
      <c r="CA1492" s="347"/>
    </row>
    <row r="1493" spans="1:79" ht="15" hidden="1" customHeight="1" x14ac:dyDescent="0.25">
      <c r="A1493" s="313"/>
      <c r="B1493" s="340"/>
      <c r="C1493" s="342"/>
      <c r="D1493" s="342"/>
      <c r="E1493" s="342"/>
      <c r="F1493" s="342"/>
      <c r="G1493" s="342"/>
      <c r="H1493" s="342"/>
      <c r="I1493" s="342"/>
      <c r="J1493" s="342"/>
      <c r="K1493" s="342"/>
      <c r="L1493" s="342"/>
      <c r="M1493" s="342"/>
      <c r="N1493" s="342"/>
      <c r="O1493" s="342"/>
      <c r="P1493" s="342"/>
      <c r="Q1493" s="342"/>
      <c r="R1493" s="342"/>
      <c r="S1493" s="342"/>
      <c r="T1493" s="342"/>
      <c r="U1493" s="342"/>
      <c r="V1493" s="342"/>
      <c r="W1493" s="660"/>
      <c r="X1493" s="660"/>
      <c r="Y1493" s="660"/>
      <c r="Z1493" s="660"/>
      <c r="AA1493" s="660"/>
      <c r="AB1493" s="660"/>
      <c r="AC1493" s="437"/>
      <c r="AD1493" s="660"/>
      <c r="AE1493" s="660"/>
      <c r="AF1493" s="660"/>
      <c r="AG1493" s="660"/>
      <c r="AH1493" s="660"/>
      <c r="AI1493" s="660"/>
      <c r="AJ1493" s="344"/>
      <c r="AK1493" s="345"/>
      <c r="AL1493" s="340"/>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599"/>
      <c r="BH1493" s="599"/>
      <c r="BI1493" s="599"/>
      <c r="BJ1493" s="599"/>
      <c r="BK1493" s="599"/>
      <c r="BL1493" s="599"/>
      <c r="BM1493" s="600"/>
      <c r="BN1493" s="599"/>
      <c r="BO1493" s="599"/>
      <c r="BP1493" s="599"/>
      <c r="BQ1493" s="599"/>
      <c r="BR1493" s="599"/>
      <c r="BS1493" s="599"/>
      <c r="BT1493" s="714"/>
      <c r="BU1493" s="370"/>
      <c r="BV1493" s="310"/>
      <c r="BW1493" s="310"/>
      <c r="BX1493" s="291">
        <f t="shared" si="106"/>
        <v>0</v>
      </c>
      <c r="BY1493" s="344"/>
      <c r="BZ1493" s="347"/>
      <c r="CA1493" s="347"/>
    </row>
    <row r="1494" spans="1:79" ht="15" hidden="1" customHeight="1" x14ac:dyDescent="0.25">
      <c r="A1494" s="313"/>
      <c r="B1494" s="340"/>
      <c r="C1494" s="342" t="s">
        <v>1557</v>
      </c>
      <c r="D1494" s="342"/>
      <c r="E1494" s="342"/>
      <c r="F1494" s="342"/>
      <c r="G1494" s="342"/>
      <c r="H1494" s="342"/>
      <c r="I1494" s="342"/>
      <c r="J1494" s="342"/>
      <c r="K1494" s="342"/>
      <c r="L1494" s="342"/>
      <c r="M1494" s="342"/>
      <c r="N1494" s="342"/>
      <c r="O1494" s="342"/>
      <c r="P1494" s="342"/>
      <c r="Q1494" s="342"/>
      <c r="R1494" s="342"/>
      <c r="S1494" s="342"/>
      <c r="T1494" s="342"/>
      <c r="U1494" s="342"/>
      <c r="V1494" s="342"/>
      <c r="W1494" s="1318">
        <f>KN_5211</f>
        <v>0</v>
      </c>
      <c r="X1494" s="1318"/>
      <c r="Y1494" s="1318"/>
      <c r="Z1494" s="1318"/>
      <c r="AA1494" s="1318"/>
      <c r="AB1494" s="1318"/>
      <c r="AC1494" s="355"/>
      <c r="AD1494" s="1318">
        <f>KT_5211</f>
        <v>0</v>
      </c>
      <c r="AE1494" s="1318"/>
      <c r="AF1494" s="1318"/>
      <c r="AG1494" s="1318"/>
      <c r="AH1494" s="1318"/>
      <c r="AI1494" s="1318"/>
      <c r="AJ1494" s="344"/>
      <c r="AK1494" s="345"/>
      <c r="AL1494" s="340"/>
      <c r="AM1494" s="342" t="s">
        <v>1558</v>
      </c>
      <c r="AN1494" s="342"/>
      <c r="AO1494" s="342"/>
      <c r="AP1494" s="342"/>
      <c r="AQ1494" s="342"/>
      <c r="AR1494" s="342"/>
      <c r="AS1494" s="342"/>
      <c r="AT1494" s="342"/>
      <c r="AU1494" s="342"/>
      <c r="AV1494" s="342"/>
      <c r="AW1494" s="342"/>
      <c r="AX1494" s="342"/>
      <c r="AY1494" s="342"/>
      <c r="AZ1494" s="342"/>
      <c r="BA1494" s="342"/>
      <c r="BB1494" s="342"/>
      <c r="BC1494" s="342"/>
      <c r="BD1494" s="342"/>
      <c r="BE1494" s="342"/>
      <c r="BF1494" s="342"/>
      <c r="BG1494" s="1318">
        <f>W1494</f>
        <v>0</v>
      </c>
      <c r="BH1494" s="1318"/>
      <c r="BI1494" s="1318"/>
      <c r="BJ1494" s="1318"/>
      <c r="BK1494" s="1318"/>
      <c r="BL1494" s="1318"/>
      <c r="BM1494" s="355"/>
      <c r="BN1494" s="1318">
        <f>AD1494</f>
        <v>0</v>
      </c>
      <c r="BO1494" s="1318"/>
      <c r="BP1494" s="1318"/>
      <c r="BQ1494" s="1318"/>
      <c r="BR1494" s="1318"/>
      <c r="BS1494" s="1318"/>
      <c r="BT1494" s="713"/>
      <c r="BU1494" s="707"/>
      <c r="BV1494" s="310"/>
      <c r="BW1494" s="310"/>
      <c r="BX1494" s="291">
        <f t="shared" si="106"/>
        <v>0</v>
      </c>
      <c r="BY1494" s="344"/>
      <c r="BZ1494" s="347"/>
      <c r="CA1494" s="347"/>
    </row>
    <row r="1495" spans="1:79" ht="15" hidden="1" customHeight="1" x14ac:dyDescent="0.25">
      <c r="A1495" s="313"/>
      <c r="B1495" s="340"/>
      <c r="C1495" s="342" t="s">
        <v>1559</v>
      </c>
      <c r="D1495" s="342"/>
      <c r="E1495" s="342"/>
      <c r="F1495" s="342"/>
      <c r="G1495" s="342"/>
      <c r="H1495" s="342"/>
      <c r="I1495" s="342"/>
      <c r="J1495" s="342"/>
      <c r="K1495" s="342"/>
      <c r="L1495" s="342"/>
      <c r="M1495" s="342"/>
      <c r="N1495" s="342"/>
      <c r="O1495" s="342"/>
      <c r="P1495" s="342"/>
      <c r="Q1495" s="342"/>
      <c r="R1495" s="342"/>
      <c r="S1495" s="342"/>
      <c r="T1495" s="342"/>
      <c r="U1495" s="342"/>
      <c r="V1495" s="342"/>
      <c r="W1495" s="1318">
        <f>KN_5212</f>
        <v>0</v>
      </c>
      <c r="X1495" s="1318"/>
      <c r="Y1495" s="1318"/>
      <c r="Z1495" s="1318"/>
      <c r="AA1495" s="1318"/>
      <c r="AB1495" s="1318"/>
      <c r="AC1495" s="355"/>
      <c r="AD1495" s="1318">
        <f>KT_5212</f>
        <v>0</v>
      </c>
      <c r="AE1495" s="1318"/>
      <c r="AF1495" s="1318"/>
      <c r="AG1495" s="1318"/>
      <c r="AH1495" s="1318"/>
      <c r="AI1495" s="1318"/>
      <c r="AJ1495" s="344"/>
      <c r="AK1495" s="345"/>
      <c r="AL1495" s="340"/>
      <c r="AM1495" s="342" t="s">
        <v>1560</v>
      </c>
      <c r="AN1495" s="342"/>
      <c r="AO1495" s="342"/>
      <c r="AP1495" s="342"/>
      <c r="AQ1495" s="342"/>
      <c r="AR1495" s="342"/>
      <c r="AS1495" s="342"/>
      <c r="AT1495" s="342"/>
      <c r="AU1495" s="342"/>
      <c r="AV1495" s="342"/>
      <c r="AW1495" s="342"/>
      <c r="AX1495" s="342"/>
      <c r="AY1495" s="342"/>
      <c r="AZ1495" s="342"/>
      <c r="BA1495" s="342"/>
      <c r="BB1495" s="342"/>
      <c r="BC1495" s="342"/>
      <c r="BD1495" s="342"/>
      <c r="BE1495" s="342"/>
      <c r="BF1495" s="342"/>
      <c r="BG1495" s="1318">
        <f>W1495</f>
        <v>0</v>
      </c>
      <c r="BH1495" s="1318"/>
      <c r="BI1495" s="1318"/>
      <c r="BJ1495" s="1318"/>
      <c r="BK1495" s="1318"/>
      <c r="BL1495" s="1318"/>
      <c r="BM1495" s="355"/>
      <c r="BN1495" s="1318">
        <f>AD1495</f>
        <v>0</v>
      </c>
      <c r="BO1495" s="1318"/>
      <c r="BP1495" s="1318"/>
      <c r="BQ1495" s="1318"/>
      <c r="BR1495" s="1318"/>
      <c r="BS1495" s="1318"/>
      <c r="BT1495" s="713"/>
      <c r="BU1495" s="707"/>
      <c r="BV1495" s="310"/>
      <c r="BW1495" s="310"/>
      <c r="BX1495" s="291">
        <f t="shared" si="106"/>
        <v>0</v>
      </c>
      <c r="BY1495" s="344"/>
      <c r="BZ1495" s="347"/>
      <c r="CA1495" s="347"/>
    </row>
    <row r="1496" spans="1:79" ht="15" hidden="1" customHeight="1" x14ac:dyDescent="0.25">
      <c r="A1496" s="313"/>
      <c r="B1496" s="340"/>
      <c r="C1496" s="342" t="s">
        <v>1561</v>
      </c>
      <c r="D1496" s="342"/>
      <c r="E1496" s="342"/>
      <c r="F1496" s="342"/>
      <c r="G1496" s="342"/>
      <c r="H1496" s="342"/>
      <c r="I1496" s="342"/>
      <c r="J1496" s="342"/>
      <c r="K1496" s="342"/>
      <c r="L1496" s="342"/>
      <c r="M1496" s="342"/>
      <c r="N1496" s="342"/>
      <c r="O1496" s="342"/>
      <c r="P1496" s="342"/>
      <c r="Q1496" s="342"/>
      <c r="R1496" s="342"/>
      <c r="S1496" s="342"/>
      <c r="T1496" s="342"/>
      <c r="U1496" s="342"/>
      <c r="V1496" s="342"/>
      <c r="W1496" s="1318">
        <f>KN_5213</f>
        <v>0</v>
      </c>
      <c r="X1496" s="1318"/>
      <c r="Y1496" s="1318"/>
      <c r="Z1496" s="1318"/>
      <c r="AA1496" s="1318"/>
      <c r="AB1496" s="1318"/>
      <c r="AC1496" s="355"/>
      <c r="AD1496" s="1318">
        <f>KT_5213</f>
        <v>0</v>
      </c>
      <c r="AE1496" s="1318"/>
      <c r="AF1496" s="1318"/>
      <c r="AG1496" s="1318"/>
      <c r="AH1496" s="1318"/>
      <c r="AI1496" s="1318"/>
      <c r="AJ1496" s="344"/>
      <c r="AK1496" s="345"/>
      <c r="AL1496" s="340"/>
      <c r="AM1496" s="342" t="s">
        <v>1562</v>
      </c>
      <c r="AN1496" s="342"/>
      <c r="AO1496" s="342"/>
      <c r="AP1496" s="342"/>
      <c r="AQ1496" s="342"/>
      <c r="AR1496" s="342"/>
      <c r="AS1496" s="342"/>
      <c r="AT1496" s="342"/>
      <c r="AU1496" s="342"/>
      <c r="AV1496" s="342"/>
      <c r="AW1496" s="342"/>
      <c r="AX1496" s="342"/>
      <c r="AY1496" s="342"/>
      <c r="AZ1496" s="342"/>
      <c r="BA1496" s="342"/>
      <c r="BB1496" s="342"/>
      <c r="BC1496" s="342"/>
      <c r="BD1496" s="342"/>
      <c r="BE1496" s="342"/>
      <c r="BF1496" s="342"/>
      <c r="BG1496" s="1318">
        <f>W1496</f>
        <v>0</v>
      </c>
      <c r="BH1496" s="1318"/>
      <c r="BI1496" s="1318"/>
      <c r="BJ1496" s="1318"/>
      <c r="BK1496" s="1318"/>
      <c r="BL1496" s="1318"/>
      <c r="BM1496" s="355"/>
      <c r="BN1496" s="1318">
        <f>AD1496</f>
        <v>0</v>
      </c>
      <c r="BO1496" s="1318"/>
      <c r="BP1496" s="1318"/>
      <c r="BQ1496" s="1318"/>
      <c r="BR1496" s="1318"/>
      <c r="BS1496" s="1318"/>
      <c r="BT1496" s="713"/>
      <c r="BU1496" s="707"/>
      <c r="BV1496" s="310"/>
      <c r="BW1496" s="310"/>
      <c r="BX1496" s="291">
        <f t="shared" si="106"/>
        <v>0</v>
      </c>
      <c r="BY1496" s="344"/>
      <c r="BZ1496" s="347"/>
      <c r="CA1496" s="347"/>
    </row>
    <row r="1497" spans="1:79" ht="15" hidden="1" customHeight="1" x14ac:dyDescent="0.25">
      <c r="A1497" s="313"/>
      <c r="B1497" s="340"/>
      <c r="C1497" s="342"/>
      <c r="D1497" s="342"/>
      <c r="E1497" s="342"/>
      <c r="F1497" s="342"/>
      <c r="G1497" s="342"/>
      <c r="H1497" s="342"/>
      <c r="I1497" s="342"/>
      <c r="J1497" s="342"/>
      <c r="K1497" s="342"/>
      <c r="L1497" s="342"/>
      <c r="M1497" s="342"/>
      <c r="N1497" s="342"/>
      <c r="O1497" s="342"/>
      <c r="P1497" s="342"/>
      <c r="Q1497" s="342"/>
      <c r="R1497" s="342"/>
      <c r="S1497" s="342"/>
      <c r="T1497" s="342"/>
      <c r="U1497" s="342"/>
      <c r="V1497" s="342"/>
      <c r="W1497" s="355"/>
      <c r="X1497" s="355"/>
      <c r="Y1497" s="355"/>
      <c r="Z1497" s="355"/>
      <c r="AA1497" s="355"/>
      <c r="AB1497" s="355"/>
      <c r="AC1497" s="355"/>
      <c r="AD1497" s="355"/>
      <c r="AE1497" s="355"/>
      <c r="AF1497" s="355"/>
      <c r="AG1497" s="355"/>
      <c r="AH1497" s="355"/>
      <c r="AI1497" s="355"/>
      <c r="AJ1497" s="344"/>
      <c r="AK1497" s="345"/>
      <c r="AL1497" s="340"/>
      <c r="AM1497" s="342"/>
      <c r="AN1497" s="342"/>
      <c r="AO1497" s="342"/>
      <c r="AP1497" s="342"/>
      <c r="AQ1497" s="342"/>
      <c r="AR1497" s="342"/>
      <c r="AS1497" s="342"/>
      <c r="AT1497" s="342"/>
      <c r="AU1497" s="342"/>
      <c r="AV1497" s="342"/>
      <c r="AW1497" s="342"/>
      <c r="AX1497" s="342"/>
      <c r="AY1497" s="342"/>
      <c r="AZ1497" s="342"/>
      <c r="BA1497" s="342"/>
      <c r="BB1497" s="342"/>
      <c r="BC1497" s="342"/>
      <c r="BD1497" s="342"/>
      <c r="BE1497" s="342"/>
      <c r="BF1497" s="342"/>
      <c r="BG1497" s="355"/>
      <c r="BH1497" s="355"/>
      <c r="BI1497" s="355"/>
      <c r="BJ1497" s="355"/>
      <c r="BK1497" s="355"/>
      <c r="BL1497" s="355"/>
      <c r="BM1497" s="355"/>
      <c r="BN1497" s="355"/>
      <c r="BO1497" s="355"/>
      <c r="BP1497" s="355"/>
      <c r="BQ1497" s="355"/>
      <c r="BR1497" s="355"/>
      <c r="BS1497" s="355"/>
      <c r="BT1497" s="713"/>
      <c r="BU1497" s="707"/>
      <c r="BV1497" s="310"/>
      <c r="BW1497" s="310"/>
      <c r="BX1497" s="291">
        <f t="shared" si="106"/>
        <v>0</v>
      </c>
      <c r="BY1497" s="344"/>
      <c r="BZ1497" s="347"/>
      <c r="CA1497" s="347"/>
    </row>
    <row r="1498" spans="1:79" ht="15" hidden="1" customHeight="1" thickBot="1" x14ac:dyDescent="0.3">
      <c r="A1498" s="313"/>
      <c r="B1498" s="340"/>
      <c r="C1498" s="360" t="s">
        <v>752</v>
      </c>
      <c r="D1498" s="342"/>
      <c r="E1498" s="342"/>
      <c r="F1498" s="342"/>
      <c r="G1498" s="342"/>
      <c r="H1498" s="342"/>
      <c r="I1498" s="342"/>
      <c r="J1498" s="342"/>
      <c r="K1498" s="342"/>
      <c r="L1498" s="342"/>
      <c r="M1498" s="342"/>
      <c r="N1498" s="342"/>
      <c r="O1498" s="342"/>
      <c r="P1498" s="342"/>
      <c r="Q1498" s="342"/>
      <c r="R1498" s="342"/>
      <c r="S1498" s="342"/>
      <c r="T1498" s="342"/>
      <c r="U1498" s="342"/>
      <c r="V1498" s="342"/>
      <c r="W1498" s="1359">
        <f>SUBTOTAL(109,W1494:AB1496)</f>
        <v>0</v>
      </c>
      <c r="X1498" s="1359"/>
      <c r="Y1498" s="1359"/>
      <c r="Z1498" s="1359"/>
      <c r="AA1498" s="1359"/>
      <c r="AB1498" s="1359"/>
      <c r="AC1498" s="355"/>
      <c r="AD1498" s="1359">
        <f>SUBTOTAL(109,AD1494:AI1496)</f>
        <v>0</v>
      </c>
      <c r="AE1498" s="1359"/>
      <c r="AF1498" s="1359"/>
      <c r="AG1498" s="1359"/>
      <c r="AH1498" s="1359"/>
      <c r="AI1498" s="1359"/>
      <c r="AJ1498" s="344"/>
      <c r="AK1498" s="345"/>
      <c r="AL1498" s="340"/>
      <c r="AM1498" s="360" t="s">
        <v>753</v>
      </c>
      <c r="AN1498" s="342"/>
      <c r="AO1498" s="342"/>
      <c r="AP1498" s="342"/>
      <c r="AQ1498" s="342"/>
      <c r="AR1498" s="342"/>
      <c r="AS1498" s="342"/>
      <c r="AT1498" s="342"/>
      <c r="AU1498" s="342"/>
      <c r="AV1498" s="342"/>
      <c r="AW1498" s="342"/>
      <c r="AX1498" s="342"/>
      <c r="AY1498" s="342"/>
      <c r="AZ1498" s="342"/>
      <c r="BA1498" s="342"/>
      <c r="BB1498" s="342"/>
      <c r="BC1498" s="342"/>
      <c r="BD1498" s="342"/>
      <c r="BE1498" s="342"/>
      <c r="BF1498" s="342"/>
      <c r="BG1498" s="1359">
        <f>SUBTOTAL(109,BG1494:BL1496)</f>
        <v>0</v>
      </c>
      <c r="BH1498" s="1359"/>
      <c r="BI1498" s="1359"/>
      <c r="BJ1498" s="1359"/>
      <c r="BK1498" s="1359"/>
      <c r="BL1498" s="1359"/>
      <c r="BM1498" s="355"/>
      <c r="BN1498" s="1359">
        <f>SUBTOTAL(109,BN1494:BS1496)</f>
        <v>0</v>
      </c>
      <c r="BO1498" s="1359"/>
      <c r="BP1498" s="1359"/>
      <c r="BQ1498" s="1359"/>
      <c r="BR1498" s="1359"/>
      <c r="BS1498" s="1359"/>
      <c r="BT1498" s="713"/>
      <c r="BU1498" s="707"/>
      <c r="BV1498" s="310">
        <f>W1498-KN_CT02</f>
        <v>0</v>
      </c>
      <c r="BW1498" s="310">
        <f>AD1498-KT_CT02</f>
        <v>0</v>
      </c>
      <c r="BX1498" s="291">
        <f t="shared" si="106"/>
        <v>0</v>
      </c>
      <c r="BY1498" s="344"/>
      <c r="BZ1498" s="347"/>
      <c r="CA1498" s="347"/>
    </row>
    <row r="1499" spans="1:79" ht="2.1" hidden="1" customHeight="1" thickTop="1" x14ac:dyDescent="0.25">
      <c r="A1499" s="313"/>
      <c r="B1499" s="340"/>
      <c r="C1499" s="342"/>
      <c r="D1499" s="342"/>
      <c r="E1499" s="342"/>
      <c r="F1499" s="342"/>
      <c r="G1499" s="342"/>
      <c r="H1499" s="342"/>
      <c r="I1499" s="342"/>
      <c r="J1499" s="342"/>
      <c r="K1499" s="342"/>
      <c r="L1499" s="342"/>
      <c r="M1499" s="342"/>
      <c r="N1499" s="342"/>
      <c r="O1499" s="342"/>
      <c r="P1499" s="342"/>
      <c r="Q1499" s="342"/>
      <c r="R1499" s="342"/>
      <c r="S1499" s="342"/>
      <c r="T1499" s="342"/>
      <c r="U1499" s="342"/>
      <c r="V1499" s="342"/>
      <c r="W1499" s="530"/>
      <c r="X1499" s="530"/>
      <c r="Y1499" s="530"/>
      <c r="Z1499" s="530"/>
      <c r="AA1499" s="530"/>
      <c r="AB1499" s="530"/>
      <c r="AC1499" s="343"/>
      <c r="AD1499" s="530"/>
      <c r="AE1499" s="530"/>
      <c r="AF1499" s="530"/>
      <c r="AG1499" s="530"/>
      <c r="AH1499" s="530"/>
      <c r="AI1499" s="530"/>
      <c r="AJ1499" s="344"/>
      <c r="AK1499" s="345"/>
      <c r="AL1499" s="340"/>
      <c r="AM1499" s="429"/>
      <c r="AN1499" s="342"/>
      <c r="AO1499" s="342"/>
      <c r="AP1499" s="342"/>
      <c r="AQ1499" s="342"/>
      <c r="AR1499" s="342"/>
      <c r="AS1499" s="342"/>
      <c r="AT1499" s="342"/>
      <c r="AU1499" s="342"/>
      <c r="AV1499" s="342"/>
      <c r="AW1499" s="342"/>
      <c r="AX1499" s="342"/>
      <c r="AY1499" s="342"/>
      <c r="AZ1499" s="342"/>
      <c r="BA1499" s="342"/>
      <c r="BB1499" s="342"/>
      <c r="BC1499" s="342"/>
      <c r="BD1499" s="342"/>
      <c r="BE1499" s="342"/>
      <c r="BF1499" s="342"/>
      <c r="BG1499" s="713"/>
      <c r="BH1499" s="713"/>
      <c r="BI1499" s="713"/>
      <c r="BJ1499" s="713"/>
      <c r="BK1499" s="713"/>
      <c r="BL1499" s="713"/>
      <c r="BM1499" s="359"/>
      <c r="BN1499" s="713"/>
      <c r="BO1499" s="713"/>
      <c r="BP1499" s="713"/>
      <c r="BQ1499" s="713"/>
      <c r="BR1499" s="713"/>
      <c r="BS1499" s="713"/>
      <c r="BT1499" s="713"/>
      <c r="BU1499" s="707"/>
      <c r="BV1499" s="310"/>
      <c r="BW1499" s="310"/>
      <c r="BX1499" s="291">
        <f t="shared" si="106"/>
        <v>0</v>
      </c>
      <c r="BY1499" s="344"/>
      <c r="BZ1499" s="347"/>
      <c r="CA1499" s="347"/>
    </row>
    <row r="1500" spans="1:79" ht="12.95" customHeight="1" thickTop="1" x14ac:dyDescent="0.25">
      <c r="A1500" s="313"/>
      <c r="B1500" s="340"/>
      <c r="C1500" s="342"/>
      <c r="D1500" s="342"/>
      <c r="E1500" s="342"/>
      <c r="F1500" s="342"/>
      <c r="G1500" s="342"/>
      <c r="H1500" s="342"/>
      <c r="I1500" s="342"/>
      <c r="J1500" s="342"/>
      <c r="K1500" s="342"/>
      <c r="L1500" s="342"/>
      <c r="M1500" s="342"/>
      <c r="N1500" s="342"/>
      <c r="O1500" s="342"/>
      <c r="P1500" s="342"/>
      <c r="Q1500" s="342"/>
      <c r="R1500" s="342"/>
      <c r="S1500" s="342"/>
      <c r="T1500" s="342"/>
      <c r="U1500" s="342"/>
      <c r="V1500" s="342"/>
      <c r="W1500" s="530"/>
      <c r="X1500" s="530"/>
      <c r="Y1500" s="530"/>
      <c r="Z1500" s="530"/>
      <c r="AA1500" s="530"/>
      <c r="AB1500" s="530"/>
      <c r="AC1500" s="343"/>
      <c r="AD1500" s="530"/>
      <c r="AE1500" s="530"/>
      <c r="AF1500" s="530"/>
      <c r="AG1500" s="530"/>
      <c r="AH1500" s="530"/>
      <c r="AI1500" s="530"/>
      <c r="AJ1500" s="344"/>
      <c r="AK1500" s="345"/>
      <c r="AL1500" s="340"/>
      <c r="AM1500" s="429"/>
      <c r="AN1500" s="342"/>
      <c r="AO1500" s="342"/>
      <c r="AP1500" s="342"/>
      <c r="AQ1500" s="342"/>
      <c r="AR1500" s="342"/>
      <c r="AS1500" s="342"/>
      <c r="AT1500" s="342"/>
      <c r="AU1500" s="342"/>
      <c r="AV1500" s="342"/>
      <c r="AW1500" s="342"/>
      <c r="AX1500" s="342"/>
      <c r="AY1500" s="342"/>
      <c r="AZ1500" s="342"/>
      <c r="BA1500" s="342"/>
      <c r="BB1500" s="342"/>
      <c r="BC1500" s="342"/>
      <c r="BD1500" s="342"/>
      <c r="BE1500" s="342"/>
      <c r="BF1500" s="342"/>
      <c r="BG1500" s="713"/>
      <c r="BH1500" s="713"/>
      <c r="BI1500" s="713"/>
      <c r="BJ1500" s="713"/>
      <c r="BK1500" s="713"/>
      <c r="BL1500" s="713"/>
      <c r="BM1500" s="359"/>
      <c r="BN1500" s="713"/>
      <c r="BO1500" s="713"/>
      <c r="BP1500" s="713"/>
      <c r="BQ1500" s="713"/>
      <c r="BR1500" s="713"/>
      <c r="BS1500" s="713"/>
      <c r="BT1500" s="713"/>
      <c r="BU1500" s="707"/>
      <c r="BV1500" s="310"/>
      <c r="BW1500" s="310"/>
      <c r="BX1500" s="291">
        <f t="shared" si="106"/>
        <v>0</v>
      </c>
      <c r="BY1500" s="344"/>
      <c r="BZ1500" s="347"/>
      <c r="CA1500" s="347"/>
    </row>
    <row r="1501" spans="1:79" ht="15" customHeight="1" x14ac:dyDescent="0.25">
      <c r="A1501" s="313">
        <v>23</v>
      </c>
      <c r="B1501" s="340" t="s">
        <v>345</v>
      </c>
      <c r="C1501" s="341" t="s">
        <v>1563</v>
      </c>
      <c r="D1501" s="342"/>
      <c r="E1501" s="342"/>
      <c r="F1501" s="342"/>
      <c r="G1501" s="342"/>
      <c r="H1501" s="342"/>
      <c r="I1501" s="342"/>
      <c r="J1501" s="342"/>
      <c r="K1501" s="342"/>
      <c r="L1501" s="342"/>
      <c r="M1501" s="342"/>
      <c r="N1501" s="342"/>
      <c r="O1501" s="342"/>
      <c r="P1501" s="342"/>
      <c r="Q1501" s="342"/>
      <c r="R1501" s="342"/>
      <c r="S1501" s="342"/>
      <c r="T1501" s="342"/>
      <c r="U1501" s="342"/>
      <c r="V1501" s="342"/>
      <c r="W1501" s="343"/>
      <c r="X1501" s="343"/>
      <c r="Y1501" s="343"/>
      <c r="Z1501" s="343"/>
      <c r="AA1501" s="343"/>
      <c r="AB1501" s="343"/>
      <c r="AC1501" s="343"/>
      <c r="AD1501" s="343"/>
      <c r="AE1501" s="343"/>
      <c r="AF1501" s="343"/>
      <c r="AG1501" s="343"/>
      <c r="AH1501" s="343"/>
      <c r="AI1501" s="343"/>
      <c r="AJ1501" s="344"/>
      <c r="AK1501" s="345">
        <f>A1501</f>
        <v>23</v>
      </c>
      <c r="AL1501" s="340" t="s">
        <v>345</v>
      </c>
      <c r="AM1501" s="341" t="s">
        <v>1564</v>
      </c>
      <c r="AN1501" s="342"/>
      <c r="AO1501" s="342"/>
      <c r="AP1501" s="342"/>
      <c r="AQ1501" s="342"/>
      <c r="AR1501" s="342"/>
      <c r="AS1501" s="342"/>
      <c r="AT1501" s="342"/>
      <c r="AU1501" s="342"/>
      <c r="AV1501" s="342"/>
      <c r="AW1501" s="342"/>
      <c r="AX1501" s="342"/>
      <c r="AY1501" s="342"/>
      <c r="AZ1501" s="342"/>
      <c r="BA1501" s="342"/>
      <c r="BB1501" s="342"/>
      <c r="BC1501" s="342"/>
      <c r="BD1501" s="342"/>
      <c r="BE1501" s="342"/>
      <c r="BF1501" s="342"/>
      <c r="BG1501" s="342"/>
      <c r="BH1501" s="342"/>
      <c r="BI1501" s="342"/>
      <c r="BJ1501" s="342"/>
      <c r="BK1501" s="342"/>
      <c r="BL1501" s="342"/>
      <c r="BM1501" s="342"/>
      <c r="BN1501" s="356"/>
      <c r="BO1501" s="356"/>
      <c r="BP1501" s="356"/>
      <c r="BQ1501" s="356"/>
      <c r="BR1501" s="356"/>
      <c r="BS1501" s="356"/>
      <c r="BT1501" s="356"/>
      <c r="BU1501" s="346">
        <f>SUBTOTAL(103,A1501)</f>
        <v>1</v>
      </c>
      <c r="BV1501" s="310"/>
      <c r="BW1501" s="310"/>
      <c r="BX1501" s="291">
        <f t="shared" si="106"/>
        <v>0</v>
      </c>
      <c r="BY1501" s="344"/>
      <c r="BZ1501" s="347"/>
      <c r="CA1501" s="347"/>
    </row>
    <row r="1502" spans="1:79" ht="15" customHeight="1" x14ac:dyDescent="0.25">
      <c r="A1502" s="313"/>
      <c r="B1502" s="340"/>
      <c r="C1502" s="392"/>
      <c r="D1502" s="392"/>
      <c r="E1502" s="392"/>
      <c r="F1502" s="392"/>
      <c r="G1502" s="392"/>
      <c r="H1502" s="392"/>
      <c r="I1502" s="392"/>
      <c r="J1502" s="392"/>
      <c r="K1502" s="392"/>
      <c r="L1502" s="392"/>
      <c r="M1502" s="392"/>
      <c r="N1502" s="392"/>
      <c r="O1502" s="392"/>
      <c r="P1502" s="392"/>
      <c r="Q1502" s="392"/>
      <c r="R1502" s="392"/>
      <c r="S1502" s="392"/>
      <c r="T1502" s="392"/>
      <c r="U1502" s="392"/>
      <c r="V1502" s="392"/>
      <c r="W1502" s="1324" t="str">
        <f>Ky_Nay2_V</f>
        <v>Năm 2017</v>
      </c>
      <c r="X1502" s="1324"/>
      <c r="Y1502" s="1324"/>
      <c r="Z1502" s="1324"/>
      <c r="AA1502" s="1324"/>
      <c r="AB1502" s="1324"/>
      <c r="AC1502" s="681"/>
      <c r="AD1502" s="1324" t="str">
        <f>Ky_Truoc2_V</f>
        <v>Năm 2016</v>
      </c>
      <c r="AE1502" s="1324"/>
      <c r="AF1502" s="1324"/>
      <c r="AG1502" s="1324"/>
      <c r="AH1502" s="1324"/>
      <c r="AI1502" s="1324"/>
      <c r="AJ1502" s="344"/>
      <c r="AK1502" s="345"/>
      <c r="AL1502" s="340"/>
      <c r="AM1502" s="392"/>
      <c r="AN1502" s="392"/>
      <c r="AO1502" s="392"/>
      <c r="AP1502" s="392"/>
      <c r="AQ1502" s="392"/>
      <c r="AR1502" s="392"/>
      <c r="AS1502" s="392"/>
      <c r="AT1502" s="392"/>
      <c r="AU1502" s="392"/>
      <c r="AV1502" s="392"/>
      <c r="AW1502" s="392"/>
      <c r="AX1502" s="392"/>
      <c r="AY1502" s="392"/>
      <c r="AZ1502" s="392"/>
      <c r="BA1502" s="392"/>
      <c r="BB1502" s="392"/>
      <c r="BC1502" s="392"/>
      <c r="BD1502" s="392"/>
      <c r="BE1502" s="392"/>
      <c r="BF1502" s="392"/>
      <c r="BG1502" s="1324" t="str">
        <f>Ky_Nay2_E</f>
        <v>Year 2016</v>
      </c>
      <c r="BH1502" s="1324"/>
      <c r="BI1502" s="1324"/>
      <c r="BJ1502" s="1324"/>
      <c r="BK1502" s="1324"/>
      <c r="BL1502" s="1324"/>
      <c r="BM1502" s="681"/>
      <c r="BN1502" s="1324" t="str">
        <f>Ky_Truoc2_E</f>
        <v>Year 2015</v>
      </c>
      <c r="BO1502" s="1324"/>
      <c r="BP1502" s="1324"/>
      <c r="BQ1502" s="1324"/>
      <c r="BR1502" s="1324"/>
      <c r="BS1502" s="1324"/>
      <c r="BT1502" s="352"/>
      <c r="BU1502" s="353"/>
      <c r="BV1502" s="310"/>
      <c r="BW1502" s="310"/>
      <c r="BX1502" s="291">
        <f t="shared" si="106"/>
        <v>0</v>
      </c>
      <c r="BY1502" s="344"/>
      <c r="BZ1502" s="347"/>
      <c r="CA1502" s="347"/>
    </row>
    <row r="1503" spans="1:79" ht="15" customHeight="1" x14ac:dyDescent="0.25">
      <c r="A1503" s="313"/>
      <c r="B1503" s="340"/>
      <c r="C1503" s="392"/>
      <c r="D1503" s="392"/>
      <c r="E1503" s="392"/>
      <c r="F1503" s="392"/>
      <c r="G1503" s="392"/>
      <c r="H1503" s="392"/>
      <c r="I1503" s="392"/>
      <c r="J1503" s="392"/>
      <c r="K1503" s="392"/>
      <c r="L1503" s="392"/>
      <c r="M1503" s="392"/>
      <c r="N1503" s="392"/>
      <c r="O1503" s="392"/>
      <c r="P1503" s="392"/>
      <c r="Q1503" s="392"/>
      <c r="R1503" s="392"/>
      <c r="S1503" s="392"/>
      <c r="T1503" s="392"/>
      <c r="U1503" s="392"/>
      <c r="V1503" s="392"/>
      <c r="W1503" s="1327" t="str">
        <f>Don_Vi_Tinh_V</f>
        <v>VND</v>
      </c>
      <c r="X1503" s="1327"/>
      <c r="Y1503" s="1327"/>
      <c r="Z1503" s="1327"/>
      <c r="AA1503" s="1327"/>
      <c r="AB1503" s="1327"/>
      <c r="AC1503" s="351"/>
      <c r="AD1503" s="1327" t="str">
        <f>Don_Vi_Tinh_V</f>
        <v>VND</v>
      </c>
      <c r="AE1503" s="1327"/>
      <c r="AF1503" s="1327"/>
      <c r="AG1503" s="1327"/>
      <c r="AH1503" s="1327"/>
      <c r="AI1503" s="1327"/>
      <c r="AJ1503" s="344"/>
      <c r="AK1503" s="345"/>
      <c r="AL1503" s="340"/>
      <c r="AM1503" s="392"/>
      <c r="AN1503" s="392"/>
      <c r="AO1503" s="392"/>
      <c r="AP1503" s="392"/>
      <c r="AQ1503" s="392"/>
      <c r="AR1503" s="392"/>
      <c r="AS1503" s="392"/>
      <c r="AT1503" s="392"/>
      <c r="AU1503" s="392"/>
      <c r="AV1503" s="392"/>
      <c r="AW1503" s="392"/>
      <c r="AX1503" s="392"/>
      <c r="AY1503" s="392"/>
      <c r="AZ1503" s="392"/>
      <c r="BA1503" s="392"/>
      <c r="BB1503" s="392"/>
      <c r="BC1503" s="392"/>
      <c r="BD1503" s="392"/>
      <c r="BE1503" s="392"/>
      <c r="BF1503" s="392"/>
      <c r="BG1503" s="1327" t="str">
        <f>Don_Vi_Tinh_V</f>
        <v>VND</v>
      </c>
      <c r="BH1503" s="1327"/>
      <c r="BI1503" s="1327"/>
      <c r="BJ1503" s="1327"/>
      <c r="BK1503" s="1327"/>
      <c r="BL1503" s="1327"/>
      <c r="BM1503" s="351"/>
      <c r="BN1503" s="1327" t="str">
        <f>Don_Vi_Tinh_V</f>
        <v>VND</v>
      </c>
      <c r="BO1503" s="1327"/>
      <c r="BP1503" s="1327"/>
      <c r="BQ1503" s="1327"/>
      <c r="BR1503" s="1327"/>
      <c r="BS1503" s="1327"/>
      <c r="BT1503" s="352"/>
      <c r="BU1503" s="353"/>
      <c r="BV1503" s="310"/>
      <c r="BW1503" s="310"/>
      <c r="BX1503" s="291">
        <f t="shared" si="106"/>
        <v>0</v>
      </c>
      <c r="BY1503" s="344"/>
      <c r="BZ1503" s="347"/>
      <c r="CA1503" s="347"/>
    </row>
    <row r="1504" spans="1:79" ht="14.1" customHeight="1" x14ac:dyDescent="0.25">
      <c r="A1504" s="313"/>
      <c r="B1504" s="340"/>
      <c r="C1504" s="392"/>
      <c r="D1504" s="392"/>
      <c r="E1504" s="392"/>
      <c r="F1504" s="392"/>
      <c r="G1504" s="392"/>
      <c r="H1504" s="392"/>
      <c r="I1504" s="392"/>
      <c r="J1504" s="392"/>
      <c r="K1504" s="392"/>
      <c r="L1504" s="392"/>
      <c r="M1504" s="392"/>
      <c r="N1504" s="392"/>
      <c r="O1504" s="392"/>
      <c r="P1504" s="392"/>
      <c r="Q1504" s="392"/>
      <c r="R1504" s="392"/>
      <c r="S1504" s="392"/>
      <c r="T1504" s="392"/>
      <c r="U1504" s="392"/>
      <c r="V1504" s="392"/>
      <c r="W1504" s="660"/>
      <c r="X1504" s="660"/>
      <c r="Y1504" s="660"/>
      <c r="Z1504" s="660"/>
      <c r="AA1504" s="660"/>
      <c r="AB1504" s="660"/>
      <c r="AC1504" s="437"/>
      <c r="AD1504" s="660"/>
      <c r="AE1504" s="660"/>
      <c r="AF1504" s="660"/>
      <c r="AG1504" s="660"/>
      <c r="AH1504" s="660"/>
      <c r="AI1504" s="660"/>
      <c r="AJ1504" s="344"/>
      <c r="AK1504" s="345"/>
      <c r="AL1504" s="340"/>
      <c r="AM1504" s="392"/>
      <c r="AN1504" s="392"/>
      <c r="AO1504" s="392"/>
      <c r="AP1504" s="392"/>
      <c r="AQ1504" s="392"/>
      <c r="AR1504" s="392"/>
      <c r="AS1504" s="392"/>
      <c r="AT1504" s="392"/>
      <c r="AU1504" s="392"/>
      <c r="AV1504" s="392"/>
      <c r="AW1504" s="392"/>
      <c r="AX1504" s="392"/>
      <c r="AY1504" s="392"/>
      <c r="AZ1504" s="392"/>
      <c r="BA1504" s="392"/>
      <c r="BB1504" s="392"/>
      <c r="BC1504" s="392"/>
      <c r="BD1504" s="392"/>
      <c r="BE1504" s="392"/>
      <c r="BF1504" s="392"/>
      <c r="BG1504" s="660"/>
      <c r="BH1504" s="660"/>
      <c r="BI1504" s="660"/>
      <c r="BJ1504" s="660"/>
      <c r="BK1504" s="660"/>
      <c r="BL1504" s="660"/>
      <c r="BM1504" s="437"/>
      <c r="BN1504" s="660"/>
      <c r="BO1504" s="660"/>
      <c r="BP1504" s="660"/>
      <c r="BQ1504" s="660"/>
      <c r="BR1504" s="660"/>
      <c r="BS1504" s="660"/>
      <c r="BT1504" s="352"/>
      <c r="BU1504" s="353"/>
      <c r="BV1504" s="310"/>
      <c r="BW1504" s="310"/>
      <c r="BX1504" s="291">
        <f t="shared" si="106"/>
        <v>0</v>
      </c>
      <c r="BY1504" s="344"/>
      <c r="BZ1504" s="347"/>
      <c r="CA1504" s="347"/>
    </row>
    <row r="1505" spans="1:84" ht="15" hidden="1" customHeight="1" x14ac:dyDescent="0.25">
      <c r="A1505" s="313"/>
      <c r="B1505" s="340"/>
      <c r="C1505" s="354" t="s">
        <v>1565</v>
      </c>
      <c r="D1505" s="340"/>
      <c r="E1505" s="340"/>
      <c r="F1505" s="340"/>
      <c r="G1505" s="340"/>
      <c r="H1505" s="340"/>
      <c r="I1505" s="340"/>
      <c r="J1505" s="340"/>
      <c r="K1505" s="340"/>
      <c r="L1505" s="340"/>
      <c r="M1505" s="340"/>
      <c r="N1505" s="340"/>
      <c r="O1505" s="340"/>
      <c r="P1505" s="340"/>
      <c r="Q1505" s="340"/>
      <c r="R1505" s="340"/>
      <c r="S1505" s="340"/>
      <c r="T1505" s="340"/>
      <c r="U1505" s="342"/>
      <c r="V1505" s="342"/>
      <c r="W1505" s="1318">
        <f>KN_6321</f>
        <v>0</v>
      </c>
      <c r="X1505" s="1318"/>
      <c r="Y1505" s="1318"/>
      <c r="Z1505" s="1318"/>
      <c r="AA1505" s="1318"/>
      <c r="AB1505" s="1318"/>
      <c r="AC1505" s="355"/>
      <c r="AD1505" s="1318">
        <f>KT_6321</f>
        <v>0</v>
      </c>
      <c r="AE1505" s="1318"/>
      <c r="AF1505" s="1318"/>
      <c r="AG1505" s="1318"/>
      <c r="AH1505" s="1318"/>
      <c r="AI1505" s="1318"/>
      <c r="AJ1505" s="344"/>
      <c r="AK1505" s="345"/>
      <c r="AL1505" s="340"/>
      <c r="AM1505" s="354" t="s">
        <v>1566</v>
      </c>
      <c r="AN1505" s="340"/>
      <c r="AO1505" s="340"/>
      <c r="AP1505" s="340"/>
      <c r="AQ1505" s="340"/>
      <c r="AR1505" s="340"/>
      <c r="AS1505" s="340"/>
      <c r="AT1505" s="340"/>
      <c r="AU1505" s="340"/>
      <c r="AV1505" s="340"/>
      <c r="AW1505" s="340"/>
      <c r="AX1505" s="340"/>
      <c r="AY1505" s="340"/>
      <c r="AZ1505" s="340"/>
      <c r="BA1505" s="340"/>
      <c r="BB1505" s="340"/>
      <c r="BC1505" s="340"/>
      <c r="BD1505" s="340"/>
      <c r="BE1505" s="342"/>
      <c r="BF1505" s="342"/>
      <c r="BG1505" s="1318">
        <f>W1505</f>
        <v>0</v>
      </c>
      <c r="BH1505" s="1318"/>
      <c r="BI1505" s="1318"/>
      <c r="BJ1505" s="1318"/>
      <c r="BK1505" s="1318"/>
      <c r="BL1505" s="1318"/>
      <c r="BM1505" s="355"/>
      <c r="BN1505" s="1318">
        <f>AD1505</f>
        <v>0</v>
      </c>
      <c r="BO1505" s="1318"/>
      <c r="BP1505" s="1318"/>
      <c r="BQ1505" s="1318"/>
      <c r="BR1505" s="1318"/>
      <c r="BS1505" s="1318"/>
      <c r="BT1505" s="356"/>
      <c r="BU1505" s="357"/>
      <c r="BV1505" s="310"/>
      <c r="BW1505" s="310"/>
      <c r="BX1505" s="291">
        <f t="shared" si="106"/>
        <v>0</v>
      </c>
      <c r="BY1505" s="344"/>
      <c r="BZ1505" s="347"/>
      <c r="CA1505" s="347"/>
    </row>
    <row r="1506" spans="1:84" ht="15" customHeight="1" x14ac:dyDescent="0.2">
      <c r="A1506" s="313"/>
      <c r="B1506" s="340"/>
      <c r="C1506" s="342" t="s">
        <v>1567</v>
      </c>
      <c r="D1506" s="342"/>
      <c r="E1506" s="342"/>
      <c r="F1506" s="342"/>
      <c r="G1506" s="342"/>
      <c r="H1506" s="342"/>
      <c r="I1506" s="342"/>
      <c r="J1506" s="342"/>
      <c r="K1506" s="342"/>
      <c r="L1506" s="342"/>
      <c r="M1506" s="342"/>
      <c r="N1506" s="342"/>
      <c r="O1506" s="342"/>
      <c r="P1506" s="342"/>
      <c r="Q1506" s="342"/>
      <c r="R1506" s="342"/>
      <c r="S1506" s="342"/>
      <c r="T1506" s="342"/>
      <c r="U1506" s="342"/>
      <c r="V1506" s="342"/>
      <c r="W1506" s="1318">
        <f>KN_6322</f>
        <v>37721898947</v>
      </c>
      <c r="X1506" s="1318"/>
      <c r="Y1506" s="1318"/>
      <c r="Z1506" s="1318"/>
      <c r="AA1506" s="1318"/>
      <c r="AB1506" s="1318"/>
      <c r="AC1506" s="355"/>
      <c r="AD1506" s="1318">
        <f>KT_6322</f>
        <v>46401108729</v>
      </c>
      <c r="AE1506" s="1318"/>
      <c r="AF1506" s="1318"/>
      <c r="AG1506" s="1318"/>
      <c r="AH1506" s="1318"/>
      <c r="AI1506" s="1318"/>
      <c r="AJ1506" s="344"/>
      <c r="AK1506" s="345"/>
      <c r="AL1506" s="340"/>
      <c r="AM1506" s="715" t="s">
        <v>1568</v>
      </c>
      <c r="AN1506" s="342"/>
      <c r="AO1506" s="342"/>
      <c r="AP1506" s="342"/>
      <c r="AQ1506" s="342"/>
      <c r="AR1506" s="342"/>
      <c r="AS1506" s="342"/>
      <c r="AT1506" s="342"/>
      <c r="AU1506" s="342"/>
      <c r="AV1506" s="342"/>
      <c r="AW1506" s="342"/>
      <c r="AX1506" s="342"/>
      <c r="AY1506" s="342"/>
      <c r="AZ1506" s="342"/>
      <c r="BA1506" s="342"/>
      <c r="BB1506" s="342"/>
      <c r="BC1506" s="342"/>
      <c r="BD1506" s="342"/>
      <c r="BE1506" s="342"/>
      <c r="BF1506" s="342"/>
      <c r="BG1506" s="1318">
        <f t="shared" ref="BG1506:BG1518" si="107">W1506</f>
        <v>37721898947</v>
      </c>
      <c r="BH1506" s="1318"/>
      <c r="BI1506" s="1318"/>
      <c r="BJ1506" s="1318"/>
      <c r="BK1506" s="1318"/>
      <c r="BL1506" s="1318"/>
      <c r="BM1506" s="355"/>
      <c r="BN1506" s="1318">
        <f t="shared" ref="BN1506:BN1518" si="108">AD1506</f>
        <v>46401108729</v>
      </c>
      <c r="BO1506" s="1318"/>
      <c r="BP1506" s="1318"/>
      <c r="BQ1506" s="1318"/>
      <c r="BR1506" s="1318"/>
      <c r="BS1506" s="1318"/>
      <c r="BT1506" s="356"/>
      <c r="BU1506" s="357"/>
      <c r="BV1506" s="310" t="s">
        <v>1569</v>
      </c>
      <c r="BW1506" s="310"/>
      <c r="BX1506" s="291">
        <f t="shared" si="106"/>
        <v>0</v>
      </c>
      <c r="BY1506" s="344"/>
      <c r="BZ1506" s="347"/>
      <c r="CA1506" s="347"/>
    </row>
    <row r="1507" spans="1:84" ht="28.5" hidden="1" customHeight="1" x14ac:dyDescent="0.25">
      <c r="A1507" s="313"/>
      <c r="B1507" s="340"/>
      <c r="C1507" s="1348" t="s">
        <v>1570</v>
      </c>
      <c r="D1507" s="1348"/>
      <c r="E1507" s="1348"/>
      <c r="F1507" s="1348"/>
      <c r="G1507" s="1348"/>
      <c r="H1507" s="1348"/>
      <c r="I1507" s="1348"/>
      <c r="J1507" s="1348"/>
      <c r="K1507" s="1348"/>
      <c r="L1507" s="1348"/>
      <c r="M1507" s="1348"/>
      <c r="N1507" s="1348"/>
      <c r="O1507" s="1348"/>
      <c r="P1507" s="1348"/>
      <c r="Q1507" s="1348"/>
      <c r="R1507" s="1348"/>
      <c r="S1507" s="1348"/>
      <c r="T1507" s="1348"/>
      <c r="U1507" s="1348"/>
      <c r="V1507" s="1348"/>
      <c r="W1507" s="1318">
        <f>SUBTOTAL(109,W1508:AB1510)</f>
        <v>0</v>
      </c>
      <c r="X1507" s="1318"/>
      <c r="Y1507" s="1318"/>
      <c r="Z1507" s="1318"/>
      <c r="AA1507" s="1318"/>
      <c r="AB1507" s="1318"/>
      <c r="AC1507" s="355"/>
      <c r="AD1507" s="1318">
        <f>SUBTOTAL(109,AD1508:AI1510)</f>
        <v>0</v>
      </c>
      <c r="AE1507" s="1318"/>
      <c r="AF1507" s="1318"/>
      <c r="AG1507" s="1318"/>
      <c r="AH1507" s="1318"/>
      <c r="AI1507" s="1318"/>
      <c r="AJ1507" s="344"/>
      <c r="AK1507" s="345"/>
      <c r="AL1507" s="340"/>
      <c r="AM1507" s="342" t="s">
        <v>1571</v>
      </c>
      <c r="AN1507" s="342"/>
      <c r="AO1507" s="342"/>
      <c r="AP1507" s="342"/>
      <c r="AQ1507" s="342"/>
      <c r="AR1507" s="342"/>
      <c r="AS1507" s="342"/>
      <c r="AT1507" s="342"/>
      <c r="AU1507" s="342"/>
      <c r="AV1507" s="342"/>
      <c r="AW1507" s="342"/>
      <c r="AX1507" s="342"/>
      <c r="AY1507" s="342"/>
      <c r="AZ1507" s="342"/>
      <c r="BA1507" s="342"/>
      <c r="BB1507" s="342"/>
      <c r="BC1507" s="342"/>
      <c r="BD1507" s="342"/>
      <c r="BE1507" s="342"/>
      <c r="BF1507" s="342"/>
      <c r="BG1507" s="1318">
        <f>SUBTOTAL(109,BG1508:BL1510)</f>
        <v>0</v>
      </c>
      <c r="BH1507" s="1318"/>
      <c r="BI1507" s="1318"/>
      <c r="BJ1507" s="1318"/>
      <c r="BK1507" s="1318"/>
      <c r="BL1507" s="1318"/>
      <c r="BM1507" s="355"/>
      <c r="BN1507" s="1318">
        <f>SUBTOTAL(109,BN1508:BS1510)</f>
        <v>0</v>
      </c>
      <c r="BO1507" s="1318"/>
      <c r="BP1507" s="1318"/>
      <c r="BQ1507" s="1318"/>
      <c r="BR1507" s="1318"/>
      <c r="BS1507" s="1318"/>
      <c r="BT1507" s="356"/>
      <c r="BU1507" s="357"/>
      <c r="BV1507" s="310"/>
      <c r="BW1507" s="310"/>
      <c r="BX1507" s="291">
        <f t="shared" si="106"/>
        <v>0</v>
      </c>
      <c r="BY1507" s="344"/>
      <c r="BZ1507" s="347"/>
      <c r="CA1507" s="347"/>
    </row>
    <row r="1508" spans="1:84" s="695" customFormat="1" ht="15" hidden="1" customHeight="1" x14ac:dyDescent="0.25">
      <c r="A1508" s="682"/>
      <c r="B1508" s="679"/>
      <c r="C1508" s="667" t="s">
        <v>1572</v>
      </c>
      <c r="D1508" s="429"/>
      <c r="E1508" s="429"/>
      <c r="F1508" s="429"/>
      <c r="G1508" s="429"/>
      <c r="H1508" s="429"/>
      <c r="I1508" s="429"/>
      <c r="J1508" s="429"/>
      <c r="K1508" s="429"/>
      <c r="L1508" s="429"/>
      <c r="M1508" s="429"/>
      <c r="N1508" s="429"/>
      <c r="O1508" s="429"/>
      <c r="P1508" s="429"/>
      <c r="Q1508" s="429"/>
      <c r="R1508" s="429"/>
      <c r="S1508" s="429"/>
      <c r="T1508" s="429"/>
      <c r="U1508" s="429"/>
      <c r="V1508" s="429"/>
      <c r="W1508" s="1369">
        <v>0</v>
      </c>
      <c r="X1508" s="1369"/>
      <c r="Y1508" s="1369"/>
      <c r="Z1508" s="1369"/>
      <c r="AA1508" s="1369"/>
      <c r="AB1508" s="1369"/>
      <c r="AC1508" s="665"/>
      <c r="AD1508" s="1369">
        <v>0</v>
      </c>
      <c r="AE1508" s="1369"/>
      <c r="AF1508" s="1369"/>
      <c r="AG1508" s="1369"/>
      <c r="AH1508" s="1369"/>
      <c r="AI1508" s="1369"/>
      <c r="AJ1508" s="677"/>
      <c r="AK1508" s="678"/>
      <c r="AL1508" s="679"/>
      <c r="AM1508" s="667" t="s">
        <v>1573</v>
      </c>
      <c r="AN1508" s="429"/>
      <c r="AO1508" s="429"/>
      <c r="AP1508" s="429"/>
      <c r="AQ1508" s="429"/>
      <c r="AR1508" s="429"/>
      <c r="AS1508" s="429"/>
      <c r="AT1508" s="429"/>
      <c r="AU1508" s="429"/>
      <c r="AV1508" s="429"/>
      <c r="AW1508" s="429"/>
      <c r="AX1508" s="429"/>
      <c r="AY1508" s="429"/>
      <c r="AZ1508" s="429"/>
      <c r="BA1508" s="429"/>
      <c r="BB1508" s="429"/>
      <c r="BC1508" s="429"/>
      <c r="BD1508" s="429"/>
      <c r="BE1508" s="429"/>
      <c r="BF1508" s="429"/>
      <c r="BG1508" s="1369">
        <f t="shared" si="107"/>
        <v>0</v>
      </c>
      <c r="BH1508" s="1369"/>
      <c r="BI1508" s="1369"/>
      <c r="BJ1508" s="1369"/>
      <c r="BK1508" s="1369"/>
      <c r="BL1508" s="1369"/>
      <c r="BM1508" s="665"/>
      <c r="BN1508" s="1369">
        <f t="shared" si="108"/>
        <v>0</v>
      </c>
      <c r="BO1508" s="1369"/>
      <c r="BP1508" s="1369"/>
      <c r="BQ1508" s="1369"/>
      <c r="BR1508" s="1369"/>
      <c r="BS1508" s="1369"/>
      <c r="BT1508" s="713"/>
      <c r="BU1508" s="707"/>
      <c r="BV1508" s="310"/>
      <c r="BW1508" s="310"/>
      <c r="BX1508" s="692">
        <f t="shared" si="106"/>
        <v>0</v>
      </c>
      <c r="BY1508" s="677"/>
      <c r="BZ1508" s="693"/>
      <c r="CA1508" s="693"/>
      <c r="CB1508" s="694"/>
      <c r="CC1508" s="694"/>
      <c r="CD1508" s="694"/>
      <c r="CE1508" s="694"/>
      <c r="CF1508" s="694"/>
    </row>
    <row r="1509" spans="1:84" s="695" customFormat="1" ht="15" hidden="1" customHeight="1" x14ac:dyDescent="0.25">
      <c r="A1509" s="682"/>
      <c r="B1509" s="679"/>
      <c r="C1509" s="667" t="s">
        <v>1574</v>
      </c>
      <c r="D1509" s="429"/>
      <c r="E1509" s="429"/>
      <c r="F1509" s="429"/>
      <c r="G1509" s="429"/>
      <c r="H1509" s="429"/>
      <c r="I1509" s="429"/>
      <c r="J1509" s="429"/>
      <c r="K1509" s="429"/>
      <c r="L1509" s="429"/>
      <c r="M1509" s="429"/>
      <c r="N1509" s="429"/>
      <c r="O1509" s="429"/>
      <c r="P1509" s="429"/>
      <c r="Q1509" s="429"/>
      <c r="R1509" s="429"/>
      <c r="S1509" s="429"/>
      <c r="T1509" s="429"/>
      <c r="U1509" s="429"/>
      <c r="V1509" s="429"/>
      <c r="W1509" s="1369">
        <v>0</v>
      </c>
      <c r="X1509" s="1369"/>
      <c r="Y1509" s="1369"/>
      <c r="Z1509" s="1369"/>
      <c r="AA1509" s="1369"/>
      <c r="AB1509" s="1369"/>
      <c r="AC1509" s="665"/>
      <c r="AD1509" s="1369">
        <v>0</v>
      </c>
      <c r="AE1509" s="1369"/>
      <c r="AF1509" s="1369"/>
      <c r="AG1509" s="1369"/>
      <c r="AH1509" s="1369"/>
      <c r="AI1509" s="1369"/>
      <c r="AJ1509" s="677"/>
      <c r="AK1509" s="678"/>
      <c r="AL1509" s="679"/>
      <c r="AM1509" s="667" t="s">
        <v>1575</v>
      </c>
      <c r="AN1509" s="429"/>
      <c r="AO1509" s="429"/>
      <c r="AP1509" s="429"/>
      <c r="AQ1509" s="429"/>
      <c r="AR1509" s="429"/>
      <c r="AS1509" s="429"/>
      <c r="AT1509" s="429"/>
      <c r="AU1509" s="429"/>
      <c r="AV1509" s="429"/>
      <c r="AW1509" s="429"/>
      <c r="AX1509" s="429"/>
      <c r="AY1509" s="429"/>
      <c r="AZ1509" s="429"/>
      <c r="BA1509" s="429"/>
      <c r="BB1509" s="429"/>
      <c r="BC1509" s="429"/>
      <c r="BD1509" s="429"/>
      <c r="BE1509" s="429"/>
      <c r="BF1509" s="429"/>
      <c r="BG1509" s="1369">
        <f t="shared" si="107"/>
        <v>0</v>
      </c>
      <c r="BH1509" s="1369"/>
      <c r="BI1509" s="1369"/>
      <c r="BJ1509" s="1369"/>
      <c r="BK1509" s="1369"/>
      <c r="BL1509" s="1369"/>
      <c r="BM1509" s="665"/>
      <c r="BN1509" s="1369">
        <f t="shared" si="108"/>
        <v>0</v>
      </c>
      <c r="BO1509" s="1369"/>
      <c r="BP1509" s="1369"/>
      <c r="BQ1509" s="1369"/>
      <c r="BR1509" s="1369"/>
      <c r="BS1509" s="1369"/>
      <c r="BT1509" s="713"/>
      <c r="BU1509" s="707"/>
      <c r="BV1509" s="310"/>
      <c r="BW1509" s="310"/>
      <c r="BX1509" s="692">
        <f t="shared" si="106"/>
        <v>0</v>
      </c>
      <c r="BY1509" s="677"/>
      <c r="BZ1509" s="693"/>
      <c r="CA1509" s="693"/>
      <c r="CB1509" s="694"/>
      <c r="CC1509" s="694"/>
      <c r="CD1509" s="694"/>
      <c r="CE1509" s="694"/>
      <c r="CF1509" s="694"/>
    </row>
    <row r="1510" spans="1:84" s="695" customFormat="1" ht="15" hidden="1" customHeight="1" x14ac:dyDescent="0.25">
      <c r="A1510" s="682"/>
      <c r="B1510" s="679"/>
      <c r="C1510" s="667" t="s">
        <v>1576</v>
      </c>
      <c r="D1510" s="429"/>
      <c r="E1510" s="429"/>
      <c r="F1510" s="429"/>
      <c r="G1510" s="429"/>
      <c r="H1510" s="429"/>
      <c r="I1510" s="429"/>
      <c r="J1510" s="429"/>
      <c r="K1510" s="429"/>
      <c r="L1510" s="429"/>
      <c r="M1510" s="429"/>
      <c r="N1510" s="429"/>
      <c r="O1510" s="429"/>
      <c r="P1510" s="429"/>
      <c r="Q1510" s="429"/>
      <c r="R1510" s="429"/>
      <c r="S1510" s="429"/>
      <c r="T1510" s="429"/>
      <c r="U1510" s="429"/>
      <c r="V1510" s="429"/>
      <c r="W1510" s="1369">
        <v>0</v>
      </c>
      <c r="X1510" s="1369"/>
      <c r="Y1510" s="1369"/>
      <c r="Z1510" s="1369"/>
      <c r="AA1510" s="1369"/>
      <c r="AB1510" s="1369"/>
      <c r="AC1510" s="665"/>
      <c r="AD1510" s="1369">
        <v>0</v>
      </c>
      <c r="AE1510" s="1369"/>
      <c r="AF1510" s="1369"/>
      <c r="AG1510" s="1369"/>
      <c r="AH1510" s="1369"/>
      <c r="AI1510" s="1369"/>
      <c r="AJ1510" s="677"/>
      <c r="AK1510" s="678"/>
      <c r="AL1510" s="679"/>
      <c r="AM1510" s="667" t="s">
        <v>1577</v>
      </c>
      <c r="AN1510" s="429"/>
      <c r="AO1510" s="429"/>
      <c r="AP1510" s="429"/>
      <c r="AQ1510" s="429"/>
      <c r="AR1510" s="429"/>
      <c r="AS1510" s="429"/>
      <c r="AT1510" s="429"/>
      <c r="AU1510" s="429"/>
      <c r="AV1510" s="429"/>
      <c r="AW1510" s="429"/>
      <c r="AX1510" s="429"/>
      <c r="AY1510" s="429"/>
      <c r="AZ1510" s="429"/>
      <c r="BA1510" s="429"/>
      <c r="BB1510" s="429"/>
      <c r="BC1510" s="429"/>
      <c r="BD1510" s="429"/>
      <c r="BE1510" s="429"/>
      <c r="BF1510" s="429"/>
      <c r="BG1510" s="1369">
        <f t="shared" si="107"/>
        <v>0</v>
      </c>
      <c r="BH1510" s="1369"/>
      <c r="BI1510" s="1369"/>
      <c r="BJ1510" s="1369"/>
      <c r="BK1510" s="1369"/>
      <c r="BL1510" s="1369"/>
      <c r="BM1510" s="665"/>
      <c r="BN1510" s="1369">
        <f t="shared" si="108"/>
        <v>0</v>
      </c>
      <c r="BO1510" s="1369"/>
      <c r="BP1510" s="1369"/>
      <c r="BQ1510" s="1369"/>
      <c r="BR1510" s="1369"/>
      <c r="BS1510" s="1369"/>
      <c r="BT1510" s="713"/>
      <c r="BU1510" s="707"/>
      <c r="BV1510" s="310"/>
      <c r="BW1510" s="310"/>
      <c r="BX1510" s="692">
        <f t="shared" si="106"/>
        <v>0</v>
      </c>
      <c r="BY1510" s="677"/>
      <c r="BZ1510" s="693"/>
      <c r="CA1510" s="693"/>
      <c r="CB1510" s="694"/>
      <c r="CC1510" s="694"/>
      <c r="CD1510" s="694"/>
      <c r="CE1510" s="694"/>
      <c r="CF1510" s="694"/>
    </row>
    <row r="1511" spans="1:84" ht="15" hidden="1" customHeight="1" x14ac:dyDescent="0.25">
      <c r="A1511" s="313"/>
      <c r="B1511" s="340"/>
      <c r="C1511" s="342" t="s">
        <v>1578</v>
      </c>
      <c r="D1511" s="342"/>
      <c r="E1511" s="342"/>
      <c r="F1511" s="342"/>
      <c r="G1511" s="342"/>
      <c r="H1511" s="342"/>
      <c r="I1511" s="342"/>
      <c r="J1511" s="342"/>
      <c r="K1511" s="342"/>
      <c r="L1511" s="342"/>
      <c r="M1511" s="342"/>
      <c r="N1511" s="342"/>
      <c r="O1511" s="342"/>
      <c r="P1511" s="342"/>
      <c r="Q1511" s="342"/>
      <c r="R1511" s="342"/>
      <c r="S1511" s="342"/>
      <c r="T1511" s="342"/>
      <c r="U1511" s="342"/>
      <c r="V1511" s="342"/>
      <c r="W1511" s="1318">
        <f>KN_6323</f>
        <v>0</v>
      </c>
      <c r="X1511" s="1318"/>
      <c r="Y1511" s="1318"/>
      <c r="Z1511" s="1318"/>
      <c r="AA1511" s="1318"/>
      <c r="AB1511" s="1318"/>
      <c r="AC1511" s="355"/>
      <c r="AD1511" s="1318">
        <f>KT_6323</f>
        <v>0</v>
      </c>
      <c r="AE1511" s="1318"/>
      <c r="AF1511" s="1318"/>
      <c r="AG1511" s="1318"/>
      <c r="AH1511" s="1318"/>
      <c r="AI1511" s="1318"/>
      <c r="AJ1511" s="344"/>
      <c r="AK1511" s="345"/>
      <c r="AL1511" s="340"/>
      <c r="AM1511" s="342" t="s">
        <v>1579</v>
      </c>
      <c r="AN1511" s="342"/>
      <c r="AO1511" s="342"/>
      <c r="AP1511" s="342"/>
      <c r="AQ1511" s="342"/>
      <c r="AR1511" s="342"/>
      <c r="AS1511" s="342"/>
      <c r="AT1511" s="342"/>
      <c r="AU1511" s="342"/>
      <c r="AV1511" s="342"/>
      <c r="AW1511" s="342"/>
      <c r="AX1511" s="342"/>
      <c r="AY1511" s="342"/>
      <c r="AZ1511" s="342"/>
      <c r="BA1511" s="342"/>
      <c r="BB1511" s="342"/>
      <c r="BC1511" s="342"/>
      <c r="BD1511" s="342"/>
      <c r="BE1511" s="342"/>
      <c r="BF1511" s="342"/>
      <c r="BG1511" s="1318">
        <f t="shared" si="107"/>
        <v>0</v>
      </c>
      <c r="BH1511" s="1318"/>
      <c r="BI1511" s="1318"/>
      <c r="BJ1511" s="1318"/>
      <c r="BK1511" s="1318"/>
      <c r="BL1511" s="1318"/>
      <c r="BM1511" s="355"/>
      <c r="BN1511" s="1318">
        <f t="shared" si="108"/>
        <v>0</v>
      </c>
      <c r="BO1511" s="1318"/>
      <c r="BP1511" s="1318"/>
      <c r="BQ1511" s="1318"/>
      <c r="BR1511" s="1318"/>
      <c r="BS1511" s="1318"/>
      <c r="BT1511" s="356"/>
      <c r="BU1511" s="357"/>
      <c r="BV1511" s="310"/>
      <c r="BW1511" s="310"/>
      <c r="BX1511" s="291">
        <f t="shared" si="106"/>
        <v>0</v>
      </c>
      <c r="BY1511" s="344"/>
      <c r="BZ1511" s="347"/>
      <c r="CA1511" s="347"/>
    </row>
    <row r="1512" spans="1:84" ht="15" hidden="1" customHeight="1" x14ac:dyDescent="0.25">
      <c r="A1512" s="313"/>
      <c r="B1512" s="340"/>
      <c r="C1512" s="342" t="s">
        <v>1580</v>
      </c>
      <c r="D1512" s="342"/>
      <c r="E1512" s="342"/>
      <c r="F1512" s="342"/>
      <c r="G1512" s="342"/>
      <c r="H1512" s="342"/>
      <c r="I1512" s="342"/>
      <c r="J1512" s="342"/>
      <c r="K1512" s="342"/>
      <c r="L1512" s="342"/>
      <c r="M1512" s="342"/>
      <c r="N1512" s="342"/>
      <c r="O1512" s="342"/>
      <c r="P1512" s="342"/>
      <c r="Q1512" s="342"/>
      <c r="R1512" s="342"/>
      <c r="S1512" s="342"/>
      <c r="T1512" s="342"/>
      <c r="U1512" s="342"/>
      <c r="V1512" s="342"/>
      <c r="W1512" s="1318">
        <f>KN_6324</f>
        <v>0</v>
      </c>
      <c r="X1512" s="1318"/>
      <c r="Y1512" s="1318"/>
      <c r="Z1512" s="1318"/>
      <c r="AA1512" s="1318"/>
      <c r="AB1512" s="1318"/>
      <c r="AC1512" s="355"/>
      <c r="AD1512" s="1318">
        <f>KT_6324</f>
        <v>0</v>
      </c>
      <c r="AE1512" s="1318"/>
      <c r="AF1512" s="1318"/>
      <c r="AG1512" s="1318"/>
      <c r="AH1512" s="1318"/>
      <c r="AI1512" s="1318"/>
      <c r="AJ1512" s="344"/>
      <c r="AK1512" s="345"/>
      <c r="AL1512" s="340"/>
      <c r="AM1512" s="1348" t="s">
        <v>1581</v>
      </c>
      <c r="AN1512" s="1348"/>
      <c r="AO1512" s="1348"/>
      <c r="AP1512" s="1348"/>
      <c r="AQ1512" s="1348"/>
      <c r="AR1512" s="1348"/>
      <c r="AS1512" s="1348"/>
      <c r="AT1512" s="1348"/>
      <c r="AU1512" s="1348"/>
      <c r="AV1512" s="1348"/>
      <c r="AW1512" s="1348"/>
      <c r="AX1512" s="1348"/>
      <c r="AY1512" s="1348"/>
      <c r="AZ1512" s="1348"/>
      <c r="BA1512" s="1348"/>
      <c r="BB1512" s="1348"/>
      <c r="BC1512" s="1348"/>
      <c r="BD1512" s="1348"/>
      <c r="BE1512" s="1348"/>
      <c r="BF1512" s="342"/>
      <c r="BG1512" s="1318">
        <f t="shared" si="107"/>
        <v>0</v>
      </c>
      <c r="BH1512" s="1318"/>
      <c r="BI1512" s="1318"/>
      <c r="BJ1512" s="1318"/>
      <c r="BK1512" s="1318"/>
      <c r="BL1512" s="1318"/>
      <c r="BM1512" s="355"/>
      <c r="BN1512" s="1318">
        <f t="shared" si="108"/>
        <v>0</v>
      </c>
      <c r="BO1512" s="1318"/>
      <c r="BP1512" s="1318"/>
      <c r="BQ1512" s="1318"/>
      <c r="BR1512" s="1318"/>
      <c r="BS1512" s="1318"/>
      <c r="BT1512" s="356"/>
      <c r="BU1512" s="357"/>
      <c r="BV1512" s="310"/>
      <c r="BW1512" s="310"/>
      <c r="BX1512" s="291">
        <f t="shared" si="106"/>
        <v>0</v>
      </c>
      <c r="BY1512" s="344"/>
      <c r="BZ1512" s="347"/>
      <c r="CA1512" s="347"/>
    </row>
    <row r="1513" spans="1:84" ht="15" hidden="1" customHeight="1" x14ac:dyDescent="0.25">
      <c r="A1513" s="313"/>
      <c r="B1513" s="340"/>
      <c r="C1513" s="342" t="s">
        <v>1582</v>
      </c>
      <c r="D1513" s="342"/>
      <c r="E1513" s="342"/>
      <c r="F1513" s="342"/>
      <c r="G1513" s="342"/>
      <c r="H1513" s="342"/>
      <c r="I1513" s="342"/>
      <c r="J1513" s="342"/>
      <c r="K1513" s="342"/>
      <c r="L1513" s="342"/>
      <c r="M1513" s="342"/>
      <c r="N1513" s="342"/>
      <c r="O1513" s="342"/>
      <c r="P1513" s="342"/>
      <c r="Q1513" s="342"/>
      <c r="R1513" s="342"/>
      <c r="S1513" s="342"/>
      <c r="T1513" s="342"/>
      <c r="U1513" s="342"/>
      <c r="V1513" s="342"/>
      <c r="W1513" s="1318">
        <f>KN_6325</f>
        <v>0</v>
      </c>
      <c r="X1513" s="1318"/>
      <c r="Y1513" s="1318"/>
      <c r="Z1513" s="1318"/>
      <c r="AA1513" s="1318"/>
      <c r="AB1513" s="1318"/>
      <c r="AC1513" s="355"/>
      <c r="AD1513" s="1318">
        <f>KT_6325</f>
        <v>0</v>
      </c>
      <c r="AE1513" s="1318"/>
      <c r="AF1513" s="1318"/>
      <c r="AG1513" s="1318"/>
      <c r="AH1513" s="1318"/>
      <c r="AI1513" s="1318"/>
      <c r="AJ1513" s="344"/>
      <c r="AK1513" s="345"/>
      <c r="AL1513" s="340"/>
      <c r="AM1513" s="342" t="s">
        <v>1583</v>
      </c>
      <c r="AN1513" s="342"/>
      <c r="AO1513" s="342"/>
      <c r="AP1513" s="342"/>
      <c r="AQ1513" s="342"/>
      <c r="AR1513" s="342"/>
      <c r="AS1513" s="342"/>
      <c r="AT1513" s="342"/>
      <c r="AU1513" s="342"/>
      <c r="AV1513" s="342"/>
      <c r="AW1513" s="342"/>
      <c r="AX1513" s="342"/>
      <c r="AY1513" s="342"/>
      <c r="AZ1513" s="342"/>
      <c r="BA1513" s="342"/>
      <c r="BB1513" s="342"/>
      <c r="BC1513" s="342"/>
      <c r="BD1513" s="342"/>
      <c r="BE1513" s="342"/>
      <c r="BF1513" s="342"/>
      <c r="BG1513" s="1318">
        <f t="shared" si="107"/>
        <v>0</v>
      </c>
      <c r="BH1513" s="1318"/>
      <c r="BI1513" s="1318"/>
      <c r="BJ1513" s="1318"/>
      <c r="BK1513" s="1318"/>
      <c r="BL1513" s="1318"/>
      <c r="BM1513" s="355"/>
      <c r="BN1513" s="1318">
        <f t="shared" si="108"/>
        <v>0</v>
      </c>
      <c r="BO1513" s="1318"/>
      <c r="BP1513" s="1318"/>
      <c r="BQ1513" s="1318"/>
      <c r="BR1513" s="1318"/>
      <c r="BS1513" s="1318"/>
      <c r="BT1513" s="359"/>
      <c r="BU1513" s="346"/>
      <c r="BV1513" s="310"/>
      <c r="BW1513" s="310"/>
      <c r="BX1513" s="291">
        <f t="shared" si="106"/>
        <v>0</v>
      </c>
      <c r="BY1513" s="344"/>
      <c r="BZ1513" s="347"/>
      <c r="CA1513" s="347"/>
    </row>
    <row r="1514" spans="1:84" ht="15" hidden="1" customHeight="1" x14ac:dyDescent="0.25">
      <c r="A1514" s="313"/>
      <c r="B1514" s="340"/>
      <c r="C1514" s="342" t="s">
        <v>1584</v>
      </c>
      <c r="D1514" s="342"/>
      <c r="E1514" s="342"/>
      <c r="F1514" s="342"/>
      <c r="G1514" s="342"/>
      <c r="H1514" s="342"/>
      <c r="I1514" s="342"/>
      <c r="J1514" s="342"/>
      <c r="K1514" s="342"/>
      <c r="L1514" s="342"/>
      <c r="M1514" s="342"/>
      <c r="N1514" s="342"/>
      <c r="O1514" s="342"/>
      <c r="P1514" s="342"/>
      <c r="Q1514" s="342"/>
      <c r="R1514" s="342"/>
      <c r="S1514" s="342"/>
      <c r="T1514" s="342"/>
      <c r="U1514" s="342"/>
      <c r="V1514" s="342"/>
      <c r="W1514" s="1318">
        <f>KN_6326</f>
        <v>0</v>
      </c>
      <c r="X1514" s="1318"/>
      <c r="Y1514" s="1318"/>
      <c r="Z1514" s="1318"/>
      <c r="AA1514" s="1318"/>
      <c r="AB1514" s="1318"/>
      <c r="AC1514" s="355"/>
      <c r="AD1514" s="1318">
        <f>KT_6326</f>
        <v>0</v>
      </c>
      <c r="AE1514" s="1318"/>
      <c r="AF1514" s="1318"/>
      <c r="AG1514" s="1318"/>
      <c r="AH1514" s="1318"/>
      <c r="AI1514" s="1318"/>
      <c r="AJ1514" s="344"/>
      <c r="AK1514" s="345"/>
      <c r="AL1514" s="340"/>
      <c r="AM1514" s="342" t="s">
        <v>1585</v>
      </c>
      <c r="AN1514" s="342"/>
      <c r="AO1514" s="342"/>
      <c r="AP1514" s="342"/>
      <c r="AQ1514" s="342"/>
      <c r="AR1514" s="342"/>
      <c r="AS1514" s="342"/>
      <c r="AT1514" s="342"/>
      <c r="AU1514" s="342"/>
      <c r="AV1514" s="342"/>
      <c r="AW1514" s="342"/>
      <c r="AX1514" s="342"/>
      <c r="AY1514" s="342"/>
      <c r="AZ1514" s="342"/>
      <c r="BA1514" s="342"/>
      <c r="BB1514" s="342"/>
      <c r="BC1514" s="342"/>
      <c r="BD1514" s="342"/>
      <c r="BE1514" s="342"/>
      <c r="BF1514" s="342"/>
      <c r="BG1514" s="1318">
        <f t="shared" si="107"/>
        <v>0</v>
      </c>
      <c r="BH1514" s="1318"/>
      <c r="BI1514" s="1318"/>
      <c r="BJ1514" s="1318"/>
      <c r="BK1514" s="1318"/>
      <c r="BL1514" s="1318"/>
      <c r="BM1514" s="355"/>
      <c r="BN1514" s="1318">
        <f t="shared" si="108"/>
        <v>0</v>
      </c>
      <c r="BO1514" s="1318"/>
      <c r="BP1514" s="1318"/>
      <c r="BQ1514" s="1318"/>
      <c r="BR1514" s="1318"/>
      <c r="BS1514" s="1318"/>
      <c r="BT1514" s="359"/>
      <c r="BU1514" s="346"/>
      <c r="BV1514" s="310"/>
      <c r="BW1514" s="310"/>
      <c r="BX1514" s="291">
        <f t="shared" si="106"/>
        <v>0</v>
      </c>
      <c r="BY1514" s="344"/>
      <c r="BZ1514" s="347"/>
      <c r="CA1514" s="347"/>
    </row>
    <row r="1515" spans="1:84" ht="15" hidden="1" customHeight="1" x14ac:dyDescent="0.25">
      <c r="A1515" s="313"/>
      <c r="B1515" s="340"/>
      <c r="C1515" s="342" t="s">
        <v>1586</v>
      </c>
      <c r="D1515" s="342"/>
      <c r="E1515" s="342"/>
      <c r="F1515" s="342"/>
      <c r="G1515" s="342"/>
      <c r="H1515" s="342"/>
      <c r="I1515" s="342"/>
      <c r="J1515" s="342"/>
      <c r="K1515" s="342"/>
      <c r="L1515" s="342"/>
      <c r="M1515" s="342"/>
      <c r="N1515" s="342"/>
      <c r="O1515" s="342"/>
      <c r="P1515" s="342"/>
      <c r="Q1515" s="342"/>
      <c r="R1515" s="342"/>
      <c r="S1515" s="342"/>
      <c r="T1515" s="342"/>
      <c r="U1515" s="342"/>
      <c r="V1515" s="342"/>
      <c r="W1515" s="1318">
        <f>KN_6327</f>
        <v>0</v>
      </c>
      <c r="X1515" s="1318"/>
      <c r="Y1515" s="1318"/>
      <c r="Z1515" s="1318"/>
      <c r="AA1515" s="1318"/>
      <c r="AB1515" s="1318"/>
      <c r="AC1515" s="355"/>
      <c r="AD1515" s="1318">
        <f>KT_6327</f>
        <v>0</v>
      </c>
      <c r="AE1515" s="1318"/>
      <c r="AF1515" s="1318"/>
      <c r="AG1515" s="1318"/>
      <c r="AH1515" s="1318"/>
      <c r="AI1515" s="1318"/>
      <c r="AJ1515" s="344"/>
      <c r="AK1515" s="345"/>
      <c r="AL1515" s="340"/>
      <c r="AM1515" s="346" t="s">
        <v>1587</v>
      </c>
      <c r="AN1515" s="346"/>
      <c r="AO1515" s="346"/>
      <c r="AP1515" s="346"/>
      <c r="AQ1515" s="346"/>
      <c r="AR1515" s="346"/>
      <c r="AS1515" s="346"/>
      <c r="AT1515" s="346"/>
      <c r="AU1515" s="346"/>
      <c r="AV1515" s="346"/>
      <c r="AW1515" s="346"/>
      <c r="AX1515" s="346"/>
      <c r="AY1515" s="346"/>
      <c r="AZ1515" s="346"/>
      <c r="BA1515" s="346"/>
      <c r="BB1515" s="346"/>
      <c r="BC1515" s="346"/>
      <c r="BD1515" s="346"/>
      <c r="BE1515" s="346"/>
      <c r="BF1515" s="342"/>
      <c r="BG1515" s="1318">
        <f t="shared" si="107"/>
        <v>0</v>
      </c>
      <c r="BH1515" s="1318"/>
      <c r="BI1515" s="1318"/>
      <c r="BJ1515" s="1318"/>
      <c r="BK1515" s="1318"/>
      <c r="BL1515" s="1318"/>
      <c r="BM1515" s="355"/>
      <c r="BN1515" s="1318">
        <f t="shared" si="108"/>
        <v>0</v>
      </c>
      <c r="BO1515" s="1318"/>
      <c r="BP1515" s="1318"/>
      <c r="BQ1515" s="1318"/>
      <c r="BR1515" s="1318"/>
      <c r="BS1515" s="1318"/>
      <c r="BT1515" s="359"/>
      <c r="BU1515" s="346"/>
      <c r="BV1515" s="310"/>
      <c r="BW1515" s="310"/>
      <c r="BX1515" s="291">
        <f t="shared" si="106"/>
        <v>0</v>
      </c>
      <c r="BY1515" s="344"/>
      <c r="BZ1515" s="347"/>
      <c r="CA1515" s="347"/>
    </row>
    <row r="1516" spans="1:84" ht="27.95" hidden="1" customHeight="1" x14ac:dyDescent="0.25">
      <c r="A1516" s="313"/>
      <c r="B1516" s="340"/>
      <c r="C1516" s="1348" t="s">
        <v>1588</v>
      </c>
      <c r="D1516" s="1348"/>
      <c r="E1516" s="1348"/>
      <c r="F1516" s="1348"/>
      <c r="G1516" s="1348"/>
      <c r="H1516" s="1348"/>
      <c r="I1516" s="1348"/>
      <c r="J1516" s="1348"/>
      <c r="K1516" s="1348"/>
      <c r="L1516" s="1348"/>
      <c r="M1516" s="1348"/>
      <c r="N1516" s="1348"/>
      <c r="O1516" s="1348"/>
      <c r="P1516" s="1348"/>
      <c r="Q1516" s="1348"/>
      <c r="R1516" s="1348"/>
      <c r="S1516" s="1348"/>
      <c r="T1516" s="1348"/>
      <c r="U1516" s="1348"/>
      <c r="V1516" s="342"/>
      <c r="W1516" s="1318">
        <f>KN_6328</f>
        <v>0</v>
      </c>
      <c r="X1516" s="1318"/>
      <c r="Y1516" s="1318"/>
      <c r="Z1516" s="1318"/>
      <c r="AA1516" s="1318"/>
      <c r="AB1516" s="1318"/>
      <c r="AC1516" s="355"/>
      <c r="AD1516" s="1318">
        <f>KT_6328</f>
        <v>0</v>
      </c>
      <c r="AE1516" s="1318"/>
      <c r="AF1516" s="1318"/>
      <c r="AG1516" s="1318"/>
      <c r="AH1516" s="1318"/>
      <c r="AI1516" s="1318"/>
      <c r="AJ1516" s="344"/>
      <c r="AK1516" s="345"/>
      <c r="AL1516" s="340"/>
      <c r="AM1516" s="1348" t="s">
        <v>1589</v>
      </c>
      <c r="AN1516" s="1348"/>
      <c r="AO1516" s="1348"/>
      <c r="AP1516" s="1348"/>
      <c r="AQ1516" s="1348"/>
      <c r="AR1516" s="1348"/>
      <c r="AS1516" s="1348"/>
      <c r="AT1516" s="1348"/>
      <c r="AU1516" s="1348"/>
      <c r="AV1516" s="1348"/>
      <c r="AW1516" s="1348"/>
      <c r="AX1516" s="1348"/>
      <c r="AY1516" s="1348"/>
      <c r="AZ1516" s="1348"/>
      <c r="BA1516" s="1348"/>
      <c r="BB1516" s="1348"/>
      <c r="BC1516" s="1348"/>
      <c r="BD1516" s="1348"/>
      <c r="BE1516" s="1348"/>
      <c r="BF1516" s="342"/>
      <c r="BG1516" s="1318">
        <f t="shared" si="107"/>
        <v>0</v>
      </c>
      <c r="BH1516" s="1318"/>
      <c r="BI1516" s="1318"/>
      <c r="BJ1516" s="1318"/>
      <c r="BK1516" s="1318"/>
      <c r="BL1516" s="1318"/>
      <c r="BM1516" s="355"/>
      <c r="BN1516" s="1318">
        <f t="shared" si="108"/>
        <v>0</v>
      </c>
      <c r="BO1516" s="1318"/>
      <c r="BP1516" s="1318"/>
      <c r="BQ1516" s="1318"/>
      <c r="BR1516" s="1318"/>
      <c r="BS1516" s="1318"/>
      <c r="BT1516" s="356"/>
      <c r="BU1516" s="357"/>
      <c r="BV1516" s="310"/>
      <c r="BW1516" s="310"/>
      <c r="BX1516" s="291">
        <f t="shared" si="106"/>
        <v>0</v>
      </c>
      <c r="BY1516" s="344"/>
      <c r="BZ1516" s="347"/>
      <c r="CA1516" s="347"/>
    </row>
    <row r="1517" spans="1:84" ht="15" customHeight="1" x14ac:dyDescent="0.25">
      <c r="A1517" s="313"/>
      <c r="B1517" s="340"/>
      <c r="C1517" s="342" t="s">
        <v>1590</v>
      </c>
      <c r="D1517" s="342"/>
      <c r="E1517" s="342"/>
      <c r="F1517" s="342"/>
      <c r="G1517" s="342"/>
      <c r="H1517" s="342"/>
      <c r="I1517" s="342"/>
      <c r="J1517" s="342"/>
      <c r="K1517" s="342"/>
      <c r="L1517" s="342"/>
      <c r="M1517" s="342"/>
      <c r="N1517" s="342"/>
      <c r="O1517" s="342"/>
      <c r="P1517" s="342"/>
      <c r="Q1517" s="342"/>
      <c r="R1517" s="342"/>
      <c r="S1517" s="342"/>
      <c r="T1517" s="342"/>
      <c r="U1517" s="342"/>
      <c r="V1517" s="342"/>
      <c r="W1517" s="1318">
        <f>KN_6329</f>
        <v>2723011301</v>
      </c>
      <c r="X1517" s="1318"/>
      <c r="Y1517" s="1318"/>
      <c r="Z1517" s="1318"/>
      <c r="AA1517" s="1318"/>
      <c r="AB1517" s="1318"/>
      <c r="AC1517" s="355"/>
      <c r="AD1517" s="1318">
        <f>KT_6329</f>
        <v>2019041069</v>
      </c>
      <c r="AE1517" s="1318"/>
      <c r="AF1517" s="1318"/>
      <c r="AG1517" s="1318"/>
      <c r="AH1517" s="1318"/>
      <c r="AI1517" s="1318"/>
      <c r="AJ1517" s="344"/>
      <c r="AK1517" s="345"/>
      <c r="AL1517" s="340"/>
      <c r="AM1517" s="342" t="s">
        <v>1591</v>
      </c>
      <c r="AN1517" s="342"/>
      <c r="AO1517" s="342"/>
      <c r="AP1517" s="342"/>
      <c r="AQ1517" s="342"/>
      <c r="AR1517" s="342"/>
      <c r="AS1517" s="342"/>
      <c r="AT1517" s="342"/>
      <c r="AU1517" s="342"/>
      <c r="AV1517" s="342"/>
      <c r="AW1517" s="342"/>
      <c r="AX1517" s="342"/>
      <c r="AY1517" s="342"/>
      <c r="AZ1517" s="342"/>
      <c r="BA1517" s="342"/>
      <c r="BB1517" s="342"/>
      <c r="BC1517" s="342"/>
      <c r="BD1517" s="342"/>
      <c r="BE1517" s="342"/>
      <c r="BF1517" s="342"/>
      <c r="BG1517" s="1318">
        <f t="shared" si="107"/>
        <v>2723011301</v>
      </c>
      <c r="BH1517" s="1318"/>
      <c r="BI1517" s="1318"/>
      <c r="BJ1517" s="1318"/>
      <c r="BK1517" s="1318"/>
      <c r="BL1517" s="1318"/>
      <c r="BM1517" s="355"/>
      <c r="BN1517" s="1318">
        <f t="shared" si="108"/>
        <v>2019041069</v>
      </c>
      <c r="BO1517" s="1318"/>
      <c r="BP1517" s="1318"/>
      <c r="BQ1517" s="1318"/>
      <c r="BR1517" s="1318"/>
      <c r="BS1517" s="1318"/>
      <c r="BT1517" s="359"/>
      <c r="BU1517" s="346"/>
      <c r="BV1517" s="310">
        <f>W1517-([1]CDKT!AD36-[1]CDKT!V36)</f>
        <v>0</v>
      </c>
      <c r="BW1517" s="310" t="s">
        <v>907</v>
      </c>
      <c r="BX1517" s="291">
        <f t="shared" si="106"/>
        <v>0</v>
      </c>
      <c r="BY1517" s="344"/>
      <c r="BZ1517" s="347"/>
      <c r="CA1517" s="347">
        <f>[1]CDKT!V36-[1]CDKT!AD36</f>
        <v>-2723011301</v>
      </c>
    </row>
    <row r="1518" spans="1:84" ht="15" hidden="1" customHeight="1" x14ac:dyDescent="0.25">
      <c r="A1518" s="313"/>
      <c r="B1518" s="340"/>
      <c r="C1518" s="342" t="s">
        <v>1592</v>
      </c>
      <c r="D1518" s="342"/>
      <c r="E1518" s="342"/>
      <c r="F1518" s="342"/>
      <c r="G1518" s="342"/>
      <c r="H1518" s="342"/>
      <c r="I1518" s="342"/>
      <c r="J1518" s="342"/>
      <c r="K1518" s="342"/>
      <c r="L1518" s="342"/>
      <c r="M1518" s="342"/>
      <c r="N1518" s="342"/>
      <c r="O1518" s="342"/>
      <c r="P1518" s="342"/>
      <c r="Q1518" s="342"/>
      <c r="R1518" s="342"/>
      <c r="S1518" s="342"/>
      <c r="T1518" s="342"/>
      <c r="U1518" s="342"/>
      <c r="V1518" s="342"/>
      <c r="W1518" s="1318">
        <f>KN_6320</f>
        <v>0</v>
      </c>
      <c r="X1518" s="1318"/>
      <c r="Y1518" s="1318"/>
      <c r="Z1518" s="1318"/>
      <c r="AA1518" s="1318"/>
      <c r="AB1518" s="1318"/>
      <c r="AC1518" s="355"/>
      <c r="AD1518" s="1318">
        <f>KT_6320</f>
        <v>0</v>
      </c>
      <c r="AE1518" s="1318"/>
      <c r="AF1518" s="1318"/>
      <c r="AG1518" s="1318"/>
      <c r="AH1518" s="1318"/>
      <c r="AI1518" s="1318"/>
      <c r="AJ1518" s="344"/>
      <c r="AK1518" s="345"/>
      <c r="AL1518" s="340"/>
      <c r="AM1518" s="342" t="s">
        <v>1593</v>
      </c>
      <c r="AN1518" s="342"/>
      <c r="AO1518" s="342"/>
      <c r="AP1518" s="342"/>
      <c r="AQ1518" s="342"/>
      <c r="AR1518" s="342"/>
      <c r="AS1518" s="342"/>
      <c r="AT1518" s="342"/>
      <c r="AU1518" s="342"/>
      <c r="AV1518" s="342"/>
      <c r="AW1518" s="342"/>
      <c r="AX1518" s="342"/>
      <c r="AY1518" s="342"/>
      <c r="AZ1518" s="342"/>
      <c r="BA1518" s="342"/>
      <c r="BB1518" s="342"/>
      <c r="BC1518" s="342"/>
      <c r="BD1518" s="342"/>
      <c r="BE1518" s="342"/>
      <c r="BF1518" s="342"/>
      <c r="BG1518" s="1318">
        <f t="shared" si="107"/>
        <v>0</v>
      </c>
      <c r="BH1518" s="1318"/>
      <c r="BI1518" s="1318"/>
      <c r="BJ1518" s="1318"/>
      <c r="BK1518" s="1318"/>
      <c r="BL1518" s="1318"/>
      <c r="BM1518" s="355"/>
      <c r="BN1518" s="1318">
        <f t="shared" si="108"/>
        <v>0</v>
      </c>
      <c r="BO1518" s="1318"/>
      <c r="BP1518" s="1318"/>
      <c r="BQ1518" s="1318"/>
      <c r="BR1518" s="1318"/>
      <c r="BS1518" s="1318"/>
      <c r="BT1518" s="359"/>
      <c r="BU1518" s="346"/>
      <c r="BV1518" s="310"/>
      <c r="BW1518" s="310"/>
      <c r="BX1518" s="291">
        <f t="shared" si="106"/>
        <v>0</v>
      </c>
      <c r="BY1518" s="344"/>
      <c r="BZ1518" s="347"/>
      <c r="CA1518" s="347"/>
    </row>
    <row r="1519" spans="1:84" ht="14.1" customHeight="1" x14ac:dyDescent="0.25">
      <c r="A1519" s="313"/>
      <c r="B1519" s="340"/>
      <c r="C1519" s="342"/>
      <c r="D1519" s="342"/>
      <c r="E1519" s="342"/>
      <c r="F1519" s="342"/>
      <c r="G1519" s="342"/>
      <c r="H1519" s="342"/>
      <c r="I1519" s="342"/>
      <c r="J1519" s="342"/>
      <c r="K1519" s="342"/>
      <c r="L1519" s="342"/>
      <c r="M1519" s="342"/>
      <c r="N1519" s="342"/>
      <c r="O1519" s="342"/>
      <c r="P1519" s="342"/>
      <c r="Q1519" s="342"/>
      <c r="R1519" s="342"/>
      <c r="S1519" s="342"/>
      <c r="T1519" s="342"/>
      <c r="U1519" s="342"/>
      <c r="V1519" s="342"/>
      <c r="W1519" s="355"/>
      <c r="X1519" s="355"/>
      <c r="Y1519" s="355"/>
      <c r="Z1519" s="355"/>
      <c r="AA1519" s="355"/>
      <c r="AB1519" s="355"/>
      <c r="AC1519" s="355"/>
      <c r="AD1519" s="355"/>
      <c r="AE1519" s="355"/>
      <c r="AF1519" s="355"/>
      <c r="AG1519" s="355"/>
      <c r="AH1519" s="355"/>
      <c r="AI1519" s="355"/>
      <c r="AJ1519" s="344"/>
      <c r="AK1519" s="345"/>
      <c r="AL1519" s="340"/>
      <c r="AM1519" s="342"/>
      <c r="AN1519" s="342"/>
      <c r="AO1519" s="342"/>
      <c r="AP1519" s="342"/>
      <c r="AQ1519" s="342"/>
      <c r="AR1519" s="342"/>
      <c r="AS1519" s="342"/>
      <c r="AT1519" s="342"/>
      <c r="AU1519" s="342"/>
      <c r="AV1519" s="342"/>
      <c r="AW1519" s="342"/>
      <c r="AX1519" s="342"/>
      <c r="AY1519" s="342"/>
      <c r="AZ1519" s="342"/>
      <c r="BA1519" s="342"/>
      <c r="BB1519" s="342"/>
      <c r="BC1519" s="342"/>
      <c r="BD1519" s="342"/>
      <c r="BE1519" s="342"/>
      <c r="BF1519" s="342"/>
      <c r="BG1519" s="355"/>
      <c r="BH1519" s="355"/>
      <c r="BI1519" s="355"/>
      <c r="BJ1519" s="355"/>
      <c r="BK1519" s="355"/>
      <c r="BL1519" s="355"/>
      <c r="BM1519" s="355"/>
      <c r="BN1519" s="355"/>
      <c r="BO1519" s="355"/>
      <c r="BP1519" s="355"/>
      <c r="BQ1519" s="355"/>
      <c r="BR1519" s="355"/>
      <c r="BS1519" s="355"/>
      <c r="BT1519" s="359"/>
      <c r="BU1519" s="346"/>
      <c r="BV1519" s="310"/>
      <c r="BW1519" s="310"/>
      <c r="BX1519" s="291">
        <f t="shared" si="106"/>
        <v>0</v>
      </c>
      <c r="BY1519" s="344"/>
      <c r="BZ1519" s="347"/>
      <c r="CA1519" s="347"/>
    </row>
    <row r="1520" spans="1:84" ht="15" customHeight="1" thickBot="1" x14ac:dyDescent="0.3">
      <c r="A1520" s="313"/>
      <c r="B1520" s="340"/>
      <c r="C1520" s="360" t="s">
        <v>752</v>
      </c>
      <c r="D1520" s="340"/>
      <c r="E1520" s="340"/>
      <c r="F1520" s="340"/>
      <c r="G1520" s="340"/>
      <c r="H1520" s="340"/>
      <c r="I1520" s="340"/>
      <c r="J1520" s="340"/>
      <c r="K1520" s="340"/>
      <c r="L1520" s="340"/>
      <c r="M1520" s="340"/>
      <c r="N1520" s="340"/>
      <c r="O1520" s="340"/>
      <c r="P1520" s="340"/>
      <c r="Q1520" s="340"/>
      <c r="R1520" s="340"/>
      <c r="S1520" s="340"/>
      <c r="T1520" s="340"/>
      <c r="U1520" s="342"/>
      <c r="V1520" s="342"/>
      <c r="W1520" s="1359">
        <f>W1505+W1506+SUBTOTAL(109,W1511:AB1518)</f>
        <v>40444910248</v>
      </c>
      <c r="X1520" s="1359"/>
      <c r="Y1520" s="1359"/>
      <c r="Z1520" s="1359"/>
      <c r="AA1520" s="1359"/>
      <c r="AB1520" s="1359"/>
      <c r="AC1520" s="355"/>
      <c r="AD1520" s="1359">
        <f>AD1505+AD1506+SUBTOTAL(109,AD1511:AI1518)</f>
        <v>48420149798</v>
      </c>
      <c r="AE1520" s="1359"/>
      <c r="AF1520" s="1359"/>
      <c r="AG1520" s="1359"/>
      <c r="AH1520" s="1359"/>
      <c r="AI1520" s="1359"/>
      <c r="AJ1520" s="344"/>
      <c r="AK1520" s="345"/>
      <c r="AL1520" s="340"/>
      <c r="AM1520" s="360" t="s">
        <v>752</v>
      </c>
      <c r="AN1520" s="340"/>
      <c r="AO1520" s="340"/>
      <c r="AP1520" s="340"/>
      <c r="AQ1520" s="340"/>
      <c r="AR1520" s="340"/>
      <c r="AS1520" s="340"/>
      <c r="AT1520" s="340"/>
      <c r="AU1520" s="340"/>
      <c r="AV1520" s="340"/>
      <c r="AW1520" s="340"/>
      <c r="AX1520" s="340"/>
      <c r="AY1520" s="340"/>
      <c r="AZ1520" s="340"/>
      <c r="BA1520" s="340"/>
      <c r="BB1520" s="340"/>
      <c r="BC1520" s="340"/>
      <c r="BD1520" s="340"/>
      <c r="BE1520" s="342"/>
      <c r="BF1520" s="342"/>
      <c r="BG1520" s="1359">
        <f>BG1505+BG1506+SUBTOTAL(109,BG1511:BL1518)</f>
        <v>40444910248</v>
      </c>
      <c r="BH1520" s="1359"/>
      <c r="BI1520" s="1359"/>
      <c r="BJ1520" s="1359"/>
      <c r="BK1520" s="1359"/>
      <c r="BL1520" s="1359"/>
      <c r="BM1520" s="355"/>
      <c r="BN1520" s="1359">
        <f>BN1505+BN1506+SUBTOTAL(109,BN1511:BS1518)</f>
        <v>48420149798</v>
      </c>
      <c r="BO1520" s="1359"/>
      <c r="BP1520" s="1359"/>
      <c r="BQ1520" s="1359"/>
      <c r="BR1520" s="1359"/>
      <c r="BS1520" s="1359"/>
      <c r="BT1520" s="359"/>
      <c r="BU1520" s="346"/>
      <c r="BV1520" s="310">
        <f>W1520-KN_CT11</f>
        <v>0</v>
      </c>
      <c r="BW1520" s="310">
        <f>AD1520-KT_CT11</f>
        <v>0</v>
      </c>
      <c r="BX1520" s="291">
        <f t="shared" si="106"/>
        <v>0</v>
      </c>
      <c r="BY1520" s="344"/>
      <c r="BZ1520" s="347"/>
      <c r="CA1520" s="347"/>
    </row>
    <row r="1521" spans="1:79" ht="2.1" customHeight="1" thickTop="1" x14ac:dyDescent="0.25">
      <c r="A1521" s="313"/>
      <c r="B1521" s="454"/>
      <c r="C1521" s="340"/>
      <c r="D1521" s="340"/>
      <c r="E1521" s="340"/>
      <c r="F1521" s="340"/>
      <c r="G1521" s="340"/>
      <c r="H1521" s="340"/>
      <c r="I1521" s="340"/>
      <c r="J1521" s="340"/>
      <c r="K1521" s="340"/>
      <c r="L1521" s="340"/>
      <c r="M1521" s="340"/>
      <c r="N1521" s="340"/>
      <c r="O1521" s="340"/>
      <c r="P1521" s="340"/>
      <c r="Q1521" s="340"/>
      <c r="R1521" s="340"/>
      <c r="S1521" s="340"/>
      <c r="T1521" s="340"/>
      <c r="U1521" s="342"/>
      <c r="V1521" s="342"/>
      <c r="W1521" s="368"/>
      <c r="X1521" s="368"/>
      <c r="Y1521" s="368"/>
      <c r="Z1521" s="368"/>
      <c r="AA1521" s="368"/>
      <c r="AB1521" s="368"/>
      <c r="AC1521" s="343"/>
      <c r="AD1521" s="368"/>
      <c r="AE1521" s="368"/>
      <c r="AF1521" s="368"/>
      <c r="AG1521" s="368"/>
      <c r="AH1521" s="368"/>
      <c r="AI1521" s="368"/>
      <c r="AJ1521" s="344"/>
      <c r="AK1521" s="345"/>
      <c r="AL1521" s="340"/>
      <c r="AM1521" s="340"/>
      <c r="AN1521" s="340"/>
      <c r="AO1521" s="340"/>
      <c r="AP1521" s="340"/>
      <c r="AQ1521" s="340"/>
      <c r="AR1521" s="340"/>
      <c r="AS1521" s="340"/>
      <c r="AT1521" s="340"/>
      <c r="AU1521" s="340"/>
      <c r="AV1521" s="340"/>
      <c r="AW1521" s="340"/>
      <c r="AX1521" s="340"/>
      <c r="AY1521" s="340"/>
      <c r="AZ1521" s="340"/>
      <c r="BA1521" s="340"/>
      <c r="BB1521" s="340"/>
      <c r="BC1521" s="340"/>
      <c r="BD1521" s="340"/>
      <c r="BE1521" s="342"/>
      <c r="BF1521" s="342"/>
      <c r="BG1521" s="361"/>
      <c r="BH1521" s="361"/>
      <c r="BI1521" s="361"/>
      <c r="BJ1521" s="361"/>
      <c r="BK1521" s="361"/>
      <c r="BL1521" s="361"/>
      <c r="BM1521" s="342"/>
      <c r="BN1521" s="361"/>
      <c r="BO1521" s="361"/>
      <c r="BP1521" s="361"/>
      <c r="BQ1521" s="361"/>
      <c r="BR1521" s="361"/>
      <c r="BS1521" s="361"/>
      <c r="BT1521" s="361"/>
      <c r="BU1521" s="362"/>
      <c r="BV1521" s="310"/>
      <c r="BW1521" s="310"/>
      <c r="BX1521" s="291">
        <f t="shared" si="106"/>
        <v>0</v>
      </c>
      <c r="BY1521" s="344"/>
      <c r="BZ1521" s="347"/>
      <c r="CA1521" s="347"/>
    </row>
    <row r="1522" spans="1:79" ht="12.95" customHeight="1" x14ac:dyDescent="0.25">
      <c r="A1522" s="313"/>
      <c r="B1522" s="340"/>
      <c r="C1522" s="340"/>
      <c r="D1522" s="340"/>
      <c r="E1522" s="340"/>
      <c r="F1522" s="340"/>
      <c r="G1522" s="340"/>
      <c r="H1522" s="340"/>
      <c r="I1522" s="340"/>
      <c r="J1522" s="340"/>
      <c r="K1522" s="340"/>
      <c r="L1522" s="340"/>
      <c r="M1522" s="340"/>
      <c r="N1522" s="340"/>
      <c r="O1522" s="340"/>
      <c r="P1522" s="340"/>
      <c r="Q1522" s="340"/>
      <c r="R1522" s="340"/>
      <c r="S1522" s="340"/>
      <c r="T1522" s="340"/>
      <c r="U1522" s="342"/>
      <c r="V1522" s="342"/>
      <c r="W1522" s="368"/>
      <c r="X1522" s="368"/>
      <c r="Y1522" s="368"/>
      <c r="Z1522" s="368"/>
      <c r="AA1522" s="368"/>
      <c r="AB1522" s="368"/>
      <c r="AC1522" s="343"/>
      <c r="AD1522" s="368"/>
      <c r="AE1522" s="368"/>
      <c r="AF1522" s="368"/>
      <c r="AG1522" s="368"/>
      <c r="AH1522" s="368"/>
      <c r="AI1522" s="368"/>
      <c r="AJ1522" s="344"/>
      <c r="AK1522" s="345"/>
      <c r="AL1522" s="340"/>
      <c r="AM1522" s="340"/>
      <c r="AN1522" s="340"/>
      <c r="AO1522" s="340"/>
      <c r="AP1522" s="340"/>
      <c r="AQ1522" s="340"/>
      <c r="AR1522" s="340"/>
      <c r="AS1522" s="340"/>
      <c r="AT1522" s="340"/>
      <c r="AU1522" s="340"/>
      <c r="AV1522" s="340"/>
      <c r="AW1522" s="340"/>
      <c r="AX1522" s="340"/>
      <c r="AY1522" s="340"/>
      <c r="AZ1522" s="340"/>
      <c r="BA1522" s="340"/>
      <c r="BB1522" s="340"/>
      <c r="BC1522" s="340"/>
      <c r="BD1522" s="340"/>
      <c r="BE1522" s="342"/>
      <c r="BF1522" s="342"/>
      <c r="BG1522" s="361"/>
      <c r="BH1522" s="361"/>
      <c r="BI1522" s="361"/>
      <c r="BJ1522" s="361"/>
      <c r="BK1522" s="361"/>
      <c r="BL1522" s="361"/>
      <c r="BM1522" s="342"/>
      <c r="BN1522" s="361"/>
      <c r="BO1522" s="361"/>
      <c r="BP1522" s="361"/>
      <c r="BQ1522" s="361"/>
      <c r="BR1522" s="361"/>
      <c r="BS1522" s="361"/>
      <c r="BT1522" s="361"/>
      <c r="BU1522" s="362"/>
      <c r="BV1522" s="310"/>
      <c r="BW1522" s="310"/>
      <c r="BX1522" s="291">
        <f t="shared" si="106"/>
        <v>0</v>
      </c>
      <c r="BY1522" s="344"/>
      <c r="BZ1522" s="347"/>
      <c r="CA1522" s="347"/>
    </row>
    <row r="1523" spans="1:79" ht="15" customHeight="1" x14ac:dyDescent="0.25">
      <c r="A1523" s="313">
        <v>24</v>
      </c>
      <c r="B1523" s="340" t="s">
        <v>345</v>
      </c>
      <c r="C1523" s="341" t="s">
        <v>1594</v>
      </c>
      <c r="D1523" s="342"/>
      <c r="E1523" s="342"/>
      <c r="F1523" s="342"/>
      <c r="G1523" s="342"/>
      <c r="H1523" s="342"/>
      <c r="I1523" s="342"/>
      <c r="J1523" s="342"/>
      <c r="K1523" s="342"/>
      <c r="L1523" s="342"/>
      <c r="M1523" s="342"/>
      <c r="N1523" s="342"/>
      <c r="O1523" s="342"/>
      <c r="P1523" s="342"/>
      <c r="Q1523" s="342"/>
      <c r="R1523" s="342"/>
      <c r="S1523" s="342"/>
      <c r="T1523" s="342"/>
      <c r="U1523" s="342"/>
      <c r="V1523" s="342"/>
      <c r="W1523" s="1381"/>
      <c r="X1523" s="1381"/>
      <c r="Y1523" s="1381"/>
      <c r="Z1523" s="1381"/>
      <c r="AA1523" s="1381"/>
      <c r="AB1523" s="1381"/>
      <c r="AC1523" s="343"/>
      <c r="AD1523" s="1381"/>
      <c r="AE1523" s="1381"/>
      <c r="AF1523" s="1381"/>
      <c r="AG1523" s="1381"/>
      <c r="AH1523" s="1381"/>
      <c r="AI1523" s="1381"/>
      <c r="AJ1523" s="344"/>
      <c r="AK1523" s="345">
        <f>A1523</f>
        <v>24</v>
      </c>
      <c r="AL1523" s="340" t="s">
        <v>345</v>
      </c>
      <c r="AM1523" s="341" t="s">
        <v>1595</v>
      </c>
      <c r="AN1523" s="342"/>
      <c r="AO1523" s="342"/>
      <c r="AP1523" s="342"/>
      <c r="AQ1523" s="342"/>
      <c r="AR1523" s="342"/>
      <c r="AS1523" s="342"/>
      <c r="AT1523" s="342"/>
      <c r="AU1523" s="342"/>
      <c r="AV1523" s="342"/>
      <c r="AW1523" s="342"/>
      <c r="AX1523" s="342"/>
      <c r="AY1523" s="342"/>
      <c r="AZ1523" s="342"/>
      <c r="BA1523" s="342"/>
      <c r="BB1523" s="342"/>
      <c r="BC1523" s="342"/>
      <c r="BD1523" s="342"/>
      <c r="BE1523" s="342"/>
      <c r="BF1523" s="342"/>
      <c r="BG1523" s="1382"/>
      <c r="BH1523" s="1382"/>
      <c r="BI1523" s="1382"/>
      <c r="BJ1523" s="1382"/>
      <c r="BK1523" s="1382"/>
      <c r="BL1523" s="1382"/>
      <c r="BM1523" s="359"/>
      <c r="BN1523" s="1382"/>
      <c r="BO1523" s="1382"/>
      <c r="BP1523" s="1382"/>
      <c r="BQ1523" s="1382"/>
      <c r="BR1523" s="1382"/>
      <c r="BS1523" s="1382"/>
      <c r="BT1523" s="549"/>
      <c r="BU1523" s="346">
        <f>SUBTOTAL(103,A1523)</f>
        <v>1</v>
      </c>
      <c r="BV1523" s="310"/>
      <c r="BW1523" s="310"/>
      <c r="BX1523" s="291">
        <f t="shared" si="106"/>
        <v>0</v>
      </c>
      <c r="BY1523" s="344"/>
      <c r="BZ1523" s="347"/>
      <c r="CA1523" s="347"/>
    </row>
    <row r="1524" spans="1:79" ht="15" customHeight="1" x14ac:dyDescent="0.25">
      <c r="A1524" s="313"/>
      <c r="B1524" s="340"/>
      <c r="C1524" s="392"/>
      <c r="D1524" s="392"/>
      <c r="E1524" s="392"/>
      <c r="F1524" s="392"/>
      <c r="G1524" s="392"/>
      <c r="H1524" s="392"/>
      <c r="I1524" s="392"/>
      <c r="J1524" s="392"/>
      <c r="K1524" s="392"/>
      <c r="L1524" s="392"/>
      <c r="M1524" s="392"/>
      <c r="N1524" s="392"/>
      <c r="O1524" s="392"/>
      <c r="P1524" s="392"/>
      <c r="Q1524" s="392"/>
      <c r="R1524" s="392"/>
      <c r="S1524" s="392"/>
      <c r="T1524" s="392"/>
      <c r="U1524" s="392"/>
      <c r="V1524" s="392"/>
      <c r="W1524" s="1324" t="str">
        <f>Ky_Nay2_V</f>
        <v>Năm 2017</v>
      </c>
      <c r="X1524" s="1324"/>
      <c r="Y1524" s="1324"/>
      <c r="Z1524" s="1324"/>
      <c r="AA1524" s="1324"/>
      <c r="AB1524" s="1324"/>
      <c r="AC1524" s="681"/>
      <c r="AD1524" s="1324" t="str">
        <f>Ky_Truoc2_V</f>
        <v>Năm 2016</v>
      </c>
      <c r="AE1524" s="1324"/>
      <c r="AF1524" s="1324"/>
      <c r="AG1524" s="1324"/>
      <c r="AH1524" s="1324"/>
      <c r="AI1524" s="1324"/>
      <c r="AJ1524" s="344"/>
      <c r="AK1524" s="345"/>
      <c r="AL1524" s="340"/>
      <c r="AM1524" s="392"/>
      <c r="AN1524" s="392"/>
      <c r="AO1524" s="392"/>
      <c r="AP1524" s="392"/>
      <c r="AQ1524" s="392"/>
      <c r="AR1524" s="392"/>
      <c r="AS1524" s="392"/>
      <c r="AT1524" s="392"/>
      <c r="AU1524" s="392"/>
      <c r="AV1524" s="392"/>
      <c r="AW1524" s="392"/>
      <c r="AX1524" s="392"/>
      <c r="AY1524" s="392"/>
      <c r="AZ1524" s="392"/>
      <c r="BA1524" s="392"/>
      <c r="BB1524" s="392"/>
      <c r="BC1524" s="392"/>
      <c r="BD1524" s="392"/>
      <c r="BE1524" s="392"/>
      <c r="BF1524" s="392"/>
      <c r="BG1524" s="1325" t="str">
        <f>Ky_Nay2_E</f>
        <v>Year 2016</v>
      </c>
      <c r="BH1524" s="1325"/>
      <c r="BI1524" s="1325"/>
      <c r="BJ1524" s="1325"/>
      <c r="BK1524" s="1325"/>
      <c r="BL1524" s="1325"/>
      <c r="BM1524" s="332"/>
      <c r="BN1524" s="1325" t="str">
        <f>Ky_Truoc2_E</f>
        <v>Year 2015</v>
      </c>
      <c r="BO1524" s="1325"/>
      <c r="BP1524" s="1325"/>
      <c r="BQ1524" s="1325"/>
      <c r="BR1524" s="1325"/>
      <c r="BS1524" s="1325"/>
      <c r="BT1524" s="352"/>
      <c r="BU1524" s="353"/>
      <c r="BV1524" s="310"/>
      <c r="BW1524" s="310"/>
      <c r="BX1524" s="291">
        <f t="shared" si="106"/>
        <v>0</v>
      </c>
      <c r="BY1524" s="344"/>
      <c r="BZ1524" s="347"/>
      <c r="CA1524" s="347"/>
    </row>
    <row r="1525" spans="1:79" ht="15" customHeight="1" x14ac:dyDescent="0.25">
      <c r="A1525" s="313"/>
      <c r="B1525" s="340"/>
      <c r="C1525" s="392"/>
      <c r="D1525" s="392"/>
      <c r="E1525" s="392"/>
      <c r="F1525" s="392"/>
      <c r="G1525" s="392"/>
      <c r="H1525" s="392"/>
      <c r="I1525" s="392"/>
      <c r="J1525" s="392"/>
      <c r="K1525" s="392"/>
      <c r="L1525" s="392"/>
      <c r="M1525" s="392"/>
      <c r="N1525" s="392"/>
      <c r="O1525" s="392"/>
      <c r="P1525" s="392"/>
      <c r="Q1525" s="392"/>
      <c r="R1525" s="392"/>
      <c r="S1525" s="392"/>
      <c r="T1525" s="392"/>
      <c r="U1525" s="392"/>
      <c r="V1525" s="392"/>
      <c r="W1525" s="1327" t="str">
        <f>Don_Vi_Tinh_V</f>
        <v>VND</v>
      </c>
      <c r="X1525" s="1327"/>
      <c r="Y1525" s="1327"/>
      <c r="Z1525" s="1327"/>
      <c r="AA1525" s="1327"/>
      <c r="AB1525" s="1327"/>
      <c r="AC1525" s="351"/>
      <c r="AD1525" s="1327" t="str">
        <f>Don_Vi_Tinh_V</f>
        <v>VND</v>
      </c>
      <c r="AE1525" s="1327"/>
      <c r="AF1525" s="1327"/>
      <c r="AG1525" s="1327"/>
      <c r="AH1525" s="1327"/>
      <c r="AI1525" s="1327"/>
      <c r="AJ1525" s="344"/>
      <c r="AK1525" s="345"/>
      <c r="AL1525" s="340"/>
      <c r="AM1525" s="392"/>
      <c r="AN1525" s="392"/>
      <c r="AO1525" s="392"/>
      <c r="AP1525" s="392"/>
      <c r="AQ1525" s="392"/>
      <c r="AR1525" s="392"/>
      <c r="AS1525" s="392"/>
      <c r="AT1525" s="392"/>
      <c r="AU1525" s="392"/>
      <c r="AV1525" s="392"/>
      <c r="AW1525" s="392"/>
      <c r="AX1525" s="392"/>
      <c r="AY1525" s="392"/>
      <c r="AZ1525" s="392"/>
      <c r="BA1525" s="392"/>
      <c r="BB1525" s="392"/>
      <c r="BC1525" s="392"/>
      <c r="BD1525" s="392"/>
      <c r="BE1525" s="392"/>
      <c r="BF1525" s="392"/>
      <c r="BG1525" s="1327" t="str">
        <f>Don_Vi_Tinh_E</f>
        <v>VND</v>
      </c>
      <c r="BH1525" s="1327"/>
      <c r="BI1525" s="1327"/>
      <c r="BJ1525" s="1327"/>
      <c r="BK1525" s="1327"/>
      <c r="BL1525" s="1327"/>
      <c r="BM1525" s="351"/>
      <c r="BN1525" s="1327" t="str">
        <f>Don_Vi_Tinh_E</f>
        <v>VND</v>
      </c>
      <c r="BO1525" s="1327"/>
      <c r="BP1525" s="1327"/>
      <c r="BQ1525" s="1327"/>
      <c r="BR1525" s="1327"/>
      <c r="BS1525" s="1327"/>
      <c r="BT1525" s="352"/>
      <c r="BU1525" s="353"/>
      <c r="BV1525" s="310"/>
      <c r="BW1525" s="310"/>
      <c r="BX1525" s="291">
        <f t="shared" si="106"/>
        <v>0</v>
      </c>
      <c r="BY1525" s="344"/>
      <c r="BZ1525" s="347"/>
      <c r="CA1525" s="347"/>
    </row>
    <row r="1526" spans="1:79" ht="12.95" customHeight="1" x14ac:dyDescent="0.25">
      <c r="A1526" s="313"/>
      <c r="B1526" s="340"/>
      <c r="C1526" s="392"/>
      <c r="D1526" s="392"/>
      <c r="E1526" s="392"/>
      <c r="F1526" s="392"/>
      <c r="G1526" s="392"/>
      <c r="H1526" s="392"/>
      <c r="I1526" s="392"/>
      <c r="J1526" s="392"/>
      <c r="K1526" s="392"/>
      <c r="L1526" s="392"/>
      <c r="M1526" s="392"/>
      <c r="N1526" s="392"/>
      <c r="O1526" s="392"/>
      <c r="P1526" s="392"/>
      <c r="Q1526" s="392"/>
      <c r="R1526" s="392"/>
      <c r="S1526" s="392"/>
      <c r="T1526" s="392"/>
      <c r="U1526" s="392"/>
      <c r="V1526" s="392"/>
      <c r="W1526" s="660"/>
      <c r="X1526" s="660"/>
      <c r="Y1526" s="660"/>
      <c r="Z1526" s="660"/>
      <c r="AA1526" s="660"/>
      <c r="AB1526" s="660"/>
      <c r="AC1526" s="437"/>
      <c r="AD1526" s="660"/>
      <c r="AE1526" s="660"/>
      <c r="AF1526" s="660"/>
      <c r="AG1526" s="660"/>
      <c r="AH1526" s="660"/>
      <c r="AI1526" s="660"/>
      <c r="AJ1526" s="344"/>
      <c r="AK1526" s="345"/>
      <c r="AL1526" s="340"/>
      <c r="AM1526" s="392"/>
      <c r="AN1526" s="392"/>
      <c r="AO1526" s="392"/>
      <c r="AP1526" s="392"/>
      <c r="AQ1526" s="392"/>
      <c r="AR1526" s="392"/>
      <c r="AS1526" s="392"/>
      <c r="AT1526" s="392"/>
      <c r="AU1526" s="392"/>
      <c r="AV1526" s="392"/>
      <c r="AW1526" s="392"/>
      <c r="AX1526" s="392"/>
      <c r="AY1526" s="392"/>
      <c r="AZ1526" s="392"/>
      <c r="BA1526" s="392"/>
      <c r="BB1526" s="392"/>
      <c r="BC1526" s="392"/>
      <c r="BD1526" s="392"/>
      <c r="BE1526" s="392"/>
      <c r="BF1526" s="392"/>
      <c r="BG1526" s="599"/>
      <c r="BH1526" s="599"/>
      <c r="BI1526" s="599"/>
      <c r="BJ1526" s="599"/>
      <c r="BK1526" s="599"/>
      <c r="BL1526" s="599"/>
      <c r="BM1526" s="600"/>
      <c r="BN1526" s="599"/>
      <c r="BO1526" s="599"/>
      <c r="BP1526" s="599"/>
      <c r="BQ1526" s="599"/>
      <c r="BR1526" s="599"/>
      <c r="BS1526" s="599"/>
      <c r="BT1526" s="352"/>
      <c r="BU1526" s="353"/>
      <c r="BV1526" s="310"/>
      <c r="BW1526" s="310"/>
      <c r="BX1526" s="291">
        <f t="shared" si="106"/>
        <v>0</v>
      </c>
      <c r="BY1526" s="344"/>
      <c r="BZ1526" s="347"/>
      <c r="CA1526" s="347"/>
    </row>
    <row r="1527" spans="1:79" ht="15" customHeight="1" x14ac:dyDescent="0.25">
      <c r="A1527" s="313"/>
      <c r="B1527" s="340"/>
      <c r="C1527" s="342" t="s">
        <v>1596</v>
      </c>
      <c r="D1527" s="342"/>
      <c r="E1527" s="342"/>
      <c r="F1527" s="342"/>
      <c r="G1527" s="342"/>
      <c r="H1527" s="342"/>
      <c r="I1527" s="342"/>
      <c r="J1527" s="342"/>
      <c r="K1527" s="342"/>
      <c r="L1527" s="342"/>
      <c r="M1527" s="342"/>
      <c r="N1527" s="342"/>
      <c r="O1527" s="342"/>
      <c r="P1527" s="342"/>
      <c r="Q1527" s="342"/>
      <c r="R1527" s="342"/>
      <c r="S1527" s="342"/>
      <c r="T1527" s="342"/>
      <c r="U1527" s="342"/>
      <c r="V1527" s="342"/>
      <c r="W1527" s="1318">
        <f>KN_5151</f>
        <v>1397144590</v>
      </c>
      <c r="X1527" s="1318"/>
      <c r="Y1527" s="1318"/>
      <c r="Z1527" s="1318"/>
      <c r="AA1527" s="1318"/>
      <c r="AB1527" s="1318"/>
      <c r="AC1527" s="355"/>
      <c r="AD1527" s="1318">
        <f>KT_5151</f>
        <v>1250851806</v>
      </c>
      <c r="AE1527" s="1318"/>
      <c r="AF1527" s="1318"/>
      <c r="AG1527" s="1318"/>
      <c r="AH1527" s="1318"/>
      <c r="AI1527" s="1318"/>
      <c r="AJ1527" s="344"/>
      <c r="AK1527" s="345"/>
      <c r="AL1527" s="340"/>
      <c r="AM1527" s="342" t="s">
        <v>1597</v>
      </c>
      <c r="AN1527" s="342"/>
      <c r="AO1527" s="342"/>
      <c r="AP1527" s="342"/>
      <c r="AQ1527" s="342"/>
      <c r="AR1527" s="342"/>
      <c r="AS1527" s="342"/>
      <c r="AT1527" s="342"/>
      <c r="AU1527" s="342"/>
      <c r="AV1527" s="342"/>
      <c r="AW1527" s="342"/>
      <c r="AX1527" s="342"/>
      <c r="AY1527" s="342"/>
      <c r="AZ1527" s="342"/>
      <c r="BA1527" s="342"/>
      <c r="BB1527" s="342"/>
      <c r="BC1527" s="342"/>
      <c r="BD1527" s="342"/>
      <c r="BE1527" s="342"/>
      <c r="BF1527" s="342"/>
      <c r="BG1527" s="1318">
        <f t="shared" ref="BG1527:BG1533" si="109">W1527</f>
        <v>1397144590</v>
      </c>
      <c r="BH1527" s="1318"/>
      <c r="BI1527" s="1318"/>
      <c r="BJ1527" s="1318"/>
      <c r="BK1527" s="1318"/>
      <c r="BL1527" s="1318"/>
      <c r="BM1527" s="355"/>
      <c r="BN1527" s="1318">
        <f t="shared" ref="BN1527:BN1533" si="110">AD1527</f>
        <v>1250851806</v>
      </c>
      <c r="BO1527" s="1318"/>
      <c r="BP1527" s="1318"/>
      <c r="BQ1527" s="1318"/>
      <c r="BR1527" s="1318"/>
      <c r="BS1527" s="1318"/>
      <c r="BT1527" s="359"/>
      <c r="BU1527" s="346"/>
      <c r="BV1527" s="310"/>
      <c r="BW1527" s="310"/>
      <c r="BX1527" s="291">
        <f t="shared" si="106"/>
        <v>0</v>
      </c>
      <c r="BY1527" s="344"/>
      <c r="BZ1527" s="347"/>
      <c r="CA1527" s="347"/>
    </row>
    <row r="1528" spans="1:79" ht="15" hidden="1" customHeight="1" x14ac:dyDescent="0.25">
      <c r="A1528" s="313"/>
      <c r="B1528" s="340"/>
      <c r="C1528" s="342" t="s">
        <v>1598</v>
      </c>
      <c r="D1528" s="342"/>
      <c r="E1528" s="342"/>
      <c r="F1528" s="342"/>
      <c r="G1528" s="342"/>
      <c r="H1528" s="342"/>
      <c r="I1528" s="342"/>
      <c r="J1528" s="342"/>
      <c r="K1528" s="342"/>
      <c r="L1528" s="342"/>
      <c r="M1528" s="342"/>
      <c r="N1528" s="342"/>
      <c r="O1528" s="342"/>
      <c r="P1528" s="342"/>
      <c r="Q1528" s="342"/>
      <c r="R1528" s="342"/>
      <c r="S1528" s="342"/>
      <c r="T1528" s="342"/>
      <c r="U1528" s="342"/>
      <c r="V1528" s="342"/>
      <c r="W1528" s="1318">
        <f>KN_5152</f>
        <v>0</v>
      </c>
      <c r="X1528" s="1318"/>
      <c r="Y1528" s="1318"/>
      <c r="Z1528" s="1318"/>
      <c r="AA1528" s="1318"/>
      <c r="AB1528" s="1318"/>
      <c r="AC1528" s="355"/>
      <c r="AD1528" s="1318">
        <f>KT_5152</f>
        <v>0</v>
      </c>
      <c r="AE1528" s="1318"/>
      <c r="AF1528" s="1318"/>
      <c r="AG1528" s="1318"/>
      <c r="AH1528" s="1318"/>
      <c r="AI1528" s="1318"/>
      <c r="AJ1528" s="344"/>
      <c r="AK1528" s="345"/>
      <c r="AL1528" s="340"/>
      <c r="AM1528" s="342" t="s">
        <v>1599</v>
      </c>
      <c r="AN1528" s="342"/>
      <c r="AO1528" s="342"/>
      <c r="AP1528" s="342"/>
      <c r="AQ1528" s="342"/>
      <c r="AR1528" s="342"/>
      <c r="AS1528" s="342"/>
      <c r="AT1528" s="342"/>
      <c r="AU1528" s="342"/>
      <c r="AV1528" s="342"/>
      <c r="AW1528" s="342"/>
      <c r="AX1528" s="342"/>
      <c r="AY1528" s="342"/>
      <c r="AZ1528" s="342"/>
      <c r="BA1528" s="342"/>
      <c r="BB1528" s="342"/>
      <c r="BC1528" s="342"/>
      <c r="BD1528" s="342"/>
      <c r="BE1528" s="342"/>
      <c r="BF1528" s="342"/>
      <c r="BG1528" s="1318">
        <f t="shared" si="109"/>
        <v>0</v>
      </c>
      <c r="BH1528" s="1318"/>
      <c r="BI1528" s="1318"/>
      <c r="BJ1528" s="1318"/>
      <c r="BK1528" s="1318"/>
      <c r="BL1528" s="1318"/>
      <c r="BM1528" s="355"/>
      <c r="BN1528" s="1318">
        <f t="shared" si="110"/>
        <v>0</v>
      </c>
      <c r="BO1528" s="1318"/>
      <c r="BP1528" s="1318"/>
      <c r="BQ1528" s="1318"/>
      <c r="BR1528" s="1318"/>
      <c r="BS1528" s="1318"/>
      <c r="BT1528" s="359"/>
      <c r="BU1528" s="346"/>
      <c r="BV1528" s="310"/>
      <c r="BW1528" s="310"/>
      <c r="BX1528" s="291">
        <f t="shared" si="106"/>
        <v>0</v>
      </c>
      <c r="BY1528" s="344"/>
      <c r="BZ1528" s="347"/>
      <c r="CA1528" s="347"/>
    </row>
    <row r="1529" spans="1:79" ht="15" hidden="1" customHeight="1" x14ac:dyDescent="0.25">
      <c r="A1529" s="313"/>
      <c r="B1529" s="340"/>
      <c r="C1529" s="342" t="s">
        <v>1600</v>
      </c>
      <c r="D1529" s="342"/>
      <c r="E1529" s="342"/>
      <c r="F1529" s="342"/>
      <c r="G1529" s="342"/>
      <c r="H1529" s="342"/>
      <c r="I1529" s="342"/>
      <c r="J1529" s="342"/>
      <c r="K1529" s="342"/>
      <c r="L1529" s="342"/>
      <c r="M1529" s="342"/>
      <c r="N1529" s="342"/>
      <c r="O1529" s="342"/>
      <c r="P1529" s="342"/>
      <c r="Q1529" s="342"/>
      <c r="R1529" s="342"/>
      <c r="S1529" s="342"/>
      <c r="T1529" s="342"/>
      <c r="U1529" s="342"/>
      <c r="V1529" s="342"/>
      <c r="W1529" s="1318">
        <f>KN_5153</f>
        <v>0</v>
      </c>
      <c r="X1529" s="1318"/>
      <c r="Y1529" s="1318"/>
      <c r="Z1529" s="1318"/>
      <c r="AA1529" s="1318"/>
      <c r="AB1529" s="1318"/>
      <c r="AC1529" s="355"/>
      <c r="AD1529" s="1318">
        <f>KT_5153</f>
        <v>0</v>
      </c>
      <c r="AE1529" s="1318"/>
      <c r="AF1529" s="1318"/>
      <c r="AG1529" s="1318"/>
      <c r="AH1529" s="1318"/>
      <c r="AI1529" s="1318"/>
      <c r="AJ1529" s="344"/>
      <c r="AK1529" s="345"/>
      <c r="AL1529" s="340"/>
      <c r="AM1529" s="342" t="s">
        <v>1601</v>
      </c>
      <c r="AN1529" s="342"/>
      <c r="AO1529" s="342"/>
      <c r="AP1529" s="342"/>
      <c r="AQ1529" s="342"/>
      <c r="AR1529" s="342"/>
      <c r="AS1529" s="342"/>
      <c r="AT1529" s="342"/>
      <c r="AU1529" s="342"/>
      <c r="AV1529" s="342"/>
      <c r="AW1529" s="342"/>
      <c r="AX1529" s="342"/>
      <c r="AY1529" s="342"/>
      <c r="AZ1529" s="342"/>
      <c r="BA1529" s="342"/>
      <c r="BB1529" s="342"/>
      <c r="BC1529" s="342"/>
      <c r="BD1529" s="342"/>
      <c r="BE1529" s="342"/>
      <c r="BF1529" s="342"/>
      <c r="BG1529" s="1318">
        <f t="shared" si="109"/>
        <v>0</v>
      </c>
      <c r="BH1529" s="1318"/>
      <c r="BI1529" s="1318"/>
      <c r="BJ1529" s="1318"/>
      <c r="BK1529" s="1318"/>
      <c r="BL1529" s="1318"/>
      <c r="BM1529" s="355"/>
      <c r="BN1529" s="1318">
        <f t="shared" si="110"/>
        <v>0</v>
      </c>
      <c r="BO1529" s="1318"/>
      <c r="BP1529" s="1318"/>
      <c r="BQ1529" s="1318"/>
      <c r="BR1529" s="1318"/>
      <c r="BS1529" s="1318"/>
      <c r="BT1529" s="359"/>
      <c r="BU1529" s="346"/>
      <c r="BV1529" s="310"/>
      <c r="BW1529" s="310"/>
      <c r="BX1529" s="291">
        <f t="shared" si="106"/>
        <v>0</v>
      </c>
      <c r="BY1529" s="344"/>
      <c r="BZ1529" s="347"/>
      <c r="CA1529" s="347"/>
    </row>
    <row r="1530" spans="1:79" ht="15" hidden="1" customHeight="1" x14ac:dyDescent="0.25">
      <c r="A1530" s="313"/>
      <c r="B1530" s="340"/>
      <c r="C1530" s="342" t="s">
        <v>1602</v>
      </c>
      <c r="D1530" s="342"/>
      <c r="E1530" s="342"/>
      <c r="F1530" s="342"/>
      <c r="G1530" s="342"/>
      <c r="H1530" s="342"/>
      <c r="I1530" s="342"/>
      <c r="J1530" s="342"/>
      <c r="K1530" s="342"/>
      <c r="L1530" s="342"/>
      <c r="M1530" s="342"/>
      <c r="N1530" s="342"/>
      <c r="O1530" s="342"/>
      <c r="P1530" s="342"/>
      <c r="Q1530" s="342"/>
      <c r="R1530" s="342"/>
      <c r="S1530" s="342"/>
      <c r="T1530" s="342"/>
      <c r="U1530" s="342"/>
      <c r="V1530" s="342"/>
      <c r="W1530" s="1318"/>
      <c r="X1530" s="1318"/>
      <c r="Y1530" s="1318"/>
      <c r="Z1530" s="1318"/>
      <c r="AA1530" s="1318"/>
      <c r="AB1530" s="1318"/>
      <c r="AC1530" s="355"/>
      <c r="AD1530" s="1318"/>
      <c r="AE1530" s="1318"/>
      <c r="AF1530" s="1318"/>
      <c r="AG1530" s="1318"/>
      <c r="AH1530" s="1318"/>
      <c r="AI1530" s="1318"/>
      <c r="AJ1530" s="716"/>
      <c r="AK1530" s="717"/>
      <c r="AL1530" s="718"/>
      <c r="AM1530" s="716" t="s">
        <v>1603</v>
      </c>
      <c r="AN1530" s="716"/>
      <c r="AO1530" s="716"/>
      <c r="AP1530" s="716"/>
      <c r="AQ1530" s="716"/>
      <c r="AR1530" s="716"/>
      <c r="AS1530" s="716"/>
      <c r="AT1530" s="716"/>
      <c r="AU1530" s="716"/>
      <c r="AV1530" s="716"/>
      <c r="AW1530" s="716"/>
      <c r="AX1530" s="716"/>
      <c r="AY1530" s="716"/>
      <c r="AZ1530" s="716"/>
      <c r="BA1530" s="716"/>
      <c r="BB1530" s="716"/>
      <c r="BC1530" s="716"/>
      <c r="BD1530" s="716"/>
      <c r="BE1530" s="716"/>
      <c r="BF1530" s="716"/>
      <c r="BG1530" s="1380">
        <f t="shared" si="109"/>
        <v>0</v>
      </c>
      <c r="BH1530" s="1380"/>
      <c r="BI1530" s="1380"/>
      <c r="BJ1530" s="1380"/>
      <c r="BK1530" s="1380"/>
      <c r="BL1530" s="1380"/>
      <c r="BM1530" s="719"/>
      <c r="BN1530" s="1380">
        <f t="shared" si="110"/>
        <v>0</v>
      </c>
      <c r="BO1530" s="1380"/>
      <c r="BP1530" s="1380"/>
      <c r="BQ1530" s="1380"/>
      <c r="BR1530" s="1380"/>
      <c r="BS1530" s="1380"/>
      <c r="BT1530" s="720"/>
      <c r="BU1530" s="721"/>
      <c r="BV1530" s="722">
        <f>W1530+W1531-KN_5154</f>
        <v>0</v>
      </c>
      <c r="BW1530" s="722">
        <f>AD1530+AD1531-KT_5154</f>
        <v>0</v>
      </c>
      <c r="BX1530" s="291">
        <f t="shared" si="106"/>
        <v>0</v>
      </c>
      <c r="BY1530" s="344"/>
      <c r="BZ1530" s="347"/>
      <c r="CA1530" s="347"/>
    </row>
    <row r="1531" spans="1:79" ht="15" customHeight="1" x14ac:dyDescent="0.25">
      <c r="A1531" s="313"/>
      <c r="B1531" s="340"/>
      <c r="C1531" s="342" t="s">
        <v>1604</v>
      </c>
      <c r="D1531" s="342"/>
      <c r="E1531" s="342"/>
      <c r="F1531" s="342"/>
      <c r="G1531" s="342"/>
      <c r="H1531" s="342"/>
      <c r="I1531" s="342"/>
      <c r="J1531" s="342"/>
      <c r="K1531" s="342"/>
      <c r="L1531" s="342"/>
      <c r="M1531" s="342"/>
      <c r="N1531" s="342"/>
      <c r="O1531" s="342"/>
      <c r="P1531" s="342"/>
      <c r="Q1531" s="342"/>
      <c r="R1531" s="342"/>
      <c r="S1531" s="342"/>
      <c r="T1531" s="342"/>
      <c r="U1531" s="342"/>
      <c r="V1531" s="342"/>
      <c r="W1531" s="1318">
        <f>KN_5154</f>
        <v>0</v>
      </c>
      <c r="X1531" s="1318"/>
      <c r="Y1531" s="1318"/>
      <c r="Z1531" s="1318"/>
      <c r="AA1531" s="1318"/>
      <c r="AB1531" s="1318"/>
      <c r="AC1531" s="355"/>
      <c r="AD1531" s="1318">
        <f>KT_5154</f>
        <v>861755</v>
      </c>
      <c r="AE1531" s="1318"/>
      <c r="AF1531" s="1318"/>
      <c r="AG1531" s="1318"/>
      <c r="AH1531" s="1318"/>
      <c r="AI1531" s="1318"/>
      <c r="AJ1531" s="716"/>
      <c r="AK1531" s="717"/>
      <c r="AL1531" s="718"/>
      <c r="AM1531" s="716"/>
      <c r="AN1531" s="716"/>
      <c r="AO1531" s="716"/>
      <c r="AP1531" s="716"/>
      <c r="AQ1531" s="716"/>
      <c r="AR1531" s="716"/>
      <c r="AS1531" s="716"/>
      <c r="AT1531" s="716"/>
      <c r="AU1531" s="716"/>
      <c r="AV1531" s="716"/>
      <c r="AW1531" s="716"/>
      <c r="AX1531" s="716"/>
      <c r="AY1531" s="716"/>
      <c r="AZ1531" s="716"/>
      <c r="BA1531" s="716"/>
      <c r="BB1531" s="716"/>
      <c r="BC1531" s="716"/>
      <c r="BD1531" s="716"/>
      <c r="BE1531" s="716"/>
      <c r="BF1531" s="716"/>
      <c r="BG1531" s="719"/>
      <c r="BH1531" s="719"/>
      <c r="BI1531" s="719"/>
      <c r="BJ1531" s="719"/>
      <c r="BK1531" s="719"/>
      <c r="BL1531" s="719"/>
      <c r="BM1531" s="719"/>
      <c r="BN1531" s="719"/>
      <c r="BO1531" s="719"/>
      <c r="BP1531" s="719"/>
      <c r="BQ1531" s="719"/>
      <c r="BR1531" s="719"/>
      <c r="BS1531" s="719"/>
      <c r="BT1531" s="720"/>
      <c r="BU1531" s="721"/>
      <c r="BV1531" s="722"/>
      <c r="BW1531" s="722"/>
      <c r="BX1531" s="291"/>
      <c r="BY1531" s="344"/>
      <c r="BZ1531" s="347"/>
      <c r="CA1531" s="347"/>
    </row>
    <row r="1532" spans="1:79" ht="15" hidden="1" customHeight="1" x14ac:dyDescent="0.25">
      <c r="A1532" s="313"/>
      <c r="B1532" s="340"/>
      <c r="C1532" s="342" t="s">
        <v>1605</v>
      </c>
      <c r="D1532" s="342"/>
      <c r="E1532" s="342"/>
      <c r="F1532" s="342"/>
      <c r="G1532" s="342"/>
      <c r="H1532" s="342"/>
      <c r="I1532" s="342"/>
      <c r="J1532" s="342"/>
      <c r="K1532" s="342"/>
      <c r="L1532" s="342"/>
      <c r="M1532" s="342"/>
      <c r="N1532" s="342"/>
      <c r="O1532" s="342"/>
      <c r="P1532" s="342"/>
      <c r="Q1532" s="342"/>
      <c r="R1532" s="342"/>
      <c r="S1532" s="342"/>
      <c r="T1532" s="342"/>
      <c r="U1532" s="342"/>
      <c r="V1532" s="342"/>
      <c r="W1532" s="1318">
        <f>KN_5155</f>
        <v>0</v>
      </c>
      <c r="X1532" s="1318"/>
      <c r="Y1532" s="1318"/>
      <c r="Z1532" s="1318"/>
      <c r="AA1532" s="1318"/>
      <c r="AB1532" s="1318"/>
      <c r="AC1532" s="355"/>
      <c r="AD1532" s="1318">
        <f>KT_5155</f>
        <v>0</v>
      </c>
      <c r="AE1532" s="1318"/>
      <c r="AF1532" s="1318"/>
      <c r="AG1532" s="1318"/>
      <c r="AH1532" s="1318"/>
      <c r="AI1532" s="1318"/>
      <c r="AJ1532" s="344"/>
      <c r="AK1532" s="345"/>
      <c r="AL1532" s="340"/>
      <c r="AM1532" s="342" t="s">
        <v>1606</v>
      </c>
      <c r="AN1532" s="342"/>
      <c r="AO1532" s="342"/>
      <c r="AP1532" s="342"/>
      <c r="AQ1532" s="342"/>
      <c r="AR1532" s="342"/>
      <c r="AS1532" s="342"/>
      <c r="AT1532" s="342"/>
      <c r="AU1532" s="342"/>
      <c r="AV1532" s="342"/>
      <c r="AW1532" s="342"/>
      <c r="AX1532" s="342"/>
      <c r="AY1532" s="342"/>
      <c r="AZ1532" s="342"/>
      <c r="BA1532" s="342"/>
      <c r="BB1532" s="342"/>
      <c r="BC1532" s="342"/>
      <c r="BD1532" s="342"/>
      <c r="BE1532" s="342"/>
      <c r="BF1532" s="342"/>
      <c r="BG1532" s="1318">
        <f t="shared" si="109"/>
        <v>0</v>
      </c>
      <c r="BH1532" s="1318"/>
      <c r="BI1532" s="1318"/>
      <c r="BJ1532" s="1318"/>
      <c r="BK1532" s="1318"/>
      <c r="BL1532" s="1318"/>
      <c r="BM1532" s="355"/>
      <c r="BN1532" s="1318">
        <f t="shared" si="110"/>
        <v>0</v>
      </c>
      <c r="BO1532" s="1318"/>
      <c r="BP1532" s="1318"/>
      <c r="BQ1532" s="1318"/>
      <c r="BR1532" s="1318"/>
      <c r="BS1532" s="1318"/>
      <c r="BT1532" s="675"/>
      <c r="BU1532" s="676"/>
      <c r="BV1532" s="310"/>
      <c r="BW1532" s="310"/>
      <c r="BX1532" s="291">
        <f t="shared" si="106"/>
        <v>0</v>
      </c>
      <c r="BY1532" s="344"/>
      <c r="BZ1532" s="347"/>
      <c r="CA1532" s="347"/>
    </row>
    <row r="1533" spans="1:79" ht="15" hidden="1" customHeight="1" x14ac:dyDescent="0.25">
      <c r="A1533" s="313"/>
      <c r="B1533" s="340"/>
      <c r="C1533" s="342" t="s">
        <v>1607</v>
      </c>
      <c r="D1533" s="342"/>
      <c r="E1533" s="342"/>
      <c r="F1533" s="342"/>
      <c r="G1533" s="342"/>
      <c r="H1533" s="342"/>
      <c r="I1533" s="342"/>
      <c r="J1533" s="342"/>
      <c r="K1533" s="342"/>
      <c r="L1533" s="342"/>
      <c r="M1533" s="342"/>
      <c r="N1533" s="342"/>
      <c r="O1533" s="342"/>
      <c r="P1533" s="342"/>
      <c r="Q1533" s="342"/>
      <c r="R1533" s="342"/>
      <c r="S1533" s="342"/>
      <c r="T1533" s="342"/>
      <c r="U1533" s="342"/>
      <c r="V1533" s="342"/>
      <c r="W1533" s="1318">
        <f>KN_5158</f>
        <v>0</v>
      </c>
      <c r="X1533" s="1318"/>
      <c r="Y1533" s="1318"/>
      <c r="Z1533" s="1318"/>
      <c r="AA1533" s="1318"/>
      <c r="AB1533" s="1318"/>
      <c r="AC1533" s="355"/>
      <c r="AD1533" s="1318">
        <f>KT_5158</f>
        <v>0</v>
      </c>
      <c r="AE1533" s="1318"/>
      <c r="AF1533" s="1318"/>
      <c r="AG1533" s="1318"/>
      <c r="AH1533" s="1318"/>
      <c r="AI1533" s="1318"/>
      <c r="AJ1533" s="344"/>
      <c r="AK1533" s="345"/>
      <c r="AL1533" s="340"/>
      <c r="AM1533" s="342" t="s">
        <v>1608</v>
      </c>
      <c r="AN1533" s="342"/>
      <c r="AO1533" s="342"/>
      <c r="AP1533" s="342"/>
      <c r="AQ1533" s="342"/>
      <c r="AR1533" s="342"/>
      <c r="AS1533" s="342"/>
      <c r="AT1533" s="342"/>
      <c r="AU1533" s="342"/>
      <c r="AV1533" s="342"/>
      <c r="AW1533" s="342"/>
      <c r="AX1533" s="342"/>
      <c r="AY1533" s="342"/>
      <c r="AZ1533" s="342"/>
      <c r="BA1533" s="342"/>
      <c r="BB1533" s="342"/>
      <c r="BC1533" s="342"/>
      <c r="BD1533" s="342"/>
      <c r="BE1533" s="342"/>
      <c r="BF1533" s="342"/>
      <c r="BG1533" s="1318">
        <f t="shared" si="109"/>
        <v>0</v>
      </c>
      <c r="BH1533" s="1318"/>
      <c r="BI1533" s="1318"/>
      <c r="BJ1533" s="1318"/>
      <c r="BK1533" s="1318"/>
      <c r="BL1533" s="1318"/>
      <c r="BM1533" s="355"/>
      <c r="BN1533" s="1318">
        <f t="shared" si="110"/>
        <v>0</v>
      </c>
      <c r="BO1533" s="1318"/>
      <c r="BP1533" s="1318"/>
      <c r="BQ1533" s="1318"/>
      <c r="BR1533" s="1318"/>
      <c r="BS1533" s="1318"/>
      <c r="BT1533" s="675"/>
      <c r="BU1533" s="676"/>
      <c r="BV1533" s="310"/>
      <c r="BW1533" s="310"/>
      <c r="BX1533" s="291">
        <f t="shared" si="106"/>
        <v>0</v>
      </c>
      <c r="BY1533" s="344"/>
      <c r="BZ1533" s="347"/>
      <c r="CA1533" s="347"/>
    </row>
    <row r="1534" spans="1:79" ht="12.95" customHeight="1" x14ac:dyDescent="0.25">
      <c r="A1534" s="313"/>
      <c r="B1534" s="340"/>
      <c r="C1534" s="342"/>
      <c r="D1534" s="342"/>
      <c r="E1534" s="342"/>
      <c r="F1534" s="342"/>
      <c r="G1534" s="342"/>
      <c r="H1534" s="342"/>
      <c r="I1534" s="342"/>
      <c r="J1534" s="342"/>
      <c r="K1534" s="342"/>
      <c r="L1534" s="342"/>
      <c r="M1534" s="342"/>
      <c r="N1534" s="342"/>
      <c r="O1534" s="342"/>
      <c r="P1534" s="342"/>
      <c r="Q1534" s="342"/>
      <c r="R1534" s="342"/>
      <c r="S1534" s="342"/>
      <c r="T1534" s="342"/>
      <c r="U1534" s="342"/>
      <c r="V1534" s="342"/>
      <c r="W1534" s="355"/>
      <c r="X1534" s="355"/>
      <c r="Y1534" s="355"/>
      <c r="Z1534" s="355"/>
      <c r="AA1534" s="355"/>
      <c r="AB1534" s="355"/>
      <c r="AC1534" s="355"/>
      <c r="AD1534" s="355"/>
      <c r="AE1534" s="355"/>
      <c r="AF1534" s="355"/>
      <c r="AG1534" s="355"/>
      <c r="AH1534" s="355"/>
      <c r="AI1534" s="355"/>
      <c r="AJ1534" s="344"/>
      <c r="AK1534" s="345"/>
      <c r="AL1534" s="340"/>
      <c r="AM1534" s="342"/>
      <c r="AN1534" s="342"/>
      <c r="AO1534" s="342"/>
      <c r="AP1534" s="342"/>
      <c r="AQ1534" s="342"/>
      <c r="AR1534" s="342"/>
      <c r="AS1534" s="342"/>
      <c r="AT1534" s="342"/>
      <c r="AU1534" s="342"/>
      <c r="AV1534" s="342"/>
      <c r="AW1534" s="342"/>
      <c r="AX1534" s="342"/>
      <c r="AY1534" s="342"/>
      <c r="AZ1534" s="342"/>
      <c r="BA1534" s="342"/>
      <c r="BB1534" s="342"/>
      <c r="BC1534" s="342"/>
      <c r="BD1534" s="342"/>
      <c r="BE1534" s="342"/>
      <c r="BF1534" s="342"/>
      <c r="BG1534" s="355"/>
      <c r="BH1534" s="355"/>
      <c r="BI1534" s="355"/>
      <c r="BJ1534" s="355"/>
      <c r="BK1534" s="355"/>
      <c r="BL1534" s="355"/>
      <c r="BM1534" s="355"/>
      <c r="BN1534" s="355"/>
      <c r="BO1534" s="355"/>
      <c r="BP1534" s="355"/>
      <c r="BQ1534" s="355"/>
      <c r="BR1534" s="355"/>
      <c r="BS1534" s="355"/>
      <c r="BT1534" s="359"/>
      <c r="BU1534" s="346"/>
      <c r="BV1534" s="310"/>
      <c r="BW1534" s="310"/>
      <c r="BX1534" s="291">
        <f t="shared" si="106"/>
        <v>0</v>
      </c>
      <c r="BY1534" s="344"/>
      <c r="BZ1534" s="347"/>
      <c r="CA1534" s="347"/>
    </row>
    <row r="1535" spans="1:79" ht="15" customHeight="1" thickBot="1" x14ac:dyDescent="0.3">
      <c r="A1535" s="313"/>
      <c r="B1535" s="340"/>
      <c r="C1535" s="360" t="s">
        <v>752</v>
      </c>
      <c r="D1535" s="342"/>
      <c r="E1535" s="342"/>
      <c r="F1535" s="342"/>
      <c r="G1535" s="342"/>
      <c r="H1535" s="342"/>
      <c r="I1535" s="342"/>
      <c r="J1535" s="342"/>
      <c r="K1535" s="342"/>
      <c r="L1535" s="342"/>
      <c r="M1535" s="342"/>
      <c r="N1535" s="342"/>
      <c r="O1535" s="342"/>
      <c r="P1535" s="342"/>
      <c r="Q1535" s="342"/>
      <c r="R1535" s="342"/>
      <c r="S1535" s="342"/>
      <c r="T1535" s="342"/>
      <c r="U1535" s="342"/>
      <c r="V1535" s="342"/>
      <c r="W1535" s="1359">
        <f>SUBTOTAL(109,W1527:AB1533)</f>
        <v>1397144590</v>
      </c>
      <c r="X1535" s="1359"/>
      <c r="Y1535" s="1359"/>
      <c r="Z1535" s="1359"/>
      <c r="AA1535" s="1359"/>
      <c r="AB1535" s="1359"/>
      <c r="AC1535" s="355"/>
      <c r="AD1535" s="1359">
        <f>SUBTOTAL(109,AD1527:AI1533)</f>
        <v>1251713561</v>
      </c>
      <c r="AE1535" s="1359"/>
      <c r="AF1535" s="1359"/>
      <c r="AG1535" s="1359"/>
      <c r="AH1535" s="1359"/>
      <c r="AI1535" s="1359"/>
      <c r="AJ1535" s="344"/>
      <c r="AK1535" s="345"/>
      <c r="AL1535" s="340"/>
      <c r="AM1535" s="360" t="s">
        <v>753</v>
      </c>
      <c r="AN1535" s="341"/>
      <c r="AO1535" s="341"/>
      <c r="AP1535" s="341"/>
      <c r="AQ1535" s="341"/>
      <c r="AR1535" s="341"/>
      <c r="AS1535" s="341"/>
      <c r="AT1535" s="341"/>
      <c r="AU1535" s="341"/>
      <c r="AV1535" s="341"/>
      <c r="AW1535" s="341"/>
      <c r="AX1535" s="341"/>
      <c r="AY1535" s="341"/>
      <c r="AZ1535" s="341"/>
      <c r="BA1535" s="341"/>
      <c r="BB1535" s="341"/>
      <c r="BC1535" s="341"/>
      <c r="BD1535" s="341"/>
      <c r="BE1535" s="341"/>
      <c r="BF1535" s="341"/>
      <c r="BG1535" s="1359">
        <f>SUBTOTAL(109,BG1527:BL1533)</f>
        <v>1397144590</v>
      </c>
      <c r="BH1535" s="1359"/>
      <c r="BI1535" s="1359"/>
      <c r="BJ1535" s="1359"/>
      <c r="BK1535" s="1359"/>
      <c r="BL1535" s="1359"/>
      <c r="BM1535" s="355"/>
      <c r="BN1535" s="1359">
        <f>SUBTOTAL(109,BN1527:BS1533)</f>
        <v>1250851806</v>
      </c>
      <c r="BO1535" s="1359"/>
      <c r="BP1535" s="1359"/>
      <c r="BQ1535" s="1359"/>
      <c r="BR1535" s="1359"/>
      <c r="BS1535" s="1359"/>
      <c r="BT1535" s="342"/>
      <c r="BU1535" s="346"/>
      <c r="BV1535" s="310">
        <f>W1535-KN_CT21</f>
        <v>0</v>
      </c>
      <c r="BW1535" s="310">
        <f>AD1535-KT_CT21</f>
        <v>0</v>
      </c>
      <c r="BX1535" s="291">
        <f t="shared" si="106"/>
        <v>861755</v>
      </c>
      <c r="BY1535" s="344"/>
      <c r="BZ1535" s="347"/>
      <c r="CA1535" s="347"/>
    </row>
    <row r="1536" spans="1:79" ht="2.1" customHeight="1" thickTop="1" x14ac:dyDescent="0.25">
      <c r="A1536" s="313"/>
      <c r="B1536" s="454"/>
      <c r="C1536" s="342"/>
      <c r="D1536" s="342"/>
      <c r="E1536" s="342"/>
      <c r="F1536" s="342"/>
      <c r="G1536" s="342"/>
      <c r="H1536" s="342"/>
      <c r="I1536" s="342"/>
      <c r="J1536" s="342"/>
      <c r="K1536" s="342"/>
      <c r="L1536" s="342"/>
      <c r="M1536" s="342"/>
      <c r="N1536" s="342"/>
      <c r="O1536" s="342"/>
      <c r="P1536" s="342"/>
      <c r="Q1536" s="342"/>
      <c r="R1536" s="342"/>
      <c r="S1536" s="342"/>
      <c r="T1536" s="342"/>
      <c r="U1536" s="342"/>
      <c r="V1536" s="342"/>
      <c r="W1536" s="343"/>
      <c r="X1536" s="343"/>
      <c r="Y1536" s="343"/>
      <c r="Z1536" s="343"/>
      <c r="AA1536" s="343"/>
      <c r="AB1536" s="343"/>
      <c r="AC1536" s="343"/>
      <c r="AD1536" s="343"/>
      <c r="AE1536" s="343"/>
      <c r="AF1536" s="343"/>
      <c r="AG1536" s="343"/>
      <c r="AH1536" s="343"/>
      <c r="AI1536" s="343"/>
      <c r="AJ1536" s="344"/>
      <c r="AK1536" s="345"/>
      <c r="AL1536" s="340"/>
      <c r="AM1536" s="342"/>
      <c r="AN1536" s="342"/>
      <c r="AO1536" s="342"/>
      <c r="AP1536" s="342"/>
      <c r="AQ1536" s="342"/>
      <c r="AR1536" s="342"/>
      <c r="AS1536" s="342"/>
      <c r="AT1536" s="342"/>
      <c r="AU1536" s="342"/>
      <c r="AV1536" s="342"/>
      <c r="AW1536" s="342"/>
      <c r="AX1536" s="342"/>
      <c r="AY1536" s="342"/>
      <c r="AZ1536" s="342"/>
      <c r="BA1536" s="342"/>
      <c r="BB1536" s="342"/>
      <c r="BC1536" s="342"/>
      <c r="BD1536" s="342"/>
      <c r="BE1536" s="342"/>
      <c r="BF1536" s="342"/>
      <c r="BG1536" s="342"/>
      <c r="BH1536" s="342"/>
      <c r="BI1536" s="342"/>
      <c r="BJ1536" s="342"/>
      <c r="BK1536" s="342"/>
      <c r="BL1536" s="342"/>
      <c r="BM1536" s="342"/>
      <c r="BN1536" s="356"/>
      <c r="BO1536" s="356"/>
      <c r="BP1536" s="356"/>
      <c r="BQ1536" s="356"/>
      <c r="BR1536" s="356"/>
      <c r="BS1536" s="356"/>
      <c r="BT1536" s="356"/>
      <c r="BU1536" s="357"/>
      <c r="BV1536" s="310"/>
      <c r="BW1536" s="310"/>
      <c r="BX1536" s="291">
        <f t="shared" si="106"/>
        <v>0</v>
      </c>
      <c r="BY1536" s="344"/>
      <c r="BZ1536" s="347"/>
      <c r="CA1536" s="347"/>
    </row>
    <row r="1537" spans="1:79" ht="12.95" customHeight="1" x14ac:dyDescent="0.25">
      <c r="A1537" s="313"/>
      <c r="B1537" s="340"/>
      <c r="C1537" s="342"/>
      <c r="D1537" s="342"/>
      <c r="E1537" s="342"/>
      <c r="F1537" s="342"/>
      <c r="G1537" s="342"/>
      <c r="H1537" s="342"/>
      <c r="I1537" s="342"/>
      <c r="J1537" s="342"/>
      <c r="K1537" s="342"/>
      <c r="L1537" s="342"/>
      <c r="M1537" s="342"/>
      <c r="N1537" s="342"/>
      <c r="O1537" s="342"/>
      <c r="P1537" s="342"/>
      <c r="Q1537" s="342"/>
      <c r="R1537" s="342"/>
      <c r="S1537" s="342"/>
      <c r="T1537" s="342"/>
      <c r="U1537" s="342"/>
      <c r="V1537" s="342"/>
      <c r="W1537" s="343"/>
      <c r="X1537" s="343"/>
      <c r="Y1537" s="343"/>
      <c r="Z1537" s="343"/>
      <c r="AA1537" s="343"/>
      <c r="AB1537" s="343"/>
      <c r="AC1537" s="343"/>
      <c r="AD1537" s="343"/>
      <c r="AE1537" s="343"/>
      <c r="AF1537" s="343"/>
      <c r="AG1537" s="343"/>
      <c r="AH1537" s="343"/>
      <c r="AI1537" s="343"/>
      <c r="AJ1537" s="344"/>
      <c r="AK1537" s="345"/>
      <c r="AL1537" s="340"/>
      <c r="AM1537" s="342"/>
      <c r="AN1537" s="342"/>
      <c r="AO1537" s="342"/>
      <c r="AP1537" s="342"/>
      <c r="AQ1537" s="342"/>
      <c r="AR1537" s="342"/>
      <c r="AS1537" s="342"/>
      <c r="AT1537" s="342"/>
      <c r="AU1537" s="342"/>
      <c r="AV1537" s="342"/>
      <c r="AW1537" s="342"/>
      <c r="AX1537" s="342"/>
      <c r="AY1537" s="342"/>
      <c r="AZ1537" s="342"/>
      <c r="BA1537" s="342"/>
      <c r="BB1537" s="342"/>
      <c r="BC1537" s="342"/>
      <c r="BD1537" s="342"/>
      <c r="BE1537" s="342"/>
      <c r="BF1537" s="342"/>
      <c r="BG1537" s="342"/>
      <c r="BH1537" s="342"/>
      <c r="BI1537" s="342"/>
      <c r="BJ1537" s="342"/>
      <c r="BK1537" s="342"/>
      <c r="BL1537" s="342"/>
      <c r="BM1537" s="342"/>
      <c r="BN1537" s="356"/>
      <c r="BO1537" s="356"/>
      <c r="BP1537" s="356"/>
      <c r="BQ1537" s="356"/>
      <c r="BR1537" s="356"/>
      <c r="BS1537" s="356"/>
      <c r="BT1537" s="356"/>
      <c r="BU1537" s="357"/>
      <c r="BV1537" s="310"/>
      <c r="BW1537" s="310"/>
      <c r="BX1537" s="291">
        <f t="shared" si="106"/>
        <v>0</v>
      </c>
      <c r="BY1537" s="344"/>
      <c r="BZ1537" s="347"/>
      <c r="CA1537" s="347"/>
    </row>
    <row r="1538" spans="1:79" ht="15" customHeight="1" x14ac:dyDescent="0.25">
      <c r="A1538" s="313">
        <v>25</v>
      </c>
      <c r="B1538" s="340" t="s">
        <v>345</v>
      </c>
      <c r="C1538" s="341" t="s">
        <v>1609</v>
      </c>
      <c r="D1538" s="342"/>
      <c r="E1538" s="342"/>
      <c r="F1538" s="342"/>
      <c r="G1538" s="342"/>
      <c r="H1538" s="342"/>
      <c r="I1538" s="342"/>
      <c r="J1538" s="342"/>
      <c r="K1538" s="342"/>
      <c r="L1538" s="342"/>
      <c r="M1538" s="342"/>
      <c r="N1538" s="342"/>
      <c r="O1538" s="342"/>
      <c r="P1538" s="342"/>
      <c r="Q1538" s="342"/>
      <c r="R1538" s="342"/>
      <c r="S1538" s="342"/>
      <c r="T1538" s="342"/>
      <c r="U1538" s="342"/>
      <c r="V1538" s="342"/>
      <c r="W1538" s="343"/>
      <c r="X1538" s="343"/>
      <c r="Y1538" s="343"/>
      <c r="Z1538" s="343"/>
      <c r="AA1538" s="343"/>
      <c r="AB1538" s="343"/>
      <c r="AC1538" s="343"/>
      <c r="AD1538" s="343"/>
      <c r="AE1538" s="343"/>
      <c r="AF1538" s="343"/>
      <c r="AG1538" s="343"/>
      <c r="AH1538" s="343"/>
      <c r="AI1538" s="343"/>
      <c r="AJ1538" s="344"/>
      <c r="AK1538" s="345">
        <f>A1538</f>
        <v>25</v>
      </c>
      <c r="AL1538" s="340" t="s">
        <v>345</v>
      </c>
      <c r="AM1538" s="341" t="s">
        <v>1610</v>
      </c>
      <c r="AN1538" s="342"/>
      <c r="AO1538" s="342"/>
      <c r="AP1538" s="342"/>
      <c r="AQ1538" s="342"/>
      <c r="AR1538" s="342"/>
      <c r="AS1538" s="342"/>
      <c r="AT1538" s="342"/>
      <c r="AU1538" s="342"/>
      <c r="AV1538" s="342"/>
      <c r="AW1538" s="342"/>
      <c r="AX1538" s="342"/>
      <c r="AY1538" s="342"/>
      <c r="AZ1538" s="342"/>
      <c r="BA1538" s="342"/>
      <c r="BB1538" s="342"/>
      <c r="BC1538" s="342"/>
      <c r="BD1538" s="342"/>
      <c r="BE1538" s="342"/>
      <c r="BF1538" s="342"/>
      <c r="BG1538" s="342"/>
      <c r="BH1538" s="342"/>
      <c r="BI1538" s="342"/>
      <c r="BJ1538" s="342"/>
      <c r="BK1538" s="342"/>
      <c r="BL1538" s="342"/>
      <c r="BM1538" s="342"/>
      <c r="BN1538" s="356"/>
      <c r="BO1538" s="356"/>
      <c r="BP1538" s="356"/>
      <c r="BQ1538" s="356"/>
      <c r="BR1538" s="356"/>
      <c r="BS1538" s="356"/>
      <c r="BT1538" s="356"/>
      <c r="BU1538" s="346">
        <f>SUBTOTAL(103,A1538)</f>
        <v>1</v>
      </c>
      <c r="BV1538" s="310"/>
      <c r="BW1538" s="310"/>
      <c r="BX1538" s="291">
        <f t="shared" si="106"/>
        <v>0</v>
      </c>
      <c r="BY1538" s="344"/>
      <c r="BZ1538" s="347"/>
      <c r="CA1538" s="347"/>
    </row>
    <row r="1539" spans="1:79" ht="15" customHeight="1" x14ac:dyDescent="0.25">
      <c r="A1539" s="313"/>
      <c r="B1539" s="340"/>
      <c r="C1539" s="392"/>
      <c r="D1539" s="392"/>
      <c r="E1539" s="392"/>
      <c r="F1539" s="392"/>
      <c r="G1539" s="392"/>
      <c r="H1539" s="392"/>
      <c r="I1539" s="392"/>
      <c r="J1539" s="392"/>
      <c r="K1539" s="392"/>
      <c r="L1539" s="392"/>
      <c r="M1539" s="392"/>
      <c r="N1539" s="392"/>
      <c r="O1539" s="392"/>
      <c r="P1539" s="392"/>
      <c r="Q1539" s="392"/>
      <c r="R1539" s="392"/>
      <c r="S1539" s="392"/>
      <c r="T1539" s="392"/>
      <c r="U1539" s="392"/>
      <c r="V1539" s="392"/>
      <c r="W1539" s="1324" t="str">
        <f>Ky_Nay2_V</f>
        <v>Năm 2017</v>
      </c>
      <c r="X1539" s="1324"/>
      <c r="Y1539" s="1324"/>
      <c r="Z1539" s="1324"/>
      <c r="AA1539" s="1324"/>
      <c r="AB1539" s="1324"/>
      <c r="AC1539" s="681"/>
      <c r="AD1539" s="1324" t="str">
        <f>Ky_Truoc2_V</f>
        <v>Năm 2016</v>
      </c>
      <c r="AE1539" s="1324"/>
      <c r="AF1539" s="1324"/>
      <c r="AG1539" s="1324"/>
      <c r="AH1539" s="1324"/>
      <c r="AI1539" s="1324"/>
      <c r="AJ1539" s="344"/>
      <c r="AK1539" s="345"/>
      <c r="AL1539" s="340"/>
      <c r="AM1539" s="392"/>
      <c r="AN1539" s="392"/>
      <c r="AO1539" s="392"/>
      <c r="AP1539" s="392"/>
      <c r="AQ1539" s="392"/>
      <c r="AR1539" s="392"/>
      <c r="AS1539" s="392"/>
      <c r="AT1539" s="392"/>
      <c r="AU1539" s="392"/>
      <c r="AV1539" s="392"/>
      <c r="AW1539" s="392"/>
      <c r="AX1539" s="392"/>
      <c r="AY1539" s="392"/>
      <c r="AZ1539" s="392"/>
      <c r="BA1539" s="392"/>
      <c r="BB1539" s="392"/>
      <c r="BC1539" s="392"/>
      <c r="BD1539" s="392"/>
      <c r="BE1539" s="392"/>
      <c r="BF1539" s="392"/>
      <c r="BG1539" s="1325" t="str">
        <f>Ky_Nay2_E</f>
        <v>Year 2016</v>
      </c>
      <c r="BH1539" s="1325"/>
      <c r="BI1539" s="1325"/>
      <c r="BJ1539" s="1325"/>
      <c r="BK1539" s="1325"/>
      <c r="BL1539" s="1325"/>
      <c r="BM1539" s="332"/>
      <c r="BN1539" s="1325" t="str">
        <f>Ky_Truoc2_E</f>
        <v>Year 2015</v>
      </c>
      <c r="BO1539" s="1325"/>
      <c r="BP1539" s="1325"/>
      <c r="BQ1539" s="1325"/>
      <c r="BR1539" s="1325"/>
      <c r="BS1539" s="1325"/>
      <c r="BT1539" s="352"/>
      <c r="BU1539" s="353"/>
      <c r="BV1539" s="310"/>
      <c r="BW1539" s="310"/>
      <c r="BX1539" s="291">
        <f t="shared" si="106"/>
        <v>0</v>
      </c>
      <c r="BY1539" s="344"/>
      <c r="BZ1539" s="347"/>
      <c r="CA1539" s="347"/>
    </row>
    <row r="1540" spans="1:79" ht="15" customHeight="1" x14ac:dyDescent="0.25">
      <c r="A1540" s="313"/>
      <c r="B1540" s="340"/>
      <c r="C1540" s="392"/>
      <c r="D1540" s="392"/>
      <c r="E1540" s="392"/>
      <c r="F1540" s="392"/>
      <c r="G1540" s="392"/>
      <c r="H1540" s="392"/>
      <c r="I1540" s="392"/>
      <c r="J1540" s="392"/>
      <c r="K1540" s="392"/>
      <c r="L1540" s="392"/>
      <c r="M1540" s="392"/>
      <c r="N1540" s="392"/>
      <c r="O1540" s="392"/>
      <c r="P1540" s="392"/>
      <c r="Q1540" s="392"/>
      <c r="R1540" s="392"/>
      <c r="S1540" s="392"/>
      <c r="T1540" s="392"/>
      <c r="U1540" s="392"/>
      <c r="V1540" s="392"/>
      <c r="W1540" s="1327" t="str">
        <f>Don_Vi_Tinh_V</f>
        <v>VND</v>
      </c>
      <c r="X1540" s="1327"/>
      <c r="Y1540" s="1327"/>
      <c r="Z1540" s="1327"/>
      <c r="AA1540" s="1327"/>
      <c r="AB1540" s="1327"/>
      <c r="AC1540" s="351"/>
      <c r="AD1540" s="1327" t="str">
        <f>Don_Vi_Tinh_V</f>
        <v>VND</v>
      </c>
      <c r="AE1540" s="1327"/>
      <c r="AF1540" s="1327"/>
      <c r="AG1540" s="1327"/>
      <c r="AH1540" s="1327"/>
      <c r="AI1540" s="1327"/>
      <c r="AJ1540" s="344"/>
      <c r="AK1540" s="345"/>
      <c r="AL1540" s="340"/>
      <c r="AM1540" s="392"/>
      <c r="AN1540" s="392"/>
      <c r="AO1540" s="392"/>
      <c r="AP1540" s="392"/>
      <c r="AQ1540" s="392"/>
      <c r="AR1540" s="392"/>
      <c r="AS1540" s="392"/>
      <c r="AT1540" s="392"/>
      <c r="AU1540" s="392"/>
      <c r="AV1540" s="392"/>
      <c r="AW1540" s="392"/>
      <c r="AX1540" s="392"/>
      <c r="AY1540" s="392"/>
      <c r="AZ1540" s="392"/>
      <c r="BA1540" s="392"/>
      <c r="BB1540" s="392"/>
      <c r="BC1540" s="392"/>
      <c r="BD1540" s="392"/>
      <c r="BE1540" s="392"/>
      <c r="BF1540" s="392"/>
      <c r="BG1540" s="1327" t="str">
        <f>Don_Vi_Tinh_E</f>
        <v>VND</v>
      </c>
      <c r="BH1540" s="1327"/>
      <c r="BI1540" s="1327"/>
      <c r="BJ1540" s="1327"/>
      <c r="BK1540" s="1327"/>
      <c r="BL1540" s="1327"/>
      <c r="BM1540" s="351"/>
      <c r="BN1540" s="1327" t="str">
        <f>Don_Vi_Tinh_E</f>
        <v>VND</v>
      </c>
      <c r="BO1540" s="1327"/>
      <c r="BP1540" s="1327"/>
      <c r="BQ1540" s="1327"/>
      <c r="BR1540" s="1327"/>
      <c r="BS1540" s="1327"/>
      <c r="BT1540" s="352"/>
      <c r="BU1540" s="353"/>
      <c r="BV1540" s="310"/>
      <c r="BW1540" s="310"/>
      <c r="BX1540" s="291">
        <f t="shared" si="106"/>
        <v>0</v>
      </c>
      <c r="BY1540" s="344"/>
      <c r="BZ1540" s="347"/>
      <c r="CA1540" s="347"/>
    </row>
    <row r="1541" spans="1:79" ht="12.95" customHeight="1" x14ac:dyDescent="0.25">
      <c r="A1541" s="313"/>
      <c r="B1541" s="340"/>
      <c r="C1541" s="392"/>
      <c r="D1541" s="392"/>
      <c r="E1541" s="392"/>
      <c r="F1541" s="392"/>
      <c r="G1541" s="392"/>
      <c r="H1541" s="392"/>
      <c r="I1541" s="392"/>
      <c r="J1541" s="392"/>
      <c r="K1541" s="392"/>
      <c r="L1541" s="392"/>
      <c r="M1541" s="392"/>
      <c r="N1541" s="392"/>
      <c r="O1541" s="392"/>
      <c r="P1541" s="392"/>
      <c r="Q1541" s="392"/>
      <c r="R1541" s="392"/>
      <c r="S1541" s="392"/>
      <c r="T1541" s="392"/>
      <c r="U1541" s="392"/>
      <c r="V1541" s="392"/>
      <c r="W1541" s="1318"/>
      <c r="X1541" s="1318"/>
      <c r="Y1541" s="1318"/>
      <c r="Z1541" s="1318"/>
      <c r="AA1541" s="1318"/>
      <c r="AB1541" s="1318"/>
      <c r="AC1541" s="355"/>
      <c r="AD1541" s="1318"/>
      <c r="AE1541" s="1318"/>
      <c r="AF1541" s="1318"/>
      <c r="AG1541" s="1318"/>
      <c r="AH1541" s="1318"/>
      <c r="AI1541" s="1318"/>
      <c r="AJ1541" s="344"/>
      <c r="AK1541" s="345"/>
      <c r="AL1541" s="340"/>
      <c r="AM1541" s="392"/>
      <c r="AN1541" s="392"/>
      <c r="AO1541" s="392"/>
      <c r="AP1541" s="392"/>
      <c r="AQ1541" s="392"/>
      <c r="AR1541" s="392"/>
      <c r="AS1541" s="392"/>
      <c r="AT1541" s="392"/>
      <c r="AU1541" s="392"/>
      <c r="AV1541" s="392"/>
      <c r="AW1541" s="392"/>
      <c r="AX1541" s="392"/>
      <c r="AY1541" s="392"/>
      <c r="AZ1541" s="392"/>
      <c r="BA1541" s="392"/>
      <c r="BB1541" s="392"/>
      <c r="BC1541" s="392"/>
      <c r="BD1541" s="392"/>
      <c r="BE1541" s="392"/>
      <c r="BF1541" s="392"/>
      <c r="BG1541" s="599"/>
      <c r="BH1541" s="599"/>
      <c r="BI1541" s="599"/>
      <c r="BJ1541" s="599"/>
      <c r="BK1541" s="599"/>
      <c r="BL1541" s="599"/>
      <c r="BM1541" s="600"/>
      <c r="BN1541" s="599"/>
      <c r="BO1541" s="599"/>
      <c r="BP1541" s="599"/>
      <c r="BQ1541" s="599"/>
      <c r="BR1541" s="599"/>
      <c r="BS1541" s="599"/>
      <c r="BT1541" s="352"/>
      <c r="BU1541" s="353"/>
      <c r="BV1541" s="310"/>
      <c r="BW1541" s="310"/>
      <c r="BX1541" s="291">
        <f t="shared" si="106"/>
        <v>0</v>
      </c>
      <c r="BY1541" s="344"/>
      <c r="BZ1541" s="347"/>
      <c r="CA1541" s="347"/>
    </row>
    <row r="1542" spans="1:79" ht="15" customHeight="1" x14ac:dyDescent="0.25">
      <c r="A1542" s="313"/>
      <c r="B1542" s="340"/>
      <c r="C1542" s="354" t="s">
        <v>1611</v>
      </c>
      <c r="D1542" s="340"/>
      <c r="E1542" s="340"/>
      <c r="F1542" s="340"/>
      <c r="G1542" s="340"/>
      <c r="H1542" s="340"/>
      <c r="I1542" s="340"/>
      <c r="J1542" s="340"/>
      <c r="K1542" s="340"/>
      <c r="L1542" s="340"/>
      <c r="M1542" s="340"/>
      <c r="N1542" s="340"/>
      <c r="O1542" s="340"/>
      <c r="P1542" s="340"/>
      <c r="Q1542" s="340"/>
      <c r="R1542" s="340"/>
      <c r="S1542" s="340"/>
      <c r="T1542" s="340"/>
      <c r="U1542" s="342"/>
      <c r="V1542" s="342"/>
      <c r="W1542" s="1318">
        <f>KN_6351</f>
        <v>158913332</v>
      </c>
      <c r="X1542" s="1318"/>
      <c r="Y1542" s="1318"/>
      <c r="Z1542" s="1318"/>
      <c r="AA1542" s="1318"/>
      <c r="AB1542" s="1318"/>
      <c r="AC1542" s="355"/>
      <c r="AD1542" s="1318">
        <f>KT_6351</f>
        <v>370067294</v>
      </c>
      <c r="AE1542" s="1318"/>
      <c r="AF1542" s="1318"/>
      <c r="AG1542" s="1318"/>
      <c r="AH1542" s="1318"/>
      <c r="AI1542" s="1318"/>
      <c r="AJ1542" s="344"/>
      <c r="AK1542" s="345"/>
      <c r="AL1542" s="340"/>
      <c r="AM1542" s="354" t="s">
        <v>1612</v>
      </c>
      <c r="AN1542" s="340"/>
      <c r="AO1542" s="340"/>
      <c r="AP1542" s="340"/>
      <c r="AQ1542" s="340"/>
      <c r="AR1542" s="340"/>
      <c r="AS1542" s="340"/>
      <c r="AT1542" s="340"/>
      <c r="AU1542" s="340"/>
      <c r="AV1542" s="340"/>
      <c r="AW1542" s="340"/>
      <c r="AX1542" s="340"/>
      <c r="AY1542" s="340"/>
      <c r="AZ1542" s="340"/>
      <c r="BA1542" s="340"/>
      <c r="BB1542" s="340"/>
      <c r="BC1542" s="340"/>
      <c r="BD1542" s="340"/>
      <c r="BE1542" s="342"/>
      <c r="BF1542" s="342"/>
      <c r="BG1542" s="1318">
        <f t="shared" ref="BG1542:BG1549" si="111">W1542</f>
        <v>158913332</v>
      </c>
      <c r="BH1542" s="1318"/>
      <c r="BI1542" s="1318"/>
      <c r="BJ1542" s="1318"/>
      <c r="BK1542" s="1318"/>
      <c r="BL1542" s="1318"/>
      <c r="BM1542" s="358"/>
      <c r="BN1542" s="1318">
        <f t="shared" ref="BN1542:BN1549" si="112">AD1542</f>
        <v>370067294</v>
      </c>
      <c r="BO1542" s="1318"/>
      <c r="BP1542" s="1318"/>
      <c r="BQ1542" s="1318"/>
      <c r="BR1542" s="1318"/>
      <c r="BS1542" s="1318"/>
      <c r="BT1542" s="356"/>
      <c r="BU1542" s="357"/>
      <c r="BV1542" s="310"/>
      <c r="BW1542" s="310"/>
      <c r="BX1542" s="291">
        <f t="shared" si="106"/>
        <v>0</v>
      </c>
      <c r="BY1542" s="344"/>
      <c r="BZ1542" s="347"/>
      <c r="CA1542" s="347"/>
    </row>
    <row r="1543" spans="1:79" ht="15" hidden="1" customHeight="1" x14ac:dyDescent="0.25">
      <c r="A1543" s="313"/>
      <c r="B1543" s="340"/>
      <c r="C1543" s="354" t="s">
        <v>1613</v>
      </c>
      <c r="D1543" s="340"/>
      <c r="E1543" s="340"/>
      <c r="F1543" s="340"/>
      <c r="G1543" s="340"/>
      <c r="H1543" s="340"/>
      <c r="I1543" s="340"/>
      <c r="J1543" s="340"/>
      <c r="K1543" s="340"/>
      <c r="L1543" s="340"/>
      <c r="M1543" s="340"/>
      <c r="N1543" s="340"/>
      <c r="O1543" s="340"/>
      <c r="P1543" s="340"/>
      <c r="Q1543" s="340"/>
      <c r="R1543" s="340"/>
      <c r="S1543" s="340"/>
      <c r="T1543" s="340"/>
      <c r="U1543" s="342"/>
      <c r="V1543" s="342"/>
      <c r="W1543" s="1318">
        <f>KN_6352</f>
        <v>0</v>
      </c>
      <c r="X1543" s="1318"/>
      <c r="Y1543" s="1318"/>
      <c r="Z1543" s="1318"/>
      <c r="AA1543" s="1318"/>
      <c r="AB1543" s="1318"/>
      <c r="AC1543" s="355"/>
      <c r="AD1543" s="1318">
        <f>KT_6352</f>
        <v>0</v>
      </c>
      <c r="AE1543" s="1318"/>
      <c r="AF1543" s="1318"/>
      <c r="AG1543" s="1318"/>
      <c r="AH1543" s="1318"/>
      <c r="AI1543" s="1318"/>
      <c r="AJ1543" s="344"/>
      <c r="AK1543" s="345"/>
      <c r="AL1543" s="340"/>
      <c r="AM1543" s="354" t="s">
        <v>1614</v>
      </c>
      <c r="AN1543" s="340"/>
      <c r="AO1543" s="340"/>
      <c r="AP1543" s="340"/>
      <c r="AQ1543" s="340"/>
      <c r="AR1543" s="340"/>
      <c r="AS1543" s="340"/>
      <c r="AT1543" s="340"/>
      <c r="AU1543" s="340"/>
      <c r="AV1543" s="340"/>
      <c r="AW1543" s="340"/>
      <c r="AX1543" s="340"/>
      <c r="AY1543" s="340"/>
      <c r="AZ1543" s="340"/>
      <c r="BA1543" s="340"/>
      <c r="BB1543" s="340"/>
      <c r="BC1543" s="340"/>
      <c r="BD1543" s="340"/>
      <c r="BE1543" s="342"/>
      <c r="BF1543" s="342"/>
      <c r="BG1543" s="1363">
        <f t="shared" si="111"/>
        <v>0</v>
      </c>
      <c r="BH1543" s="1363"/>
      <c r="BI1543" s="1363"/>
      <c r="BJ1543" s="1363"/>
      <c r="BK1543" s="1363"/>
      <c r="BL1543" s="1363"/>
      <c r="BM1543" s="358"/>
      <c r="BN1543" s="1363">
        <f t="shared" si="112"/>
        <v>0</v>
      </c>
      <c r="BO1543" s="1363"/>
      <c r="BP1543" s="1363"/>
      <c r="BQ1543" s="1363"/>
      <c r="BR1543" s="1363"/>
      <c r="BS1543" s="1363"/>
      <c r="BT1543" s="359"/>
      <c r="BU1543" s="346"/>
      <c r="BV1543" s="310"/>
      <c r="BW1543" s="310"/>
      <c r="BX1543" s="291">
        <f t="shared" si="106"/>
        <v>0</v>
      </c>
      <c r="BY1543" s="344"/>
      <c r="BZ1543" s="347"/>
      <c r="CA1543" s="347"/>
    </row>
    <row r="1544" spans="1:79" ht="15" hidden="1" customHeight="1" x14ac:dyDescent="0.25">
      <c r="A1544" s="313"/>
      <c r="B1544" s="340"/>
      <c r="C1544" s="342" t="s">
        <v>1615</v>
      </c>
      <c r="D1544" s="342"/>
      <c r="E1544" s="342"/>
      <c r="F1544" s="342"/>
      <c r="G1544" s="342"/>
      <c r="H1544" s="342"/>
      <c r="I1544" s="342"/>
      <c r="J1544" s="342"/>
      <c r="K1544" s="342"/>
      <c r="L1544" s="342"/>
      <c r="M1544" s="342"/>
      <c r="N1544" s="342"/>
      <c r="O1544" s="342"/>
      <c r="P1544" s="342"/>
      <c r="Q1544" s="342"/>
      <c r="R1544" s="342"/>
      <c r="S1544" s="342"/>
      <c r="T1544" s="342"/>
      <c r="U1544" s="342"/>
      <c r="V1544" s="342"/>
      <c r="W1544" s="1318">
        <f>KN_6353</f>
        <v>0</v>
      </c>
      <c r="X1544" s="1318"/>
      <c r="Y1544" s="1318"/>
      <c r="Z1544" s="1318"/>
      <c r="AA1544" s="1318"/>
      <c r="AB1544" s="1318"/>
      <c r="AC1544" s="355"/>
      <c r="AD1544" s="1318">
        <f>KT_6353</f>
        <v>0</v>
      </c>
      <c r="AE1544" s="1318"/>
      <c r="AF1544" s="1318"/>
      <c r="AG1544" s="1318"/>
      <c r="AH1544" s="1318"/>
      <c r="AI1544" s="1318"/>
      <c r="AJ1544" s="344"/>
      <c r="AK1544" s="345"/>
      <c r="AL1544" s="340"/>
      <c r="AM1544" s="342" t="s">
        <v>1616</v>
      </c>
      <c r="AN1544" s="342"/>
      <c r="AO1544" s="342"/>
      <c r="AP1544" s="342"/>
      <c r="AQ1544" s="342"/>
      <c r="AR1544" s="342"/>
      <c r="AS1544" s="342"/>
      <c r="AT1544" s="342"/>
      <c r="AU1544" s="342"/>
      <c r="AV1544" s="342"/>
      <c r="AW1544" s="342"/>
      <c r="AX1544" s="342"/>
      <c r="AY1544" s="342"/>
      <c r="AZ1544" s="342"/>
      <c r="BA1544" s="342"/>
      <c r="BB1544" s="342"/>
      <c r="BC1544" s="342"/>
      <c r="BD1544" s="342"/>
      <c r="BE1544" s="342"/>
      <c r="BF1544" s="342"/>
      <c r="BG1544" s="1363">
        <f t="shared" si="111"/>
        <v>0</v>
      </c>
      <c r="BH1544" s="1363"/>
      <c r="BI1544" s="1363"/>
      <c r="BJ1544" s="1363"/>
      <c r="BK1544" s="1363"/>
      <c r="BL1544" s="1363"/>
      <c r="BM1544" s="358"/>
      <c r="BN1544" s="1363">
        <f t="shared" si="112"/>
        <v>0</v>
      </c>
      <c r="BO1544" s="1363"/>
      <c r="BP1544" s="1363"/>
      <c r="BQ1544" s="1363"/>
      <c r="BR1544" s="1363"/>
      <c r="BS1544" s="1363"/>
      <c r="BT1544" s="359"/>
      <c r="BU1544" s="346"/>
      <c r="BV1544" s="310"/>
      <c r="BW1544" s="310"/>
      <c r="BX1544" s="291">
        <f t="shared" si="106"/>
        <v>0</v>
      </c>
      <c r="BY1544" s="344"/>
      <c r="BZ1544" s="347"/>
      <c r="CA1544" s="347"/>
    </row>
    <row r="1545" spans="1:79" ht="15" customHeight="1" x14ac:dyDescent="0.25">
      <c r="A1545" s="313"/>
      <c r="B1545" s="340"/>
      <c r="C1545" s="354" t="s">
        <v>1617</v>
      </c>
      <c r="D1545" s="342"/>
      <c r="E1545" s="342"/>
      <c r="F1545" s="342"/>
      <c r="G1545" s="342"/>
      <c r="H1545" s="342"/>
      <c r="I1545" s="342"/>
      <c r="J1545" s="342"/>
      <c r="K1545" s="342"/>
      <c r="L1545" s="342"/>
      <c r="M1545" s="342"/>
      <c r="N1545" s="342"/>
      <c r="O1545" s="342"/>
      <c r="P1545" s="342"/>
      <c r="Q1545" s="342"/>
      <c r="R1545" s="342"/>
      <c r="S1545" s="342"/>
      <c r="T1545" s="342"/>
      <c r="U1545" s="342"/>
      <c r="V1545" s="342"/>
      <c r="W1545" s="1318">
        <f>KN_6354</f>
        <v>155219</v>
      </c>
      <c r="X1545" s="1318"/>
      <c r="Y1545" s="1318"/>
      <c r="Z1545" s="1318"/>
      <c r="AA1545" s="1318"/>
      <c r="AB1545" s="1318"/>
      <c r="AC1545" s="355"/>
      <c r="AD1545" s="1318">
        <f>KT_6354</f>
        <v>0</v>
      </c>
      <c r="AE1545" s="1318"/>
      <c r="AF1545" s="1318"/>
      <c r="AG1545" s="1318"/>
      <c r="AH1545" s="1318"/>
      <c r="AI1545" s="1318"/>
      <c r="AJ1545" s="344"/>
      <c r="AK1545" s="345"/>
      <c r="AL1545" s="340"/>
      <c r="AM1545" s="342" t="s">
        <v>1618</v>
      </c>
      <c r="AN1545" s="342"/>
      <c r="AO1545" s="342"/>
      <c r="AP1545" s="342"/>
      <c r="AQ1545" s="342"/>
      <c r="AR1545" s="342"/>
      <c r="AS1545" s="342"/>
      <c r="AT1545" s="342"/>
      <c r="AU1545" s="342"/>
      <c r="AV1545" s="342"/>
      <c r="AW1545" s="342"/>
      <c r="AX1545" s="342"/>
      <c r="AY1545" s="342"/>
      <c r="AZ1545" s="342"/>
      <c r="BA1545" s="342"/>
      <c r="BB1545" s="342"/>
      <c r="BC1545" s="342"/>
      <c r="BD1545" s="342"/>
      <c r="BE1545" s="342"/>
      <c r="BF1545" s="342"/>
      <c r="BG1545" s="1318">
        <f t="shared" si="111"/>
        <v>155219</v>
      </c>
      <c r="BH1545" s="1318"/>
      <c r="BI1545" s="1318"/>
      <c r="BJ1545" s="1318"/>
      <c r="BK1545" s="1318"/>
      <c r="BL1545" s="1318"/>
      <c r="BM1545" s="355"/>
      <c r="BN1545" s="1318">
        <f t="shared" si="112"/>
        <v>0</v>
      </c>
      <c r="BO1545" s="1318"/>
      <c r="BP1545" s="1318"/>
      <c r="BQ1545" s="1318"/>
      <c r="BR1545" s="1318"/>
      <c r="BS1545" s="1318"/>
      <c r="BT1545" s="359"/>
      <c r="BU1545" s="346"/>
      <c r="BV1545" s="310">
        <f>W1545+W1546-KN_6354</f>
        <v>0</v>
      </c>
      <c r="BW1545" s="310">
        <f>AD1545+AD1546-KT_6354</f>
        <v>0</v>
      </c>
      <c r="BX1545" s="291">
        <f t="shared" si="106"/>
        <v>0</v>
      </c>
      <c r="BY1545" s="344"/>
      <c r="BZ1545" s="347"/>
      <c r="CA1545" s="347"/>
    </row>
    <row r="1546" spans="1:79" ht="15" hidden="1" customHeight="1" x14ac:dyDescent="0.25">
      <c r="A1546" s="313"/>
      <c r="B1546" s="340"/>
      <c r="C1546" s="354" t="s">
        <v>1619</v>
      </c>
      <c r="D1546" s="342"/>
      <c r="E1546" s="342"/>
      <c r="F1546" s="342"/>
      <c r="G1546" s="342"/>
      <c r="H1546" s="342"/>
      <c r="I1546" s="342"/>
      <c r="J1546" s="342"/>
      <c r="K1546" s="342"/>
      <c r="L1546" s="342"/>
      <c r="M1546" s="342"/>
      <c r="N1546" s="342"/>
      <c r="O1546" s="342"/>
      <c r="P1546" s="342"/>
      <c r="Q1546" s="342"/>
      <c r="R1546" s="342"/>
      <c r="S1546" s="342"/>
      <c r="T1546" s="342"/>
      <c r="U1546" s="342"/>
      <c r="V1546" s="342"/>
      <c r="W1546" s="1318"/>
      <c r="X1546" s="1318"/>
      <c r="Y1546" s="1318"/>
      <c r="Z1546" s="1318"/>
      <c r="AA1546" s="1318"/>
      <c r="AB1546" s="1318"/>
      <c r="AC1546" s="355"/>
      <c r="AD1546" s="1318"/>
      <c r="AE1546" s="1318"/>
      <c r="AF1546" s="1318"/>
      <c r="AG1546" s="1318"/>
      <c r="AH1546" s="1318"/>
      <c r="AI1546" s="1318"/>
      <c r="AJ1546" s="344"/>
      <c r="AK1546" s="345"/>
      <c r="AL1546" s="340"/>
      <c r="AM1546" s="342"/>
      <c r="AN1546" s="342"/>
      <c r="AO1546" s="342"/>
      <c r="AP1546" s="342"/>
      <c r="AQ1546" s="342"/>
      <c r="AR1546" s="342"/>
      <c r="AS1546" s="342"/>
      <c r="AT1546" s="342"/>
      <c r="AU1546" s="342"/>
      <c r="AV1546" s="342"/>
      <c r="AW1546" s="342"/>
      <c r="AX1546" s="342"/>
      <c r="AY1546" s="342"/>
      <c r="AZ1546" s="342"/>
      <c r="BA1546" s="342"/>
      <c r="BB1546" s="342"/>
      <c r="BC1546" s="342"/>
      <c r="BD1546" s="342"/>
      <c r="BE1546" s="342"/>
      <c r="BF1546" s="342"/>
      <c r="BG1546" s="355"/>
      <c r="BH1546" s="355"/>
      <c r="BI1546" s="355"/>
      <c r="BJ1546" s="355"/>
      <c r="BK1546" s="355"/>
      <c r="BL1546" s="355"/>
      <c r="BM1546" s="355"/>
      <c r="BN1546" s="355"/>
      <c r="BO1546" s="355"/>
      <c r="BP1546" s="355"/>
      <c r="BQ1546" s="355"/>
      <c r="BR1546" s="355"/>
      <c r="BS1546" s="355"/>
      <c r="BT1546" s="359"/>
      <c r="BU1546" s="346"/>
      <c r="BV1546" s="310"/>
      <c r="BW1546" s="310"/>
      <c r="BX1546" s="291"/>
      <c r="BY1546" s="344"/>
      <c r="BZ1546" s="347"/>
      <c r="CA1546" s="347"/>
    </row>
    <row r="1547" spans="1:79" ht="15" customHeight="1" x14ac:dyDescent="0.25">
      <c r="A1547" s="313"/>
      <c r="B1547" s="340"/>
      <c r="C1547" s="342" t="s">
        <v>1620</v>
      </c>
      <c r="D1547" s="340"/>
      <c r="E1547" s="340"/>
      <c r="F1547" s="340"/>
      <c r="G1547" s="340"/>
      <c r="H1547" s="340"/>
      <c r="I1547" s="340"/>
      <c r="J1547" s="340"/>
      <c r="K1547" s="340"/>
      <c r="L1547" s="340"/>
      <c r="M1547" s="340"/>
      <c r="N1547" s="340"/>
      <c r="O1547" s="340"/>
      <c r="P1547" s="340"/>
      <c r="Q1547" s="340"/>
      <c r="R1547" s="340"/>
      <c r="S1547" s="340"/>
      <c r="T1547" s="340"/>
      <c r="U1547" s="342"/>
      <c r="V1547" s="342"/>
      <c r="W1547" s="1318">
        <f>KN_6355</f>
        <v>-795571</v>
      </c>
      <c r="X1547" s="1318"/>
      <c r="Y1547" s="1318"/>
      <c r="Z1547" s="1318"/>
      <c r="AA1547" s="1318"/>
      <c r="AB1547" s="1318"/>
      <c r="AC1547" s="355"/>
      <c r="AD1547" s="1318">
        <f>KT_6355</f>
        <v>258925993</v>
      </c>
      <c r="AE1547" s="1318"/>
      <c r="AF1547" s="1318"/>
      <c r="AG1547" s="1318"/>
      <c r="AH1547" s="1318"/>
      <c r="AI1547" s="1318"/>
      <c r="AJ1547" s="344"/>
      <c r="AK1547" s="345"/>
      <c r="AL1547" s="340"/>
      <c r="AM1547" s="1348" t="s">
        <v>1621</v>
      </c>
      <c r="AN1547" s="1348"/>
      <c r="AO1547" s="1348"/>
      <c r="AP1547" s="1348"/>
      <c r="AQ1547" s="1348"/>
      <c r="AR1547" s="1348"/>
      <c r="AS1547" s="1348"/>
      <c r="AT1547" s="1348"/>
      <c r="AU1547" s="1348"/>
      <c r="AV1547" s="1348"/>
      <c r="AW1547" s="1348"/>
      <c r="AX1547" s="1348"/>
      <c r="AY1547" s="1348"/>
      <c r="AZ1547" s="1348"/>
      <c r="BA1547" s="1348"/>
      <c r="BB1547" s="1348"/>
      <c r="BC1547" s="1348"/>
      <c r="BD1547" s="1348"/>
      <c r="BE1547" s="1348"/>
      <c r="BF1547" s="342"/>
      <c r="BG1547" s="1318">
        <f t="shared" si="111"/>
        <v>-795571</v>
      </c>
      <c r="BH1547" s="1318"/>
      <c r="BI1547" s="1318"/>
      <c r="BJ1547" s="1318"/>
      <c r="BK1547" s="1318"/>
      <c r="BL1547" s="1318"/>
      <c r="BM1547" s="358"/>
      <c r="BN1547" s="1318">
        <f t="shared" si="112"/>
        <v>258925993</v>
      </c>
      <c r="BO1547" s="1318"/>
      <c r="BP1547" s="1318"/>
      <c r="BQ1547" s="1318"/>
      <c r="BR1547" s="1318"/>
      <c r="BS1547" s="1318"/>
      <c r="BT1547" s="356"/>
      <c r="BU1547" s="357"/>
      <c r="BV1547" s="310"/>
      <c r="BW1547" s="310"/>
      <c r="BX1547" s="291">
        <f t="shared" si="106"/>
        <v>0</v>
      </c>
      <c r="BY1547" s="344"/>
      <c r="BZ1547" s="347"/>
      <c r="CA1547" s="347"/>
    </row>
    <row r="1548" spans="1:79" ht="15" hidden="1" customHeight="1" x14ac:dyDescent="0.25">
      <c r="A1548" s="313"/>
      <c r="B1548" s="340"/>
      <c r="C1548" s="342" t="s">
        <v>1622</v>
      </c>
      <c r="D1548" s="340"/>
      <c r="E1548" s="340"/>
      <c r="F1548" s="340"/>
      <c r="G1548" s="340"/>
      <c r="H1548" s="340"/>
      <c r="I1548" s="340"/>
      <c r="J1548" s="340"/>
      <c r="K1548" s="340"/>
      <c r="L1548" s="340"/>
      <c r="M1548" s="340"/>
      <c r="N1548" s="340"/>
      <c r="O1548" s="340"/>
      <c r="P1548" s="340"/>
      <c r="Q1548" s="340"/>
      <c r="R1548" s="340"/>
      <c r="S1548" s="340"/>
      <c r="T1548" s="340"/>
      <c r="U1548" s="342"/>
      <c r="V1548" s="342"/>
      <c r="W1548" s="1318">
        <f>KN_6356</f>
        <v>0</v>
      </c>
      <c r="X1548" s="1318"/>
      <c r="Y1548" s="1318"/>
      <c r="Z1548" s="1318"/>
      <c r="AA1548" s="1318"/>
      <c r="AB1548" s="1318"/>
      <c r="AC1548" s="355"/>
      <c r="AD1548" s="1318">
        <f>KT_6356</f>
        <v>0</v>
      </c>
      <c r="AE1548" s="1318"/>
      <c r="AF1548" s="1318"/>
      <c r="AG1548" s="1318"/>
      <c r="AH1548" s="1318"/>
      <c r="AI1548" s="1318"/>
      <c r="AJ1548" s="344"/>
      <c r="AK1548" s="345"/>
      <c r="AL1548" s="340"/>
      <c r="AM1548" s="354" t="s">
        <v>1623</v>
      </c>
      <c r="AN1548" s="340"/>
      <c r="AO1548" s="340"/>
      <c r="AP1548" s="340"/>
      <c r="AQ1548" s="340"/>
      <c r="AR1548" s="340"/>
      <c r="AS1548" s="340"/>
      <c r="AT1548" s="340"/>
      <c r="AU1548" s="340"/>
      <c r="AV1548" s="340"/>
      <c r="AW1548" s="340"/>
      <c r="AX1548" s="340"/>
      <c r="AY1548" s="340"/>
      <c r="AZ1548" s="340"/>
      <c r="BA1548" s="340"/>
      <c r="BB1548" s="340"/>
      <c r="BC1548" s="340"/>
      <c r="BD1548" s="340"/>
      <c r="BE1548" s="342"/>
      <c r="BF1548" s="342"/>
      <c r="BG1548" s="1363">
        <f t="shared" si="111"/>
        <v>0</v>
      </c>
      <c r="BH1548" s="1363"/>
      <c r="BI1548" s="1363"/>
      <c r="BJ1548" s="1363"/>
      <c r="BK1548" s="1363"/>
      <c r="BL1548" s="1363"/>
      <c r="BM1548" s="358"/>
      <c r="BN1548" s="1363">
        <f t="shared" si="112"/>
        <v>0</v>
      </c>
      <c r="BO1548" s="1363"/>
      <c r="BP1548" s="1363"/>
      <c r="BQ1548" s="1363"/>
      <c r="BR1548" s="1363"/>
      <c r="BS1548" s="1363"/>
      <c r="BT1548" s="359"/>
      <c r="BU1548" s="346"/>
      <c r="BV1548" s="310"/>
      <c r="BW1548" s="310"/>
      <c r="BX1548" s="291">
        <f t="shared" si="106"/>
        <v>0</v>
      </c>
      <c r="BY1548" s="344"/>
      <c r="BZ1548" s="347"/>
      <c r="CA1548" s="347"/>
    </row>
    <row r="1549" spans="1:79" ht="15" hidden="1" customHeight="1" x14ac:dyDescent="0.25">
      <c r="A1549" s="313"/>
      <c r="B1549" s="340"/>
      <c r="C1549" s="342" t="s">
        <v>1624</v>
      </c>
      <c r="D1549" s="342"/>
      <c r="E1549" s="342"/>
      <c r="F1549" s="342"/>
      <c r="G1549" s="342"/>
      <c r="H1549" s="342"/>
      <c r="I1549" s="342"/>
      <c r="J1549" s="342"/>
      <c r="K1549" s="342"/>
      <c r="L1549" s="342"/>
      <c r="M1549" s="342"/>
      <c r="N1549" s="342"/>
      <c r="O1549" s="342"/>
      <c r="P1549" s="342"/>
      <c r="Q1549" s="342"/>
      <c r="R1549" s="342"/>
      <c r="S1549" s="342"/>
      <c r="T1549" s="342"/>
      <c r="U1549" s="342"/>
      <c r="V1549" s="342"/>
      <c r="W1549" s="1318">
        <f>KN_6357</f>
        <v>0</v>
      </c>
      <c r="X1549" s="1318"/>
      <c r="Y1549" s="1318"/>
      <c r="Z1549" s="1318"/>
      <c r="AA1549" s="1318"/>
      <c r="AB1549" s="1318"/>
      <c r="AC1549" s="355"/>
      <c r="AD1549" s="1318">
        <f>KT_6357</f>
        <v>0</v>
      </c>
      <c r="AE1549" s="1318"/>
      <c r="AF1549" s="1318"/>
      <c r="AG1549" s="1318"/>
      <c r="AH1549" s="1318"/>
      <c r="AI1549" s="1318"/>
      <c r="AJ1549" s="344"/>
      <c r="AK1549" s="345"/>
      <c r="AL1549" s="340"/>
      <c r="AM1549" s="342" t="s">
        <v>1625</v>
      </c>
      <c r="AN1549" s="342"/>
      <c r="AO1549" s="342"/>
      <c r="AP1549" s="342"/>
      <c r="AQ1549" s="342"/>
      <c r="AR1549" s="342"/>
      <c r="AS1549" s="342"/>
      <c r="AT1549" s="342"/>
      <c r="AU1549" s="342"/>
      <c r="AV1549" s="342"/>
      <c r="AW1549" s="342"/>
      <c r="AX1549" s="342"/>
      <c r="AY1549" s="342"/>
      <c r="AZ1549" s="342"/>
      <c r="BA1549" s="342"/>
      <c r="BB1549" s="342"/>
      <c r="BC1549" s="342"/>
      <c r="BD1549" s="342"/>
      <c r="BE1549" s="342"/>
      <c r="BF1549" s="342"/>
      <c r="BG1549" s="1363">
        <f t="shared" si="111"/>
        <v>0</v>
      </c>
      <c r="BH1549" s="1363"/>
      <c r="BI1549" s="1363"/>
      <c r="BJ1549" s="1363"/>
      <c r="BK1549" s="1363"/>
      <c r="BL1549" s="1363"/>
      <c r="BM1549" s="358"/>
      <c r="BN1549" s="1363">
        <f t="shared" si="112"/>
        <v>0</v>
      </c>
      <c r="BO1549" s="1363"/>
      <c r="BP1549" s="1363"/>
      <c r="BQ1549" s="1363"/>
      <c r="BR1549" s="1363"/>
      <c r="BS1549" s="1363"/>
      <c r="BT1549" s="359"/>
      <c r="BU1549" s="346"/>
      <c r="BV1549" s="310"/>
      <c r="BW1549" s="310"/>
      <c r="BX1549" s="291">
        <f t="shared" si="106"/>
        <v>0</v>
      </c>
      <c r="BY1549" s="344"/>
      <c r="BZ1549" s="347"/>
      <c r="CA1549" s="347"/>
    </row>
    <row r="1550" spans="1:79" ht="12.95" customHeight="1" x14ac:dyDescent="0.25">
      <c r="A1550" s="313"/>
      <c r="B1550" s="340"/>
      <c r="C1550" s="342"/>
      <c r="D1550" s="342"/>
      <c r="E1550" s="342"/>
      <c r="F1550" s="342"/>
      <c r="G1550" s="342"/>
      <c r="H1550" s="342"/>
      <c r="I1550" s="342"/>
      <c r="J1550" s="342"/>
      <c r="K1550" s="342"/>
      <c r="L1550" s="342"/>
      <c r="M1550" s="342"/>
      <c r="N1550" s="342"/>
      <c r="O1550" s="342"/>
      <c r="P1550" s="342"/>
      <c r="Q1550" s="342"/>
      <c r="R1550" s="342"/>
      <c r="S1550" s="342"/>
      <c r="T1550" s="342"/>
      <c r="U1550" s="342"/>
      <c r="V1550" s="342"/>
      <c r="W1550" s="723"/>
      <c r="X1550" s="723"/>
      <c r="Y1550" s="723"/>
      <c r="Z1550" s="723"/>
      <c r="AA1550" s="723"/>
      <c r="AB1550" s="723"/>
      <c r="AC1550" s="355"/>
      <c r="AD1550" s="723"/>
      <c r="AE1550" s="723"/>
      <c r="AF1550" s="723"/>
      <c r="AG1550" s="723"/>
      <c r="AH1550" s="723"/>
      <c r="AI1550" s="723"/>
      <c r="AJ1550" s="344"/>
      <c r="AK1550" s="345"/>
      <c r="AL1550" s="340"/>
      <c r="AM1550" s="342"/>
      <c r="AN1550" s="342"/>
      <c r="AO1550" s="342"/>
      <c r="AP1550" s="342"/>
      <c r="AQ1550" s="342"/>
      <c r="AR1550" s="342"/>
      <c r="AS1550" s="342"/>
      <c r="AT1550" s="342"/>
      <c r="AU1550" s="342"/>
      <c r="AV1550" s="342"/>
      <c r="AW1550" s="342"/>
      <c r="AX1550" s="342"/>
      <c r="AY1550" s="342"/>
      <c r="AZ1550" s="342"/>
      <c r="BA1550" s="342"/>
      <c r="BB1550" s="342"/>
      <c r="BC1550" s="342"/>
      <c r="BD1550" s="342"/>
      <c r="BE1550" s="342"/>
      <c r="BF1550" s="342"/>
      <c r="BG1550" s="358"/>
      <c r="BH1550" s="358"/>
      <c r="BI1550" s="358"/>
      <c r="BJ1550" s="358"/>
      <c r="BK1550" s="358"/>
      <c r="BL1550" s="358"/>
      <c r="BM1550" s="358"/>
      <c r="BN1550" s="358"/>
      <c r="BO1550" s="358"/>
      <c r="BP1550" s="358"/>
      <c r="BQ1550" s="358"/>
      <c r="BR1550" s="358"/>
      <c r="BS1550" s="358"/>
      <c r="BT1550" s="359"/>
      <c r="BU1550" s="346"/>
      <c r="BV1550" s="310"/>
      <c r="BW1550" s="310"/>
      <c r="BX1550" s="291">
        <f t="shared" si="106"/>
        <v>0</v>
      </c>
      <c r="BY1550" s="344"/>
      <c r="BZ1550" s="347"/>
      <c r="CA1550" s="347"/>
    </row>
    <row r="1551" spans="1:79" ht="15" customHeight="1" thickBot="1" x14ac:dyDescent="0.3">
      <c r="A1551" s="313"/>
      <c r="B1551" s="340"/>
      <c r="C1551" s="360" t="s">
        <v>752</v>
      </c>
      <c r="D1551" s="340"/>
      <c r="E1551" s="340"/>
      <c r="F1551" s="340"/>
      <c r="G1551" s="340"/>
      <c r="H1551" s="340"/>
      <c r="I1551" s="340"/>
      <c r="J1551" s="340"/>
      <c r="K1551" s="340"/>
      <c r="L1551" s="340"/>
      <c r="M1551" s="340"/>
      <c r="N1551" s="340"/>
      <c r="O1551" s="340"/>
      <c r="P1551" s="340"/>
      <c r="Q1551" s="340"/>
      <c r="R1551" s="340"/>
      <c r="S1551" s="340"/>
      <c r="T1551" s="340"/>
      <c r="U1551" s="342"/>
      <c r="V1551" s="342"/>
      <c r="W1551" s="1359">
        <f>SUBTOTAL(109,W1542:AB1549)</f>
        <v>158272980</v>
      </c>
      <c r="X1551" s="1359"/>
      <c r="Y1551" s="1359"/>
      <c r="Z1551" s="1359"/>
      <c r="AA1551" s="1359"/>
      <c r="AB1551" s="1359"/>
      <c r="AC1551" s="355"/>
      <c r="AD1551" s="1359">
        <f>SUBTOTAL(109,AD1542:AI1549)</f>
        <v>628993287</v>
      </c>
      <c r="AE1551" s="1359"/>
      <c r="AF1551" s="1359"/>
      <c r="AG1551" s="1359"/>
      <c r="AH1551" s="1359"/>
      <c r="AI1551" s="1359"/>
      <c r="AJ1551" s="344"/>
      <c r="AK1551" s="345"/>
      <c r="AL1551" s="340"/>
      <c r="AM1551" s="360" t="s">
        <v>753</v>
      </c>
      <c r="AN1551" s="340"/>
      <c r="AO1551" s="340"/>
      <c r="AP1551" s="340"/>
      <c r="AQ1551" s="340"/>
      <c r="AR1551" s="340"/>
      <c r="AS1551" s="340"/>
      <c r="AT1551" s="340"/>
      <c r="AU1551" s="340"/>
      <c r="AV1551" s="340"/>
      <c r="AW1551" s="340"/>
      <c r="AX1551" s="340"/>
      <c r="AY1551" s="340"/>
      <c r="AZ1551" s="340"/>
      <c r="BA1551" s="340"/>
      <c r="BB1551" s="340"/>
      <c r="BC1551" s="340"/>
      <c r="BD1551" s="340"/>
      <c r="BE1551" s="342"/>
      <c r="BF1551" s="342"/>
      <c r="BG1551" s="1359">
        <f>SUBTOTAL(109,BG1542:BL1549)</f>
        <v>158272980</v>
      </c>
      <c r="BH1551" s="1359"/>
      <c r="BI1551" s="1359"/>
      <c r="BJ1551" s="1359"/>
      <c r="BK1551" s="1359"/>
      <c r="BL1551" s="1359"/>
      <c r="BM1551" s="358"/>
      <c r="BN1551" s="1359">
        <f>SUBTOTAL(109,BN1542:BS1549)</f>
        <v>628993287</v>
      </c>
      <c r="BO1551" s="1359"/>
      <c r="BP1551" s="1359"/>
      <c r="BQ1551" s="1359"/>
      <c r="BR1551" s="1359"/>
      <c r="BS1551" s="1359"/>
      <c r="BT1551" s="361"/>
      <c r="BU1551" s="362"/>
      <c r="BV1551" s="310">
        <f>W1551-KN_CT22</f>
        <v>0</v>
      </c>
      <c r="BW1551" s="310">
        <f>AD1551-KT_CT22</f>
        <v>0</v>
      </c>
      <c r="BX1551" s="291">
        <f t="shared" ref="BX1551:BX1615" si="113">IF(ISNONTEXT($C1551),0,SUM(D1551:AI1551)-SUM(AN1551:BS1551))</f>
        <v>0</v>
      </c>
      <c r="BY1551" s="344"/>
      <c r="BZ1551" s="347"/>
      <c r="CA1551" s="347"/>
    </row>
    <row r="1552" spans="1:79" ht="2.1" customHeight="1" thickTop="1" x14ac:dyDescent="0.25">
      <c r="A1552" s="313"/>
      <c r="B1552" s="454"/>
      <c r="C1552" s="342"/>
      <c r="D1552" s="342"/>
      <c r="E1552" s="342"/>
      <c r="F1552" s="342"/>
      <c r="G1552" s="342"/>
      <c r="H1552" s="342"/>
      <c r="I1552" s="342"/>
      <c r="J1552" s="342"/>
      <c r="K1552" s="342"/>
      <c r="L1552" s="342"/>
      <c r="M1552" s="342"/>
      <c r="N1552" s="342"/>
      <c r="O1552" s="342"/>
      <c r="P1552" s="342"/>
      <c r="Q1552" s="342"/>
      <c r="R1552" s="342"/>
      <c r="S1552" s="342"/>
      <c r="T1552" s="342"/>
      <c r="U1552" s="342"/>
      <c r="V1552" s="342"/>
      <c r="W1552" s="343"/>
      <c r="X1552" s="343"/>
      <c r="Y1552" s="343"/>
      <c r="Z1552" s="343"/>
      <c r="AA1552" s="343"/>
      <c r="AB1552" s="343"/>
      <c r="AC1552" s="343"/>
      <c r="AD1552" s="343"/>
      <c r="AE1552" s="343"/>
      <c r="AF1552" s="343"/>
      <c r="AG1552" s="343"/>
      <c r="AH1552" s="343"/>
      <c r="AI1552" s="343"/>
      <c r="AJ1552" s="344"/>
      <c r="AK1552" s="345"/>
      <c r="AL1552" s="340"/>
      <c r="AM1552" s="342"/>
      <c r="AN1552" s="342"/>
      <c r="AO1552" s="342"/>
      <c r="AP1552" s="342"/>
      <c r="AQ1552" s="342"/>
      <c r="AR1552" s="342"/>
      <c r="AS1552" s="342"/>
      <c r="AT1552" s="342"/>
      <c r="AU1552" s="342"/>
      <c r="AV1552" s="342"/>
      <c r="AW1552" s="342"/>
      <c r="AX1552" s="342"/>
      <c r="AY1552" s="342"/>
      <c r="AZ1552" s="342"/>
      <c r="BA1552" s="342"/>
      <c r="BB1552" s="342"/>
      <c r="BC1552" s="342"/>
      <c r="BD1552" s="342"/>
      <c r="BE1552" s="342"/>
      <c r="BF1552" s="342"/>
      <c r="BG1552" s="342"/>
      <c r="BH1552" s="342"/>
      <c r="BI1552" s="342"/>
      <c r="BJ1552" s="342"/>
      <c r="BK1552" s="342"/>
      <c r="BL1552" s="342"/>
      <c r="BM1552" s="342"/>
      <c r="BN1552" s="356"/>
      <c r="BO1552" s="356"/>
      <c r="BP1552" s="356"/>
      <c r="BQ1552" s="356"/>
      <c r="BR1552" s="356"/>
      <c r="BS1552" s="356"/>
      <c r="BT1552" s="356"/>
      <c r="BU1552" s="357"/>
      <c r="BV1552" s="310"/>
      <c r="BW1552" s="310"/>
      <c r="BX1552" s="291">
        <f t="shared" si="113"/>
        <v>0</v>
      </c>
      <c r="BY1552" s="344"/>
      <c r="BZ1552" s="347"/>
      <c r="CA1552" s="347"/>
    </row>
    <row r="1553" spans="1:84" ht="12.95" customHeight="1" x14ac:dyDescent="0.25">
      <c r="A1553" s="313"/>
      <c r="B1553" s="454"/>
      <c r="C1553" s="342"/>
      <c r="D1553" s="342"/>
      <c r="E1553" s="342"/>
      <c r="F1553" s="342"/>
      <c r="G1553" s="342"/>
      <c r="H1553" s="342"/>
      <c r="I1553" s="342"/>
      <c r="J1553" s="342"/>
      <c r="K1553" s="342"/>
      <c r="L1553" s="342"/>
      <c r="M1553" s="342"/>
      <c r="N1553" s="342"/>
      <c r="O1553" s="342"/>
      <c r="P1553" s="342"/>
      <c r="Q1553" s="342"/>
      <c r="R1553" s="342"/>
      <c r="S1553" s="342"/>
      <c r="T1553" s="342"/>
      <c r="U1553" s="342"/>
      <c r="V1553" s="342"/>
      <c r="W1553" s="343"/>
      <c r="X1553" s="343"/>
      <c r="Y1553" s="343"/>
      <c r="Z1553" s="343"/>
      <c r="AA1553" s="343"/>
      <c r="AB1553" s="343"/>
      <c r="AC1553" s="343"/>
      <c r="AD1553" s="343"/>
      <c r="AE1553" s="343"/>
      <c r="AF1553" s="343"/>
      <c r="AG1553" s="343"/>
      <c r="AH1553" s="343"/>
      <c r="AI1553" s="343"/>
      <c r="AJ1553" s="344"/>
      <c r="AK1553" s="345"/>
      <c r="AL1553" s="340"/>
      <c r="AM1553" s="342"/>
      <c r="AN1553" s="342"/>
      <c r="AO1553" s="342"/>
      <c r="AP1553" s="342"/>
      <c r="AQ1553" s="342"/>
      <c r="AR1553" s="342"/>
      <c r="AS1553" s="342"/>
      <c r="AT1553" s="342"/>
      <c r="AU1553" s="342"/>
      <c r="AV1553" s="342"/>
      <c r="AW1553" s="342"/>
      <c r="AX1553" s="342"/>
      <c r="AY1553" s="342"/>
      <c r="AZ1553" s="342"/>
      <c r="BA1553" s="342"/>
      <c r="BB1553" s="342"/>
      <c r="BC1553" s="342"/>
      <c r="BD1553" s="342"/>
      <c r="BE1553" s="342"/>
      <c r="BF1553" s="342"/>
      <c r="BG1553" s="342"/>
      <c r="BH1553" s="342"/>
      <c r="BI1553" s="342"/>
      <c r="BJ1553" s="342"/>
      <c r="BK1553" s="342"/>
      <c r="BL1553" s="342"/>
      <c r="BM1553" s="342"/>
      <c r="BN1553" s="356"/>
      <c r="BO1553" s="356"/>
      <c r="BP1553" s="356"/>
      <c r="BQ1553" s="356"/>
      <c r="BR1553" s="356"/>
      <c r="BS1553" s="356"/>
      <c r="BT1553" s="356"/>
      <c r="BU1553" s="357"/>
      <c r="BV1553" s="310"/>
      <c r="BW1553" s="310"/>
      <c r="BX1553" s="291">
        <f t="shared" si="113"/>
        <v>0</v>
      </c>
      <c r="BY1553" s="344"/>
      <c r="BZ1553" s="347"/>
      <c r="CA1553" s="347"/>
    </row>
    <row r="1554" spans="1:84" ht="15" customHeight="1" x14ac:dyDescent="0.25">
      <c r="A1554" s="313">
        <v>26</v>
      </c>
      <c r="B1554" s="340" t="s">
        <v>345</v>
      </c>
      <c r="C1554" s="341" t="s">
        <v>1626</v>
      </c>
      <c r="D1554" s="342"/>
      <c r="E1554" s="342"/>
      <c r="F1554" s="342"/>
      <c r="G1554" s="342"/>
      <c r="H1554" s="342"/>
      <c r="I1554" s="342"/>
      <c r="J1554" s="342"/>
      <c r="K1554" s="342"/>
      <c r="L1554" s="342"/>
      <c r="M1554" s="342"/>
      <c r="N1554" s="342"/>
      <c r="O1554" s="342"/>
      <c r="P1554" s="342"/>
      <c r="Q1554" s="342"/>
      <c r="R1554" s="342"/>
      <c r="S1554" s="342"/>
      <c r="T1554" s="342"/>
      <c r="U1554" s="342"/>
      <c r="V1554" s="342"/>
      <c r="W1554" s="343"/>
      <c r="X1554" s="343"/>
      <c r="Y1554" s="343"/>
      <c r="Z1554" s="343"/>
      <c r="AA1554" s="343"/>
      <c r="AB1554" s="343"/>
      <c r="AC1554" s="343"/>
      <c r="AD1554" s="343"/>
      <c r="AE1554" s="343"/>
      <c r="AF1554" s="343"/>
      <c r="AG1554" s="343"/>
      <c r="AH1554" s="343"/>
      <c r="AI1554" s="343"/>
      <c r="AJ1554" s="344"/>
      <c r="AK1554" s="345">
        <f>A1554</f>
        <v>26</v>
      </c>
      <c r="AL1554" s="340" t="s">
        <v>345</v>
      </c>
      <c r="AM1554" s="341" t="s">
        <v>1627</v>
      </c>
      <c r="AN1554" s="342"/>
      <c r="AO1554" s="342"/>
      <c r="AP1554" s="342"/>
      <c r="AQ1554" s="342"/>
      <c r="AR1554" s="342"/>
      <c r="AS1554" s="342"/>
      <c r="AT1554" s="342"/>
      <c r="AU1554" s="342"/>
      <c r="AV1554" s="342"/>
      <c r="AW1554" s="342"/>
      <c r="AX1554" s="342"/>
      <c r="AY1554" s="342"/>
      <c r="AZ1554" s="342"/>
      <c r="BA1554" s="342"/>
      <c r="BB1554" s="342"/>
      <c r="BC1554" s="342"/>
      <c r="BD1554" s="342"/>
      <c r="BE1554" s="342"/>
      <c r="BF1554" s="342"/>
      <c r="BG1554" s="342"/>
      <c r="BH1554" s="342"/>
      <c r="BI1554" s="342"/>
      <c r="BJ1554" s="342"/>
      <c r="BK1554" s="342"/>
      <c r="BL1554" s="342"/>
      <c r="BM1554" s="342"/>
      <c r="BN1554" s="356"/>
      <c r="BO1554" s="356"/>
      <c r="BP1554" s="356"/>
      <c r="BQ1554" s="356"/>
      <c r="BR1554" s="356"/>
      <c r="BS1554" s="356"/>
      <c r="BT1554" s="356"/>
      <c r="BU1554" s="346">
        <f>SUBTOTAL(103,A1554)</f>
        <v>1</v>
      </c>
      <c r="BV1554" s="310"/>
      <c r="BW1554" s="310"/>
      <c r="BX1554" s="291">
        <f t="shared" si="113"/>
        <v>0</v>
      </c>
      <c r="BY1554" s="344"/>
      <c r="BZ1554" s="347"/>
      <c r="CA1554" s="347"/>
    </row>
    <row r="1555" spans="1:84" s="423" customFormat="1" ht="15" customHeight="1" x14ac:dyDescent="0.25">
      <c r="A1555" s="313"/>
      <c r="B1555" s="454"/>
      <c r="C1555" s="342"/>
      <c r="D1555" s="342"/>
      <c r="E1555" s="342"/>
      <c r="F1555" s="342"/>
      <c r="G1555" s="342"/>
      <c r="H1555" s="342"/>
      <c r="I1555" s="342"/>
      <c r="J1555" s="342"/>
      <c r="K1555" s="342"/>
      <c r="L1555" s="342"/>
      <c r="M1555" s="342"/>
      <c r="N1555" s="342"/>
      <c r="O1555" s="342"/>
      <c r="P1555" s="342"/>
      <c r="Q1555" s="342"/>
      <c r="R1555" s="342"/>
      <c r="S1555" s="342"/>
      <c r="T1555" s="342"/>
      <c r="U1555" s="342"/>
      <c r="V1555" s="342"/>
      <c r="W1555" s="1324" t="str">
        <f>Ky_Nay2_V</f>
        <v>Năm 2017</v>
      </c>
      <c r="X1555" s="1324"/>
      <c r="Y1555" s="1324"/>
      <c r="Z1555" s="1324"/>
      <c r="AA1555" s="1324"/>
      <c r="AB1555" s="1324"/>
      <c r="AC1555" s="681"/>
      <c r="AD1555" s="1324" t="str">
        <f>Ky_Truoc2_V</f>
        <v>Năm 2016</v>
      </c>
      <c r="AE1555" s="1324"/>
      <c r="AF1555" s="1324"/>
      <c r="AG1555" s="1324"/>
      <c r="AH1555" s="1324"/>
      <c r="AI1555" s="1324"/>
      <c r="AJ1555" s="342"/>
      <c r="AK1555" s="345"/>
      <c r="AL1555" s="340"/>
      <c r="AM1555" s="342"/>
      <c r="AN1555" s="342"/>
      <c r="AO1555" s="342"/>
      <c r="AP1555" s="342"/>
      <c r="AQ1555" s="342"/>
      <c r="AR1555" s="342"/>
      <c r="AS1555" s="342"/>
      <c r="AT1555" s="342"/>
      <c r="AU1555" s="342"/>
      <c r="AV1555" s="342"/>
      <c r="AW1555" s="342"/>
      <c r="AX1555" s="342"/>
      <c r="AY1555" s="342"/>
      <c r="AZ1555" s="342"/>
      <c r="BA1555" s="342"/>
      <c r="BB1555" s="342"/>
      <c r="BC1555" s="342"/>
      <c r="BD1555" s="342"/>
      <c r="BE1555" s="342"/>
      <c r="BF1555" s="342"/>
      <c r="BG1555" s="1324" t="str">
        <f>Ky_Nay2_E</f>
        <v>Year 2016</v>
      </c>
      <c r="BH1555" s="1324"/>
      <c r="BI1555" s="1324"/>
      <c r="BJ1555" s="1324"/>
      <c r="BK1555" s="1324"/>
      <c r="BL1555" s="1324"/>
      <c r="BM1555" s="681"/>
      <c r="BN1555" s="1324" t="str">
        <f>Ky_Truoc2_E</f>
        <v>Year 2015</v>
      </c>
      <c r="BO1555" s="1324"/>
      <c r="BP1555" s="1324"/>
      <c r="BQ1555" s="1324"/>
      <c r="BR1555" s="1324"/>
      <c r="BS1555" s="1324"/>
      <c r="BT1555" s="356"/>
      <c r="BU1555" s="357"/>
      <c r="BV1555" s="310"/>
      <c r="BW1555" s="310"/>
      <c r="BX1555" s="300">
        <f t="shared" si="113"/>
        <v>0</v>
      </c>
      <c r="BY1555" s="342"/>
      <c r="BZ1555" s="438"/>
      <c r="CA1555" s="438"/>
      <c r="CB1555" s="439"/>
      <c r="CC1555" s="439"/>
      <c r="CD1555" s="439"/>
      <c r="CE1555" s="439"/>
      <c r="CF1555" s="439"/>
    </row>
    <row r="1556" spans="1:84" s="423" customFormat="1" ht="15" customHeight="1" x14ac:dyDescent="0.25">
      <c r="A1556" s="313"/>
      <c r="B1556" s="454"/>
      <c r="C1556" s="342"/>
      <c r="D1556" s="342"/>
      <c r="E1556" s="342"/>
      <c r="F1556" s="342"/>
      <c r="G1556" s="342"/>
      <c r="H1556" s="342"/>
      <c r="I1556" s="342"/>
      <c r="J1556" s="342"/>
      <c r="K1556" s="342"/>
      <c r="L1556" s="342"/>
      <c r="M1556" s="342"/>
      <c r="N1556" s="342"/>
      <c r="O1556" s="342"/>
      <c r="P1556" s="342"/>
      <c r="Q1556" s="342"/>
      <c r="R1556" s="342"/>
      <c r="S1556" s="342"/>
      <c r="T1556" s="342"/>
      <c r="U1556" s="342"/>
      <c r="V1556" s="342"/>
      <c r="W1556" s="1327" t="str">
        <f>Don_Vi_Tinh_V</f>
        <v>VND</v>
      </c>
      <c r="X1556" s="1327"/>
      <c r="Y1556" s="1327"/>
      <c r="Z1556" s="1327"/>
      <c r="AA1556" s="1327"/>
      <c r="AB1556" s="1327"/>
      <c r="AC1556" s="351"/>
      <c r="AD1556" s="1327" t="str">
        <f>Don_Vi_Tinh_V</f>
        <v>VND</v>
      </c>
      <c r="AE1556" s="1327"/>
      <c r="AF1556" s="1327"/>
      <c r="AG1556" s="1327"/>
      <c r="AH1556" s="1327"/>
      <c r="AI1556" s="1327"/>
      <c r="AJ1556" s="342"/>
      <c r="AK1556" s="345"/>
      <c r="AL1556" s="340"/>
      <c r="AM1556" s="342"/>
      <c r="AN1556" s="342"/>
      <c r="AO1556" s="342"/>
      <c r="AP1556" s="342"/>
      <c r="AQ1556" s="342"/>
      <c r="AR1556" s="342"/>
      <c r="AS1556" s="342"/>
      <c r="AT1556" s="342"/>
      <c r="AU1556" s="342"/>
      <c r="AV1556" s="342"/>
      <c r="AW1556" s="342"/>
      <c r="AX1556" s="342"/>
      <c r="AY1556" s="342"/>
      <c r="AZ1556" s="342"/>
      <c r="BA1556" s="342"/>
      <c r="BB1556" s="342"/>
      <c r="BC1556" s="342"/>
      <c r="BD1556" s="342"/>
      <c r="BE1556" s="342"/>
      <c r="BF1556" s="342"/>
      <c r="BG1556" s="1327" t="str">
        <f>Don_Vi_Tinh_E</f>
        <v>VND</v>
      </c>
      <c r="BH1556" s="1327"/>
      <c r="BI1556" s="1327"/>
      <c r="BJ1556" s="1327"/>
      <c r="BK1556" s="1327"/>
      <c r="BL1556" s="1327"/>
      <c r="BM1556" s="351"/>
      <c r="BN1556" s="1327" t="str">
        <f>Don_Vi_Tinh_E</f>
        <v>VND</v>
      </c>
      <c r="BO1556" s="1327"/>
      <c r="BP1556" s="1327"/>
      <c r="BQ1556" s="1327"/>
      <c r="BR1556" s="1327"/>
      <c r="BS1556" s="1327"/>
      <c r="BT1556" s="356"/>
      <c r="BU1556" s="357"/>
      <c r="BV1556" s="310"/>
      <c r="BW1556" s="310"/>
      <c r="BX1556" s="300">
        <f t="shared" si="113"/>
        <v>0</v>
      </c>
      <c r="BY1556" s="342"/>
      <c r="BZ1556" s="438"/>
      <c r="CA1556" s="438"/>
      <c r="CB1556" s="439"/>
      <c r="CC1556" s="439"/>
      <c r="CD1556" s="439"/>
      <c r="CE1556" s="439"/>
      <c r="CF1556" s="439"/>
    </row>
    <row r="1557" spans="1:84" ht="12.95" customHeight="1" x14ac:dyDescent="0.25">
      <c r="A1557" s="313"/>
      <c r="B1557" s="454"/>
      <c r="C1557" s="342"/>
      <c r="D1557" s="342"/>
      <c r="E1557" s="342"/>
      <c r="F1557" s="342"/>
      <c r="G1557" s="342"/>
      <c r="H1557" s="342"/>
      <c r="I1557" s="342"/>
      <c r="J1557" s="342"/>
      <c r="K1557" s="342"/>
      <c r="L1557" s="342"/>
      <c r="M1557" s="342"/>
      <c r="N1557" s="342"/>
      <c r="O1557" s="342"/>
      <c r="P1557" s="342"/>
      <c r="Q1557" s="342"/>
      <c r="R1557" s="342"/>
      <c r="S1557" s="342"/>
      <c r="T1557" s="342"/>
      <c r="U1557" s="342"/>
      <c r="V1557" s="342"/>
      <c r="W1557" s="1318"/>
      <c r="X1557" s="1318"/>
      <c r="Y1557" s="1318"/>
      <c r="Z1557" s="1318"/>
      <c r="AA1557" s="1318"/>
      <c r="AB1557" s="1318"/>
      <c r="AC1557" s="355"/>
      <c r="AD1557" s="1318"/>
      <c r="AE1557" s="1318"/>
      <c r="AF1557" s="1318"/>
      <c r="AG1557" s="1318"/>
      <c r="AH1557" s="1318"/>
      <c r="AI1557" s="1318"/>
      <c r="AJ1557" s="344"/>
      <c r="AK1557" s="345"/>
      <c r="AL1557" s="340"/>
      <c r="AM1557" s="342"/>
      <c r="AN1557" s="342"/>
      <c r="AO1557" s="342"/>
      <c r="AP1557" s="342"/>
      <c r="AQ1557" s="342"/>
      <c r="AR1557" s="342"/>
      <c r="AS1557" s="342"/>
      <c r="AT1557" s="342"/>
      <c r="AU1557" s="342"/>
      <c r="AV1557" s="342"/>
      <c r="AW1557" s="342"/>
      <c r="AX1557" s="342"/>
      <c r="AY1557" s="342"/>
      <c r="AZ1557" s="342"/>
      <c r="BA1557" s="342"/>
      <c r="BB1557" s="342"/>
      <c r="BC1557" s="342"/>
      <c r="BD1557" s="342"/>
      <c r="BE1557" s="342"/>
      <c r="BF1557" s="342"/>
      <c r="BG1557" s="1318"/>
      <c r="BH1557" s="1318"/>
      <c r="BI1557" s="1318"/>
      <c r="BJ1557" s="1318"/>
      <c r="BK1557" s="1318"/>
      <c r="BL1557" s="1318"/>
      <c r="BM1557" s="355"/>
      <c r="BN1557" s="1318"/>
      <c r="BO1557" s="1318"/>
      <c r="BP1557" s="1318"/>
      <c r="BQ1557" s="1318"/>
      <c r="BR1557" s="1318"/>
      <c r="BS1557" s="1318"/>
      <c r="BT1557" s="356"/>
      <c r="BU1557" s="357"/>
      <c r="BV1557" s="310"/>
      <c r="BW1557" s="310"/>
      <c r="BX1557" s="291">
        <f t="shared" si="113"/>
        <v>0</v>
      </c>
      <c r="BY1557" s="344"/>
      <c r="BZ1557" s="347"/>
      <c r="CA1557" s="347"/>
    </row>
    <row r="1558" spans="1:84" ht="15" hidden="1" customHeight="1" x14ac:dyDescent="0.25">
      <c r="A1558" s="313"/>
      <c r="B1558" s="454"/>
      <c r="C1558" s="342" t="s">
        <v>1628</v>
      </c>
      <c r="D1558" s="342"/>
      <c r="E1558" s="342"/>
      <c r="F1558" s="342"/>
      <c r="G1558" s="342"/>
      <c r="H1558" s="342"/>
      <c r="I1558" s="342"/>
      <c r="J1558" s="342"/>
      <c r="K1558" s="342"/>
      <c r="L1558" s="342"/>
      <c r="M1558" s="342"/>
      <c r="N1558" s="342"/>
      <c r="O1558" s="342"/>
      <c r="P1558" s="342"/>
      <c r="Q1558" s="342"/>
      <c r="R1558" s="342"/>
      <c r="S1558" s="342"/>
      <c r="T1558" s="342"/>
      <c r="U1558" s="342"/>
      <c r="V1558" s="342"/>
      <c r="W1558" s="1318">
        <f>KN_6412+KN_6413</f>
        <v>0</v>
      </c>
      <c r="X1558" s="1318"/>
      <c r="Y1558" s="1318"/>
      <c r="Z1558" s="1318"/>
      <c r="AA1558" s="1318"/>
      <c r="AB1558" s="1318"/>
      <c r="AC1558" s="355"/>
      <c r="AD1558" s="1318">
        <f>KT_6412+KT_6413</f>
        <v>0</v>
      </c>
      <c r="AE1558" s="1318"/>
      <c r="AF1558" s="1318"/>
      <c r="AG1558" s="1318"/>
      <c r="AH1558" s="1318"/>
      <c r="AI1558" s="1318"/>
      <c r="AJ1558" s="344"/>
      <c r="AK1558" s="345"/>
      <c r="AL1558" s="340"/>
      <c r="AM1558" s="342" t="s">
        <v>929</v>
      </c>
      <c r="AN1558" s="342"/>
      <c r="AO1558" s="342"/>
      <c r="AP1558" s="342"/>
      <c r="AQ1558" s="342"/>
      <c r="AR1558" s="342"/>
      <c r="AS1558" s="342"/>
      <c r="AT1558" s="342"/>
      <c r="AU1558" s="342"/>
      <c r="AV1558" s="342"/>
      <c r="AW1558" s="342"/>
      <c r="AX1558" s="342"/>
      <c r="AY1558" s="342"/>
      <c r="AZ1558" s="342"/>
      <c r="BA1558" s="342"/>
      <c r="BB1558" s="342"/>
      <c r="BC1558" s="342"/>
      <c r="BD1558" s="342"/>
      <c r="BE1558" s="342"/>
      <c r="BF1558" s="342"/>
      <c r="BG1558" s="1318">
        <f t="shared" ref="BG1558:BG1565" si="114">W1558</f>
        <v>0</v>
      </c>
      <c r="BH1558" s="1318"/>
      <c r="BI1558" s="1318"/>
      <c r="BJ1558" s="1318"/>
      <c r="BK1558" s="1318"/>
      <c r="BL1558" s="1318"/>
      <c r="BM1558" s="355"/>
      <c r="BN1558" s="1318">
        <f t="shared" ref="BN1558:BN1565" si="115">AD1558</f>
        <v>0</v>
      </c>
      <c r="BO1558" s="1318"/>
      <c r="BP1558" s="1318"/>
      <c r="BQ1558" s="1318"/>
      <c r="BR1558" s="1318"/>
      <c r="BS1558" s="1318"/>
      <c r="BT1558" s="356"/>
      <c r="BU1558" s="357"/>
      <c r="BV1558" s="310"/>
      <c r="BW1558" s="310"/>
      <c r="BX1558" s="291">
        <f t="shared" si="113"/>
        <v>0</v>
      </c>
      <c r="BY1558" s="344"/>
      <c r="BZ1558" s="347"/>
      <c r="CA1558" s="347"/>
    </row>
    <row r="1559" spans="1:84" ht="15" customHeight="1" x14ac:dyDescent="0.25">
      <c r="A1559" s="313"/>
      <c r="B1559" s="454"/>
      <c r="C1559" s="342" t="s">
        <v>1629</v>
      </c>
      <c r="D1559" s="342"/>
      <c r="E1559" s="342"/>
      <c r="F1559" s="342"/>
      <c r="G1559" s="342"/>
      <c r="H1559" s="342"/>
      <c r="I1559" s="342"/>
      <c r="J1559" s="342"/>
      <c r="K1559" s="342"/>
      <c r="L1559" s="342"/>
      <c r="M1559" s="342"/>
      <c r="N1559" s="342"/>
      <c r="O1559" s="342"/>
      <c r="P1559" s="342"/>
      <c r="Q1559" s="342"/>
      <c r="R1559" s="342"/>
      <c r="S1559" s="342"/>
      <c r="T1559" s="342"/>
      <c r="U1559" s="342"/>
      <c r="V1559" s="342"/>
      <c r="W1559" s="1318">
        <f>KN_6411</f>
        <v>1532237258</v>
      </c>
      <c r="X1559" s="1318"/>
      <c r="Y1559" s="1318"/>
      <c r="Z1559" s="1318"/>
      <c r="AA1559" s="1318"/>
      <c r="AB1559" s="1318"/>
      <c r="AC1559" s="355"/>
      <c r="AD1559" s="1318">
        <f>KT_6411</f>
        <v>1804116876</v>
      </c>
      <c r="AE1559" s="1318"/>
      <c r="AF1559" s="1318"/>
      <c r="AG1559" s="1318"/>
      <c r="AH1559" s="1318"/>
      <c r="AI1559" s="1318"/>
      <c r="AJ1559" s="344"/>
      <c r="AK1559" s="345"/>
      <c r="AL1559" s="340"/>
      <c r="AM1559" s="342" t="s">
        <v>1630</v>
      </c>
      <c r="AN1559" s="342"/>
      <c r="AO1559" s="342"/>
      <c r="AP1559" s="342"/>
      <c r="AQ1559" s="342"/>
      <c r="AR1559" s="342"/>
      <c r="AS1559" s="342"/>
      <c r="AT1559" s="342"/>
      <c r="AU1559" s="342"/>
      <c r="AV1559" s="342"/>
      <c r="AW1559" s="342"/>
      <c r="AX1559" s="342"/>
      <c r="AY1559" s="342"/>
      <c r="AZ1559" s="342"/>
      <c r="BA1559" s="342"/>
      <c r="BB1559" s="342"/>
      <c r="BC1559" s="342"/>
      <c r="BD1559" s="342"/>
      <c r="BE1559" s="342"/>
      <c r="BF1559" s="342"/>
      <c r="BG1559" s="1318">
        <f t="shared" si="114"/>
        <v>1532237258</v>
      </c>
      <c r="BH1559" s="1318"/>
      <c r="BI1559" s="1318"/>
      <c r="BJ1559" s="1318"/>
      <c r="BK1559" s="1318"/>
      <c r="BL1559" s="1318"/>
      <c r="BM1559" s="355"/>
      <c r="BN1559" s="1318">
        <f t="shared" si="115"/>
        <v>1804116876</v>
      </c>
      <c r="BO1559" s="1318"/>
      <c r="BP1559" s="1318"/>
      <c r="BQ1559" s="1318"/>
      <c r="BR1559" s="1318"/>
      <c r="BS1559" s="1318"/>
      <c r="BT1559" s="356"/>
      <c r="BU1559" s="357"/>
      <c r="BV1559" s="310"/>
      <c r="BW1559" s="310"/>
      <c r="BX1559" s="291">
        <f t="shared" si="113"/>
        <v>0</v>
      </c>
      <c r="BY1559" s="344"/>
      <c r="BZ1559" s="347"/>
      <c r="CA1559" s="347"/>
    </row>
    <row r="1560" spans="1:84" ht="15" hidden="1" customHeight="1" x14ac:dyDescent="0.25">
      <c r="A1560" s="313"/>
      <c r="B1560" s="454"/>
      <c r="C1560" s="342" t="s">
        <v>1631</v>
      </c>
      <c r="D1560" s="342"/>
      <c r="E1560" s="342"/>
      <c r="F1560" s="342"/>
      <c r="G1560" s="342"/>
      <c r="H1560" s="342"/>
      <c r="I1560" s="342"/>
      <c r="J1560" s="342"/>
      <c r="K1560" s="342"/>
      <c r="L1560" s="342"/>
      <c r="M1560" s="342"/>
      <c r="N1560" s="342"/>
      <c r="O1560" s="342"/>
      <c r="P1560" s="342"/>
      <c r="Q1560" s="342"/>
      <c r="R1560" s="342"/>
      <c r="S1560" s="342"/>
      <c r="T1560" s="342"/>
      <c r="U1560" s="342"/>
      <c r="V1560" s="342"/>
      <c r="W1560" s="1318">
        <f>KN_6414</f>
        <v>0</v>
      </c>
      <c r="X1560" s="1318"/>
      <c r="Y1560" s="1318"/>
      <c r="Z1560" s="1318"/>
      <c r="AA1560" s="1318"/>
      <c r="AB1560" s="1318"/>
      <c r="AC1560" s="355"/>
      <c r="AD1560" s="1318">
        <f>KT_6414</f>
        <v>0</v>
      </c>
      <c r="AE1560" s="1318"/>
      <c r="AF1560" s="1318"/>
      <c r="AG1560" s="1318"/>
      <c r="AH1560" s="1318"/>
      <c r="AI1560" s="1318"/>
      <c r="AJ1560" s="344"/>
      <c r="AK1560" s="345"/>
      <c r="AL1560" s="340"/>
      <c r="AM1560" s="342" t="s">
        <v>1632</v>
      </c>
      <c r="AN1560" s="342"/>
      <c r="AO1560" s="342"/>
      <c r="AP1560" s="342"/>
      <c r="AQ1560" s="342"/>
      <c r="AR1560" s="342"/>
      <c r="AS1560" s="342"/>
      <c r="AT1560" s="342"/>
      <c r="AU1560" s="342"/>
      <c r="AV1560" s="342"/>
      <c r="AW1560" s="342"/>
      <c r="AX1560" s="342"/>
      <c r="AY1560" s="342"/>
      <c r="AZ1560" s="342"/>
      <c r="BA1560" s="342"/>
      <c r="BB1560" s="342"/>
      <c r="BC1560" s="342"/>
      <c r="BD1560" s="342"/>
      <c r="BE1560" s="342"/>
      <c r="BF1560" s="342"/>
      <c r="BG1560" s="1318">
        <f t="shared" si="114"/>
        <v>0</v>
      </c>
      <c r="BH1560" s="1318"/>
      <c r="BI1560" s="1318"/>
      <c r="BJ1560" s="1318"/>
      <c r="BK1560" s="1318"/>
      <c r="BL1560" s="1318"/>
      <c r="BM1560" s="355"/>
      <c r="BN1560" s="1318">
        <f t="shared" si="115"/>
        <v>0</v>
      </c>
      <c r="BO1560" s="1318"/>
      <c r="BP1560" s="1318"/>
      <c r="BQ1560" s="1318"/>
      <c r="BR1560" s="1318"/>
      <c r="BS1560" s="1318"/>
      <c r="BT1560" s="356"/>
      <c r="BU1560" s="357"/>
      <c r="BV1560" s="310"/>
      <c r="BW1560" s="310"/>
      <c r="BX1560" s="291">
        <f t="shared" si="113"/>
        <v>0</v>
      </c>
      <c r="BY1560" s="344"/>
      <c r="BZ1560" s="347"/>
      <c r="CA1560" s="347"/>
    </row>
    <row r="1561" spans="1:84" ht="15" hidden="1" customHeight="1" x14ac:dyDescent="0.25">
      <c r="A1561" s="313"/>
      <c r="B1561" s="454"/>
      <c r="C1561" s="342" t="s">
        <v>1633</v>
      </c>
      <c r="D1561" s="342"/>
      <c r="E1561" s="342"/>
      <c r="F1561" s="342"/>
      <c r="G1561" s="342"/>
      <c r="H1561" s="342"/>
      <c r="I1561" s="342"/>
      <c r="J1561" s="342"/>
      <c r="K1561" s="342"/>
      <c r="L1561" s="342"/>
      <c r="M1561" s="342"/>
      <c r="N1561" s="342"/>
      <c r="O1561" s="342"/>
      <c r="P1561" s="342"/>
      <c r="Q1561" s="342"/>
      <c r="R1561" s="342"/>
      <c r="S1561" s="342"/>
      <c r="T1561" s="342"/>
      <c r="U1561" s="342"/>
      <c r="V1561" s="342"/>
      <c r="W1561" s="1318">
        <f>KN_6417</f>
        <v>0</v>
      </c>
      <c r="X1561" s="1318"/>
      <c r="Y1561" s="1318"/>
      <c r="Z1561" s="1318"/>
      <c r="AA1561" s="1318"/>
      <c r="AB1561" s="1318"/>
      <c r="AC1561" s="355"/>
      <c r="AD1561" s="1318">
        <f>KT_6417</f>
        <v>0</v>
      </c>
      <c r="AE1561" s="1318"/>
      <c r="AF1561" s="1318"/>
      <c r="AG1561" s="1318"/>
      <c r="AH1561" s="1318"/>
      <c r="AI1561" s="1318"/>
      <c r="AJ1561" s="344"/>
      <c r="AK1561" s="345"/>
      <c r="AL1561" s="340"/>
      <c r="AM1561" s="342" t="s">
        <v>1634</v>
      </c>
      <c r="AN1561" s="342"/>
      <c r="AO1561" s="342"/>
      <c r="AP1561" s="342"/>
      <c r="AQ1561" s="342"/>
      <c r="AR1561" s="342"/>
      <c r="AS1561" s="342"/>
      <c r="AT1561" s="342"/>
      <c r="AU1561" s="342"/>
      <c r="AV1561" s="342"/>
      <c r="AW1561" s="342"/>
      <c r="AX1561" s="342"/>
      <c r="AY1561" s="342"/>
      <c r="AZ1561" s="342"/>
      <c r="BA1561" s="342"/>
      <c r="BB1561" s="342"/>
      <c r="BC1561" s="342"/>
      <c r="BD1561" s="342"/>
      <c r="BE1561" s="342"/>
      <c r="BF1561" s="342"/>
      <c r="BG1561" s="1318">
        <f t="shared" si="114"/>
        <v>0</v>
      </c>
      <c r="BH1561" s="1318"/>
      <c r="BI1561" s="1318"/>
      <c r="BJ1561" s="1318"/>
      <c r="BK1561" s="1318"/>
      <c r="BL1561" s="1318"/>
      <c r="BM1561" s="355"/>
      <c r="BN1561" s="1318">
        <f t="shared" si="115"/>
        <v>0</v>
      </c>
      <c r="BO1561" s="1318"/>
      <c r="BP1561" s="1318"/>
      <c r="BQ1561" s="1318"/>
      <c r="BR1561" s="1318"/>
      <c r="BS1561" s="1318"/>
      <c r="BT1561" s="356"/>
      <c r="BU1561" s="357"/>
      <c r="BV1561" s="310"/>
      <c r="BW1561" s="310"/>
      <c r="BX1561" s="291">
        <f t="shared" si="113"/>
        <v>0</v>
      </c>
      <c r="BY1561" s="344"/>
      <c r="BZ1561" s="347"/>
      <c r="CA1561" s="347"/>
    </row>
    <row r="1562" spans="1:84" ht="15" customHeight="1" x14ac:dyDescent="0.25">
      <c r="A1562" s="313"/>
      <c r="B1562" s="454"/>
      <c r="C1562" s="342" t="s">
        <v>1635</v>
      </c>
      <c r="D1562" s="342"/>
      <c r="E1562" s="342"/>
      <c r="F1562" s="342"/>
      <c r="G1562" s="342"/>
      <c r="H1562" s="342"/>
      <c r="I1562" s="342"/>
      <c r="J1562" s="342"/>
      <c r="K1562" s="342"/>
      <c r="L1562" s="342"/>
      <c r="M1562" s="342"/>
      <c r="N1562" s="342"/>
      <c r="O1562" s="342"/>
      <c r="P1562" s="342"/>
      <c r="Q1562" s="342"/>
      <c r="R1562" s="342"/>
      <c r="S1562" s="342"/>
      <c r="T1562" s="342"/>
      <c r="U1562" s="342"/>
      <c r="V1562" s="342"/>
      <c r="W1562" s="1318">
        <f>KN_6418</f>
        <v>717201138</v>
      </c>
      <c r="X1562" s="1318"/>
      <c r="Y1562" s="1318"/>
      <c r="Z1562" s="1318"/>
      <c r="AA1562" s="1318"/>
      <c r="AB1562" s="1318"/>
      <c r="AC1562" s="355"/>
      <c r="AD1562" s="1318">
        <f>KT_6418</f>
        <v>509090552</v>
      </c>
      <c r="AE1562" s="1318"/>
      <c r="AF1562" s="1318"/>
      <c r="AG1562" s="1318"/>
      <c r="AH1562" s="1318"/>
      <c r="AI1562" s="1318"/>
      <c r="AJ1562" s="344"/>
      <c r="AK1562" s="345"/>
      <c r="AL1562" s="340"/>
      <c r="AM1562" s="342" t="s">
        <v>1636</v>
      </c>
      <c r="AN1562" s="342"/>
      <c r="AO1562" s="342"/>
      <c r="AP1562" s="342"/>
      <c r="AQ1562" s="342"/>
      <c r="AR1562" s="342"/>
      <c r="AS1562" s="342"/>
      <c r="AT1562" s="342"/>
      <c r="AU1562" s="342"/>
      <c r="AV1562" s="342"/>
      <c r="AW1562" s="342"/>
      <c r="AX1562" s="342"/>
      <c r="AY1562" s="342"/>
      <c r="AZ1562" s="342"/>
      <c r="BA1562" s="342"/>
      <c r="BB1562" s="342"/>
      <c r="BC1562" s="342"/>
      <c r="BD1562" s="342"/>
      <c r="BE1562" s="342"/>
      <c r="BF1562" s="342"/>
      <c r="BG1562" s="1318">
        <f t="shared" si="114"/>
        <v>717201138</v>
      </c>
      <c r="BH1562" s="1318"/>
      <c r="BI1562" s="1318"/>
      <c r="BJ1562" s="1318"/>
      <c r="BK1562" s="1318"/>
      <c r="BL1562" s="1318"/>
      <c r="BM1562" s="355"/>
      <c r="BN1562" s="1318">
        <f t="shared" si="115"/>
        <v>509090552</v>
      </c>
      <c r="BO1562" s="1318"/>
      <c r="BP1562" s="1318"/>
      <c r="BQ1562" s="1318"/>
      <c r="BR1562" s="1318"/>
      <c r="BS1562" s="1318"/>
      <c r="BT1562" s="356"/>
      <c r="BU1562" s="357"/>
      <c r="BV1562" s="310"/>
      <c r="BW1562" s="310"/>
      <c r="BX1562" s="291">
        <f t="shared" si="113"/>
        <v>0</v>
      </c>
      <c r="BY1562" s="344"/>
      <c r="BZ1562" s="347"/>
      <c r="CA1562" s="347"/>
    </row>
    <row r="1563" spans="1:84" ht="15" hidden="1" customHeight="1" x14ac:dyDescent="0.25">
      <c r="A1563" s="313"/>
      <c r="B1563" s="454"/>
      <c r="C1563" s="342" t="s">
        <v>1637</v>
      </c>
      <c r="D1563" s="342"/>
      <c r="E1563" s="342"/>
      <c r="F1563" s="342"/>
      <c r="G1563" s="342"/>
      <c r="H1563" s="342"/>
      <c r="I1563" s="342"/>
      <c r="J1563" s="342"/>
      <c r="K1563" s="342"/>
      <c r="L1563" s="342"/>
      <c r="M1563" s="342"/>
      <c r="N1563" s="342"/>
      <c r="O1563" s="342"/>
      <c r="P1563" s="342"/>
      <c r="Q1563" s="342"/>
      <c r="R1563" s="342"/>
      <c r="S1563" s="342"/>
      <c r="T1563" s="342"/>
      <c r="U1563" s="342"/>
      <c r="V1563" s="342"/>
      <c r="W1563" s="1318">
        <f>KN_6415</f>
        <v>0</v>
      </c>
      <c r="X1563" s="1318"/>
      <c r="Y1563" s="1318"/>
      <c r="Z1563" s="1318"/>
      <c r="AA1563" s="1318"/>
      <c r="AB1563" s="1318"/>
      <c r="AC1563" s="355"/>
      <c r="AD1563" s="1318"/>
      <c r="AE1563" s="1318"/>
      <c r="AF1563" s="1318"/>
      <c r="AG1563" s="1318"/>
      <c r="AH1563" s="1318"/>
      <c r="AI1563" s="1318"/>
      <c r="AJ1563" s="344"/>
      <c r="AK1563" s="345"/>
      <c r="AL1563" s="340"/>
      <c r="AM1563" s="342" t="s">
        <v>1638</v>
      </c>
      <c r="AN1563" s="342"/>
      <c r="AO1563" s="342"/>
      <c r="AP1563" s="342"/>
      <c r="AQ1563" s="342"/>
      <c r="AR1563" s="342"/>
      <c r="AS1563" s="342"/>
      <c r="AT1563" s="342"/>
      <c r="AU1563" s="342"/>
      <c r="AV1563" s="342"/>
      <c r="AW1563" s="342"/>
      <c r="AX1563" s="342"/>
      <c r="AY1563" s="342"/>
      <c r="AZ1563" s="342"/>
      <c r="BA1563" s="342"/>
      <c r="BB1563" s="342"/>
      <c r="BC1563" s="342"/>
      <c r="BD1563" s="342"/>
      <c r="BE1563" s="342"/>
      <c r="BF1563" s="342"/>
      <c r="BG1563" s="1318">
        <f t="shared" si="114"/>
        <v>0</v>
      </c>
      <c r="BH1563" s="1318"/>
      <c r="BI1563" s="1318"/>
      <c r="BJ1563" s="1318"/>
      <c r="BK1563" s="1318"/>
      <c r="BL1563" s="1318"/>
      <c r="BM1563" s="355"/>
      <c r="BN1563" s="1318">
        <f t="shared" si="115"/>
        <v>0</v>
      </c>
      <c r="BO1563" s="1318"/>
      <c r="BP1563" s="1318"/>
      <c r="BQ1563" s="1318"/>
      <c r="BR1563" s="1318"/>
      <c r="BS1563" s="1318"/>
      <c r="BT1563" s="356"/>
      <c r="BU1563" s="357"/>
      <c r="BV1563" s="310"/>
      <c r="BW1563" s="310"/>
      <c r="BX1563" s="291">
        <f t="shared" si="113"/>
        <v>0</v>
      </c>
      <c r="BY1563" s="344"/>
      <c r="BZ1563" s="347"/>
      <c r="CA1563" s="347"/>
    </row>
    <row r="1564" spans="1:84" ht="15" hidden="1" customHeight="1" x14ac:dyDescent="0.25">
      <c r="A1564" s="313"/>
      <c r="B1564" s="454"/>
      <c r="C1564" s="724" t="s">
        <v>1639</v>
      </c>
      <c r="D1564" s="342"/>
      <c r="E1564" s="342"/>
      <c r="F1564" s="342"/>
      <c r="G1564" s="342"/>
      <c r="H1564" s="342"/>
      <c r="I1564" s="342"/>
      <c r="J1564" s="342"/>
      <c r="K1564" s="342"/>
      <c r="L1564" s="342"/>
      <c r="M1564" s="342"/>
      <c r="N1564" s="342"/>
      <c r="O1564" s="342"/>
      <c r="P1564" s="342"/>
      <c r="Q1564" s="342"/>
      <c r="R1564" s="342"/>
      <c r="S1564" s="342"/>
      <c r="T1564" s="342"/>
      <c r="U1564" s="342"/>
      <c r="V1564" s="342"/>
      <c r="W1564" s="1318"/>
      <c r="X1564" s="1318"/>
      <c r="Y1564" s="1318"/>
      <c r="Z1564" s="1318"/>
      <c r="AA1564" s="1318"/>
      <c r="AB1564" s="1318"/>
      <c r="AC1564" s="355"/>
      <c r="AD1564" s="1318"/>
      <c r="AE1564" s="1318"/>
      <c r="AF1564" s="1318"/>
      <c r="AG1564" s="1318"/>
      <c r="AH1564" s="1318"/>
      <c r="AI1564" s="1318"/>
      <c r="AJ1564" s="344"/>
      <c r="AK1564" s="345"/>
      <c r="AL1564" s="340"/>
      <c r="AM1564" s="342" t="s">
        <v>1638</v>
      </c>
      <c r="AN1564" s="342"/>
      <c r="AO1564" s="342"/>
      <c r="AP1564" s="342"/>
      <c r="AQ1564" s="342"/>
      <c r="AR1564" s="342"/>
      <c r="AS1564" s="342"/>
      <c r="AT1564" s="342"/>
      <c r="AU1564" s="342"/>
      <c r="AV1564" s="342"/>
      <c r="AW1564" s="342"/>
      <c r="AX1564" s="342"/>
      <c r="AY1564" s="342"/>
      <c r="AZ1564" s="342"/>
      <c r="BA1564" s="342"/>
      <c r="BB1564" s="342"/>
      <c r="BC1564" s="342"/>
      <c r="BD1564" s="342"/>
      <c r="BE1564" s="342"/>
      <c r="BF1564" s="342"/>
      <c r="BG1564" s="1318">
        <f>W1564</f>
        <v>0</v>
      </c>
      <c r="BH1564" s="1318"/>
      <c r="BI1564" s="1318"/>
      <c r="BJ1564" s="1318"/>
      <c r="BK1564" s="1318"/>
      <c r="BL1564" s="1318"/>
      <c r="BM1564" s="355"/>
      <c r="BN1564" s="1318">
        <f>AD1564</f>
        <v>0</v>
      </c>
      <c r="BO1564" s="1318"/>
      <c r="BP1564" s="1318"/>
      <c r="BQ1564" s="1318"/>
      <c r="BR1564" s="1318"/>
      <c r="BS1564" s="1318"/>
      <c r="BT1564" s="356"/>
      <c r="BU1564" s="357"/>
      <c r="BV1564" s="310"/>
      <c r="BW1564" s="310"/>
      <c r="BX1564" s="291">
        <f>IF(ISNONTEXT($C1564),0,SUM(D1564:AI1564)-SUM(AN1564:BS1564))</f>
        <v>0</v>
      </c>
      <c r="BY1564" s="344"/>
      <c r="BZ1564" s="347"/>
      <c r="CA1564" s="347"/>
    </row>
    <row r="1565" spans="1:84" ht="15" hidden="1" customHeight="1" x14ac:dyDescent="0.25">
      <c r="A1565" s="313"/>
      <c r="B1565" s="454"/>
      <c r="C1565" s="342" t="s">
        <v>1640</v>
      </c>
      <c r="D1565" s="342"/>
      <c r="E1565" s="342"/>
      <c r="F1565" s="342"/>
      <c r="G1565" s="342"/>
      <c r="H1565" s="342"/>
      <c r="I1565" s="342"/>
      <c r="J1565" s="342"/>
      <c r="K1565" s="342"/>
      <c r="L1565" s="342"/>
      <c r="M1565" s="342"/>
      <c r="N1565" s="342"/>
      <c r="O1565" s="342"/>
      <c r="P1565" s="342"/>
      <c r="Q1565" s="342"/>
      <c r="R1565" s="342"/>
      <c r="S1565" s="342"/>
      <c r="T1565" s="342"/>
      <c r="U1565" s="342"/>
      <c r="V1565" s="342"/>
      <c r="W1565" s="1318"/>
      <c r="X1565" s="1318"/>
      <c r="Y1565" s="1318"/>
      <c r="Z1565" s="1318"/>
      <c r="AA1565" s="1318"/>
      <c r="AB1565" s="1318"/>
      <c r="AC1565" s="355"/>
      <c r="AD1565" s="1318"/>
      <c r="AE1565" s="1318"/>
      <c r="AF1565" s="1318"/>
      <c r="AG1565" s="1318"/>
      <c r="AH1565" s="1318"/>
      <c r="AI1565" s="1318"/>
      <c r="AJ1565" s="344"/>
      <c r="AK1565" s="345"/>
      <c r="AL1565" s="340"/>
      <c r="AM1565" s="342" t="s">
        <v>1641</v>
      </c>
      <c r="AN1565" s="342"/>
      <c r="AO1565" s="342"/>
      <c r="AP1565" s="342"/>
      <c r="AQ1565" s="342"/>
      <c r="AR1565" s="342"/>
      <c r="AS1565" s="342"/>
      <c r="AT1565" s="342"/>
      <c r="AU1565" s="342"/>
      <c r="AV1565" s="342"/>
      <c r="AW1565" s="342"/>
      <c r="AX1565" s="342"/>
      <c r="AY1565" s="342"/>
      <c r="AZ1565" s="342"/>
      <c r="BA1565" s="342"/>
      <c r="BB1565" s="342"/>
      <c r="BC1565" s="342"/>
      <c r="BD1565" s="342"/>
      <c r="BE1565" s="342"/>
      <c r="BF1565" s="342"/>
      <c r="BG1565" s="1318">
        <f t="shared" si="114"/>
        <v>0</v>
      </c>
      <c r="BH1565" s="1318"/>
      <c r="BI1565" s="1318"/>
      <c r="BJ1565" s="1318"/>
      <c r="BK1565" s="1318"/>
      <c r="BL1565" s="1318"/>
      <c r="BM1565" s="355"/>
      <c r="BN1565" s="1318">
        <f t="shared" si="115"/>
        <v>0</v>
      </c>
      <c r="BO1565" s="1318"/>
      <c r="BP1565" s="1318"/>
      <c r="BQ1565" s="1318"/>
      <c r="BR1565" s="1318"/>
      <c r="BS1565" s="1318"/>
      <c r="BT1565" s="356"/>
      <c r="BU1565" s="357"/>
      <c r="BV1565" s="310"/>
      <c r="BW1565" s="310"/>
      <c r="BX1565" s="291">
        <f t="shared" si="113"/>
        <v>0</v>
      </c>
      <c r="BY1565" s="344"/>
      <c r="BZ1565" s="347"/>
      <c r="CA1565" s="347"/>
    </row>
    <row r="1566" spans="1:84" ht="14.1" customHeight="1" x14ac:dyDescent="0.25">
      <c r="A1566" s="313"/>
      <c r="B1566" s="454"/>
      <c r="C1566" s="342"/>
      <c r="D1566" s="342"/>
      <c r="E1566" s="342"/>
      <c r="F1566" s="342"/>
      <c r="G1566" s="342"/>
      <c r="H1566" s="342"/>
      <c r="I1566" s="342"/>
      <c r="J1566" s="342"/>
      <c r="K1566" s="342"/>
      <c r="L1566" s="342"/>
      <c r="M1566" s="342"/>
      <c r="N1566" s="342"/>
      <c r="O1566" s="342"/>
      <c r="P1566" s="342"/>
      <c r="Q1566" s="342"/>
      <c r="R1566" s="342"/>
      <c r="S1566" s="342"/>
      <c r="T1566" s="342"/>
      <c r="U1566" s="342"/>
      <c r="V1566" s="342"/>
      <c r="W1566" s="1318"/>
      <c r="X1566" s="1318"/>
      <c r="Y1566" s="1318"/>
      <c r="Z1566" s="1318"/>
      <c r="AA1566" s="1318"/>
      <c r="AB1566" s="1318"/>
      <c r="AC1566" s="355"/>
      <c r="AD1566" s="1318"/>
      <c r="AE1566" s="1318"/>
      <c r="AF1566" s="1318"/>
      <c r="AG1566" s="1318"/>
      <c r="AH1566" s="1318"/>
      <c r="AI1566" s="1318"/>
      <c r="AJ1566" s="344"/>
      <c r="AK1566" s="345"/>
      <c r="AL1566" s="340"/>
      <c r="AM1566" s="342"/>
      <c r="AN1566" s="342"/>
      <c r="AO1566" s="342"/>
      <c r="AP1566" s="342"/>
      <c r="AQ1566" s="342"/>
      <c r="AR1566" s="342"/>
      <c r="AS1566" s="342"/>
      <c r="AT1566" s="342"/>
      <c r="AU1566" s="342"/>
      <c r="AV1566" s="342"/>
      <c r="AW1566" s="342"/>
      <c r="AX1566" s="342"/>
      <c r="AY1566" s="342"/>
      <c r="AZ1566" s="342"/>
      <c r="BA1566" s="342"/>
      <c r="BB1566" s="342"/>
      <c r="BC1566" s="342"/>
      <c r="BD1566" s="342"/>
      <c r="BE1566" s="342"/>
      <c r="BF1566" s="342"/>
      <c r="BG1566" s="1318"/>
      <c r="BH1566" s="1318"/>
      <c r="BI1566" s="1318"/>
      <c r="BJ1566" s="1318"/>
      <c r="BK1566" s="1318"/>
      <c r="BL1566" s="1318"/>
      <c r="BM1566" s="355"/>
      <c r="BN1566" s="1318"/>
      <c r="BO1566" s="1318"/>
      <c r="BP1566" s="1318"/>
      <c r="BQ1566" s="1318"/>
      <c r="BR1566" s="1318"/>
      <c r="BS1566" s="1318"/>
      <c r="BT1566" s="356"/>
      <c r="BU1566" s="357"/>
      <c r="BV1566" s="310"/>
      <c r="BW1566" s="310"/>
      <c r="BX1566" s="291">
        <f t="shared" si="113"/>
        <v>0</v>
      </c>
      <c r="BY1566" s="344"/>
      <c r="BZ1566" s="347"/>
      <c r="CA1566" s="347"/>
    </row>
    <row r="1567" spans="1:84" ht="15" customHeight="1" thickBot="1" x14ac:dyDescent="0.3">
      <c r="A1567" s="313"/>
      <c r="B1567" s="454"/>
      <c r="C1567" s="342"/>
      <c r="D1567" s="342"/>
      <c r="E1567" s="342"/>
      <c r="F1567" s="342"/>
      <c r="G1567" s="342"/>
      <c r="H1567" s="342"/>
      <c r="I1567" s="342"/>
      <c r="J1567" s="342"/>
      <c r="K1567" s="342"/>
      <c r="L1567" s="342"/>
      <c r="M1567" s="342"/>
      <c r="N1567" s="342"/>
      <c r="O1567" s="342"/>
      <c r="P1567" s="342"/>
      <c r="Q1567" s="342"/>
      <c r="R1567" s="342"/>
      <c r="S1567" s="342"/>
      <c r="T1567" s="342"/>
      <c r="U1567" s="342"/>
      <c r="V1567" s="342"/>
      <c r="W1567" s="1359">
        <f>SUBTOTAL(109,W1558:AB1565)</f>
        <v>2249438396</v>
      </c>
      <c r="X1567" s="1359"/>
      <c r="Y1567" s="1359"/>
      <c r="Z1567" s="1359"/>
      <c r="AA1567" s="1359"/>
      <c r="AB1567" s="1359"/>
      <c r="AC1567" s="355"/>
      <c r="AD1567" s="1359">
        <f>SUBTOTAL(109,AD1558:AI1565)</f>
        <v>2313207428</v>
      </c>
      <c r="AE1567" s="1359"/>
      <c r="AF1567" s="1359"/>
      <c r="AG1567" s="1359"/>
      <c r="AH1567" s="1359"/>
      <c r="AI1567" s="1359"/>
      <c r="AJ1567" s="344"/>
      <c r="AK1567" s="345"/>
      <c r="AL1567" s="340"/>
      <c r="AM1567" s="342"/>
      <c r="AN1567" s="342"/>
      <c r="AO1567" s="342"/>
      <c r="AP1567" s="342"/>
      <c r="AQ1567" s="342"/>
      <c r="AR1567" s="342"/>
      <c r="AS1567" s="342"/>
      <c r="AT1567" s="342"/>
      <c r="AU1567" s="342"/>
      <c r="AV1567" s="342"/>
      <c r="AW1567" s="342"/>
      <c r="AX1567" s="342"/>
      <c r="AY1567" s="342"/>
      <c r="AZ1567" s="342"/>
      <c r="BA1567" s="342"/>
      <c r="BB1567" s="342"/>
      <c r="BC1567" s="342"/>
      <c r="BD1567" s="342"/>
      <c r="BE1567" s="342"/>
      <c r="BF1567" s="342"/>
      <c r="BG1567" s="1359">
        <f>SUBTOTAL(109,BG1558:BL1565)</f>
        <v>2249438396</v>
      </c>
      <c r="BH1567" s="1359"/>
      <c r="BI1567" s="1359"/>
      <c r="BJ1567" s="1359"/>
      <c r="BK1567" s="1359"/>
      <c r="BL1567" s="1359"/>
      <c r="BM1567" s="355"/>
      <c r="BN1567" s="1359">
        <f>SUBTOTAL(109,BN1558:BS1565)</f>
        <v>2313207428</v>
      </c>
      <c r="BO1567" s="1359"/>
      <c r="BP1567" s="1359"/>
      <c r="BQ1567" s="1359"/>
      <c r="BR1567" s="1359"/>
      <c r="BS1567" s="1359"/>
      <c r="BT1567" s="356"/>
      <c r="BU1567" s="357"/>
      <c r="BV1567" s="310">
        <f>W1567-KN_CT25</f>
        <v>0</v>
      </c>
      <c r="BW1567" s="310">
        <f>AD1567-KT_CT25</f>
        <v>0</v>
      </c>
      <c r="BX1567" s="291">
        <f t="shared" si="113"/>
        <v>0</v>
      </c>
      <c r="BY1567" s="344"/>
      <c r="BZ1567" s="347"/>
      <c r="CA1567" s="347"/>
    </row>
    <row r="1568" spans="1:84" ht="2.1" customHeight="1" thickTop="1" x14ac:dyDescent="0.25">
      <c r="A1568" s="313"/>
      <c r="B1568" s="454"/>
      <c r="C1568" s="342"/>
      <c r="D1568" s="342"/>
      <c r="E1568" s="342"/>
      <c r="F1568" s="342"/>
      <c r="G1568" s="342"/>
      <c r="H1568" s="342"/>
      <c r="I1568" s="342"/>
      <c r="J1568" s="342"/>
      <c r="K1568" s="342"/>
      <c r="L1568" s="342"/>
      <c r="M1568" s="342"/>
      <c r="N1568" s="342"/>
      <c r="O1568" s="342"/>
      <c r="P1568" s="342"/>
      <c r="Q1568" s="342"/>
      <c r="R1568" s="342"/>
      <c r="S1568" s="342"/>
      <c r="T1568" s="342"/>
      <c r="U1568" s="342"/>
      <c r="V1568" s="342"/>
      <c r="W1568" s="343"/>
      <c r="X1568" s="343"/>
      <c r="Y1568" s="343"/>
      <c r="Z1568" s="343"/>
      <c r="AA1568" s="343"/>
      <c r="AB1568" s="343"/>
      <c r="AC1568" s="343"/>
      <c r="AD1568" s="343"/>
      <c r="AE1568" s="343"/>
      <c r="AF1568" s="343"/>
      <c r="AG1568" s="343"/>
      <c r="AH1568" s="343"/>
      <c r="AI1568" s="343"/>
      <c r="AJ1568" s="344"/>
      <c r="AK1568" s="345"/>
      <c r="AL1568" s="340"/>
      <c r="AM1568" s="342"/>
      <c r="AN1568" s="342"/>
      <c r="AO1568" s="342"/>
      <c r="AP1568" s="342"/>
      <c r="AQ1568" s="342"/>
      <c r="AR1568" s="342"/>
      <c r="AS1568" s="342"/>
      <c r="AT1568" s="342"/>
      <c r="AU1568" s="342"/>
      <c r="AV1568" s="342"/>
      <c r="AW1568" s="342"/>
      <c r="AX1568" s="342"/>
      <c r="AY1568" s="342"/>
      <c r="AZ1568" s="342"/>
      <c r="BA1568" s="342"/>
      <c r="BB1568" s="342"/>
      <c r="BC1568" s="342"/>
      <c r="BD1568" s="342"/>
      <c r="BE1568" s="342"/>
      <c r="BF1568" s="342"/>
      <c r="BG1568" s="342"/>
      <c r="BH1568" s="342"/>
      <c r="BI1568" s="342"/>
      <c r="BJ1568" s="342"/>
      <c r="BK1568" s="342"/>
      <c r="BL1568" s="342"/>
      <c r="BM1568" s="342"/>
      <c r="BN1568" s="356"/>
      <c r="BO1568" s="356"/>
      <c r="BP1568" s="356"/>
      <c r="BQ1568" s="356"/>
      <c r="BR1568" s="356"/>
      <c r="BS1568" s="356"/>
      <c r="BT1568" s="356"/>
      <c r="BU1568" s="357"/>
      <c r="BV1568" s="310"/>
      <c r="BW1568" s="310"/>
      <c r="BX1568" s="291">
        <f t="shared" si="113"/>
        <v>0</v>
      </c>
      <c r="BY1568" s="344"/>
      <c r="BZ1568" s="347"/>
      <c r="CA1568" s="347"/>
    </row>
    <row r="1569" spans="1:84" ht="12.95" customHeight="1" x14ac:dyDescent="0.25">
      <c r="A1569" s="313"/>
      <c r="B1569" s="454"/>
      <c r="C1569" s="342"/>
      <c r="D1569" s="342"/>
      <c r="E1569" s="342"/>
      <c r="F1569" s="342"/>
      <c r="G1569" s="342"/>
      <c r="H1569" s="342"/>
      <c r="I1569" s="342"/>
      <c r="J1569" s="342"/>
      <c r="K1569" s="342"/>
      <c r="L1569" s="342"/>
      <c r="M1569" s="342"/>
      <c r="N1569" s="342"/>
      <c r="O1569" s="342"/>
      <c r="P1569" s="342"/>
      <c r="Q1569" s="342"/>
      <c r="R1569" s="342"/>
      <c r="S1569" s="342"/>
      <c r="T1569" s="342"/>
      <c r="U1569" s="342"/>
      <c r="V1569" s="342"/>
      <c r="W1569" s="343"/>
      <c r="X1569" s="343"/>
      <c r="Y1569" s="343"/>
      <c r="Z1569" s="343"/>
      <c r="AA1569" s="343"/>
      <c r="AB1569" s="343"/>
      <c r="AC1569" s="343"/>
      <c r="AD1569" s="343"/>
      <c r="AE1569" s="343"/>
      <c r="AF1569" s="343"/>
      <c r="AG1569" s="343"/>
      <c r="AH1569" s="343"/>
      <c r="AI1569" s="343"/>
      <c r="AJ1569" s="344"/>
      <c r="AK1569" s="345"/>
      <c r="AL1569" s="340"/>
      <c r="AM1569" s="342"/>
      <c r="AN1569" s="342"/>
      <c r="AO1569" s="342"/>
      <c r="AP1569" s="342"/>
      <c r="AQ1569" s="342"/>
      <c r="AR1569" s="342"/>
      <c r="AS1569" s="342"/>
      <c r="AT1569" s="342"/>
      <c r="AU1569" s="342"/>
      <c r="AV1569" s="342"/>
      <c r="AW1569" s="342"/>
      <c r="AX1569" s="342"/>
      <c r="AY1569" s="342"/>
      <c r="AZ1569" s="342"/>
      <c r="BA1569" s="342"/>
      <c r="BB1569" s="342"/>
      <c r="BC1569" s="342"/>
      <c r="BD1569" s="342"/>
      <c r="BE1569" s="342"/>
      <c r="BF1569" s="342"/>
      <c r="BG1569" s="342"/>
      <c r="BH1569" s="342"/>
      <c r="BI1569" s="342"/>
      <c r="BJ1569" s="342"/>
      <c r="BK1569" s="342"/>
      <c r="BL1569" s="342"/>
      <c r="BM1569" s="342"/>
      <c r="BN1569" s="356"/>
      <c r="BO1569" s="356"/>
      <c r="BP1569" s="356"/>
      <c r="BQ1569" s="356"/>
      <c r="BR1569" s="356"/>
      <c r="BS1569" s="356"/>
      <c r="BT1569" s="356"/>
      <c r="BU1569" s="357"/>
      <c r="BV1569" s="310"/>
      <c r="BW1569" s="310"/>
      <c r="BX1569" s="291">
        <f t="shared" si="113"/>
        <v>0</v>
      </c>
      <c r="BY1569" s="344"/>
      <c r="BZ1569" s="347"/>
      <c r="CA1569" s="347"/>
    </row>
    <row r="1570" spans="1:84" ht="15" customHeight="1" x14ac:dyDescent="0.25">
      <c r="A1570" s="313">
        <v>27</v>
      </c>
      <c r="B1570" s="340" t="s">
        <v>345</v>
      </c>
      <c r="C1570" s="342" t="s">
        <v>1642</v>
      </c>
      <c r="D1570" s="342"/>
      <c r="E1570" s="342"/>
      <c r="F1570" s="342"/>
      <c r="G1570" s="342"/>
      <c r="H1570" s="342"/>
      <c r="I1570" s="342"/>
      <c r="J1570" s="342"/>
      <c r="K1570" s="342"/>
      <c r="L1570" s="342"/>
      <c r="M1570" s="342"/>
      <c r="N1570" s="342"/>
      <c r="O1570" s="342"/>
      <c r="P1570" s="342"/>
      <c r="Q1570" s="342"/>
      <c r="R1570" s="342"/>
      <c r="S1570" s="342"/>
      <c r="T1570" s="342"/>
      <c r="U1570" s="342"/>
      <c r="V1570" s="342"/>
      <c r="W1570" s="343"/>
      <c r="X1570" s="343"/>
      <c r="Y1570" s="343"/>
      <c r="Z1570" s="343"/>
      <c r="AA1570" s="343"/>
      <c r="AB1570" s="343"/>
      <c r="AC1570" s="343"/>
      <c r="AD1570" s="343"/>
      <c r="AE1570" s="343"/>
      <c r="AF1570" s="343"/>
      <c r="AG1570" s="343"/>
      <c r="AH1570" s="343"/>
      <c r="AI1570" s="343"/>
      <c r="AJ1570" s="344"/>
      <c r="AK1570" s="345">
        <f>A1570</f>
        <v>27</v>
      </c>
      <c r="AL1570" s="340" t="s">
        <v>345</v>
      </c>
      <c r="AM1570" s="341" t="s">
        <v>1643</v>
      </c>
      <c r="AN1570" s="342"/>
      <c r="AO1570" s="342"/>
      <c r="AP1570" s="342"/>
      <c r="AQ1570" s="342"/>
      <c r="AR1570" s="342"/>
      <c r="AS1570" s="342"/>
      <c r="AT1570" s="342"/>
      <c r="AU1570" s="342"/>
      <c r="AV1570" s="342"/>
      <c r="AW1570" s="342"/>
      <c r="AX1570" s="342"/>
      <c r="AY1570" s="342"/>
      <c r="AZ1570" s="342"/>
      <c r="BA1570" s="342"/>
      <c r="BB1570" s="342"/>
      <c r="BC1570" s="342"/>
      <c r="BD1570" s="342"/>
      <c r="BE1570" s="342"/>
      <c r="BF1570" s="342"/>
      <c r="BG1570" s="342"/>
      <c r="BH1570" s="342"/>
      <c r="BI1570" s="342"/>
      <c r="BJ1570" s="342"/>
      <c r="BK1570" s="342"/>
      <c r="BL1570" s="342"/>
      <c r="BM1570" s="342"/>
      <c r="BN1570" s="356"/>
      <c r="BO1570" s="356"/>
      <c r="BP1570" s="356"/>
      <c r="BQ1570" s="356"/>
      <c r="BR1570" s="356"/>
      <c r="BS1570" s="356"/>
      <c r="BT1570" s="356"/>
      <c r="BU1570" s="346">
        <f>SUBTOTAL(103,A1570)</f>
        <v>1</v>
      </c>
      <c r="BV1570" s="310"/>
      <c r="BW1570" s="310"/>
      <c r="BX1570" s="291">
        <f t="shared" si="113"/>
        <v>0</v>
      </c>
      <c r="BY1570" s="344"/>
      <c r="BZ1570" s="347"/>
      <c r="CA1570" s="347"/>
    </row>
    <row r="1571" spans="1:84" s="733" customFormat="1" ht="15" customHeight="1" x14ac:dyDescent="0.25">
      <c r="A1571" s="725"/>
      <c r="B1571" s="726"/>
      <c r="C1571" s="690"/>
      <c r="D1571" s="690"/>
      <c r="E1571" s="690"/>
      <c r="F1571" s="690"/>
      <c r="G1571" s="690"/>
      <c r="H1571" s="690"/>
      <c r="I1571" s="690"/>
      <c r="J1571" s="690"/>
      <c r="K1571" s="690"/>
      <c r="L1571" s="690"/>
      <c r="M1571" s="690"/>
      <c r="N1571" s="690"/>
      <c r="O1571" s="690"/>
      <c r="P1571" s="690"/>
      <c r="Q1571" s="690"/>
      <c r="R1571" s="690"/>
      <c r="S1571" s="690"/>
      <c r="T1571" s="690"/>
      <c r="U1571" s="690"/>
      <c r="V1571" s="690"/>
      <c r="W1571" s="1324" t="str">
        <f>Ky_Nay2_V</f>
        <v>Năm 2017</v>
      </c>
      <c r="X1571" s="1324"/>
      <c r="Y1571" s="1324"/>
      <c r="Z1571" s="1324"/>
      <c r="AA1571" s="1324"/>
      <c r="AB1571" s="1324"/>
      <c r="AC1571" s="681"/>
      <c r="AD1571" s="1324" t="str">
        <f>Ky_Truoc2_V</f>
        <v>Năm 2016</v>
      </c>
      <c r="AE1571" s="1324"/>
      <c r="AF1571" s="1324"/>
      <c r="AG1571" s="1324"/>
      <c r="AH1571" s="1324"/>
      <c r="AI1571" s="1324"/>
      <c r="AJ1571" s="690"/>
      <c r="AK1571" s="727"/>
      <c r="AL1571" s="728"/>
      <c r="AM1571" s="690"/>
      <c r="AN1571" s="690"/>
      <c r="AO1571" s="690"/>
      <c r="AP1571" s="690"/>
      <c r="AQ1571" s="690"/>
      <c r="AR1571" s="690"/>
      <c r="AS1571" s="690"/>
      <c r="AT1571" s="690"/>
      <c r="AU1571" s="690"/>
      <c r="AV1571" s="690"/>
      <c r="AW1571" s="690"/>
      <c r="AX1571" s="690"/>
      <c r="AY1571" s="690"/>
      <c r="AZ1571" s="690"/>
      <c r="BA1571" s="690"/>
      <c r="BB1571" s="690"/>
      <c r="BC1571" s="690"/>
      <c r="BD1571" s="690"/>
      <c r="BE1571" s="690"/>
      <c r="BF1571" s="690"/>
      <c r="BG1571" s="1324" t="str">
        <f>Ky_Nay2_E</f>
        <v>Year 2016</v>
      </c>
      <c r="BH1571" s="1324"/>
      <c r="BI1571" s="1324"/>
      <c r="BJ1571" s="1324"/>
      <c r="BK1571" s="1324"/>
      <c r="BL1571" s="1324"/>
      <c r="BM1571" s="681"/>
      <c r="BN1571" s="1324" t="str">
        <f>Ky_Truoc2_E</f>
        <v>Year 2015</v>
      </c>
      <c r="BO1571" s="1324"/>
      <c r="BP1571" s="1324"/>
      <c r="BQ1571" s="1324"/>
      <c r="BR1571" s="1324"/>
      <c r="BS1571" s="1324"/>
      <c r="BT1571" s="729"/>
      <c r="BU1571" s="730"/>
      <c r="BV1571" s="310"/>
      <c r="BW1571" s="310"/>
      <c r="BX1571" s="300">
        <f t="shared" si="113"/>
        <v>0</v>
      </c>
      <c r="BY1571" s="690"/>
      <c r="BZ1571" s="731"/>
      <c r="CA1571" s="731"/>
      <c r="CB1571" s="732"/>
      <c r="CC1571" s="732"/>
      <c r="CD1571" s="732"/>
      <c r="CE1571" s="732"/>
      <c r="CF1571" s="732"/>
    </row>
    <row r="1572" spans="1:84" s="423" customFormat="1" ht="15" customHeight="1" x14ac:dyDescent="0.25">
      <c r="A1572" s="313"/>
      <c r="B1572" s="454"/>
      <c r="C1572" s="342"/>
      <c r="D1572" s="342"/>
      <c r="E1572" s="342"/>
      <c r="F1572" s="342"/>
      <c r="G1572" s="342"/>
      <c r="H1572" s="342"/>
      <c r="I1572" s="342"/>
      <c r="J1572" s="342"/>
      <c r="K1572" s="342"/>
      <c r="L1572" s="342"/>
      <c r="M1572" s="342"/>
      <c r="N1572" s="342"/>
      <c r="O1572" s="342"/>
      <c r="P1572" s="342"/>
      <c r="Q1572" s="342"/>
      <c r="R1572" s="342"/>
      <c r="S1572" s="342"/>
      <c r="T1572" s="342"/>
      <c r="U1572" s="342"/>
      <c r="V1572" s="342"/>
      <c r="W1572" s="1327" t="str">
        <f>Don_Vi_Tinh_V</f>
        <v>VND</v>
      </c>
      <c r="X1572" s="1327"/>
      <c r="Y1572" s="1327"/>
      <c r="Z1572" s="1327"/>
      <c r="AA1572" s="1327"/>
      <c r="AB1572" s="1327"/>
      <c r="AC1572" s="351"/>
      <c r="AD1572" s="1327" t="str">
        <f>Don_Vi_Tinh_V</f>
        <v>VND</v>
      </c>
      <c r="AE1572" s="1327"/>
      <c r="AF1572" s="1327"/>
      <c r="AG1572" s="1327"/>
      <c r="AH1572" s="1327"/>
      <c r="AI1572" s="1327"/>
      <c r="AJ1572" s="342"/>
      <c r="AK1572" s="345"/>
      <c r="AL1572" s="340"/>
      <c r="AM1572" s="342"/>
      <c r="AN1572" s="342"/>
      <c r="AO1572" s="342"/>
      <c r="AP1572" s="342"/>
      <c r="AQ1572" s="342"/>
      <c r="AR1572" s="342"/>
      <c r="AS1572" s="342"/>
      <c r="AT1572" s="342"/>
      <c r="AU1572" s="342"/>
      <c r="AV1572" s="342"/>
      <c r="AW1572" s="342"/>
      <c r="AX1572" s="342"/>
      <c r="AY1572" s="342"/>
      <c r="AZ1572" s="342"/>
      <c r="BA1572" s="342"/>
      <c r="BB1572" s="342"/>
      <c r="BC1572" s="342"/>
      <c r="BD1572" s="342"/>
      <c r="BE1572" s="342"/>
      <c r="BF1572" s="342"/>
      <c r="BG1572" s="1327" t="str">
        <f>Don_Vi_Tinh_E</f>
        <v>VND</v>
      </c>
      <c r="BH1572" s="1327"/>
      <c r="BI1572" s="1327"/>
      <c r="BJ1572" s="1327"/>
      <c r="BK1572" s="1327"/>
      <c r="BL1572" s="1327"/>
      <c r="BM1572" s="351"/>
      <c r="BN1572" s="1327" t="str">
        <f>Don_Vi_Tinh_E</f>
        <v>VND</v>
      </c>
      <c r="BO1572" s="1327"/>
      <c r="BP1572" s="1327"/>
      <c r="BQ1572" s="1327"/>
      <c r="BR1572" s="1327"/>
      <c r="BS1572" s="1327"/>
      <c r="BT1572" s="356"/>
      <c r="BU1572" s="357"/>
      <c r="BV1572" s="310"/>
      <c r="BW1572" s="310"/>
      <c r="BX1572" s="300">
        <f t="shared" si="113"/>
        <v>0</v>
      </c>
      <c r="BY1572" s="342"/>
      <c r="BZ1572" s="438"/>
      <c r="CA1572" s="438"/>
      <c r="CB1572" s="439"/>
      <c r="CC1572" s="439"/>
      <c r="CD1572" s="439"/>
      <c r="CE1572" s="439"/>
      <c r="CF1572" s="439"/>
    </row>
    <row r="1573" spans="1:84" ht="12.95" customHeight="1" x14ac:dyDescent="0.25">
      <c r="A1573" s="313"/>
      <c r="B1573" s="454"/>
      <c r="C1573" s="342"/>
      <c r="D1573" s="342"/>
      <c r="E1573" s="342"/>
      <c r="F1573" s="342"/>
      <c r="G1573" s="342"/>
      <c r="H1573" s="342"/>
      <c r="I1573" s="342"/>
      <c r="J1573" s="342"/>
      <c r="K1573" s="342"/>
      <c r="L1573" s="342"/>
      <c r="M1573" s="342"/>
      <c r="N1573" s="342"/>
      <c r="O1573" s="342"/>
      <c r="P1573" s="342"/>
      <c r="Q1573" s="342"/>
      <c r="R1573" s="342"/>
      <c r="S1573" s="342"/>
      <c r="T1573" s="342"/>
      <c r="U1573" s="342"/>
      <c r="V1573" s="342"/>
      <c r="W1573" s="1318"/>
      <c r="X1573" s="1318"/>
      <c r="Y1573" s="1318"/>
      <c r="Z1573" s="1318"/>
      <c r="AA1573" s="1318"/>
      <c r="AB1573" s="1318"/>
      <c r="AC1573" s="355"/>
      <c r="AD1573" s="1318"/>
      <c r="AE1573" s="1318"/>
      <c r="AF1573" s="1318"/>
      <c r="AG1573" s="1318"/>
      <c r="AH1573" s="1318"/>
      <c r="AI1573" s="1318"/>
      <c r="AJ1573" s="344"/>
      <c r="AK1573" s="345"/>
      <c r="AL1573" s="340"/>
      <c r="AM1573" s="342"/>
      <c r="AN1573" s="342"/>
      <c r="AO1573" s="342"/>
      <c r="AP1573" s="342"/>
      <c r="AQ1573" s="342"/>
      <c r="AR1573" s="342"/>
      <c r="AS1573" s="342"/>
      <c r="AT1573" s="342"/>
      <c r="AU1573" s="342"/>
      <c r="AV1573" s="342"/>
      <c r="AW1573" s="342"/>
      <c r="AX1573" s="342"/>
      <c r="AY1573" s="342"/>
      <c r="AZ1573" s="342"/>
      <c r="BA1573" s="342"/>
      <c r="BB1573" s="342"/>
      <c r="BC1573" s="342"/>
      <c r="BD1573" s="342"/>
      <c r="BE1573" s="342"/>
      <c r="BF1573" s="342"/>
      <c r="BG1573" s="1318"/>
      <c r="BH1573" s="1318"/>
      <c r="BI1573" s="1318"/>
      <c r="BJ1573" s="1318"/>
      <c r="BK1573" s="1318"/>
      <c r="BL1573" s="1318"/>
      <c r="BM1573" s="355"/>
      <c r="BN1573" s="1318"/>
      <c r="BO1573" s="1318"/>
      <c r="BP1573" s="1318"/>
      <c r="BQ1573" s="1318"/>
      <c r="BR1573" s="1318"/>
      <c r="BS1573" s="1318"/>
      <c r="BT1573" s="356"/>
      <c r="BU1573" s="357"/>
      <c r="BV1573" s="310"/>
      <c r="BW1573" s="310"/>
      <c r="BX1573" s="291">
        <f t="shared" si="113"/>
        <v>0</v>
      </c>
      <c r="BY1573" s="344"/>
      <c r="BZ1573" s="347" t="s">
        <v>327</v>
      </c>
      <c r="CA1573" s="347"/>
    </row>
    <row r="1574" spans="1:84" ht="15" customHeight="1" x14ac:dyDescent="0.25">
      <c r="A1574" s="313"/>
      <c r="B1574" s="454"/>
      <c r="C1574" s="342" t="s">
        <v>1628</v>
      </c>
      <c r="D1574" s="342"/>
      <c r="E1574" s="342"/>
      <c r="F1574" s="342"/>
      <c r="G1574" s="342"/>
      <c r="H1574" s="342"/>
      <c r="I1574" s="342"/>
      <c r="J1574" s="342"/>
      <c r="K1574" s="342"/>
      <c r="L1574" s="342"/>
      <c r="M1574" s="342"/>
      <c r="N1574" s="342"/>
      <c r="O1574" s="342"/>
      <c r="P1574" s="342"/>
      <c r="Q1574" s="342"/>
      <c r="R1574" s="342"/>
      <c r="S1574" s="342"/>
      <c r="T1574" s="342"/>
      <c r="U1574" s="342"/>
      <c r="V1574" s="342"/>
      <c r="W1574" s="1318">
        <f>KN_6422+KN_6423</f>
        <v>32762498</v>
      </c>
      <c r="X1574" s="1318"/>
      <c r="Y1574" s="1318"/>
      <c r="Z1574" s="1318"/>
      <c r="AA1574" s="1318"/>
      <c r="AB1574" s="1318"/>
      <c r="AC1574" s="355"/>
      <c r="AD1574" s="1318">
        <f>KT_6422+KT_6423</f>
        <v>40585158</v>
      </c>
      <c r="AE1574" s="1318"/>
      <c r="AF1574" s="1318"/>
      <c r="AG1574" s="1318"/>
      <c r="AH1574" s="1318"/>
      <c r="AI1574" s="1318"/>
      <c r="AJ1574" s="344"/>
      <c r="AK1574" s="345"/>
      <c r="AL1574" s="340"/>
      <c r="AM1574" s="342" t="s">
        <v>929</v>
      </c>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1318">
        <f t="shared" ref="BG1574:BG1580" si="116">W1574</f>
        <v>32762498</v>
      </c>
      <c r="BH1574" s="1318"/>
      <c r="BI1574" s="1318"/>
      <c r="BJ1574" s="1318"/>
      <c r="BK1574" s="1318"/>
      <c r="BL1574" s="1318"/>
      <c r="BM1574" s="355"/>
      <c r="BN1574" s="1318">
        <f t="shared" ref="BN1574:BN1580" si="117">AD1574</f>
        <v>40585158</v>
      </c>
      <c r="BO1574" s="1318"/>
      <c r="BP1574" s="1318"/>
      <c r="BQ1574" s="1318"/>
      <c r="BR1574" s="1318"/>
      <c r="BS1574" s="1318"/>
      <c r="BT1574" s="356"/>
      <c r="BU1574" s="357"/>
      <c r="BV1574" s="310"/>
      <c r="BW1574" s="734"/>
      <c r="BX1574" s="291">
        <f t="shared" si="113"/>
        <v>0</v>
      </c>
      <c r="BY1574" s="344"/>
      <c r="BZ1574" s="347">
        <v>40585158</v>
      </c>
      <c r="CA1574" s="347">
        <f>W1574-AD1574</f>
        <v>-7822660</v>
      </c>
      <c r="CB1574" s="735">
        <f>CA1574/AD1574</f>
        <v>-0.1927468164593569</v>
      </c>
    </row>
    <row r="1575" spans="1:84" ht="15" customHeight="1" x14ac:dyDescent="0.25">
      <c r="A1575" s="313"/>
      <c r="B1575" s="454"/>
      <c r="C1575" s="342" t="s">
        <v>1629</v>
      </c>
      <c r="D1575" s="342"/>
      <c r="E1575" s="342"/>
      <c r="F1575" s="342"/>
      <c r="G1575" s="342"/>
      <c r="H1575" s="342"/>
      <c r="I1575" s="342"/>
      <c r="J1575" s="342"/>
      <c r="K1575" s="342"/>
      <c r="L1575" s="342"/>
      <c r="M1575" s="342"/>
      <c r="N1575" s="342"/>
      <c r="O1575" s="342"/>
      <c r="P1575" s="342"/>
      <c r="Q1575" s="342"/>
      <c r="R1575" s="342"/>
      <c r="S1575" s="342"/>
      <c r="T1575" s="342"/>
      <c r="U1575" s="342"/>
      <c r="V1575" s="342"/>
      <c r="W1575" s="1318">
        <f>KN_6421</f>
        <v>2758759817</v>
      </c>
      <c r="X1575" s="1318"/>
      <c r="Y1575" s="1318"/>
      <c r="Z1575" s="1318"/>
      <c r="AA1575" s="1318"/>
      <c r="AB1575" s="1318"/>
      <c r="AC1575" s="355"/>
      <c r="AD1575" s="1318">
        <f>KT_6421</f>
        <v>3079668362</v>
      </c>
      <c r="AE1575" s="1318"/>
      <c r="AF1575" s="1318"/>
      <c r="AG1575" s="1318"/>
      <c r="AH1575" s="1318"/>
      <c r="AI1575" s="1318"/>
      <c r="AJ1575" s="344"/>
      <c r="AK1575" s="345"/>
      <c r="AL1575" s="340"/>
      <c r="AM1575" s="342" t="s">
        <v>1630</v>
      </c>
      <c r="AN1575" s="342"/>
      <c r="AO1575" s="342"/>
      <c r="AP1575" s="342"/>
      <c r="AQ1575" s="342"/>
      <c r="AR1575" s="342"/>
      <c r="AS1575" s="342"/>
      <c r="AT1575" s="342"/>
      <c r="AU1575" s="342"/>
      <c r="AV1575" s="342"/>
      <c r="AW1575" s="342"/>
      <c r="AX1575" s="342"/>
      <c r="AY1575" s="342"/>
      <c r="AZ1575" s="342"/>
      <c r="BA1575" s="342"/>
      <c r="BB1575" s="342"/>
      <c r="BC1575" s="342"/>
      <c r="BD1575" s="342"/>
      <c r="BE1575" s="342"/>
      <c r="BF1575" s="342"/>
      <c r="BG1575" s="1318">
        <f t="shared" si="116"/>
        <v>2758759817</v>
      </c>
      <c r="BH1575" s="1318"/>
      <c r="BI1575" s="1318"/>
      <c r="BJ1575" s="1318"/>
      <c r="BK1575" s="1318"/>
      <c r="BL1575" s="1318"/>
      <c r="BM1575" s="355"/>
      <c r="BN1575" s="1318">
        <f t="shared" si="117"/>
        <v>3079668362</v>
      </c>
      <c r="BO1575" s="1318"/>
      <c r="BP1575" s="1318"/>
      <c r="BQ1575" s="1318"/>
      <c r="BR1575" s="1318"/>
      <c r="BS1575" s="1318"/>
      <c r="BT1575" s="356"/>
      <c r="BU1575" s="357"/>
      <c r="BV1575" s="310"/>
      <c r="BW1575" s="734"/>
      <c r="BX1575" s="291">
        <f t="shared" si="113"/>
        <v>0</v>
      </c>
      <c r="BY1575" s="344"/>
      <c r="BZ1575" s="347">
        <v>3079668362</v>
      </c>
      <c r="CA1575" s="347">
        <f t="shared" ref="CA1575:CA1580" si="118">W1575-AD1575</f>
        <v>-320908545</v>
      </c>
      <c r="CB1575" s="735">
        <f t="shared" ref="CB1575:CB1580" si="119">CA1575/AD1575</f>
        <v>-0.10420230598842642</v>
      </c>
    </row>
    <row r="1576" spans="1:84" ht="15" customHeight="1" x14ac:dyDescent="0.25">
      <c r="A1576" s="313"/>
      <c r="B1576" s="454"/>
      <c r="C1576" s="342" t="s">
        <v>1631</v>
      </c>
      <c r="D1576" s="342"/>
      <c r="E1576" s="342"/>
      <c r="F1576" s="342"/>
      <c r="G1576" s="342"/>
      <c r="H1576" s="342"/>
      <c r="I1576" s="342"/>
      <c r="J1576" s="342"/>
      <c r="K1576" s="342"/>
      <c r="L1576" s="342"/>
      <c r="M1576" s="342"/>
      <c r="N1576" s="342"/>
      <c r="O1576" s="342"/>
      <c r="P1576" s="342"/>
      <c r="Q1576" s="342"/>
      <c r="R1576" s="342"/>
      <c r="S1576" s="342"/>
      <c r="T1576" s="342"/>
      <c r="U1576" s="342"/>
      <c r="V1576" s="342"/>
      <c r="W1576" s="1318">
        <f>KN_6424</f>
        <v>159229582</v>
      </c>
      <c r="X1576" s="1318"/>
      <c r="Y1576" s="1318"/>
      <c r="Z1576" s="1318"/>
      <c r="AA1576" s="1318"/>
      <c r="AB1576" s="1318"/>
      <c r="AC1576" s="355"/>
      <c r="AD1576" s="1318">
        <f>KT_6424</f>
        <v>181618197</v>
      </c>
      <c r="AE1576" s="1318"/>
      <c r="AF1576" s="1318"/>
      <c r="AG1576" s="1318"/>
      <c r="AH1576" s="1318"/>
      <c r="AI1576" s="1318"/>
      <c r="AJ1576" s="344"/>
      <c r="AK1576" s="345"/>
      <c r="AL1576" s="340"/>
      <c r="AM1576" s="342" t="s">
        <v>1632</v>
      </c>
      <c r="AN1576" s="342"/>
      <c r="AO1576" s="342"/>
      <c r="AP1576" s="342"/>
      <c r="AQ1576" s="342"/>
      <c r="AR1576" s="342"/>
      <c r="AS1576" s="342"/>
      <c r="AT1576" s="342"/>
      <c r="AU1576" s="342"/>
      <c r="AV1576" s="342"/>
      <c r="AW1576" s="342"/>
      <c r="AX1576" s="342"/>
      <c r="AY1576" s="342"/>
      <c r="AZ1576" s="342"/>
      <c r="BA1576" s="342"/>
      <c r="BB1576" s="342"/>
      <c r="BC1576" s="342"/>
      <c r="BD1576" s="342"/>
      <c r="BE1576" s="342"/>
      <c r="BF1576" s="342"/>
      <c r="BG1576" s="1318">
        <f t="shared" si="116"/>
        <v>159229582</v>
      </c>
      <c r="BH1576" s="1318"/>
      <c r="BI1576" s="1318"/>
      <c r="BJ1576" s="1318"/>
      <c r="BK1576" s="1318"/>
      <c r="BL1576" s="1318"/>
      <c r="BM1576" s="355"/>
      <c r="BN1576" s="1318">
        <f t="shared" si="117"/>
        <v>181618197</v>
      </c>
      <c r="BO1576" s="1318"/>
      <c r="BP1576" s="1318"/>
      <c r="BQ1576" s="1318"/>
      <c r="BR1576" s="1318"/>
      <c r="BS1576" s="1318"/>
      <c r="BT1576" s="356"/>
      <c r="BU1576" s="357"/>
      <c r="BV1576" s="310" t="s">
        <v>1569</v>
      </c>
      <c r="BW1576" s="734"/>
      <c r="BX1576" s="291">
        <f t="shared" si="113"/>
        <v>0</v>
      </c>
      <c r="BY1576" s="344"/>
      <c r="BZ1576" s="347">
        <v>181618197</v>
      </c>
      <c r="CA1576" s="347">
        <f t="shared" si="118"/>
        <v>-22388615</v>
      </c>
      <c r="CB1576" s="735">
        <f t="shared" si="119"/>
        <v>-0.12327297247643088</v>
      </c>
    </row>
    <row r="1577" spans="1:84" ht="15" hidden="1" customHeight="1" x14ac:dyDescent="0.25">
      <c r="A1577" s="313"/>
      <c r="B1577" s="454"/>
      <c r="C1577" s="342" t="s">
        <v>1644</v>
      </c>
      <c r="D1577" s="342"/>
      <c r="E1577" s="342"/>
      <c r="F1577" s="342"/>
      <c r="G1577" s="342"/>
      <c r="H1577" s="342"/>
      <c r="I1577" s="342"/>
      <c r="J1577" s="342"/>
      <c r="K1577" s="342"/>
      <c r="L1577" s="342"/>
      <c r="M1577" s="342"/>
      <c r="N1577" s="342"/>
      <c r="O1577" s="342"/>
      <c r="P1577" s="342"/>
      <c r="Q1577" s="342"/>
      <c r="R1577" s="342"/>
      <c r="S1577" s="342"/>
      <c r="T1577" s="342"/>
      <c r="U1577" s="342"/>
      <c r="V1577" s="342"/>
      <c r="W1577" s="1318"/>
      <c r="X1577" s="1318"/>
      <c r="Y1577" s="1318"/>
      <c r="Z1577" s="1318"/>
      <c r="AA1577" s="1318"/>
      <c r="AB1577" s="1318"/>
      <c r="AC1577" s="355"/>
      <c r="AD1577" s="1318"/>
      <c r="AE1577" s="1318"/>
      <c r="AF1577" s="1318"/>
      <c r="AG1577" s="1318"/>
      <c r="AH1577" s="1318"/>
      <c r="AI1577" s="1318"/>
      <c r="AJ1577" s="344"/>
      <c r="AK1577" s="345"/>
      <c r="AL1577" s="340"/>
      <c r="AM1577" s="342" t="s">
        <v>1645</v>
      </c>
      <c r="AN1577" s="342"/>
      <c r="AO1577" s="342"/>
      <c r="AP1577" s="342"/>
      <c r="AQ1577" s="342"/>
      <c r="AR1577" s="342"/>
      <c r="AS1577" s="342"/>
      <c r="AT1577" s="342"/>
      <c r="AU1577" s="342"/>
      <c r="AV1577" s="342"/>
      <c r="AW1577" s="342"/>
      <c r="AX1577" s="342"/>
      <c r="AY1577" s="342"/>
      <c r="AZ1577" s="342"/>
      <c r="BA1577" s="342"/>
      <c r="BB1577" s="342"/>
      <c r="BC1577" s="342"/>
      <c r="BD1577" s="342"/>
      <c r="BE1577" s="342"/>
      <c r="BF1577" s="342"/>
      <c r="BG1577" s="1318">
        <f t="shared" si="116"/>
        <v>0</v>
      </c>
      <c r="BH1577" s="1318"/>
      <c r="BI1577" s="1318"/>
      <c r="BJ1577" s="1318"/>
      <c r="BK1577" s="1318"/>
      <c r="BL1577" s="1318"/>
      <c r="BM1577" s="355"/>
      <c r="BN1577" s="1318">
        <f t="shared" si="117"/>
        <v>0</v>
      </c>
      <c r="BO1577" s="1318"/>
      <c r="BP1577" s="1318"/>
      <c r="BQ1577" s="1318"/>
      <c r="BR1577" s="1318"/>
      <c r="BS1577" s="1318"/>
      <c r="BT1577" s="356"/>
      <c r="BU1577" s="357"/>
      <c r="BV1577" s="310" t="s">
        <v>1569</v>
      </c>
      <c r="BW1577" s="734"/>
      <c r="BX1577" s="291">
        <f t="shared" si="113"/>
        <v>0</v>
      </c>
      <c r="BY1577" s="344"/>
      <c r="BZ1577" s="347">
        <v>152861887</v>
      </c>
      <c r="CA1577" s="347">
        <f t="shared" si="118"/>
        <v>0</v>
      </c>
      <c r="CB1577" s="735" t="e">
        <f t="shared" si="119"/>
        <v>#DIV/0!</v>
      </c>
    </row>
    <row r="1578" spans="1:84" ht="15" customHeight="1" x14ac:dyDescent="0.25">
      <c r="A1578" s="313"/>
      <c r="B1578" s="454"/>
      <c r="C1578" s="342" t="s">
        <v>1646</v>
      </c>
      <c r="D1578" s="342"/>
      <c r="E1578" s="342"/>
      <c r="F1578" s="342"/>
      <c r="G1578" s="342"/>
      <c r="H1578" s="342"/>
      <c r="I1578" s="342"/>
      <c r="J1578" s="342"/>
      <c r="K1578" s="342"/>
      <c r="L1578" s="342"/>
      <c r="M1578" s="342"/>
      <c r="N1578" s="342"/>
      <c r="O1578" s="342"/>
      <c r="P1578" s="342"/>
      <c r="Q1578" s="342"/>
      <c r="R1578" s="342"/>
      <c r="S1578" s="342"/>
      <c r="T1578" s="342"/>
      <c r="U1578" s="342"/>
      <c r="V1578" s="342"/>
      <c r="W1578" s="1318">
        <f>KN_6426</f>
        <v>-1229203186</v>
      </c>
      <c r="X1578" s="1318"/>
      <c r="Y1578" s="1318"/>
      <c r="Z1578" s="1318"/>
      <c r="AA1578" s="1318"/>
      <c r="AB1578" s="1318"/>
      <c r="AC1578" s="355"/>
      <c r="AD1578" s="1318">
        <f>KT_6426</f>
        <v>1543964029</v>
      </c>
      <c r="AE1578" s="1318"/>
      <c r="AF1578" s="1318"/>
      <c r="AG1578" s="1318"/>
      <c r="AH1578" s="1318"/>
      <c r="AI1578" s="1318"/>
      <c r="AJ1578" s="344"/>
      <c r="AK1578" s="345"/>
      <c r="AL1578" s="340"/>
      <c r="AM1578" s="342" t="s">
        <v>1647</v>
      </c>
      <c r="AN1578" s="342"/>
      <c r="AO1578" s="342"/>
      <c r="AP1578" s="342"/>
      <c r="AQ1578" s="342"/>
      <c r="AR1578" s="342"/>
      <c r="AS1578" s="342"/>
      <c r="AT1578" s="342"/>
      <c r="AU1578" s="342"/>
      <c r="AV1578" s="342"/>
      <c r="AW1578" s="342"/>
      <c r="AX1578" s="342"/>
      <c r="AY1578" s="342"/>
      <c r="AZ1578" s="342"/>
      <c r="BA1578" s="342"/>
      <c r="BB1578" s="342"/>
      <c r="BC1578" s="342"/>
      <c r="BD1578" s="342"/>
      <c r="BE1578" s="342"/>
      <c r="BF1578" s="342"/>
      <c r="BG1578" s="1318">
        <f t="shared" si="116"/>
        <v>-1229203186</v>
      </c>
      <c r="BH1578" s="1318"/>
      <c r="BI1578" s="1318"/>
      <c r="BJ1578" s="1318"/>
      <c r="BK1578" s="1318"/>
      <c r="BL1578" s="1318"/>
      <c r="BM1578" s="355"/>
      <c r="BN1578" s="1318">
        <f t="shared" si="117"/>
        <v>1543964029</v>
      </c>
      <c r="BO1578" s="1318"/>
      <c r="BP1578" s="1318"/>
      <c r="BQ1578" s="1318"/>
      <c r="BR1578" s="1318"/>
      <c r="BS1578" s="1318"/>
      <c r="BT1578" s="356"/>
      <c r="BU1578" s="357"/>
      <c r="BV1578" s="310">
        <f>W1578-([1]CDKT!AD31-[1]CDKT!V31)</f>
        <v>18490972</v>
      </c>
      <c r="BW1578" s="734"/>
      <c r="BX1578" s="291">
        <f t="shared" si="113"/>
        <v>0</v>
      </c>
      <c r="BY1578" s="344"/>
      <c r="BZ1578" s="347">
        <v>1543964029</v>
      </c>
      <c r="CA1578" s="347">
        <f t="shared" si="118"/>
        <v>-2773167215</v>
      </c>
      <c r="CB1578" s="735">
        <f t="shared" si="119"/>
        <v>-1.7961346008793577</v>
      </c>
    </row>
    <row r="1579" spans="1:84" ht="15" customHeight="1" x14ac:dyDescent="0.25">
      <c r="A1579" s="313"/>
      <c r="B1579" s="454"/>
      <c r="C1579" s="342" t="s">
        <v>1633</v>
      </c>
      <c r="D1579" s="342"/>
      <c r="E1579" s="342"/>
      <c r="F1579" s="342"/>
      <c r="G1579" s="342"/>
      <c r="H1579" s="342"/>
      <c r="I1579" s="342"/>
      <c r="J1579" s="342"/>
      <c r="K1579" s="342"/>
      <c r="L1579" s="342"/>
      <c r="M1579" s="342"/>
      <c r="N1579" s="342"/>
      <c r="O1579" s="342"/>
      <c r="P1579" s="342"/>
      <c r="Q1579" s="342"/>
      <c r="R1579" s="342"/>
      <c r="S1579" s="342"/>
      <c r="T1579" s="342"/>
      <c r="U1579" s="342"/>
      <c r="V1579" s="342"/>
      <c r="W1579" s="1318">
        <f>KN_6427</f>
        <v>68815789</v>
      </c>
      <c r="X1579" s="1318"/>
      <c r="Y1579" s="1318"/>
      <c r="Z1579" s="1318"/>
      <c r="AA1579" s="1318"/>
      <c r="AB1579" s="1318"/>
      <c r="AC1579" s="355"/>
      <c r="AD1579" s="1318">
        <f>KT_6427</f>
        <v>162269064</v>
      </c>
      <c r="AE1579" s="1318"/>
      <c r="AF1579" s="1318"/>
      <c r="AG1579" s="1318"/>
      <c r="AH1579" s="1318"/>
      <c r="AI1579" s="1318"/>
      <c r="AJ1579" s="344"/>
      <c r="AK1579" s="345"/>
      <c r="AL1579" s="340"/>
      <c r="AM1579" s="342" t="s">
        <v>1634</v>
      </c>
      <c r="AN1579" s="342"/>
      <c r="AO1579" s="342"/>
      <c r="AP1579" s="342"/>
      <c r="AQ1579" s="342"/>
      <c r="AR1579" s="342"/>
      <c r="AS1579" s="342"/>
      <c r="AT1579" s="342"/>
      <c r="AU1579" s="342"/>
      <c r="AV1579" s="342"/>
      <c r="AW1579" s="342"/>
      <c r="AX1579" s="342"/>
      <c r="AY1579" s="342"/>
      <c r="AZ1579" s="342"/>
      <c r="BA1579" s="342"/>
      <c r="BB1579" s="342"/>
      <c r="BC1579" s="342"/>
      <c r="BD1579" s="342"/>
      <c r="BE1579" s="342"/>
      <c r="BF1579" s="342"/>
      <c r="BG1579" s="1318">
        <f t="shared" si="116"/>
        <v>68815789</v>
      </c>
      <c r="BH1579" s="1318"/>
      <c r="BI1579" s="1318"/>
      <c r="BJ1579" s="1318"/>
      <c r="BK1579" s="1318"/>
      <c r="BL1579" s="1318"/>
      <c r="BM1579" s="355"/>
      <c r="BN1579" s="1318">
        <f t="shared" si="117"/>
        <v>162269064</v>
      </c>
      <c r="BO1579" s="1318"/>
      <c r="BP1579" s="1318"/>
      <c r="BQ1579" s="1318"/>
      <c r="BR1579" s="1318"/>
      <c r="BS1579" s="1318"/>
      <c r="BT1579" s="356"/>
      <c r="BU1579" s="357"/>
      <c r="BV1579" s="296" t="s">
        <v>1648</v>
      </c>
      <c r="BW1579" s="734"/>
      <c r="BX1579" s="291">
        <f t="shared" si="113"/>
        <v>0</v>
      </c>
      <c r="BY1579" s="344"/>
      <c r="BZ1579" s="347">
        <v>162269064</v>
      </c>
      <c r="CA1579" s="347">
        <f t="shared" si="118"/>
        <v>-93453275</v>
      </c>
      <c r="CB1579" s="735">
        <f t="shared" si="119"/>
        <v>-0.57591553618624436</v>
      </c>
    </row>
    <row r="1580" spans="1:84" ht="15" customHeight="1" x14ac:dyDescent="0.25">
      <c r="A1580" s="313"/>
      <c r="B1580" s="454"/>
      <c r="C1580" s="342" t="s">
        <v>1635</v>
      </c>
      <c r="D1580" s="342"/>
      <c r="E1580" s="342"/>
      <c r="F1580" s="342"/>
      <c r="G1580" s="342"/>
      <c r="H1580" s="342"/>
      <c r="I1580" s="342"/>
      <c r="J1580" s="342"/>
      <c r="K1580" s="342"/>
      <c r="L1580" s="342"/>
      <c r="M1580" s="342"/>
      <c r="N1580" s="342"/>
      <c r="O1580" s="342"/>
      <c r="P1580" s="342"/>
      <c r="Q1580" s="342"/>
      <c r="R1580" s="342"/>
      <c r="S1580" s="342"/>
      <c r="T1580" s="342"/>
      <c r="U1580" s="342"/>
      <c r="V1580" s="342"/>
      <c r="W1580" s="1318">
        <f>KN_6428+KN_6425</f>
        <v>1577517545</v>
      </c>
      <c r="X1580" s="1318"/>
      <c r="Y1580" s="1318"/>
      <c r="Z1580" s="1318"/>
      <c r="AA1580" s="1318"/>
      <c r="AB1580" s="1318"/>
      <c r="AC1580" s="355"/>
      <c r="AD1580" s="1318">
        <f>KT_6428+KT_6425</f>
        <v>1591015051</v>
      </c>
      <c r="AE1580" s="1318"/>
      <c r="AF1580" s="1318"/>
      <c r="AG1580" s="1318"/>
      <c r="AH1580" s="1318"/>
      <c r="AI1580" s="1318"/>
      <c r="AJ1580" s="344"/>
      <c r="AK1580" s="345"/>
      <c r="AL1580" s="340"/>
      <c r="AM1580" s="342" t="s">
        <v>1636</v>
      </c>
      <c r="AN1580" s="342"/>
      <c r="AO1580" s="342"/>
      <c r="AP1580" s="342"/>
      <c r="AQ1580" s="342"/>
      <c r="AR1580" s="342"/>
      <c r="AS1580" s="342"/>
      <c r="AT1580" s="342"/>
      <c r="AU1580" s="342"/>
      <c r="AV1580" s="342"/>
      <c r="AW1580" s="342"/>
      <c r="AX1580" s="342"/>
      <c r="AY1580" s="342"/>
      <c r="AZ1580" s="342"/>
      <c r="BA1580" s="342"/>
      <c r="BB1580" s="342"/>
      <c r="BC1580" s="342"/>
      <c r="BD1580" s="342"/>
      <c r="BE1580" s="342"/>
      <c r="BF1580" s="342"/>
      <c r="BG1580" s="1318">
        <f t="shared" si="116"/>
        <v>1577517545</v>
      </c>
      <c r="BH1580" s="1318"/>
      <c r="BI1580" s="1318"/>
      <c r="BJ1580" s="1318"/>
      <c r="BK1580" s="1318"/>
      <c r="BL1580" s="1318"/>
      <c r="BM1580" s="355"/>
      <c r="BN1580" s="1318">
        <f t="shared" si="117"/>
        <v>1591015051</v>
      </c>
      <c r="BO1580" s="1318"/>
      <c r="BP1580" s="1318"/>
      <c r="BQ1580" s="1318"/>
      <c r="BR1580" s="1318"/>
      <c r="BS1580" s="1318"/>
      <c r="BT1580" s="356"/>
      <c r="BU1580" s="357"/>
      <c r="BV1580" s="310"/>
      <c r="BW1580" s="734"/>
      <c r="BX1580" s="291">
        <f t="shared" si="113"/>
        <v>0</v>
      </c>
      <c r="BY1580" s="344"/>
      <c r="BZ1580" s="347">
        <v>1438153164</v>
      </c>
      <c r="CA1580" s="347">
        <f t="shared" si="118"/>
        <v>-13497506</v>
      </c>
      <c r="CB1580" s="735">
        <f t="shared" si="119"/>
        <v>-8.4835815924660281E-3</v>
      </c>
    </row>
    <row r="1581" spans="1:84" ht="12.95" customHeight="1" x14ac:dyDescent="0.25">
      <c r="A1581" s="313"/>
      <c r="B1581" s="454"/>
      <c r="C1581" s="342"/>
      <c r="D1581" s="342"/>
      <c r="E1581" s="342"/>
      <c r="F1581" s="342"/>
      <c r="G1581" s="342"/>
      <c r="H1581" s="342"/>
      <c r="I1581" s="342"/>
      <c r="J1581" s="342"/>
      <c r="K1581" s="342"/>
      <c r="L1581" s="342"/>
      <c r="M1581" s="342"/>
      <c r="N1581" s="342"/>
      <c r="O1581" s="342"/>
      <c r="P1581" s="342"/>
      <c r="Q1581" s="342"/>
      <c r="R1581" s="342"/>
      <c r="S1581" s="342"/>
      <c r="T1581" s="342"/>
      <c r="U1581" s="342"/>
      <c r="V1581" s="342"/>
      <c r="W1581" s="1318"/>
      <c r="X1581" s="1318"/>
      <c r="Y1581" s="1318"/>
      <c r="Z1581" s="1318"/>
      <c r="AA1581" s="1318"/>
      <c r="AB1581" s="1318"/>
      <c r="AC1581" s="355"/>
      <c r="AD1581" s="1318"/>
      <c r="AE1581" s="1318"/>
      <c r="AF1581" s="1318"/>
      <c r="AG1581" s="1318"/>
      <c r="AH1581" s="1318"/>
      <c r="AI1581" s="1318"/>
      <c r="AJ1581" s="344"/>
      <c r="AK1581" s="345"/>
      <c r="AL1581" s="340"/>
      <c r="AM1581" s="342"/>
      <c r="AN1581" s="342"/>
      <c r="AO1581" s="342"/>
      <c r="AP1581" s="342"/>
      <c r="AQ1581" s="342"/>
      <c r="AR1581" s="342"/>
      <c r="AS1581" s="342"/>
      <c r="AT1581" s="342"/>
      <c r="AU1581" s="342"/>
      <c r="AV1581" s="342"/>
      <c r="AW1581" s="342"/>
      <c r="AX1581" s="342"/>
      <c r="AY1581" s="342"/>
      <c r="AZ1581" s="342"/>
      <c r="BA1581" s="342"/>
      <c r="BB1581" s="342"/>
      <c r="BC1581" s="342"/>
      <c r="BD1581" s="342"/>
      <c r="BE1581" s="342"/>
      <c r="BF1581" s="342"/>
      <c r="BG1581" s="1318"/>
      <c r="BH1581" s="1318"/>
      <c r="BI1581" s="1318"/>
      <c r="BJ1581" s="1318"/>
      <c r="BK1581" s="1318"/>
      <c r="BL1581" s="1318"/>
      <c r="BM1581" s="355"/>
      <c r="BN1581" s="1318"/>
      <c r="BO1581" s="1318"/>
      <c r="BP1581" s="1318"/>
      <c r="BQ1581" s="1318"/>
      <c r="BR1581" s="1318"/>
      <c r="BS1581" s="1318"/>
      <c r="BT1581" s="356"/>
      <c r="BU1581" s="357"/>
      <c r="BV1581" s="310"/>
      <c r="BW1581" s="310"/>
      <c r="BX1581" s="291">
        <f t="shared" si="113"/>
        <v>0</v>
      </c>
      <c r="BY1581" s="344"/>
      <c r="BZ1581" s="347"/>
      <c r="CA1581" s="347"/>
    </row>
    <row r="1582" spans="1:84" ht="15" customHeight="1" thickBot="1" x14ac:dyDescent="0.3">
      <c r="A1582" s="313"/>
      <c r="B1582" s="454"/>
      <c r="C1582" s="342"/>
      <c r="D1582" s="342"/>
      <c r="E1582" s="342"/>
      <c r="F1582" s="342"/>
      <c r="G1582" s="342"/>
      <c r="H1582" s="342"/>
      <c r="I1582" s="342"/>
      <c r="J1582" s="342"/>
      <c r="K1582" s="342"/>
      <c r="L1582" s="342"/>
      <c r="M1582" s="342"/>
      <c r="N1582" s="342"/>
      <c r="O1582" s="342"/>
      <c r="P1582" s="342"/>
      <c r="Q1582" s="342"/>
      <c r="R1582" s="342"/>
      <c r="S1582" s="342"/>
      <c r="T1582" s="342"/>
      <c r="U1582" s="342"/>
      <c r="V1582" s="342"/>
      <c r="W1582" s="1359">
        <f>SUBTOTAL(109,W1574:AB1580)</f>
        <v>3367882045</v>
      </c>
      <c r="X1582" s="1359"/>
      <c r="Y1582" s="1359"/>
      <c r="Z1582" s="1359"/>
      <c r="AA1582" s="1359"/>
      <c r="AB1582" s="1359"/>
      <c r="AC1582" s="355"/>
      <c r="AD1582" s="1359">
        <f>SUBTOTAL(109,AD1574:AI1580)</f>
        <v>6599119861</v>
      </c>
      <c r="AE1582" s="1359"/>
      <c r="AF1582" s="1359"/>
      <c r="AG1582" s="1359"/>
      <c r="AH1582" s="1359"/>
      <c r="AI1582" s="1359"/>
      <c r="AJ1582" s="344"/>
      <c r="AK1582" s="345"/>
      <c r="AL1582" s="340"/>
      <c r="AM1582" s="342"/>
      <c r="AN1582" s="342"/>
      <c r="AO1582" s="342"/>
      <c r="AP1582" s="342"/>
      <c r="AQ1582" s="342"/>
      <c r="AR1582" s="342"/>
      <c r="AS1582" s="342"/>
      <c r="AT1582" s="342"/>
      <c r="AU1582" s="342"/>
      <c r="AV1582" s="342"/>
      <c r="AW1582" s="342"/>
      <c r="AX1582" s="342"/>
      <c r="AY1582" s="342"/>
      <c r="AZ1582" s="342"/>
      <c r="BA1582" s="342"/>
      <c r="BB1582" s="342"/>
      <c r="BC1582" s="342"/>
      <c r="BD1582" s="342"/>
      <c r="BE1582" s="342"/>
      <c r="BF1582" s="342"/>
      <c r="BG1582" s="1359">
        <f>SUBTOTAL(109,BG1574:BL1580)</f>
        <v>3367882045</v>
      </c>
      <c r="BH1582" s="1359"/>
      <c r="BI1582" s="1359"/>
      <c r="BJ1582" s="1359"/>
      <c r="BK1582" s="1359"/>
      <c r="BL1582" s="1359"/>
      <c r="BM1582" s="355"/>
      <c r="BN1582" s="1359">
        <f>SUBTOTAL(109,BN1574:BS1580)</f>
        <v>6599119861</v>
      </c>
      <c r="BO1582" s="1359"/>
      <c r="BP1582" s="1359"/>
      <c r="BQ1582" s="1359"/>
      <c r="BR1582" s="1359"/>
      <c r="BS1582" s="1359"/>
      <c r="BT1582" s="356"/>
      <c r="BU1582" s="357"/>
      <c r="BV1582" s="310">
        <f>W1582-KN_CT26</f>
        <v>0</v>
      </c>
      <c r="BW1582" s="310">
        <f>AD1582-KT_CT26</f>
        <v>0</v>
      </c>
      <c r="BX1582" s="291">
        <f t="shared" si="113"/>
        <v>0</v>
      </c>
      <c r="BY1582" s="344"/>
      <c r="BZ1582" s="347"/>
      <c r="CA1582" s="347"/>
    </row>
    <row r="1583" spans="1:84" ht="2.1" customHeight="1" thickTop="1" x14ac:dyDescent="0.25">
      <c r="A1583" s="313"/>
      <c r="B1583" s="454"/>
      <c r="C1583" s="342"/>
      <c r="D1583" s="342"/>
      <c r="E1583" s="342"/>
      <c r="F1583" s="342"/>
      <c r="G1583" s="342"/>
      <c r="H1583" s="342"/>
      <c r="I1583" s="342"/>
      <c r="J1583" s="342"/>
      <c r="K1583" s="342"/>
      <c r="L1583" s="342"/>
      <c r="M1583" s="342"/>
      <c r="N1583" s="342"/>
      <c r="O1583" s="342"/>
      <c r="P1583" s="342"/>
      <c r="Q1583" s="342"/>
      <c r="R1583" s="342"/>
      <c r="S1583" s="342"/>
      <c r="T1583" s="342"/>
      <c r="U1583" s="342"/>
      <c r="V1583" s="342"/>
      <c r="W1583" s="343"/>
      <c r="X1583" s="343"/>
      <c r="Y1583" s="343"/>
      <c r="Z1583" s="343"/>
      <c r="AA1583" s="343"/>
      <c r="AB1583" s="343"/>
      <c r="AC1583" s="343"/>
      <c r="AD1583" s="343"/>
      <c r="AE1583" s="343"/>
      <c r="AF1583" s="343"/>
      <c r="AG1583" s="343"/>
      <c r="AH1583" s="343"/>
      <c r="AI1583" s="343"/>
      <c r="AJ1583" s="344"/>
      <c r="AK1583" s="345"/>
      <c r="AL1583" s="340"/>
      <c r="AM1583" s="342"/>
      <c r="AN1583" s="342"/>
      <c r="AO1583" s="342"/>
      <c r="AP1583" s="342"/>
      <c r="AQ1583" s="342"/>
      <c r="AR1583" s="342"/>
      <c r="AS1583" s="342"/>
      <c r="AT1583" s="342"/>
      <c r="AU1583" s="342"/>
      <c r="AV1583" s="342"/>
      <c r="AW1583" s="342"/>
      <c r="AX1583" s="342"/>
      <c r="AY1583" s="342"/>
      <c r="AZ1583" s="342"/>
      <c r="BA1583" s="342"/>
      <c r="BB1583" s="342"/>
      <c r="BC1583" s="342"/>
      <c r="BD1583" s="342"/>
      <c r="BE1583" s="342"/>
      <c r="BF1583" s="342"/>
      <c r="BG1583" s="342"/>
      <c r="BH1583" s="342"/>
      <c r="BI1583" s="342"/>
      <c r="BJ1583" s="342"/>
      <c r="BK1583" s="342"/>
      <c r="BL1583" s="342"/>
      <c r="BM1583" s="342"/>
      <c r="BN1583" s="356"/>
      <c r="BO1583" s="356"/>
      <c r="BP1583" s="356"/>
      <c r="BQ1583" s="356"/>
      <c r="BR1583" s="356"/>
      <c r="BS1583" s="356"/>
      <c r="BT1583" s="356"/>
      <c r="BU1583" s="357"/>
      <c r="BV1583" s="310"/>
      <c r="BW1583" s="310"/>
      <c r="BX1583" s="291">
        <f t="shared" si="113"/>
        <v>0</v>
      </c>
      <c r="BY1583" s="344"/>
      <c r="BZ1583" s="347"/>
      <c r="CA1583" s="347"/>
    </row>
    <row r="1584" spans="1:84" ht="12.95" customHeight="1" x14ac:dyDescent="0.25">
      <c r="A1584" s="313"/>
      <c r="B1584" s="340"/>
      <c r="C1584" s="342"/>
      <c r="D1584" s="342"/>
      <c r="E1584" s="342"/>
      <c r="F1584" s="342"/>
      <c r="G1584" s="342"/>
      <c r="H1584" s="342"/>
      <c r="I1584" s="342"/>
      <c r="J1584" s="342"/>
      <c r="K1584" s="342"/>
      <c r="L1584" s="342"/>
      <c r="M1584" s="342"/>
      <c r="N1584" s="342"/>
      <c r="O1584" s="342"/>
      <c r="P1584" s="342"/>
      <c r="Q1584" s="342"/>
      <c r="R1584" s="342"/>
      <c r="S1584" s="342"/>
      <c r="T1584" s="342"/>
      <c r="U1584" s="342"/>
      <c r="V1584" s="342"/>
      <c r="W1584" s="343"/>
      <c r="X1584" s="343"/>
      <c r="Y1584" s="343"/>
      <c r="Z1584" s="343"/>
      <c r="AA1584" s="343"/>
      <c r="AB1584" s="343"/>
      <c r="AC1584" s="343"/>
      <c r="AD1584" s="343"/>
      <c r="AE1584" s="343"/>
      <c r="AF1584" s="343"/>
      <c r="AG1584" s="343"/>
      <c r="AH1584" s="343"/>
      <c r="AI1584" s="343"/>
      <c r="AJ1584" s="344"/>
      <c r="AK1584" s="345"/>
      <c r="AL1584" s="340"/>
      <c r="AM1584" s="342"/>
      <c r="AN1584" s="342"/>
      <c r="AO1584" s="342"/>
      <c r="AP1584" s="342"/>
      <c r="AQ1584" s="342"/>
      <c r="AR1584" s="342"/>
      <c r="AS1584" s="342"/>
      <c r="AT1584" s="342"/>
      <c r="AU1584" s="342"/>
      <c r="AV1584" s="342"/>
      <c r="AW1584" s="342"/>
      <c r="AX1584" s="342"/>
      <c r="AY1584" s="342"/>
      <c r="AZ1584" s="342"/>
      <c r="BA1584" s="342"/>
      <c r="BB1584" s="342"/>
      <c r="BC1584" s="342"/>
      <c r="BD1584" s="342"/>
      <c r="BE1584" s="342"/>
      <c r="BF1584" s="342"/>
      <c r="BG1584" s="342"/>
      <c r="BH1584" s="342"/>
      <c r="BI1584" s="342"/>
      <c r="BJ1584" s="342"/>
      <c r="BK1584" s="342"/>
      <c r="BL1584" s="342"/>
      <c r="BM1584" s="342"/>
      <c r="BN1584" s="356"/>
      <c r="BO1584" s="356"/>
      <c r="BP1584" s="356"/>
      <c r="BQ1584" s="356"/>
      <c r="BR1584" s="356"/>
      <c r="BS1584" s="356"/>
      <c r="BT1584" s="356"/>
      <c r="BU1584" s="357"/>
      <c r="BV1584" s="310"/>
      <c r="BW1584" s="310"/>
      <c r="BX1584" s="291">
        <f t="shared" si="113"/>
        <v>0</v>
      </c>
      <c r="BY1584" s="344"/>
      <c r="BZ1584" s="347"/>
      <c r="CA1584" s="347"/>
    </row>
    <row r="1585" spans="1:84" s="423" customFormat="1" ht="15" customHeight="1" x14ac:dyDescent="0.25">
      <c r="A1585" s="313">
        <v>28</v>
      </c>
      <c r="B1585" s="340" t="s">
        <v>345</v>
      </c>
      <c r="C1585" s="341" t="s">
        <v>1649</v>
      </c>
      <c r="D1585" s="342"/>
      <c r="E1585" s="342"/>
      <c r="F1585" s="342"/>
      <c r="G1585" s="342"/>
      <c r="H1585" s="342"/>
      <c r="I1585" s="342"/>
      <c r="J1585" s="342"/>
      <c r="K1585" s="342"/>
      <c r="L1585" s="342"/>
      <c r="M1585" s="342"/>
      <c r="N1585" s="342"/>
      <c r="O1585" s="342"/>
      <c r="P1585" s="342"/>
      <c r="Q1585" s="342"/>
      <c r="R1585" s="342"/>
      <c r="S1585" s="342"/>
      <c r="T1585" s="342"/>
      <c r="U1585" s="342"/>
      <c r="V1585" s="342"/>
      <c r="W1585" s="343"/>
      <c r="X1585" s="343"/>
      <c r="Y1585" s="343"/>
      <c r="Z1585" s="343"/>
      <c r="AA1585" s="343"/>
      <c r="AB1585" s="343"/>
      <c r="AC1585" s="343"/>
      <c r="AD1585" s="343"/>
      <c r="AE1585" s="343"/>
      <c r="AF1585" s="343"/>
      <c r="AG1585" s="343"/>
      <c r="AH1585" s="343"/>
      <c r="AI1585" s="343"/>
      <c r="AJ1585" s="342"/>
      <c r="AK1585" s="345">
        <f>A1585</f>
        <v>28</v>
      </c>
      <c r="AL1585" s="340" t="s">
        <v>345</v>
      </c>
      <c r="AM1585" s="341" t="s">
        <v>1650</v>
      </c>
      <c r="AN1585" s="342"/>
      <c r="AO1585" s="342"/>
      <c r="AP1585" s="342"/>
      <c r="AQ1585" s="342"/>
      <c r="AR1585" s="342"/>
      <c r="AS1585" s="342"/>
      <c r="AT1585" s="342"/>
      <c r="AU1585" s="342"/>
      <c r="AV1585" s="342"/>
      <c r="AW1585" s="342"/>
      <c r="AX1585" s="342"/>
      <c r="AY1585" s="342"/>
      <c r="AZ1585" s="342"/>
      <c r="BA1585" s="342"/>
      <c r="BB1585" s="342"/>
      <c r="BC1585" s="342"/>
      <c r="BD1585" s="342"/>
      <c r="BE1585" s="342"/>
      <c r="BF1585" s="342"/>
      <c r="BG1585" s="342"/>
      <c r="BH1585" s="342"/>
      <c r="BI1585" s="342"/>
      <c r="BJ1585" s="342"/>
      <c r="BK1585" s="342"/>
      <c r="BL1585" s="342"/>
      <c r="BM1585" s="342"/>
      <c r="BN1585" s="356"/>
      <c r="BO1585" s="356"/>
      <c r="BP1585" s="356"/>
      <c r="BQ1585" s="356"/>
      <c r="BR1585" s="356"/>
      <c r="BS1585" s="356"/>
      <c r="BT1585" s="356"/>
      <c r="BU1585" s="346">
        <f>SUBTOTAL(103,A1585)</f>
        <v>1</v>
      </c>
      <c r="BV1585" s="310"/>
      <c r="BW1585" s="310"/>
      <c r="BX1585" s="300">
        <f t="shared" si="113"/>
        <v>0</v>
      </c>
      <c r="BY1585" s="342"/>
      <c r="BZ1585" s="438"/>
      <c r="CA1585" s="438"/>
      <c r="CB1585" s="439"/>
      <c r="CC1585" s="439"/>
      <c r="CD1585" s="439"/>
      <c r="CE1585" s="439"/>
      <c r="CF1585" s="439"/>
    </row>
    <row r="1586" spans="1:84" s="733" customFormat="1" ht="15" customHeight="1" x14ac:dyDescent="0.25">
      <c r="A1586" s="725"/>
      <c r="B1586" s="728"/>
      <c r="C1586" s="736"/>
      <c r="D1586" s="457"/>
      <c r="E1586" s="457"/>
      <c r="F1586" s="457"/>
      <c r="G1586" s="457"/>
      <c r="H1586" s="457"/>
      <c r="I1586" s="457"/>
      <c r="J1586" s="457"/>
      <c r="K1586" s="457"/>
      <c r="L1586" s="457"/>
      <c r="M1586" s="457"/>
      <c r="N1586" s="457"/>
      <c r="O1586" s="457"/>
      <c r="P1586" s="457"/>
      <c r="Q1586" s="457"/>
      <c r="R1586" s="457"/>
      <c r="S1586" s="457"/>
      <c r="T1586" s="457"/>
      <c r="U1586" s="457"/>
      <c r="V1586" s="457"/>
      <c r="W1586" s="1324" t="str">
        <f>Ky_Nay2_V</f>
        <v>Năm 2017</v>
      </c>
      <c r="X1586" s="1324"/>
      <c r="Y1586" s="1324"/>
      <c r="Z1586" s="1324"/>
      <c r="AA1586" s="1324"/>
      <c r="AB1586" s="1324"/>
      <c r="AC1586" s="681"/>
      <c r="AD1586" s="1324" t="str">
        <f>Ky_Truoc2_V</f>
        <v>Năm 2016</v>
      </c>
      <c r="AE1586" s="1324"/>
      <c r="AF1586" s="1324"/>
      <c r="AG1586" s="1324"/>
      <c r="AH1586" s="1324"/>
      <c r="AI1586" s="1324"/>
      <c r="AJ1586" s="690"/>
      <c r="AK1586" s="727"/>
      <c r="AL1586" s="728"/>
      <c r="AM1586" s="736"/>
      <c r="AN1586" s="457"/>
      <c r="AO1586" s="457"/>
      <c r="AP1586" s="457"/>
      <c r="AQ1586" s="457"/>
      <c r="AR1586" s="457"/>
      <c r="AS1586" s="457"/>
      <c r="AT1586" s="457"/>
      <c r="AU1586" s="457"/>
      <c r="AV1586" s="457"/>
      <c r="AW1586" s="457"/>
      <c r="AX1586" s="457"/>
      <c r="AY1586" s="457"/>
      <c r="AZ1586" s="457"/>
      <c r="BA1586" s="457"/>
      <c r="BB1586" s="457"/>
      <c r="BC1586" s="457"/>
      <c r="BD1586" s="457"/>
      <c r="BE1586" s="457"/>
      <c r="BF1586" s="457"/>
      <c r="BG1586" s="1324" t="str">
        <f>Ky_Nay2_E</f>
        <v>Year 2016</v>
      </c>
      <c r="BH1586" s="1324"/>
      <c r="BI1586" s="1324"/>
      <c r="BJ1586" s="1324"/>
      <c r="BK1586" s="1324"/>
      <c r="BL1586" s="1324"/>
      <c r="BM1586" s="737"/>
      <c r="BN1586" s="1324" t="str">
        <f>Ky_Truoc2_E</f>
        <v>Year 2015</v>
      </c>
      <c r="BO1586" s="1324"/>
      <c r="BP1586" s="1324"/>
      <c r="BQ1586" s="1324"/>
      <c r="BR1586" s="1324"/>
      <c r="BS1586" s="1324"/>
      <c r="BT1586" s="738"/>
      <c r="BU1586" s="739"/>
      <c r="BV1586" s="310"/>
      <c r="BW1586" s="310"/>
      <c r="BX1586" s="300">
        <f t="shared" si="113"/>
        <v>0</v>
      </c>
      <c r="BY1586" s="690"/>
      <c r="BZ1586" s="731"/>
      <c r="CA1586" s="731"/>
      <c r="CB1586" s="732"/>
      <c r="CC1586" s="732"/>
      <c r="CD1586" s="732"/>
      <c r="CE1586" s="732"/>
      <c r="CF1586" s="732"/>
    </row>
    <row r="1587" spans="1:84" s="423" customFormat="1" ht="15" customHeight="1" x14ac:dyDescent="0.25">
      <c r="A1587" s="313"/>
      <c r="B1587" s="340"/>
      <c r="C1587" s="392"/>
      <c r="D1587" s="392"/>
      <c r="E1587" s="392"/>
      <c r="F1587" s="392"/>
      <c r="G1587" s="392"/>
      <c r="H1587" s="392"/>
      <c r="I1587" s="392"/>
      <c r="J1587" s="392"/>
      <c r="K1587" s="392"/>
      <c r="L1587" s="392"/>
      <c r="M1587" s="392"/>
      <c r="N1587" s="392"/>
      <c r="O1587" s="392"/>
      <c r="P1587" s="392"/>
      <c r="Q1587" s="392"/>
      <c r="R1587" s="392"/>
      <c r="S1587" s="392"/>
      <c r="T1587" s="392"/>
      <c r="U1587" s="392"/>
      <c r="V1587" s="392"/>
      <c r="W1587" s="1327" t="str">
        <f>Don_Vi_Tinh_V</f>
        <v>VND</v>
      </c>
      <c r="X1587" s="1327"/>
      <c r="Y1587" s="1327"/>
      <c r="Z1587" s="1327"/>
      <c r="AA1587" s="1327"/>
      <c r="AB1587" s="1327"/>
      <c r="AC1587" s="351"/>
      <c r="AD1587" s="1327" t="str">
        <f>Don_Vi_Tinh_V</f>
        <v>VND</v>
      </c>
      <c r="AE1587" s="1327"/>
      <c r="AF1587" s="1327"/>
      <c r="AG1587" s="1327"/>
      <c r="AH1587" s="1327"/>
      <c r="AI1587" s="1327"/>
      <c r="AJ1587" s="342"/>
      <c r="AK1587" s="345"/>
      <c r="AL1587" s="340"/>
      <c r="AM1587" s="392"/>
      <c r="AN1587" s="392"/>
      <c r="AO1587" s="392"/>
      <c r="AP1587" s="392"/>
      <c r="AQ1587" s="392"/>
      <c r="AR1587" s="392"/>
      <c r="AS1587" s="392"/>
      <c r="AT1587" s="392"/>
      <c r="AU1587" s="392"/>
      <c r="AV1587" s="392"/>
      <c r="AW1587" s="392"/>
      <c r="AX1587" s="392"/>
      <c r="AY1587" s="392"/>
      <c r="AZ1587" s="392"/>
      <c r="BA1587" s="392"/>
      <c r="BB1587" s="392"/>
      <c r="BC1587" s="392"/>
      <c r="BD1587" s="392"/>
      <c r="BE1587" s="392"/>
      <c r="BF1587" s="392"/>
      <c r="BG1587" s="1327" t="str">
        <f>Don_Vi_Tinh_E</f>
        <v>VND</v>
      </c>
      <c r="BH1587" s="1327"/>
      <c r="BI1587" s="1327"/>
      <c r="BJ1587" s="1327"/>
      <c r="BK1587" s="1327"/>
      <c r="BL1587" s="1327"/>
      <c r="BM1587" s="351"/>
      <c r="BN1587" s="1327" t="str">
        <f>Don_Vi_Tinh_E</f>
        <v>VND</v>
      </c>
      <c r="BO1587" s="1327"/>
      <c r="BP1587" s="1327"/>
      <c r="BQ1587" s="1327"/>
      <c r="BR1587" s="1327"/>
      <c r="BS1587" s="1327"/>
      <c r="BT1587" s="352"/>
      <c r="BU1587" s="353"/>
      <c r="BV1587" s="310"/>
      <c r="BW1587" s="310"/>
      <c r="BX1587" s="300">
        <f t="shared" si="113"/>
        <v>0</v>
      </c>
      <c r="BY1587" s="342"/>
      <c r="BZ1587" s="438"/>
      <c r="CA1587" s="438"/>
      <c r="CB1587" s="439"/>
      <c r="CC1587" s="439"/>
      <c r="CD1587" s="439"/>
      <c r="CE1587" s="439"/>
      <c r="CF1587" s="439"/>
    </row>
    <row r="1588" spans="1:84" ht="15" customHeight="1" x14ac:dyDescent="0.25">
      <c r="A1588" s="313"/>
      <c r="B1588" s="340"/>
      <c r="C1588" s="392"/>
      <c r="D1588" s="392"/>
      <c r="E1588" s="392"/>
      <c r="F1588" s="392"/>
      <c r="G1588" s="392"/>
      <c r="H1588" s="392"/>
      <c r="I1588" s="392"/>
      <c r="J1588" s="392"/>
      <c r="K1588" s="392"/>
      <c r="L1588" s="392"/>
      <c r="M1588" s="392"/>
      <c r="N1588" s="392"/>
      <c r="O1588" s="392"/>
      <c r="P1588" s="392"/>
      <c r="Q1588" s="392"/>
      <c r="R1588" s="392"/>
      <c r="S1588" s="392"/>
      <c r="T1588" s="392"/>
      <c r="U1588" s="392"/>
      <c r="V1588" s="392"/>
      <c r="W1588" s="1318"/>
      <c r="X1588" s="1318"/>
      <c r="Y1588" s="1318"/>
      <c r="Z1588" s="1318"/>
      <c r="AA1588" s="1318"/>
      <c r="AB1588" s="1318"/>
      <c r="AC1588" s="355"/>
      <c r="AD1588" s="1318"/>
      <c r="AE1588" s="1318"/>
      <c r="AF1588" s="1318"/>
      <c r="AG1588" s="1318"/>
      <c r="AH1588" s="1318"/>
      <c r="AI1588" s="1318"/>
      <c r="AJ1588" s="344"/>
      <c r="AK1588" s="345"/>
      <c r="AL1588" s="340"/>
      <c r="AM1588" s="392"/>
      <c r="AN1588" s="392"/>
      <c r="AO1588" s="392"/>
      <c r="AP1588" s="392"/>
      <c r="AQ1588" s="392"/>
      <c r="AR1588" s="392"/>
      <c r="AS1588" s="392"/>
      <c r="AT1588" s="392"/>
      <c r="AU1588" s="392"/>
      <c r="AV1588" s="392"/>
      <c r="AW1588" s="392"/>
      <c r="AX1588" s="392"/>
      <c r="AY1588" s="392"/>
      <c r="AZ1588" s="392"/>
      <c r="BA1588" s="392"/>
      <c r="BB1588" s="392"/>
      <c r="BC1588" s="392"/>
      <c r="BD1588" s="392"/>
      <c r="BE1588" s="392"/>
      <c r="BF1588" s="392"/>
      <c r="BG1588" s="599"/>
      <c r="BH1588" s="599"/>
      <c r="BI1588" s="599"/>
      <c r="BJ1588" s="599"/>
      <c r="BK1588" s="599"/>
      <c r="BL1588" s="599"/>
      <c r="BM1588" s="600"/>
      <c r="BN1588" s="599"/>
      <c r="BO1588" s="599"/>
      <c r="BP1588" s="599"/>
      <c r="BQ1588" s="599"/>
      <c r="BR1588" s="599"/>
      <c r="BS1588" s="599"/>
      <c r="BT1588" s="352"/>
      <c r="BU1588" s="353"/>
      <c r="BV1588" s="310"/>
      <c r="BW1588" s="310"/>
      <c r="BX1588" s="291">
        <f t="shared" si="113"/>
        <v>0</v>
      </c>
      <c r="BY1588" s="344"/>
      <c r="BZ1588" s="347"/>
      <c r="CA1588" s="347"/>
    </row>
    <row r="1589" spans="1:84" ht="15" customHeight="1" x14ac:dyDescent="0.25">
      <c r="A1589" s="313"/>
      <c r="B1589" s="340"/>
      <c r="C1589" s="354" t="s">
        <v>1651</v>
      </c>
      <c r="D1589" s="340"/>
      <c r="E1589" s="340"/>
      <c r="F1589" s="340"/>
      <c r="G1589" s="340"/>
      <c r="H1589" s="340"/>
      <c r="I1589" s="340"/>
      <c r="J1589" s="340"/>
      <c r="K1589" s="340"/>
      <c r="L1589" s="340"/>
      <c r="M1589" s="340"/>
      <c r="N1589" s="340"/>
      <c r="O1589" s="340"/>
      <c r="P1589" s="340"/>
      <c r="Q1589" s="340"/>
      <c r="R1589" s="340"/>
      <c r="S1589" s="340"/>
      <c r="T1589" s="340"/>
      <c r="U1589" s="342"/>
      <c r="V1589" s="342"/>
      <c r="W1589" s="1318">
        <f>BZ1589-BZ1602</f>
        <v>440700117</v>
      </c>
      <c r="X1589" s="1318"/>
      <c r="Y1589" s="1318"/>
      <c r="Z1589" s="1318"/>
      <c r="AA1589" s="1318"/>
      <c r="AB1589" s="1318"/>
      <c r="AC1589" s="355"/>
      <c r="AD1589" s="1318">
        <v>0</v>
      </c>
      <c r="AE1589" s="1318"/>
      <c r="AF1589" s="1318"/>
      <c r="AG1589" s="1318"/>
      <c r="AH1589" s="1318"/>
      <c r="AI1589" s="1318"/>
      <c r="AJ1589" s="344"/>
      <c r="AK1589" s="345"/>
      <c r="AL1589" s="340"/>
      <c r="AM1589" s="740" t="s">
        <v>1652</v>
      </c>
      <c r="AN1589" s="340"/>
      <c r="AO1589" s="340"/>
      <c r="AP1589" s="340"/>
      <c r="AQ1589" s="340"/>
      <c r="AR1589" s="340"/>
      <c r="AS1589" s="340"/>
      <c r="AT1589" s="340"/>
      <c r="AU1589" s="340"/>
      <c r="AV1589" s="340"/>
      <c r="AW1589" s="340"/>
      <c r="AX1589" s="340"/>
      <c r="AY1589" s="340"/>
      <c r="AZ1589" s="340"/>
      <c r="BA1589" s="340"/>
      <c r="BB1589" s="340"/>
      <c r="BC1589" s="340"/>
      <c r="BD1589" s="340"/>
      <c r="BE1589" s="342"/>
      <c r="BF1589" s="342"/>
      <c r="BG1589" s="1318">
        <f t="shared" ref="BG1589:BG1594" si="120">W1589</f>
        <v>440700117</v>
      </c>
      <c r="BH1589" s="1318"/>
      <c r="BI1589" s="1318"/>
      <c r="BJ1589" s="1318"/>
      <c r="BK1589" s="1318"/>
      <c r="BL1589" s="1318"/>
      <c r="BM1589" s="358"/>
      <c r="BN1589" s="1318">
        <f t="shared" ref="BN1589:BN1594" si="121">AD1589</f>
        <v>0</v>
      </c>
      <c r="BO1589" s="1318"/>
      <c r="BP1589" s="1318"/>
      <c r="BQ1589" s="1318"/>
      <c r="BR1589" s="1318"/>
      <c r="BS1589" s="1318"/>
      <c r="BT1589" s="356"/>
      <c r="BU1589" s="357"/>
      <c r="BV1589" s="310"/>
      <c r="BW1589" s="310"/>
      <c r="BX1589" s="291">
        <f t="shared" si="113"/>
        <v>0</v>
      </c>
      <c r="BY1589" s="344"/>
      <c r="BZ1589" s="347">
        <f t="shared" ref="BZ1589:BZ1594" si="122">SUM(CA1589:CB1589)</f>
        <v>1919255008</v>
      </c>
      <c r="CA1589" s="347">
        <v>1919255008</v>
      </c>
    </row>
    <row r="1590" spans="1:84" ht="15" customHeight="1" x14ac:dyDescent="0.25">
      <c r="A1590" s="313"/>
      <c r="B1590" s="340"/>
      <c r="C1590" s="354" t="s">
        <v>1653</v>
      </c>
      <c r="D1590" s="340"/>
      <c r="E1590" s="340"/>
      <c r="F1590" s="340"/>
      <c r="G1590" s="340"/>
      <c r="H1590" s="340"/>
      <c r="I1590" s="340"/>
      <c r="J1590" s="340"/>
      <c r="K1590" s="340"/>
      <c r="L1590" s="340"/>
      <c r="M1590" s="340"/>
      <c r="N1590" s="340"/>
      <c r="O1590" s="340"/>
      <c r="P1590" s="340"/>
      <c r="Q1590" s="340"/>
      <c r="R1590" s="340"/>
      <c r="S1590" s="340"/>
      <c r="T1590" s="340"/>
      <c r="U1590" s="342"/>
      <c r="V1590" s="342"/>
      <c r="W1590" s="1318">
        <f>BZ1590</f>
        <v>35166724</v>
      </c>
      <c r="X1590" s="1318"/>
      <c r="Y1590" s="1318"/>
      <c r="Z1590" s="1318"/>
      <c r="AA1590" s="1318"/>
      <c r="AB1590" s="1318"/>
      <c r="AC1590" s="355"/>
      <c r="AD1590" s="1318">
        <v>42996278</v>
      </c>
      <c r="AE1590" s="1318"/>
      <c r="AF1590" s="1318"/>
      <c r="AG1590" s="1318"/>
      <c r="AH1590" s="1318"/>
      <c r="AI1590" s="1318"/>
      <c r="AJ1590" s="344"/>
      <c r="AK1590" s="345"/>
      <c r="AL1590" s="340"/>
      <c r="AM1590" s="740" t="s">
        <v>1654</v>
      </c>
      <c r="AN1590" s="340"/>
      <c r="AO1590" s="340"/>
      <c r="AP1590" s="340"/>
      <c r="AQ1590" s="340"/>
      <c r="AR1590" s="340"/>
      <c r="AS1590" s="340"/>
      <c r="AT1590" s="340"/>
      <c r="AU1590" s="340"/>
      <c r="AV1590" s="340"/>
      <c r="AW1590" s="340"/>
      <c r="AX1590" s="340"/>
      <c r="AY1590" s="340"/>
      <c r="AZ1590" s="340"/>
      <c r="BA1590" s="340"/>
      <c r="BB1590" s="340"/>
      <c r="BC1590" s="340"/>
      <c r="BD1590" s="340"/>
      <c r="BE1590" s="342"/>
      <c r="BF1590" s="342"/>
      <c r="BG1590" s="1318">
        <f t="shared" si="120"/>
        <v>35166724</v>
      </c>
      <c r="BH1590" s="1318"/>
      <c r="BI1590" s="1318"/>
      <c r="BJ1590" s="1318"/>
      <c r="BK1590" s="1318"/>
      <c r="BL1590" s="1318"/>
      <c r="BM1590" s="358"/>
      <c r="BN1590" s="1318">
        <f t="shared" si="121"/>
        <v>42996278</v>
      </c>
      <c r="BO1590" s="1318"/>
      <c r="BP1590" s="1318"/>
      <c r="BQ1590" s="1318"/>
      <c r="BR1590" s="1318"/>
      <c r="BS1590" s="1318"/>
      <c r="BT1590" s="359"/>
      <c r="BU1590" s="346"/>
      <c r="BV1590" s="310"/>
      <c r="BW1590" s="310"/>
      <c r="BX1590" s="291">
        <f t="shared" si="113"/>
        <v>0</v>
      </c>
      <c r="BY1590" s="344"/>
      <c r="BZ1590" s="347">
        <f t="shared" si="122"/>
        <v>35166724</v>
      </c>
      <c r="CA1590" s="347">
        <v>31775816</v>
      </c>
      <c r="CB1590" s="348">
        <v>3390908</v>
      </c>
    </row>
    <row r="1591" spans="1:84" ht="15" customHeight="1" x14ac:dyDescent="0.25">
      <c r="A1591" s="313"/>
      <c r="B1591" s="340"/>
      <c r="C1591" s="354" t="s">
        <v>1655</v>
      </c>
      <c r="D1591" s="342"/>
      <c r="E1591" s="342"/>
      <c r="F1591" s="342"/>
      <c r="G1591" s="342"/>
      <c r="H1591" s="342"/>
      <c r="I1591" s="342"/>
      <c r="J1591" s="342"/>
      <c r="K1591" s="342"/>
      <c r="L1591" s="342"/>
      <c r="M1591" s="342"/>
      <c r="N1591" s="342"/>
      <c r="O1591" s="342"/>
      <c r="P1591" s="342"/>
      <c r="Q1591" s="342"/>
      <c r="R1591" s="342"/>
      <c r="S1591" s="342"/>
      <c r="T1591" s="342"/>
      <c r="U1591" s="342"/>
      <c r="V1591" s="342"/>
      <c r="W1591" s="1318">
        <f>BZ1591</f>
        <v>0</v>
      </c>
      <c r="X1591" s="1318"/>
      <c r="Y1591" s="1318"/>
      <c r="Z1591" s="1318"/>
      <c r="AA1591" s="1318"/>
      <c r="AB1591" s="1318"/>
      <c r="AC1591" s="355"/>
      <c r="AD1591" s="1318">
        <v>4000500</v>
      </c>
      <c r="AE1591" s="1318"/>
      <c r="AF1591" s="1318"/>
      <c r="AG1591" s="1318"/>
      <c r="AH1591" s="1318"/>
      <c r="AI1591" s="1318"/>
      <c r="AJ1591" s="344"/>
      <c r="AK1591" s="345"/>
      <c r="AL1591" s="340"/>
      <c r="AM1591" s="740" t="s">
        <v>1656</v>
      </c>
      <c r="AN1591" s="342"/>
      <c r="AO1591" s="342"/>
      <c r="AP1591" s="342"/>
      <c r="AQ1591" s="342"/>
      <c r="AR1591" s="342"/>
      <c r="AS1591" s="342"/>
      <c r="AT1591" s="342"/>
      <c r="AU1591" s="342"/>
      <c r="AV1591" s="342"/>
      <c r="AW1591" s="342"/>
      <c r="AX1591" s="342"/>
      <c r="AY1591" s="342"/>
      <c r="AZ1591" s="342"/>
      <c r="BA1591" s="342"/>
      <c r="BB1591" s="342"/>
      <c r="BC1591" s="342"/>
      <c r="BD1591" s="342"/>
      <c r="BE1591" s="342"/>
      <c r="BF1591" s="342"/>
      <c r="BG1591" s="1318">
        <f t="shared" si="120"/>
        <v>0</v>
      </c>
      <c r="BH1591" s="1318"/>
      <c r="BI1591" s="1318"/>
      <c r="BJ1591" s="1318"/>
      <c r="BK1591" s="1318"/>
      <c r="BL1591" s="1318"/>
      <c r="BM1591" s="358"/>
      <c r="BN1591" s="1318">
        <f t="shared" si="121"/>
        <v>4000500</v>
      </c>
      <c r="BO1591" s="1318"/>
      <c r="BP1591" s="1318"/>
      <c r="BQ1591" s="1318"/>
      <c r="BR1591" s="1318"/>
      <c r="BS1591" s="1318"/>
      <c r="BT1591" s="359"/>
      <c r="BU1591" s="346"/>
      <c r="BV1591" s="310"/>
      <c r="BW1591" s="310"/>
      <c r="BX1591" s="291">
        <f t="shared" si="113"/>
        <v>0</v>
      </c>
      <c r="BY1591" s="344"/>
      <c r="BZ1591" s="347">
        <f t="shared" si="122"/>
        <v>0</v>
      </c>
      <c r="CA1591" s="347"/>
    </row>
    <row r="1592" spans="1:84" ht="29.1" customHeight="1" x14ac:dyDescent="0.25">
      <c r="A1592" s="313"/>
      <c r="B1592" s="340"/>
      <c r="C1592" s="1337" t="s">
        <v>1657</v>
      </c>
      <c r="D1592" s="1337"/>
      <c r="E1592" s="1337"/>
      <c r="F1592" s="1337"/>
      <c r="G1592" s="1337"/>
      <c r="H1592" s="1337"/>
      <c r="I1592" s="1337"/>
      <c r="J1592" s="1337"/>
      <c r="K1592" s="1337"/>
      <c r="L1592" s="1337"/>
      <c r="M1592" s="1337"/>
      <c r="N1592" s="1337"/>
      <c r="O1592" s="1337"/>
      <c r="P1592" s="1337"/>
      <c r="Q1592" s="1337"/>
      <c r="R1592" s="342"/>
      <c r="S1592" s="342"/>
      <c r="T1592" s="342"/>
      <c r="U1592" s="342"/>
      <c r="V1592" s="342"/>
      <c r="W1592" s="1318">
        <f>BZ1592</f>
        <v>68498940</v>
      </c>
      <c r="X1592" s="1318"/>
      <c r="Y1592" s="1318"/>
      <c r="Z1592" s="1318"/>
      <c r="AA1592" s="1318"/>
      <c r="AB1592" s="1318"/>
      <c r="AC1592" s="355"/>
      <c r="AD1592" s="1318">
        <v>17865020</v>
      </c>
      <c r="AE1592" s="1318"/>
      <c r="AF1592" s="1318"/>
      <c r="AG1592" s="1318"/>
      <c r="AH1592" s="1318"/>
      <c r="AI1592" s="1318"/>
      <c r="AJ1592" s="344"/>
      <c r="AK1592" s="345"/>
      <c r="AL1592" s="340"/>
      <c r="AM1592" s="740" t="s">
        <v>1658</v>
      </c>
      <c r="AN1592" s="342"/>
      <c r="AO1592" s="342"/>
      <c r="AP1592" s="342"/>
      <c r="AQ1592" s="342"/>
      <c r="AR1592" s="342"/>
      <c r="AS1592" s="342"/>
      <c r="AT1592" s="342"/>
      <c r="AU1592" s="342"/>
      <c r="AV1592" s="342"/>
      <c r="AW1592" s="342"/>
      <c r="AX1592" s="342"/>
      <c r="AY1592" s="342"/>
      <c r="AZ1592" s="342"/>
      <c r="BA1592" s="342"/>
      <c r="BB1592" s="342"/>
      <c r="BC1592" s="342"/>
      <c r="BD1592" s="342"/>
      <c r="BE1592" s="342"/>
      <c r="BF1592" s="342"/>
      <c r="BG1592" s="1318">
        <f t="shared" si="120"/>
        <v>68498940</v>
      </c>
      <c r="BH1592" s="1318"/>
      <c r="BI1592" s="1318"/>
      <c r="BJ1592" s="1318"/>
      <c r="BK1592" s="1318"/>
      <c r="BL1592" s="1318"/>
      <c r="BM1592" s="355"/>
      <c r="BN1592" s="1318">
        <f t="shared" si="121"/>
        <v>17865020</v>
      </c>
      <c r="BO1592" s="1318"/>
      <c r="BP1592" s="1318"/>
      <c r="BQ1592" s="1318"/>
      <c r="BR1592" s="1318"/>
      <c r="BS1592" s="1318"/>
      <c r="BT1592" s="359"/>
      <c r="BU1592" s="346"/>
      <c r="BV1592" s="310"/>
      <c r="BW1592" s="310"/>
      <c r="BX1592" s="291">
        <f t="shared" si="113"/>
        <v>0</v>
      </c>
      <c r="BY1592" s="344"/>
      <c r="BZ1592" s="347">
        <f t="shared" si="122"/>
        <v>68498940</v>
      </c>
      <c r="CA1592" s="347">
        <v>54497240</v>
      </c>
      <c r="CB1592" s="348">
        <v>14001700</v>
      </c>
    </row>
    <row r="1593" spans="1:84" ht="15" hidden="1" customHeight="1" x14ac:dyDescent="0.25">
      <c r="A1593" s="313"/>
      <c r="B1593" s="340"/>
      <c r="C1593" s="354" t="s">
        <v>1659</v>
      </c>
      <c r="D1593" s="342"/>
      <c r="E1593" s="342"/>
      <c r="F1593" s="342"/>
      <c r="G1593" s="342"/>
      <c r="H1593" s="342"/>
      <c r="I1593" s="342"/>
      <c r="J1593" s="342"/>
      <c r="K1593" s="342"/>
      <c r="L1593" s="342"/>
      <c r="M1593" s="342"/>
      <c r="N1593" s="342"/>
      <c r="O1593" s="342"/>
      <c r="P1593" s="342"/>
      <c r="Q1593" s="342"/>
      <c r="R1593" s="342"/>
      <c r="S1593" s="342"/>
      <c r="T1593" s="342"/>
      <c r="U1593" s="342"/>
      <c r="V1593" s="342"/>
      <c r="W1593" s="1318">
        <f>BZ1593</f>
        <v>0</v>
      </c>
      <c r="X1593" s="1318"/>
      <c r="Y1593" s="1318"/>
      <c r="Z1593" s="1318"/>
      <c r="AA1593" s="1318"/>
      <c r="AB1593" s="1318"/>
      <c r="AC1593" s="355"/>
      <c r="AD1593" s="1318"/>
      <c r="AE1593" s="1318"/>
      <c r="AF1593" s="1318"/>
      <c r="AG1593" s="1318"/>
      <c r="AH1593" s="1318"/>
      <c r="AI1593" s="1318"/>
      <c r="AJ1593" s="344"/>
      <c r="AK1593" s="345"/>
      <c r="AL1593" s="340"/>
      <c r="AM1593" s="354" t="s">
        <v>1660</v>
      </c>
      <c r="AN1593" s="342"/>
      <c r="AO1593" s="342"/>
      <c r="AP1593" s="342"/>
      <c r="AQ1593" s="342"/>
      <c r="AR1593" s="342"/>
      <c r="AS1593" s="342"/>
      <c r="AT1593" s="342"/>
      <c r="AU1593" s="342"/>
      <c r="AV1593" s="342"/>
      <c r="AW1593" s="342"/>
      <c r="AX1593" s="342"/>
      <c r="AY1593" s="342"/>
      <c r="AZ1593" s="342"/>
      <c r="BA1593" s="342"/>
      <c r="BB1593" s="342"/>
      <c r="BC1593" s="342"/>
      <c r="BD1593" s="342"/>
      <c r="BE1593" s="342"/>
      <c r="BF1593" s="342"/>
      <c r="BG1593" s="1318">
        <f t="shared" si="120"/>
        <v>0</v>
      </c>
      <c r="BH1593" s="1318"/>
      <c r="BI1593" s="1318"/>
      <c r="BJ1593" s="1318"/>
      <c r="BK1593" s="1318"/>
      <c r="BL1593" s="1318"/>
      <c r="BM1593" s="355"/>
      <c r="BN1593" s="1318">
        <f t="shared" si="121"/>
        <v>0</v>
      </c>
      <c r="BO1593" s="1318"/>
      <c r="BP1593" s="1318"/>
      <c r="BQ1593" s="1318"/>
      <c r="BR1593" s="1318"/>
      <c r="BS1593" s="1318"/>
      <c r="BT1593" s="359"/>
      <c r="BU1593" s="346"/>
      <c r="BV1593" s="310"/>
      <c r="BW1593" s="310"/>
      <c r="BX1593" s="291">
        <f t="shared" si="113"/>
        <v>0</v>
      </c>
      <c r="BY1593" s="344"/>
      <c r="BZ1593" s="347">
        <f t="shared" si="122"/>
        <v>0</v>
      </c>
      <c r="CA1593" s="347"/>
    </row>
    <row r="1594" spans="1:84" ht="15" customHeight="1" x14ac:dyDescent="0.2">
      <c r="A1594" s="313"/>
      <c r="B1594" s="340"/>
      <c r="C1594" s="354" t="s">
        <v>1661</v>
      </c>
      <c r="D1594" s="342"/>
      <c r="E1594" s="342"/>
      <c r="F1594" s="342"/>
      <c r="G1594" s="342"/>
      <c r="H1594" s="342"/>
      <c r="I1594" s="342"/>
      <c r="J1594" s="342"/>
      <c r="K1594" s="342"/>
      <c r="L1594" s="342"/>
      <c r="M1594" s="342"/>
      <c r="N1594" s="342"/>
      <c r="O1594" s="342"/>
      <c r="P1594" s="342"/>
      <c r="Q1594" s="342"/>
      <c r="R1594" s="342"/>
      <c r="S1594" s="342"/>
      <c r="T1594" s="342"/>
      <c r="U1594" s="342"/>
      <c r="V1594" s="342"/>
      <c r="W1594" s="1318">
        <f>BZ1594</f>
        <v>289785</v>
      </c>
      <c r="X1594" s="1318"/>
      <c r="Y1594" s="1318"/>
      <c r="Z1594" s="1318"/>
      <c r="AA1594" s="1318"/>
      <c r="AB1594" s="1318"/>
      <c r="AC1594" s="355"/>
      <c r="AD1594" s="1318">
        <v>54913670</v>
      </c>
      <c r="AE1594" s="1318"/>
      <c r="AF1594" s="1318"/>
      <c r="AG1594" s="1318"/>
      <c r="AH1594" s="1318"/>
      <c r="AI1594" s="1318"/>
      <c r="AJ1594" s="344"/>
      <c r="AK1594" s="345"/>
      <c r="AL1594" s="340"/>
      <c r="AM1594" s="715" t="s">
        <v>860</v>
      </c>
      <c r="AN1594" s="342"/>
      <c r="AO1594" s="342"/>
      <c r="AP1594" s="342"/>
      <c r="AQ1594" s="342"/>
      <c r="AR1594" s="342"/>
      <c r="AS1594" s="342"/>
      <c r="AT1594" s="342"/>
      <c r="AU1594" s="342"/>
      <c r="AV1594" s="342"/>
      <c r="AW1594" s="342"/>
      <c r="AX1594" s="342"/>
      <c r="AY1594" s="342"/>
      <c r="AZ1594" s="342"/>
      <c r="BA1594" s="342"/>
      <c r="BB1594" s="342"/>
      <c r="BC1594" s="342"/>
      <c r="BD1594" s="342"/>
      <c r="BE1594" s="342"/>
      <c r="BF1594" s="342"/>
      <c r="BG1594" s="1318">
        <f t="shared" si="120"/>
        <v>289785</v>
      </c>
      <c r="BH1594" s="1318"/>
      <c r="BI1594" s="1318"/>
      <c r="BJ1594" s="1318"/>
      <c r="BK1594" s="1318"/>
      <c r="BL1594" s="1318"/>
      <c r="BM1594" s="355"/>
      <c r="BN1594" s="1318">
        <f t="shared" si="121"/>
        <v>54913670</v>
      </c>
      <c r="BO1594" s="1318"/>
      <c r="BP1594" s="1318"/>
      <c r="BQ1594" s="1318"/>
      <c r="BR1594" s="1318"/>
      <c r="BS1594" s="1318"/>
      <c r="BT1594" s="359"/>
      <c r="BU1594" s="346"/>
      <c r="BV1594" s="310"/>
      <c r="BW1594" s="310"/>
      <c r="BX1594" s="291">
        <f t="shared" si="113"/>
        <v>0</v>
      </c>
      <c r="BY1594" s="344"/>
      <c r="BZ1594" s="347">
        <f t="shared" si="122"/>
        <v>289785</v>
      </c>
      <c r="CA1594" s="347"/>
      <c r="CB1594" s="348">
        <v>289785</v>
      </c>
    </row>
    <row r="1595" spans="1:84" ht="14.1" customHeight="1" x14ac:dyDescent="0.25">
      <c r="A1595" s="313"/>
      <c r="B1595" s="340"/>
      <c r="C1595" s="354"/>
      <c r="D1595" s="342"/>
      <c r="E1595" s="342"/>
      <c r="F1595" s="342"/>
      <c r="G1595" s="342"/>
      <c r="H1595" s="342"/>
      <c r="I1595" s="342"/>
      <c r="J1595" s="342"/>
      <c r="K1595" s="342"/>
      <c r="L1595" s="342"/>
      <c r="M1595" s="342"/>
      <c r="N1595" s="342"/>
      <c r="O1595" s="342"/>
      <c r="P1595" s="342"/>
      <c r="Q1595" s="342"/>
      <c r="R1595" s="342"/>
      <c r="S1595" s="342"/>
      <c r="T1595" s="342"/>
      <c r="U1595" s="342"/>
      <c r="V1595" s="342"/>
      <c r="W1595" s="1318"/>
      <c r="X1595" s="1318"/>
      <c r="Y1595" s="1318"/>
      <c r="Z1595" s="1318"/>
      <c r="AA1595" s="1318"/>
      <c r="AB1595" s="1318"/>
      <c r="AC1595" s="355"/>
      <c r="AD1595" s="1318"/>
      <c r="AE1595" s="1318"/>
      <c r="AF1595" s="1318"/>
      <c r="AG1595" s="1318"/>
      <c r="AH1595" s="1318"/>
      <c r="AI1595" s="1318"/>
      <c r="AJ1595" s="344"/>
      <c r="AK1595" s="345"/>
      <c r="AL1595" s="340"/>
      <c r="AM1595" s="354"/>
      <c r="AN1595" s="342"/>
      <c r="AO1595" s="342"/>
      <c r="AP1595" s="342"/>
      <c r="AQ1595" s="342"/>
      <c r="AR1595" s="342"/>
      <c r="AS1595" s="342"/>
      <c r="AT1595" s="342"/>
      <c r="AU1595" s="342"/>
      <c r="AV1595" s="342"/>
      <c r="AW1595" s="342"/>
      <c r="AX1595" s="342"/>
      <c r="AY1595" s="342"/>
      <c r="AZ1595" s="342"/>
      <c r="BA1595" s="342"/>
      <c r="BB1595" s="342"/>
      <c r="BC1595" s="342"/>
      <c r="BD1595" s="342"/>
      <c r="BE1595" s="342"/>
      <c r="BF1595" s="342"/>
      <c r="BG1595" s="355"/>
      <c r="BH1595" s="355"/>
      <c r="BI1595" s="355"/>
      <c r="BJ1595" s="355"/>
      <c r="BK1595" s="355"/>
      <c r="BL1595" s="355"/>
      <c r="BM1595" s="355"/>
      <c r="BN1595" s="355"/>
      <c r="BO1595" s="355"/>
      <c r="BP1595" s="355"/>
      <c r="BQ1595" s="355"/>
      <c r="BR1595" s="355"/>
      <c r="BS1595" s="355"/>
      <c r="BT1595" s="359"/>
      <c r="BU1595" s="346"/>
      <c r="BV1595" s="310"/>
      <c r="BW1595" s="310"/>
      <c r="BX1595" s="291">
        <f t="shared" si="113"/>
        <v>0</v>
      </c>
      <c r="BY1595" s="344"/>
      <c r="BZ1595" s="347"/>
      <c r="CA1595" s="347"/>
    </row>
    <row r="1596" spans="1:84" ht="15" customHeight="1" thickBot="1" x14ac:dyDescent="0.3">
      <c r="A1596" s="313"/>
      <c r="B1596" s="340"/>
      <c r="C1596" s="360" t="s">
        <v>752</v>
      </c>
      <c r="D1596" s="340"/>
      <c r="E1596" s="340"/>
      <c r="F1596" s="340"/>
      <c r="G1596" s="340"/>
      <c r="H1596" s="340"/>
      <c r="I1596" s="340"/>
      <c r="J1596" s="340"/>
      <c r="K1596" s="340"/>
      <c r="L1596" s="340"/>
      <c r="M1596" s="340"/>
      <c r="N1596" s="340"/>
      <c r="O1596" s="340"/>
      <c r="P1596" s="340"/>
      <c r="Q1596" s="340"/>
      <c r="R1596" s="340"/>
      <c r="S1596" s="340"/>
      <c r="T1596" s="340"/>
      <c r="U1596" s="342"/>
      <c r="V1596" s="342"/>
      <c r="W1596" s="1359">
        <f>SUBTOTAL(109,W1589:AB1595)</f>
        <v>544655566</v>
      </c>
      <c r="X1596" s="1359"/>
      <c r="Y1596" s="1359"/>
      <c r="Z1596" s="1359"/>
      <c r="AA1596" s="1359"/>
      <c r="AB1596" s="1359"/>
      <c r="AC1596" s="355"/>
      <c r="AD1596" s="1359">
        <f>SUBTOTAL(109,AD1589:AI1595)</f>
        <v>119775468</v>
      </c>
      <c r="AE1596" s="1359"/>
      <c r="AF1596" s="1359"/>
      <c r="AG1596" s="1359"/>
      <c r="AH1596" s="1359"/>
      <c r="AI1596" s="1359"/>
      <c r="AJ1596" s="344"/>
      <c r="AK1596" s="345"/>
      <c r="AL1596" s="340"/>
      <c r="AM1596" s="360" t="s">
        <v>753</v>
      </c>
      <c r="AN1596" s="340"/>
      <c r="AO1596" s="340"/>
      <c r="AP1596" s="340"/>
      <c r="AQ1596" s="340"/>
      <c r="AR1596" s="340"/>
      <c r="AS1596" s="340"/>
      <c r="AT1596" s="340"/>
      <c r="AU1596" s="340"/>
      <c r="AV1596" s="340"/>
      <c r="AW1596" s="340"/>
      <c r="AX1596" s="340"/>
      <c r="AY1596" s="340"/>
      <c r="AZ1596" s="340"/>
      <c r="BA1596" s="340"/>
      <c r="BB1596" s="340"/>
      <c r="BC1596" s="340"/>
      <c r="BD1596" s="340"/>
      <c r="BE1596" s="342"/>
      <c r="BF1596" s="342"/>
      <c r="BG1596" s="1359">
        <f>SUBTOTAL(109,BG1589:BL1595)</f>
        <v>544655566</v>
      </c>
      <c r="BH1596" s="1359"/>
      <c r="BI1596" s="1359"/>
      <c r="BJ1596" s="1359"/>
      <c r="BK1596" s="1359"/>
      <c r="BL1596" s="1359"/>
      <c r="BM1596" s="358"/>
      <c r="BN1596" s="1359">
        <f>SUBTOTAL(109,BN1589:BS1595)</f>
        <v>119775468</v>
      </c>
      <c r="BO1596" s="1359"/>
      <c r="BP1596" s="1359"/>
      <c r="BQ1596" s="1359"/>
      <c r="BR1596" s="1359"/>
      <c r="BS1596" s="1359"/>
      <c r="BT1596" s="361"/>
      <c r="BU1596" s="362"/>
      <c r="BV1596" s="310">
        <f>W1596-KN_CT31</f>
        <v>0</v>
      </c>
      <c r="BW1596" s="310">
        <f>AD1596-KT_CT31</f>
        <v>0</v>
      </c>
      <c r="BX1596" s="291">
        <f t="shared" si="113"/>
        <v>0</v>
      </c>
      <c r="BY1596" s="344"/>
      <c r="BZ1596" s="347"/>
      <c r="CA1596" s="347"/>
    </row>
    <row r="1597" spans="1:84" ht="2.1" customHeight="1" thickTop="1" x14ac:dyDescent="0.25">
      <c r="A1597" s="313"/>
      <c r="B1597" s="454"/>
      <c r="C1597" s="342"/>
      <c r="D1597" s="342"/>
      <c r="E1597" s="342"/>
      <c r="F1597" s="342"/>
      <c r="G1597" s="342"/>
      <c r="H1597" s="342"/>
      <c r="I1597" s="342"/>
      <c r="J1597" s="342"/>
      <c r="K1597" s="342"/>
      <c r="L1597" s="342"/>
      <c r="M1597" s="342"/>
      <c r="N1597" s="342"/>
      <c r="O1597" s="342"/>
      <c r="P1597" s="342"/>
      <c r="Q1597" s="342"/>
      <c r="R1597" s="342"/>
      <c r="S1597" s="342"/>
      <c r="T1597" s="342"/>
      <c r="U1597" s="342"/>
      <c r="V1597" s="342"/>
      <c r="W1597" s="343"/>
      <c r="X1597" s="343"/>
      <c r="Y1597" s="343"/>
      <c r="Z1597" s="343"/>
      <c r="AA1597" s="343"/>
      <c r="AB1597" s="343"/>
      <c r="AC1597" s="343"/>
      <c r="AD1597" s="343"/>
      <c r="AE1597" s="343"/>
      <c r="AF1597" s="343"/>
      <c r="AG1597" s="343"/>
      <c r="AH1597" s="343"/>
      <c r="AI1597" s="343"/>
      <c r="AJ1597" s="344"/>
      <c r="AK1597" s="345"/>
      <c r="AL1597" s="340"/>
      <c r="AM1597" s="342"/>
      <c r="AN1597" s="342"/>
      <c r="AO1597" s="342"/>
      <c r="AP1597" s="342"/>
      <c r="AQ1597" s="342"/>
      <c r="AR1597" s="342"/>
      <c r="AS1597" s="342"/>
      <c r="AT1597" s="342"/>
      <c r="AU1597" s="342"/>
      <c r="AV1597" s="342"/>
      <c r="AW1597" s="342"/>
      <c r="AX1597" s="342"/>
      <c r="AY1597" s="342"/>
      <c r="AZ1597" s="342"/>
      <c r="BA1597" s="342"/>
      <c r="BB1597" s="342"/>
      <c r="BC1597" s="342"/>
      <c r="BD1597" s="342"/>
      <c r="BE1597" s="342"/>
      <c r="BF1597" s="342"/>
      <c r="BG1597" s="342"/>
      <c r="BH1597" s="342"/>
      <c r="BI1597" s="342"/>
      <c r="BJ1597" s="342"/>
      <c r="BK1597" s="342"/>
      <c r="BL1597" s="342"/>
      <c r="BM1597" s="342"/>
      <c r="BN1597" s="356"/>
      <c r="BO1597" s="356"/>
      <c r="BP1597" s="356"/>
      <c r="BQ1597" s="356"/>
      <c r="BR1597" s="356"/>
      <c r="BS1597" s="356"/>
      <c r="BT1597" s="356"/>
      <c r="BU1597" s="357"/>
      <c r="BV1597" s="310"/>
      <c r="BW1597" s="310"/>
      <c r="BX1597" s="291">
        <f t="shared" si="113"/>
        <v>0</v>
      </c>
      <c r="BY1597" s="344"/>
      <c r="BZ1597" s="347"/>
      <c r="CA1597" s="347"/>
    </row>
    <row r="1598" spans="1:84" ht="12.95" customHeight="1" x14ac:dyDescent="0.25">
      <c r="A1598" s="313"/>
      <c r="B1598" s="340"/>
      <c r="C1598" s="342"/>
      <c r="D1598" s="342"/>
      <c r="E1598" s="342"/>
      <c r="F1598" s="342"/>
      <c r="G1598" s="342"/>
      <c r="H1598" s="342"/>
      <c r="I1598" s="342"/>
      <c r="J1598" s="342"/>
      <c r="K1598" s="342"/>
      <c r="L1598" s="342"/>
      <c r="M1598" s="342"/>
      <c r="N1598" s="342"/>
      <c r="O1598" s="342"/>
      <c r="P1598" s="342"/>
      <c r="Q1598" s="342"/>
      <c r="R1598" s="342"/>
      <c r="S1598" s="342"/>
      <c r="T1598" s="342"/>
      <c r="U1598" s="342"/>
      <c r="V1598" s="342"/>
      <c r="W1598" s="343"/>
      <c r="X1598" s="343"/>
      <c r="Y1598" s="343"/>
      <c r="Z1598" s="343"/>
      <c r="AA1598" s="343"/>
      <c r="AB1598" s="343"/>
      <c r="AC1598" s="343"/>
      <c r="AD1598" s="343"/>
      <c r="AE1598" s="343"/>
      <c r="AF1598" s="343"/>
      <c r="AG1598" s="343"/>
      <c r="AH1598" s="343"/>
      <c r="AI1598" s="343"/>
      <c r="AJ1598" s="344"/>
      <c r="AK1598" s="345"/>
      <c r="AL1598" s="340"/>
      <c r="AM1598" s="342"/>
      <c r="AN1598" s="342"/>
      <c r="AO1598" s="342"/>
      <c r="AP1598" s="342"/>
      <c r="AQ1598" s="342"/>
      <c r="AR1598" s="342"/>
      <c r="AS1598" s="342"/>
      <c r="AT1598" s="342"/>
      <c r="AU1598" s="342"/>
      <c r="AV1598" s="342"/>
      <c r="AW1598" s="342"/>
      <c r="AX1598" s="342"/>
      <c r="AY1598" s="342"/>
      <c r="AZ1598" s="342"/>
      <c r="BA1598" s="342"/>
      <c r="BB1598" s="342"/>
      <c r="BC1598" s="342"/>
      <c r="BD1598" s="342"/>
      <c r="BE1598" s="342"/>
      <c r="BF1598" s="342"/>
      <c r="BG1598" s="342"/>
      <c r="BH1598" s="342"/>
      <c r="BI1598" s="342"/>
      <c r="BJ1598" s="342"/>
      <c r="BK1598" s="342"/>
      <c r="BL1598" s="342"/>
      <c r="BM1598" s="342"/>
      <c r="BN1598" s="356"/>
      <c r="BO1598" s="356"/>
      <c r="BP1598" s="356"/>
      <c r="BQ1598" s="356"/>
      <c r="BR1598" s="356"/>
      <c r="BS1598" s="356"/>
      <c r="BT1598" s="356"/>
      <c r="BU1598" s="357"/>
      <c r="BV1598" s="310"/>
      <c r="BW1598" s="310"/>
      <c r="BX1598" s="291">
        <f t="shared" si="113"/>
        <v>0</v>
      </c>
      <c r="BY1598" s="344"/>
      <c r="BZ1598" s="347"/>
      <c r="CA1598" s="347"/>
    </row>
    <row r="1599" spans="1:84" ht="15" customHeight="1" x14ac:dyDescent="0.25">
      <c r="A1599" s="313">
        <v>29</v>
      </c>
      <c r="B1599" s="340" t="s">
        <v>345</v>
      </c>
      <c r="C1599" s="341" t="s">
        <v>1662</v>
      </c>
      <c r="D1599" s="342"/>
      <c r="E1599" s="342"/>
      <c r="F1599" s="342"/>
      <c r="G1599" s="342"/>
      <c r="H1599" s="342"/>
      <c r="I1599" s="342"/>
      <c r="J1599" s="342"/>
      <c r="K1599" s="342"/>
      <c r="L1599" s="342"/>
      <c r="M1599" s="342"/>
      <c r="N1599" s="342"/>
      <c r="O1599" s="342"/>
      <c r="P1599" s="342"/>
      <c r="Q1599" s="342"/>
      <c r="R1599" s="342"/>
      <c r="S1599" s="342"/>
      <c r="T1599" s="342"/>
      <c r="U1599" s="342"/>
      <c r="V1599" s="342"/>
      <c r="W1599" s="343"/>
      <c r="X1599" s="343"/>
      <c r="Y1599" s="343"/>
      <c r="Z1599" s="343"/>
      <c r="AA1599" s="343"/>
      <c r="AB1599" s="343"/>
      <c r="AC1599" s="343"/>
      <c r="AD1599" s="343"/>
      <c r="AE1599" s="343"/>
      <c r="AF1599" s="343"/>
      <c r="AG1599" s="343"/>
      <c r="AH1599" s="343"/>
      <c r="AI1599" s="343"/>
      <c r="AJ1599" s="344"/>
      <c r="AK1599" s="345">
        <f>A1599</f>
        <v>29</v>
      </c>
      <c r="AL1599" s="340" t="s">
        <v>345</v>
      </c>
      <c r="AM1599" s="341" t="s">
        <v>1663</v>
      </c>
      <c r="AN1599" s="342"/>
      <c r="AO1599" s="342"/>
      <c r="AP1599" s="342"/>
      <c r="AQ1599" s="342"/>
      <c r="AR1599" s="342"/>
      <c r="AS1599" s="342"/>
      <c r="AT1599" s="342"/>
      <c r="AU1599" s="342"/>
      <c r="AV1599" s="342"/>
      <c r="AW1599" s="342"/>
      <c r="AX1599" s="342"/>
      <c r="AY1599" s="342"/>
      <c r="AZ1599" s="342"/>
      <c r="BA1599" s="342"/>
      <c r="BB1599" s="342"/>
      <c r="BC1599" s="342"/>
      <c r="BD1599" s="342"/>
      <c r="BE1599" s="342"/>
      <c r="BF1599" s="342"/>
      <c r="BG1599" s="342"/>
      <c r="BH1599" s="342"/>
      <c r="BI1599" s="342"/>
      <c r="BJ1599" s="342"/>
      <c r="BK1599" s="342"/>
      <c r="BL1599" s="342"/>
      <c r="BM1599" s="342"/>
      <c r="BN1599" s="356"/>
      <c r="BO1599" s="356"/>
      <c r="BP1599" s="356"/>
      <c r="BQ1599" s="356"/>
      <c r="BR1599" s="356"/>
      <c r="BS1599" s="356"/>
      <c r="BT1599" s="356"/>
      <c r="BU1599" s="346">
        <f>SUBTOTAL(103,A1599)</f>
        <v>1</v>
      </c>
      <c r="BV1599" s="310"/>
      <c r="BW1599" s="310"/>
      <c r="BX1599" s="291">
        <f t="shared" si="113"/>
        <v>0</v>
      </c>
      <c r="BY1599" s="344"/>
      <c r="BZ1599" s="347"/>
      <c r="CA1599" s="347"/>
    </row>
    <row r="1600" spans="1:84" s="733" customFormat="1" ht="15" customHeight="1" x14ac:dyDescent="0.25">
      <c r="A1600" s="725"/>
      <c r="B1600" s="728"/>
      <c r="C1600" s="736"/>
      <c r="D1600" s="457"/>
      <c r="E1600" s="457"/>
      <c r="F1600" s="457"/>
      <c r="G1600" s="457"/>
      <c r="H1600" s="457"/>
      <c r="I1600" s="457"/>
      <c r="J1600" s="457"/>
      <c r="K1600" s="457"/>
      <c r="L1600" s="457"/>
      <c r="M1600" s="457"/>
      <c r="N1600" s="457"/>
      <c r="O1600" s="457"/>
      <c r="P1600" s="457"/>
      <c r="Q1600" s="457"/>
      <c r="R1600" s="457"/>
      <c r="S1600" s="457"/>
      <c r="T1600" s="457"/>
      <c r="U1600" s="457"/>
      <c r="V1600" s="457"/>
      <c r="W1600" s="1324" t="str">
        <f>Ky_Nay2_V</f>
        <v>Năm 2017</v>
      </c>
      <c r="X1600" s="1324"/>
      <c r="Y1600" s="1324"/>
      <c r="Z1600" s="1324"/>
      <c r="AA1600" s="1324"/>
      <c r="AB1600" s="1324"/>
      <c r="AC1600" s="681"/>
      <c r="AD1600" s="1324" t="str">
        <f>Ky_Truoc2_V</f>
        <v>Năm 2016</v>
      </c>
      <c r="AE1600" s="1324"/>
      <c r="AF1600" s="1324"/>
      <c r="AG1600" s="1324"/>
      <c r="AH1600" s="1324"/>
      <c r="AI1600" s="1324"/>
      <c r="AJ1600" s="690"/>
      <c r="AK1600" s="727"/>
      <c r="AL1600" s="728"/>
      <c r="AM1600" s="736"/>
      <c r="AN1600" s="457"/>
      <c r="AO1600" s="457"/>
      <c r="AP1600" s="457"/>
      <c r="AQ1600" s="457"/>
      <c r="AR1600" s="457"/>
      <c r="AS1600" s="457"/>
      <c r="AT1600" s="457"/>
      <c r="AU1600" s="457"/>
      <c r="AV1600" s="457"/>
      <c r="AW1600" s="457"/>
      <c r="AX1600" s="457"/>
      <c r="AY1600" s="457"/>
      <c r="AZ1600" s="457"/>
      <c r="BA1600" s="457"/>
      <c r="BB1600" s="457"/>
      <c r="BC1600" s="457"/>
      <c r="BD1600" s="457"/>
      <c r="BE1600" s="457"/>
      <c r="BF1600" s="457"/>
      <c r="BG1600" s="1324" t="str">
        <f>Ky_Nay2_E</f>
        <v>Year 2016</v>
      </c>
      <c r="BH1600" s="1324"/>
      <c r="BI1600" s="1324"/>
      <c r="BJ1600" s="1324"/>
      <c r="BK1600" s="1324"/>
      <c r="BL1600" s="1324"/>
      <c r="BM1600" s="737"/>
      <c r="BN1600" s="1324" t="str">
        <f>Ky_Truoc2_E</f>
        <v>Year 2015</v>
      </c>
      <c r="BO1600" s="1324"/>
      <c r="BP1600" s="1324"/>
      <c r="BQ1600" s="1324"/>
      <c r="BR1600" s="1324"/>
      <c r="BS1600" s="1324"/>
      <c r="BT1600" s="738"/>
      <c r="BU1600" s="739"/>
      <c r="BV1600" s="310"/>
      <c r="BW1600" s="310"/>
      <c r="BX1600" s="300">
        <f t="shared" si="113"/>
        <v>0</v>
      </c>
      <c r="BY1600" s="690"/>
      <c r="BZ1600" s="731"/>
      <c r="CA1600" s="731"/>
      <c r="CB1600" s="732"/>
      <c r="CC1600" s="732"/>
      <c r="CD1600" s="732"/>
      <c r="CE1600" s="732"/>
      <c r="CF1600" s="732"/>
    </row>
    <row r="1601" spans="1:84" ht="15" customHeight="1" x14ac:dyDescent="0.25">
      <c r="A1601" s="313"/>
      <c r="B1601" s="340"/>
      <c r="C1601" s="392"/>
      <c r="D1601" s="392"/>
      <c r="E1601" s="392"/>
      <c r="F1601" s="392"/>
      <c r="G1601" s="392"/>
      <c r="H1601" s="392"/>
      <c r="I1601" s="392"/>
      <c r="J1601" s="392"/>
      <c r="K1601" s="392"/>
      <c r="L1601" s="392"/>
      <c r="M1601" s="392"/>
      <c r="N1601" s="392"/>
      <c r="O1601" s="392"/>
      <c r="P1601" s="392"/>
      <c r="Q1601" s="392"/>
      <c r="R1601" s="392"/>
      <c r="S1601" s="392"/>
      <c r="T1601" s="392"/>
      <c r="U1601" s="392"/>
      <c r="V1601" s="392"/>
      <c r="W1601" s="1327" t="str">
        <f>Don_Vi_Tinh_V</f>
        <v>VND</v>
      </c>
      <c r="X1601" s="1327"/>
      <c r="Y1601" s="1327"/>
      <c r="Z1601" s="1327"/>
      <c r="AA1601" s="1327"/>
      <c r="AB1601" s="1327"/>
      <c r="AC1601" s="351"/>
      <c r="AD1601" s="1327" t="str">
        <f>Don_Vi_Tinh_V</f>
        <v>VND</v>
      </c>
      <c r="AE1601" s="1327"/>
      <c r="AF1601" s="1327"/>
      <c r="AG1601" s="1327"/>
      <c r="AH1601" s="1327"/>
      <c r="AI1601" s="1327"/>
      <c r="AJ1601" s="344"/>
      <c r="AK1601" s="345"/>
      <c r="AL1601" s="340"/>
      <c r="AM1601" s="392"/>
      <c r="AN1601" s="392"/>
      <c r="AO1601" s="392"/>
      <c r="AP1601" s="392"/>
      <c r="AQ1601" s="392"/>
      <c r="AR1601" s="392"/>
      <c r="AS1601" s="392"/>
      <c r="AT1601" s="392"/>
      <c r="AU1601" s="392"/>
      <c r="AV1601" s="392"/>
      <c r="AW1601" s="392"/>
      <c r="AX1601" s="392"/>
      <c r="AY1601" s="392"/>
      <c r="AZ1601" s="392"/>
      <c r="BA1601" s="392"/>
      <c r="BB1601" s="392"/>
      <c r="BC1601" s="392"/>
      <c r="BD1601" s="392"/>
      <c r="BE1601" s="392"/>
      <c r="BF1601" s="392"/>
      <c r="BG1601" s="1327" t="str">
        <f>Don_Vi_Tinh_E</f>
        <v>VND</v>
      </c>
      <c r="BH1601" s="1327"/>
      <c r="BI1601" s="1327"/>
      <c r="BJ1601" s="1327"/>
      <c r="BK1601" s="1327"/>
      <c r="BL1601" s="1327"/>
      <c r="BM1601" s="351"/>
      <c r="BN1601" s="1327" t="str">
        <f>Don_Vi_Tinh_E</f>
        <v>VND</v>
      </c>
      <c r="BO1601" s="1327"/>
      <c r="BP1601" s="1327"/>
      <c r="BQ1601" s="1327"/>
      <c r="BR1601" s="1327"/>
      <c r="BS1601" s="1327"/>
      <c r="BT1601" s="352"/>
      <c r="BU1601" s="353"/>
      <c r="BV1601" s="310"/>
      <c r="BW1601" s="310"/>
      <c r="BX1601" s="291">
        <f t="shared" si="113"/>
        <v>0</v>
      </c>
      <c r="BY1601" s="344"/>
      <c r="BZ1601" s="347"/>
      <c r="CA1601" s="347"/>
    </row>
    <row r="1602" spans="1:84" ht="14.1" customHeight="1" x14ac:dyDescent="0.25">
      <c r="A1602" s="313"/>
      <c r="B1602" s="340"/>
      <c r="C1602" s="392"/>
      <c r="D1602" s="392"/>
      <c r="E1602" s="392"/>
      <c r="F1602" s="392"/>
      <c r="G1602" s="392"/>
      <c r="H1602" s="392"/>
      <c r="I1602" s="392"/>
      <c r="J1602" s="392"/>
      <c r="K1602" s="392"/>
      <c r="L1602" s="392"/>
      <c r="M1602" s="392"/>
      <c r="N1602" s="392"/>
      <c r="O1602" s="392"/>
      <c r="P1602" s="392"/>
      <c r="Q1602" s="392"/>
      <c r="R1602" s="392"/>
      <c r="S1602" s="392"/>
      <c r="T1602" s="392"/>
      <c r="U1602" s="392"/>
      <c r="V1602" s="392"/>
      <c r="W1602" s="660"/>
      <c r="X1602" s="660"/>
      <c r="Y1602" s="660"/>
      <c r="Z1602" s="660"/>
      <c r="AA1602" s="660"/>
      <c r="AB1602" s="660"/>
      <c r="AC1602" s="437"/>
      <c r="AD1602" s="660"/>
      <c r="AE1602" s="660"/>
      <c r="AF1602" s="660"/>
      <c r="AG1602" s="660"/>
      <c r="AH1602" s="660"/>
      <c r="AI1602" s="660"/>
      <c r="AJ1602" s="344"/>
      <c r="AK1602" s="345"/>
      <c r="AL1602" s="340"/>
      <c r="AM1602" s="392"/>
      <c r="AN1602" s="392"/>
      <c r="AO1602" s="392"/>
      <c r="AP1602" s="392"/>
      <c r="AQ1602" s="392"/>
      <c r="AR1602" s="392"/>
      <c r="AS1602" s="392"/>
      <c r="AT1602" s="392"/>
      <c r="AU1602" s="392"/>
      <c r="AV1602" s="392"/>
      <c r="AW1602" s="392"/>
      <c r="AX1602" s="392"/>
      <c r="AY1602" s="392"/>
      <c r="AZ1602" s="392"/>
      <c r="BA1602" s="392"/>
      <c r="BB1602" s="392"/>
      <c r="BC1602" s="392"/>
      <c r="BD1602" s="392"/>
      <c r="BE1602" s="392"/>
      <c r="BF1602" s="392"/>
      <c r="BG1602" s="599"/>
      <c r="BH1602" s="599"/>
      <c r="BI1602" s="599"/>
      <c r="BJ1602" s="599"/>
      <c r="BK1602" s="599"/>
      <c r="BL1602" s="599"/>
      <c r="BM1602" s="600"/>
      <c r="BN1602" s="599"/>
      <c r="BO1602" s="599"/>
      <c r="BP1602" s="599"/>
      <c r="BQ1602" s="599"/>
      <c r="BR1602" s="599"/>
      <c r="BS1602" s="599"/>
      <c r="BT1602" s="352"/>
      <c r="BU1602" s="353"/>
      <c r="BV1602" s="310"/>
      <c r="BW1602" s="310"/>
      <c r="BX1602" s="291">
        <f t="shared" si="113"/>
        <v>0</v>
      </c>
      <c r="BY1602" s="344"/>
      <c r="BZ1602" s="347">
        <f t="shared" ref="BZ1602:BZ1608" si="123">SUM(CA1602:CB1602)</f>
        <v>1478554891</v>
      </c>
      <c r="CA1602" s="347">
        <v>1478554891</v>
      </c>
      <c r="CB1602" s="348">
        <v>0</v>
      </c>
    </row>
    <row r="1603" spans="1:84" ht="15" customHeight="1" x14ac:dyDescent="0.25">
      <c r="A1603" s="313"/>
      <c r="B1603" s="340"/>
      <c r="C1603" s="1337" t="s">
        <v>1664</v>
      </c>
      <c r="D1603" s="1337"/>
      <c r="E1603" s="1337"/>
      <c r="F1603" s="1337"/>
      <c r="G1603" s="1337"/>
      <c r="H1603" s="1337"/>
      <c r="I1603" s="1337"/>
      <c r="J1603" s="1337"/>
      <c r="K1603" s="1337"/>
      <c r="L1603" s="1337"/>
      <c r="M1603" s="1337"/>
      <c r="N1603" s="1337"/>
      <c r="O1603" s="1337"/>
      <c r="P1603" s="1337"/>
      <c r="Q1603" s="1337"/>
      <c r="R1603" s="1337"/>
      <c r="S1603" s="1337"/>
      <c r="T1603" s="340"/>
      <c r="U1603" s="342"/>
      <c r="V1603" s="342"/>
      <c r="W1603" s="1318">
        <f>BZ1603-[1]Dieu_chinh!$N$34</f>
        <v>54585667</v>
      </c>
      <c r="X1603" s="1318"/>
      <c r="Y1603" s="1318"/>
      <c r="Z1603" s="1318"/>
      <c r="AA1603" s="1318"/>
      <c r="AB1603" s="1318"/>
      <c r="AC1603" s="355"/>
      <c r="AD1603" s="1318">
        <v>0</v>
      </c>
      <c r="AE1603" s="1318"/>
      <c r="AF1603" s="1318"/>
      <c r="AG1603" s="1318"/>
      <c r="AH1603" s="1318"/>
      <c r="AI1603" s="1318"/>
      <c r="AJ1603" s="344"/>
      <c r="AK1603" s="345"/>
      <c r="AL1603" s="340"/>
      <c r="AM1603" s="354" t="s">
        <v>1665</v>
      </c>
      <c r="AN1603" s="340"/>
      <c r="AO1603" s="340"/>
      <c r="AP1603" s="340"/>
      <c r="AQ1603" s="340"/>
      <c r="AR1603" s="340"/>
      <c r="AS1603" s="340"/>
      <c r="AT1603" s="340"/>
      <c r="AU1603" s="340"/>
      <c r="AV1603" s="340"/>
      <c r="AW1603" s="340"/>
      <c r="AX1603" s="340"/>
      <c r="AY1603" s="340"/>
      <c r="AZ1603" s="340"/>
      <c r="BA1603" s="340"/>
      <c r="BB1603" s="340"/>
      <c r="BC1603" s="340"/>
      <c r="BD1603" s="340"/>
      <c r="BE1603" s="342"/>
      <c r="BF1603" s="342"/>
      <c r="BG1603" s="1318">
        <f>W1603</f>
        <v>54585667</v>
      </c>
      <c r="BH1603" s="1318"/>
      <c r="BI1603" s="1318"/>
      <c r="BJ1603" s="1318"/>
      <c r="BK1603" s="1318"/>
      <c r="BL1603" s="1318"/>
      <c r="BM1603" s="358"/>
      <c r="BN1603" s="1318">
        <f>AD1603</f>
        <v>0</v>
      </c>
      <c r="BO1603" s="1318"/>
      <c r="BP1603" s="1318"/>
      <c r="BQ1603" s="1318"/>
      <c r="BR1603" s="1318"/>
      <c r="BS1603" s="1318"/>
      <c r="BT1603" s="356"/>
      <c r="BU1603" s="357"/>
      <c r="BV1603" s="310"/>
      <c r="BW1603" s="310"/>
      <c r="BX1603" s="291">
        <f t="shared" si="113"/>
        <v>0</v>
      </c>
      <c r="BY1603" s="344"/>
      <c r="BZ1603" s="347">
        <f t="shared" si="123"/>
        <v>60204779</v>
      </c>
      <c r="CA1603" s="347">
        <v>60204779</v>
      </c>
      <c r="CB1603" s="348">
        <v>0</v>
      </c>
    </row>
    <row r="1604" spans="1:84" ht="29.1" customHeight="1" x14ac:dyDescent="0.25">
      <c r="A1604" s="313"/>
      <c r="B1604" s="340"/>
      <c r="C1604" s="1337" t="s">
        <v>1666</v>
      </c>
      <c r="D1604" s="1337"/>
      <c r="E1604" s="1337"/>
      <c r="F1604" s="1337"/>
      <c r="G1604" s="1337"/>
      <c r="H1604" s="1337"/>
      <c r="I1604" s="1337"/>
      <c r="J1604" s="1337"/>
      <c r="K1604" s="1337"/>
      <c r="L1604" s="1337"/>
      <c r="M1604" s="1337"/>
      <c r="N1604" s="1337"/>
      <c r="O1604" s="1337"/>
      <c r="P1604" s="1337"/>
      <c r="Q1604" s="1337"/>
      <c r="R1604" s="1337"/>
      <c r="S1604" s="1337"/>
      <c r="T1604" s="340"/>
      <c r="U1604" s="342"/>
      <c r="V1604" s="342"/>
      <c r="W1604" s="1318">
        <f>BZ1604</f>
        <v>0</v>
      </c>
      <c r="X1604" s="1318"/>
      <c r="Y1604" s="1318"/>
      <c r="Z1604" s="1318"/>
      <c r="AA1604" s="1318"/>
      <c r="AB1604" s="1318"/>
      <c r="AC1604" s="355"/>
      <c r="AD1604" s="1318">
        <v>511332272</v>
      </c>
      <c r="AE1604" s="1318"/>
      <c r="AF1604" s="1318"/>
      <c r="AG1604" s="1318"/>
      <c r="AH1604" s="1318"/>
      <c r="AI1604" s="1318"/>
      <c r="AJ1604" s="344"/>
      <c r="AK1604" s="345"/>
      <c r="AL1604" s="340"/>
      <c r="AM1604" s="354" t="s">
        <v>1667</v>
      </c>
      <c r="AN1604" s="340"/>
      <c r="AO1604" s="340"/>
      <c r="AP1604" s="340"/>
      <c r="AQ1604" s="340"/>
      <c r="AR1604" s="340"/>
      <c r="AS1604" s="340"/>
      <c r="AT1604" s="340"/>
      <c r="AU1604" s="340"/>
      <c r="AV1604" s="340"/>
      <c r="AW1604" s="340"/>
      <c r="AX1604" s="340"/>
      <c r="AY1604" s="340"/>
      <c r="AZ1604" s="340"/>
      <c r="BA1604" s="340"/>
      <c r="BB1604" s="340"/>
      <c r="BC1604" s="340"/>
      <c r="BD1604" s="340"/>
      <c r="BE1604" s="342"/>
      <c r="BF1604" s="342"/>
      <c r="BG1604" s="1363">
        <f>W1604</f>
        <v>0</v>
      </c>
      <c r="BH1604" s="1363"/>
      <c r="BI1604" s="1363"/>
      <c r="BJ1604" s="1363"/>
      <c r="BK1604" s="1363"/>
      <c r="BL1604" s="1363"/>
      <c r="BM1604" s="358"/>
      <c r="BN1604" s="1363">
        <f>AD1604</f>
        <v>511332272</v>
      </c>
      <c r="BO1604" s="1363"/>
      <c r="BP1604" s="1363"/>
      <c r="BQ1604" s="1363"/>
      <c r="BR1604" s="1363"/>
      <c r="BS1604" s="1363"/>
      <c r="BT1604" s="359"/>
      <c r="BU1604" s="346"/>
      <c r="BV1604" s="310"/>
      <c r="BW1604" s="310"/>
      <c r="BX1604" s="291">
        <f t="shared" si="113"/>
        <v>0</v>
      </c>
      <c r="BY1604" s="344"/>
      <c r="BZ1604" s="347">
        <f t="shared" si="123"/>
        <v>0</v>
      </c>
      <c r="CA1604" s="347"/>
    </row>
    <row r="1605" spans="1:84" ht="15" customHeight="1" x14ac:dyDescent="0.25">
      <c r="A1605" s="313"/>
      <c r="B1605" s="340"/>
      <c r="C1605" s="354" t="s">
        <v>1668</v>
      </c>
      <c r="D1605" s="340"/>
      <c r="E1605" s="340"/>
      <c r="F1605" s="340"/>
      <c r="G1605" s="340"/>
      <c r="H1605" s="340"/>
      <c r="I1605" s="340"/>
      <c r="J1605" s="340"/>
      <c r="K1605" s="340"/>
      <c r="L1605" s="340"/>
      <c r="M1605" s="340"/>
      <c r="N1605" s="340"/>
      <c r="O1605" s="340"/>
      <c r="P1605" s="340"/>
      <c r="Q1605" s="340"/>
      <c r="R1605" s="340"/>
      <c r="S1605" s="340"/>
      <c r="T1605" s="340"/>
      <c r="U1605" s="342"/>
      <c r="V1605" s="342"/>
      <c r="W1605" s="1318">
        <f>BZ1605</f>
        <v>122454535</v>
      </c>
      <c r="X1605" s="1318"/>
      <c r="Y1605" s="1318"/>
      <c r="Z1605" s="1318"/>
      <c r="AA1605" s="1318"/>
      <c r="AB1605" s="1318"/>
      <c r="AC1605" s="355"/>
      <c r="AD1605" s="1318">
        <v>0</v>
      </c>
      <c r="AE1605" s="1318"/>
      <c r="AF1605" s="1318"/>
      <c r="AG1605" s="1318"/>
      <c r="AH1605" s="1318"/>
      <c r="AI1605" s="1318"/>
      <c r="AJ1605" s="344"/>
      <c r="AK1605" s="345"/>
      <c r="AL1605" s="340"/>
      <c r="AM1605" s="354" t="s">
        <v>1667</v>
      </c>
      <c r="AN1605" s="340"/>
      <c r="AO1605" s="340"/>
      <c r="AP1605" s="340"/>
      <c r="AQ1605" s="340"/>
      <c r="AR1605" s="340"/>
      <c r="AS1605" s="340"/>
      <c r="AT1605" s="340"/>
      <c r="AU1605" s="340"/>
      <c r="AV1605" s="340"/>
      <c r="AW1605" s="340"/>
      <c r="AX1605" s="340"/>
      <c r="AY1605" s="340"/>
      <c r="AZ1605" s="340"/>
      <c r="BA1605" s="340"/>
      <c r="BB1605" s="340"/>
      <c r="BC1605" s="340"/>
      <c r="BD1605" s="340"/>
      <c r="BE1605" s="342"/>
      <c r="BF1605" s="342"/>
      <c r="BG1605" s="1363">
        <f>W1605</f>
        <v>122454535</v>
      </c>
      <c r="BH1605" s="1363"/>
      <c r="BI1605" s="1363"/>
      <c r="BJ1605" s="1363"/>
      <c r="BK1605" s="1363"/>
      <c r="BL1605" s="1363"/>
      <c r="BM1605" s="358"/>
      <c r="BN1605" s="1363">
        <f>AD1605</f>
        <v>0</v>
      </c>
      <c r="BO1605" s="1363"/>
      <c r="BP1605" s="1363"/>
      <c r="BQ1605" s="1363"/>
      <c r="BR1605" s="1363"/>
      <c r="BS1605" s="1363"/>
      <c r="BT1605" s="359"/>
      <c r="BU1605" s="346"/>
      <c r="BV1605" s="310"/>
      <c r="BW1605" s="310"/>
      <c r="BX1605" s="291">
        <f>IF(ISNONTEXT($C1605),0,SUM(D1605:AI1605)-SUM(AN1605:BS1605))</f>
        <v>0</v>
      </c>
      <c r="BY1605" s="344"/>
      <c r="BZ1605" s="347">
        <f t="shared" si="123"/>
        <v>122454535</v>
      </c>
      <c r="CA1605" s="347">
        <v>44690239</v>
      </c>
      <c r="CB1605" s="348">
        <v>77764296</v>
      </c>
    </row>
    <row r="1606" spans="1:84" ht="15" customHeight="1" x14ac:dyDescent="0.25">
      <c r="A1606" s="313"/>
      <c r="B1606" s="340"/>
      <c r="C1606" s="354" t="s">
        <v>1669</v>
      </c>
      <c r="D1606" s="342"/>
      <c r="E1606" s="342"/>
      <c r="F1606" s="342"/>
      <c r="G1606" s="342"/>
      <c r="H1606" s="342"/>
      <c r="I1606" s="342"/>
      <c r="J1606" s="342"/>
      <c r="K1606" s="342"/>
      <c r="L1606" s="342"/>
      <c r="M1606" s="342"/>
      <c r="N1606" s="342"/>
      <c r="O1606" s="342"/>
      <c r="P1606" s="342"/>
      <c r="Q1606" s="342"/>
      <c r="R1606" s="342"/>
      <c r="S1606" s="342"/>
      <c r="T1606" s="342"/>
      <c r="U1606" s="342"/>
      <c r="V1606" s="342"/>
      <c r="W1606" s="1318">
        <f>BZ1606</f>
        <v>18121537</v>
      </c>
      <c r="X1606" s="1318"/>
      <c r="Y1606" s="1318"/>
      <c r="Z1606" s="1318"/>
      <c r="AA1606" s="1318"/>
      <c r="AB1606" s="1318"/>
      <c r="AC1606" s="355"/>
      <c r="AD1606" s="1318">
        <f>2815594</f>
        <v>2815594</v>
      </c>
      <c r="AE1606" s="1318"/>
      <c r="AF1606" s="1318"/>
      <c r="AG1606" s="1318"/>
      <c r="AH1606" s="1318"/>
      <c r="AI1606" s="1318"/>
      <c r="AJ1606" s="344"/>
      <c r="AK1606" s="345"/>
      <c r="AL1606" s="340"/>
      <c r="AM1606" s="354" t="s">
        <v>860</v>
      </c>
      <c r="AN1606" s="342"/>
      <c r="AO1606" s="342"/>
      <c r="AP1606" s="342"/>
      <c r="AQ1606" s="342"/>
      <c r="AR1606" s="342"/>
      <c r="AS1606" s="342"/>
      <c r="AT1606" s="342"/>
      <c r="AU1606" s="342"/>
      <c r="AV1606" s="342"/>
      <c r="AW1606" s="342"/>
      <c r="AX1606" s="342"/>
      <c r="AY1606" s="342"/>
      <c r="AZ1606" s="342"/>
      <c r="BA1606" s="342"/>
      <c r="BB1606" s="342"/>
      <c r="BC1606" s="342"/>
      <c r="BD1606" s="342"/>
      <c r="BE1606" s="342"/>
      <c r="BF1606" s="342"/>
      <c r="BG1606" s="1318">
        <f>W1606</f>
        <v>18121537</v>
      </c>
      <c r="BH1606" s="1318"/>
      <c r="BI1606" s="1318"/>
      <c r="BJ1606" s="1318"/>
      <c r="BK1606" s="1318"/>
      <c r="BL1606" s="1318"/>
      <c r="BM1606" s="355"/>
      <c r="BN1606" s="1318">
        <f>AD1606</f>
        <v>2815594</v>
      </c>
      <c r="BO1606" s="1318"/>
      <c r="BP1606" s="1318"/>
      <c r="BQ1606" s="1318"/>
      <c r="BR1606" s="1318"/>
      <c r="BS1606" s="1318"/>
      <c r="BT1606" s="359"/>
      <c r="BU1606" s="346"/>
      <c r="BV1606" s="310"/>
      <c r="BW1606" s="310"/>
      <c r="BX1606" s="291">
        <f>IF(ISNONTEXT($C1606),0,SUM(D1606:AI1606)-SUM(AN1606:BS1606))</f>
        <v>0</v>
      </c>
      <c r="BY1606" s="344"/>
      <c r="BZ1606" s="347">
        <f>SUM(CA1606:CB1606)</f>
        <v>18121537</v>
      </c>
      <c r="CA1606" s="347">
        <v>8285453</v>
      </c>
      <c r="CB1606" s="348">
        <v>9836084</v>
      </c>
    </row>
    <row r="1607" spans="1:84" ht="15" customHeight="1" x14ac:dyDescent="0.25">
      <c r="A1607" s="313"/>
      <c r="B1607" s="340"/>
      <c r="C1607" s="354" t="s">
        <v>1661</v>
      </c>
      <c r="D1607" s="342"/>
      <c r="E1607" s="342"/>
      <c r="F1607" s="342"/>
      <c r="G1607" s="342"/>
      <c r="H1607" s="342"/>
      <c r="I1607" s="342"/>
      <c r="J1607" s="342"/>
      <c r="K1607" s="342"/>
      <c r="L1607" s="342"/>
      <c r="M1607" s="342"/>
      <c r="N1607" s="342"/>
      <c r="O1607" s="342"/>
      <c r="P1607" s="342"/>
      <c r="Q1607" s="342"/>
      <c r="R1607" s="342"/>
      <c r="S1607" s="342"/>
      <c r="T1607" s="342"/>
      <c r="U1607" s="342"/>
      <c r="V1607" s="342"/>
      <c r="W1607" s="1318">
        <f>BZ1607</f>
        <v>2630500</v>
      </c>
      <c r="X1607" s="1318"/>
      <c r="Y1607" s="1318"/>
      <c r="Z1607" s="1318"/>
      <c r="AA1607" s="1318"/>
      <c r="AB1607" s="1318"/>
      <c r="AC1607" s="355"/>
      <c r="AD1607" s="1318">
        <f>14077560</f>
        <v>14077560</v>
      </c>
      <c r="AE1607" s="1318"/>
      <c r="AF1607" s="1318"/>
      <c r="AG1607" s="1318"/>
      <c r="AH1607" s="1318"/>
      <c r="AI1607" s="1318"/>
      <c r="AJ1607" s="344"/>
      <c r="AK1607" s="345"/>
      <c r="AL1607" s="340"/>
      <c r="AM1607" s="354" t="s">
        <v>860</v>
      </c>
      <c r="AN1607" s="342"/>
      <c r="AO1607" s="342"/>
      <c r="AP1607" s="342"/>
      <c r="AQ1607" s="342"/>
      <c r="AR1607" s="342"/>
      <c r="AS1607" s="342"/>
      <c r="AT1607" s="342"/>
      <c r="AU1607" s="342"/>
      <c r="AV1607" s="342"/>
      <c r="AW1607" s="342"/>
      <c r="AX1607" s="342"/>
      <c r="AY1607" s="342"/>
      <c r="AZ1607" s="342"/>
      <c r="BA1607" s="342"/>
      <c r="BB1607" s="342"/>
      <c r="BC1607" s="342"/>
      <c r="BD1607" s="342"/>
      <c r="BE1607" s="342"/>
      <c r="BF1607" s="342"/>
      <c r="BG1607" s="1318">
        <f>W1607</f>
        <v>2630500</v>
      </c>
      <c r="BH1607" s="1318"/>
      <c r="BI1607" s="1318"/>
      <c r="BJ1607" s="1318"/>
      <c r="BK1607" s="1318"/>
      <c r="BL1607" s="1318"/>
      <c r="BM1607" s="355"/>
      <c r="BN1607" s="1318">
        <f>AD1607</f>
        <v>14077560</v>
      </c>
      <c r="BO1607" s="1318"/>
      <c r="BP1607" s="1318"/>
      <c r="BQ1607" s="1318"/>
      <c r="BR1607" s="1318"/>
      <c r="BS1607" s="1318"/>
      <c r="BT1607" s="359"/>
      <c r="BU1607" s="346"/>
      <c r="BV1607" s="310"/>
      <c r="BW1607" s="310"/>
      <c r="BX1607" s="291">
        <f t="shared" si="113"/>
        <v>0</v>
      </c>
      <c r="BY1607" s="344"/>
      <c r="BZ1607" s="347">
        <f t="shared" si="123"/>
        <v>2630500</v>
      </c>
      <c r="CA1607" s="347">
        <v>1000000</v>
      </c>
      <c r="CB1607" s="348">
        <v>1630500</v>
      </c>
    </row>
    <row r="1608" spans="1:84" ht="14.1" customHeight="1" x14ac:dyDescent="0.25">
      <c r="A1608" s="313"/>
      <c r="B1608" s="340"/>
      <c r="C1608" s="354"/>
      <c r="D1608" s="342"/>
      <c r="E1608" s="342"/>
      <c r="F1608" s="342"/>
      <c r="G1608" s="342"/>
      <c r="H1608" s="342"/>
      <c r="I1608" s="342"/>
      <c r="J1608" s="342"/>
      <c r="K1608" s="342"/>
      <c r="L1608" s="342"/>
      <c r="M1608" s="342"/>
      <c r="N1608" s="342"/>
      <c r="O1608" s="342"/>
      <c r="P1608" s="342"/>
      <c r="Q1608" s="342"/>
      <c r="R1608" s="342"/>
      <c r="S1608" s="342"/>
      <c r="T1608" s="342"/>
      <c r="U1608" s="342"/>
      <c r="V1608" s="342"/>
      <c r="W1608" s="355"/>
      <c r="X1608" s="355"/>
      <c r="Y1608" s="355"/>
      <c r="Z1608" s="355"/>
      <c r="AA1608" s="355"/>
      <c r="AB1608" s="355"/>
      <c r="AC1608" s="355"/>
      <c r="AD1608" s="355"/>
      <c r="AE1608" s="355"/>
      <c r="AF1608" s="355"/>
      <c r="AG1608" s="355"/>
      <c r="AH1608" s="355"/>
      <c r="AI1608" s="355"/>
      <c r="AJ1608" s="344"/>
      <c r="AK1608" s="345"/>
      <c r="AL1608" s="340"/>
      <c r="AM1608" s="354"/>
      <c r="AN1608" s="342"/>
      <c r="AO1608" s="342"/>
      <c r="AP1608" s="342"/>
      <c r="AQ1608" s="342"/>
      <c r="AR1608" s="342"/>
      <c r="AS1608" s="342"/>
      <c r="AT1608" s="342"/>
      <c r="AU1608" s="342"/>
      <c r="AV1608" s="342"/>
      <c r="AW1608" s="342"/>
      <c r="AX1608" s="342"/>
      <c r="AY1608" s="342"/>
      <c r="AZ1608" s="342"/>
      <c r="BA1608" s="342"/>
      <c r="BB1608" s="342"/>
      <c r="BC1608" s="342"/>
      <c r="BD1608" s="342"/>
      <c r="BE1608" s="342"/>
      <c r="BF1608" s="342"/>
      <c r="BG1608" s="355"/>
      <c r="BH1608" s="355"/>
      <c r="BI1608" s="355"/>
      <c r="BJ1608" s="355"/>
      <c r="BK1608" s="355"/>
      <c r="BL1608" s="355"/>
      <c r="BM1608" s="355"/>
      <c r="BN1608" s="355"/>
      <c r="BO1608" s="355"/>
      <c r="BP1608" s="355"/>
      <c r="BQ1608" s="355"/>
      <c r="BR1608" s="355"/>
      <c r="BS1608" s="355"/>
      <c r="BT1608" s="359"/>
      <c r="BU1608" s="346"/>
      <c r="BV1608" s="310"/>
      <c r="BW1608" s="310"/>
      <c r="BX1608" s="291">
        <f t="shared" si="113"/>
        <v>0</v>
      </c>
      <c r="BY1608" s="344"/>
      <c r="BZ1608" s="347">
        <f t="shared" si="123"/>
        <v>0</v>
      </c>
      <c r="CA1608" s="347"/>
    </row>
    <row r="1609" spans="1:84" ht="15" customHeight="1" thickBot="1" x14ac:dyDescent="0.3">
      <c r="A1609" s="313"/>
      <c r="B1609" s="340"/>
      <c r="C1609" s="360" t="s">
        <v>752</v>
      </c>
      <c r="D1609" s="340"/>
      <c r="E1609" s="340"/>
      <c r="F1609" s="340"/>
      <c r="G1609" s="340"/>
      <c r="H1609" s="340"/>
      <c r="I1609" s="340"/>
      <c r="J1609" s="340"/>
      <c r="K1609" s="340"/>
      <c r="L1609" s="340"/>
      <c r="M1609" s="340"/>
      <c r="N1609" s="340"/>
      <c r="O1609" s="340"/>
      <c r="P1609" s="340"/>
      <c r="Q1609" s="340"/>
      <c r="R1609" s="340"/>
      <c r="S1609" s="340"/>
      <c r="T1609" s="340"/>
      <c r="U1609" s="342"/>
      <c r="V1609" s="342"/>
      <c r="W1609" s="1359">
        <f>SUBTOTAL(109,W1603:AB1608)</f>
        <v>197792239</v>
      </c>
      <c r="X1609" s="1359"/>
      <c r="Y1609" s="1359"/>
      <c r="Z1609" s="1359"/>
      <c r="AA1609" s="1359"/>
      <c r="AB1609" s="1359"/>
      <c r="AC1609" s="355"/>
      <c r="AD1609" s="1359">
        <f>SUBTOTAL(109,AD1603:AI1608)</f>
        <v>528225426</v>
      </c>
      <c r="AE1609" s="1359"/>
      <c r="AF1609" s="1359"/>
      <c r="AG1609" s="1359"/>
      <c r="AH1609" s="1359"/>
      <c r="AI1609" s="1359"/>
      <c r="AJ1609" s="344"/>
      <c r="AK1609" s="345"/>
      <c r="AL1609" s="340"/>
      <c r="AM1609" s="340"/>
      <c r="AN1609" s="340"/>
      <c r="AO1609" s="340"/>
      <c r="AP1609" s="340"/>
      <c r="AQ1609" s="340"/>
      <c r="AR1609" s="340"/>
      <c r="AS1609" s="340"/>
      <c r="AT1609" s="340"/>
      <c r="AU1609" s="340"/>
      <c r="AV1609" s="340"/>
      <c r="AW1609" s="340"/>
      <c r="AX1609" s="340"/>
      <c r="AY1609" s="340"/>
      <c r="AZ1609" s="340"/>
      <c r="BA1609" s="340"/>
      <c r="BB1609" s="340"/>
      <c r="BC1609" s="340"/>
      <c r="BD1609" s="340"/>
      <c r="BE1609" s="342"/>
      <c r="BF1609" s="342"/>
      <c r="BG1609" s="1359">
        <f>SUBTOTAL(109,BG1603:BL1608)</f>
        <v>197792239</v>
      </c>
      <c r="BH1609" s="1359"/>
      <c r="BI1609" s="1359"/>
      <c r="BJ1609" s="1359"/>
      <c r="BK1609" s="1359"/>
      <c r="BL1609" s="1359"/>
      <c r="BM1609" s="358"/>
      <c r="BN1609" s="1359">
        <f>SUBTOTAL(109,BN1603:BS1608)</f>
        <v>528225426</v>
      </c>
      <c r="BO1609" s="1359"/>
      <c r="BP1609" s="1359"/>
      <c r="BQ1609" s="1359"/>
      <c r="BR1609" s="1359"/>
      <c r="BS1609" s="1359"/>
      <c r="BT1609" s="361"/>
      <c r="BU1609" s="362"/>
      <c r="BV1609" s="310">
        <f>W1609-KN_CT32</f>
        <v>0</v>
      </c>
      <c r="BW1609" s="310">
        <f>AD1609-KT_CT32</f>
        <v>0</v>
      </c>
      <c r="BX1609" s="291">
        <f t="shared" si="113"/>
        <v>0</v>
      </c>
      <c r="BY1609" s="344"/>
      <c r="BZ1609" s="347"/>
      <c r="CA1609" s="347"/>
    </row>
    <row r="1610" spans="1:84" ht="12.95" customHeight="1" thickTop="1" x14ac:dyDescent="0.25">
      <c r="A1610" s="313"/>
      <c r="B1610" s="340"/>
      <c r="C1610" s="360"/>
      <c r="D1610" s="340"/>
      <c r="E1610" s="340"/>
      <c r="F1610" s="340"/>
      <c r="G1610" s="340"/>
      <c r="H1610" s="340"/>
      <c r="I1610" s="340"/>
      <c r="J1610" s="340"/>
      <c r="K1610" s="340"/>
      <c r="L1610" s="340"/>
      <c r="M1610" s="340"/>
      <c r="N1610" s="340"/>
      <c r="O1610" s="340"/>
      <c r="P1610" s="340"/>
      <c r="Q1610" s="340"/>
      <c r="R1610" s="340"/>
      <c r="S1610" s="340"/>
      <c r="T1610" s="340"/>
      <c r="U1610" s="342"/>
      <c r="V1610" s="342"/>
      <c r="W1610" s="363"/>
      <c r="X1610" s="363"/>
      <c r="Y1610" s="363"/>
      <c r="Z1610" s="363"/>
      <c r="AA1610" s="363"/>
      <c r="AB1610" s="363"/>
      <c r="AC1610" s="355"/>
      <c r="AD1610" s="363"/>
      <c r="AE1610" s="363"/>
      <c r="AF1610" s="363"/>
      <c r="AG1610" s="363"/>
      <c r="AH1610" s="363"/>
      <c r="AI1610" s="363"/>
      <c r="AJ1610" s="344"/>
      <c r="AK1610" s="345"/>
      <c r="AL1610" s="340"/>
      <c r="AM1610" s="340"/>
      <c r="AN1610" s="340"/>
      <c r="AO1610" s="340"/>
      <c r="AP1610" s="340"/>
      <c r="AQ1610" s="340"/>
      <c r="AR1610" s="340"/>
      <c r="AS1610" s="340"/>
      <c r="AT1610" s="340"/>
      <c r="AU1610" s="340"/>
      <c r="AV1610" s="340"/>
      <c r="AW1610" s="340"/>
      <c r="AX1610" s="340"/>
      <c r="AY1610" s="340"/>
      <c r="AZ1610" s="340"/>
      <c r="BA1610" s="340"/>
      <c r="BB1610" s="340"/>
      <c r="BC1610" s="340"/>
      <c r="BD1610" s="340"/>
      <c r="BE1610" s="342"/>
      <c r="BF1610" s="342"/>
      <c r="BG1610" s="363"/>
      <c r="BH1610" s="363"/>
      <c r="BI1610" s="363"/>
      <c r="BJ1610" s="363"/>
      <c r="BK1610" s="363"/>
      <c r="BL1610" s="363"/>
      <c r="BM1610" s="358"/>
      <c r="BN1610" s="363"/>
      <c r="BO1610" s="363"/>
      <c r="BP1610" s="363"/>
      <c r="BQ1610" s="363"/>
      <c r="BR1610" s="363"/>
      <c r="BS1610" s="363"/>
      <c r="BT1610" s="361"/>
      <c r="BU1610" s="362"/>
      <c r="BV1610" s="310"/>
      <c r="BW1610" s="310"/>
      <c r="BX1610" s="291">
        <f t="shared" si="113"/>
        <v>0</v>
      </c>
      <c r="BY1610" s="344"/>
      <c r="BZ1610" s="347"/>
      <c r="CA1610" s="347"/>
    </row>
    <row r="1611" spans="1:84" ht="42" hidden="1" customHeight="1" x14ac:dyDescent="0.25">
      <c r="A1611" s="313"/>
      <c r="B1611" s="340"/>
      <c r="C1611" s="1342" t="s">
        <v>1670</v>
      </c>
      <c r="D1611" s="1342"/>
      <c r="E1611" s="1342"/>
      <c r="F1611" s="1342"/>
      <c r="G1611" s="1342"/>
      <c r="H1611" s="1342"/>
      <c r="I1611" s="1342"/>
      <c r="J1611" s="1342"/>
      <c r="K1611" s="1342"/>
      <c r="L1611" s="1342"/>
      <c r="M1611" s="1342"/>
      <c r="N1611" s="1342"/>
      <c r="O1611" s="1342"/>
      <c r="P1611" s="1342"/>
      <c r="Q1611" s="1342"/>
      <c r="R1611" s="1342"/>
      <c r="S1611" s="1342"/>
      <c r="T1611" s="1342"/>
      <c r="U1611" s="1342"/>
      <c r="V1611" s="1342"/>
      <c r="W1611" s="1342"/>
      <c r="X1611" s="1342"/>
      <c r="Y1611" s="1342"/>
      <c r="Z1611" s="1342"/>
      <c r="AA1611" s="1342"/>
      <c r="AB1611" s="1342"/>
      <c r="AC1611" s="1342"/>
      <c r="AD1611" s="1342"/>
      <c r="AE1611" s="1342"/>
      <c r="AF1611" s="1342"/>
      <c r="AG1611" s="1342"/>
      <c r="AH1611" s="1342"/>
      <c r="AI1611" s="1342"/>
      <c r="AJ1611" s="344"/>
      <c r="AK1611" s="345"/>
      <c r="AL1611" s="340"/>
      <c r="AM1611" s="1342" t="s">
        <v>1671</v>
      </c>
      <c r="AN1611" s="1342"/>
      <c r="AO1611" s="1342"/>
      <c r="AP1611" s="1342"/>
      <c r="AQ1611" s="1342"/>
      <c r="AR1611" s="1342"/>
      <c r="AS1611" s="1342"/>
      <c r="AT1611" s="1342"/>
      <c r="AU1611" s="1342"/>
      <c r="AV1611" s="1342"/>
      <c r="AW1611" s="1342"/>
      <c r="AX1611" s="1342"/>
      <c r="AY1611" s="1342"/>
      <c r="AZ1611" s="1342"/>
      <c r="BA1611" s="1342"/>
      <c r="BB1611" s="1342"/>
      <c r="BC1611" s="1342"/>
      <c r="BD1611" s="1342"/>
      <c r="BE1611" s="1342"/>
      <c r="BF1611" s="1342"/>
      <c r="BG1611" s="1342"/>
      <c r="BH1611" s="1342"/>
      <c r="BI1611" s="1342"/>
      <c r="BJ1611" s="1342"/>
      <c r="BK1611" s="1342"/>
      <c r="BL1611" s="1342"/>
      <c r="BM1611" s="1342"/>
      <c r="BN1611" s="1342"/>
      <c r="BO1611" s="1342"/>
      <c r="BP1611" s="1342"/>
      <c r="BQ1611" s="1342"/>
      <c r="BR1611" s="1342"/>
      <c r="BS1611" s="1342"/>
      <c r="BT1611" s="361"/>
      <c r="BU1611" s="362"/>
      <c r="BV1611" s="310"/>
      <c r="BW1611" s="310"/>
      <c r="BX1611" s="291">
        <f t="shared" si="113"/>
        <v>0</v>
      </c>
      <c r="BY1611" s="344"/>
      <c r="BZ1611" s="347"/>
      <c r="CA1611" s="347"/>
    </row>
    <row r="1612" spans="1:84" ht="2.1" hidden="1" customHeight="1" x14ac:dyDescent="0.25">
      <c r="A1612" s="313"/>
      <c r="B1612" s="340"/>
      <c r="C1612" s="360"/>
      <c r="D1612" s="340"/>
      <c r="E1612" s="340"/>
      <c r="F1612" s="340"/>
      <c r="G1612" s="340"/>
      <c r="H1612" s="340"/>
      <c r="I1612" s="340"/>
      <c r="J1612" s="340"/>
      <c r="K1612" s="340"/>
      <c r="L1612" s="340"/>
      <c r="M1612" s="340"/>
      <c r="N1612" s="340"/>
      <c r="O1612" s="340"/>
      <c r="P1612" s="340"/>
      <c r="Q1612" s="340"/>
      <c r="R1612" s="340"/>
      <c r="S1612" s="340"/>
      <c r="T1612" s="340"/>
      <c r="U1612" s="342"/>
      <c r="V1612" s="342"/>
      <c r="W1612" s="363"/>
      <c r="X1612" s="363"/>
      <c r="Y1612" s="363"/>
      <c r="Z1612" s="363"/>
      <c r="AA1612" s="363"/>
      <c r="AB1612" s="363"/>
      <c r="AC1612" s="355"/>
      <c r="AD1612" s="363"/>
      <c r="AE1612" s="363"/>
      <c r="AF1612" s="363"/>
      <c r="AG1612" s="363"/>
      <c r="AH1612" s="363"/>
      <c r="AI1612" s="363"/>
      <c r="AJ1612" s="344"/>
      <c r="AK1612" s="345"/>
      <c r="AL1612" s="340"/>
      <c r="AM1612" s="340"/>
      <c r="AN1612" s="340"/>
      <c r="AO1612" s="340"/>
      <c r="AP1612" s="340"/>
      <c r="AQ1612" s="340"/>
      <c r="AR1612" s="340"/>
      <c r="AS1612" s="340"/>
      <c r="AT1612" s="340"/>
      <c r="AU1612" s="340"/>
      <c r="AV1612" s="340"/>
      <c r="AW1612" s="340"/>
      <c r="AX1612" s="340"/>
      <c r="AY1612" s="340"/>
      <c r="AZ1612" s="340"/>
      <c r="BA1612" s="340"/>
      <c r="BB1612" s="340"/>
      <c r="BC1612" s="340"/>
      <c r="BD1612" s="340"/>
      <c r="BE1612" s="342"/>
      <c r="BF1612" s="342"/>
      <c r="BG1612" s="363"/>
      <c r="BH1612" s="363"/>
      <c r="BI1612" s="363"/>
      <c r="BJ1612" s="363"/>
      <c r="BK1612" s="363"/>
      <c r="BL1612" s="363"/>
      <c r="BM1612" s="358"/>
      <c r="BN1612" s="363"/>
      <c r="BO1612" s="363"/>
      <c r="BP1612" s="363"/>
      <c r="BQ1612" s="363"/>
      <c r="BR1612" s="363"/>
      <c r="BS1612" s="363"/>
      <c r="BT1612" s="361"/>
      <c r="BU1612" s="362"/>
      <c r="BV1612" s="310"/>
      <c r="BW1612" s="310"/>
      <c r="BX1612" s="291">
        <f t="shared" si="113"/>
        <v>0</v>
      </c>
      <c r="BY1612" s="344"/>
      <c r="BZ1612" s="347"/>
      <c r="CA1612" s="347"/>
    </row>
    <row r="1613" spans="1:84" ht="12.95" hidden="1" customHeight="1" x14ac:dyDescent="0.25">
      <c r="A1613" s="313"/>
      <c r="B1613" s="340"/>
      <c r="C1613" s="360"/>
      <c r="D1613" s="340"/>
      <c r="E1613" s="340"/>
      <c r="F1613" s="340"/>
      <c r="G1613" s="340"/>
      <c r="H1613" s="340"/>
      <c r="I1613" s="340"/>
      <c r="J1613" s="340"/>
      <c r="K1613" s="340"/>
      <c r="L1613" s="340"/>
      <c r="M1613" s="340"/>
      <c r="N1613" s="340"/>
      <c r="O1613" s="340"/>
      <c r="P1613" s="340"/>
      <c r="Q1613" s="340"/>
      <c r="R1613" s="340"/>
      <c r="S1613" s="340"/>
      <c r="T1613" s="340"/>
      <c r="U1613" s="342"/>
      <c r="V1613" s="342"/>
      <c r="W1613" s="363"/>
      <c r="X1613" s="363"/>
      <c r="Y1613" s="363"/>
      <c r="Z1613" s="363"/>
      <c r="AA1613" s="363"/>
      <c r="AB1613" s="363"/>
      <c r="AC1613" s="355"/>
      <c r="AD1613" s="363"/>
      <c r="AE1613" s="363"/>
      <c r="AF1613" s="363"/>
      <c r="AG1613" s="363"/>
      <c r="AH1613" s="363"/>
      <c r="AI1613" s="363"/>
      <c r="AJ1613" s="344"/>
      <c r="AK1613" s="345"/>
      <c r="AL1613" s="340"/>
      <c r="AM1613" s="340"/>
      <c r="AN1613" s="340"/>
      <c r="AO1613" s="340"/>
      <c r="AP1613" s="340"/>
      <c r="AQ1613" s="340"/>
      <c r="AR1613" s="340"/>
      <c r="AS1613" s="340"/>
      <c r="AT1613" s="340"/>
      <c r="AU1613" s="340"/>
      <c r="AV1613" s="340"/>
      <c r="AW1613" s="340"/>
      <c r="AX1613" s="340"/>
      <c r="AY1613" s="340"/>
      <c r="AZ1613" s="340"/>
      <c r="BA1613" s="340"/>
      <c r="BB1613" s="340"/>
      <c r="BC1613" s="340"/>
      <c r="BD1613" s="340"/>
      <c r="BE1613" s="342"/>
      <c r="BF1613" s="342"/>
      <c r="BG1613" s="363"/>
      <c r="BH1613" s="363"/>
      <c r="BI1613" s="363"/>
      <c r="BJ1613" s="363"/>
      <c r="BK1613" s="363"/>
      <c r="BL1613" s="363"/>
      <c r="BM1613" s="358"/>
      <c r="BN1613" s="363"/>
      <c r="BO1613" s="363"/>
      <c r="BP1613" s="363"/>
      <c r="BQ1613" s="363"/>
      <c r="BR1613" s="363"/>
      <c r="BS1613" s="363"/>
      <c r="BT1613" s="361"/>
      <c r="BU1613" s="362"/>
      <c r="BV1613" s="310"/>
      <c r="BW1613" s="310"/>
      <c r="BX1613" s="291">
        <f t="shared" si="113"/>
        <v>0</v>
      </c>
      <c r="BY1613" s="344"/>
      <c r="BZ1613" s="347"/>
      <c r="CA1613" s="347"/>
    </row>
    <row r="1614" spans="1:84" ht="15" customHeight="1" x14ac:dyDescent="0.25">
      <c r="A1614" s="313">
        <v>30</v>
      </c>
      <c r="B1614" s="340" t="s">
        <v>345</v>
      </c>
      <c r="C1614" s="341" t="s">
        <v>1672</v>
      </c>
      <c r="D1614" s="342"/>
      <c r="E1614" s="342"/>
      <c r="F1614" s="342"/>
      <c r="G1614" s="342"/>
      <c r="H1614" s="342"/>
      <c r="I1614" s="342"/>
      <c r="J1614" s="342"/>
      <c r="K1614" s="342"/>
      <c r="L1614" s="342"/>
      <c r="M1614" s="342"/>
      <c r="N1614" s="342"/>
      <c r="O1614" s="342"/>
      <c r="P1614" s="342"/>
      <c r="Q1614" s="342"/>
      <c r="R1614" s="342"/>
      <c r="S1614" s="342"/>
      <c r="T1614" s="342"/>
      <c r="U1614" s="342"/>
      <c r="V1614" s="342"/>
      <c r="W1614" s="343"/>
      <c r="X1614" s="343"/>
      <c r="Y1614" s="343"/>
      <c r="Z1614" s="343"/>
      <c r="AA1614" s="343"/>
      <c r="AB1614" s="343"/>
      <c r="AC1614" s="343"/>
      <c r="AD1614" s="343"/>
      <c r="AE1614" s="343"/>
      <c r="AF1614" s="343"/>
      <c r="AG1614" s="343"/>
      <c r="AH1614" s="343"/>
      <c r="AI1614" s="343"/>
      <c r="AJ1614" s="344"/>
      <c r="AK1614" s="345">
        <f>A1614</f>
        <v>30</v>
      </c>
      <c r="AL1614" s="340"/>
      <c r="AM1614" s="341" t="s">
        <v>1673</v>
      </c>
      <c r="AN1614" s="342"/>
      <c r="AO1614" s="342"/>
      <c r="AP1614" s="342"/>
      <c r="AQ1614" s="342"/>
      <c r="AR1614" s="342"/>
      <c r="AS1614" s="342"/>
      <c r="AT1614" s="342"/>
      <c r="AU1614" s="342"/>
      <c r="AV1614" s="342"/>
      <c r="AW1614" s="342"/>
      <c r="AX1614" s="342"/>
      <c r="AY1614" s="342"/>
      <c r="AZ1614" s="342"/>
      <c r="BA1614" s="342"/>
      <c r="BB1614" s="342"/>
      <c r="BC1614" s="342"/>
      <c r="BD1614" s="342"/>
      <c r="BE1614" s="342"/>
      <c r="BF1614" s="342"/>
      <c r="BG1614" s="342"/>
      <c r="BH1614" s="342"/>
      <c r="BI1614" s="342"/>
      <c r="BJ1614" s="342"/>
      <c r="BK1614" s="342"/>
      <c r="BL1614" s="342"/>
      <c r="BM1614" s="342"/>
      <c r="BN1614" s="342"/>
      <c r="BO1614" s="342"/>
      <c r="BP1614" s="342"/>
      <c r="BQ1614" s="342"/>
      <c r="BR1614" s="342"/>
      <c r="BS1614" s="342"/>
      <c r="BT1614" s="342"/>
      <c r="BU1614" s="346">
        <f>SUBTOTAL(103,A1614)</f>
        <v>1</v>
      </c>
      <c r="BV1614" s="310"/>
      <c r="BW1614" s="310"/>
      <c r="BX1614" s="291">
        <f t="shared" si="113"/>
        <v>0</v>
      </c>
      <c r="BY1614" s="344"/>
      <c r="BZ1614" s="347"/>
      <c r="CA1614" s="347"/>
    </row>
    <row r="1615" spans="1:84" s="746" customFormat="1" ht="15" customHeight="1" x14ac:dyDescent="0.25">
      <c r="A1615" s="725"/>
      <c r="B1615" s="728"/>
      <c r="C1615" s="690"/>
      <c r="D1615" s="690"/>
      <c r="E1615" s="690"/>
      <c r="F1615" s="690"/>
      <c r="G1615" s="690"/>
      <c r="H1615" s="690"/>
      <c r="I1615" s="690"/>
      <c r="J1615" s="690"/>
      <c r="K1615" s="690"/>
      <c r="L1615" s="690"/>
      <c r="M1615" s="690"/>
      <c r="N1615" s="690"/>
      <c r="O1615" s="690"/>
      <c r="P1615" s="690"/>
      <c r="Q1615" s="690"/>
      <c r="R1615" s="690"/>
      <c r="S1615" s="690"/>
      <c r="T1615" s="690"/>
      <c r="U1615" s="690"/>
      <c r="V1615" s="690"/>
      <c r="W1615" s="1324" t="str">
        <f>Ky_Nay2_V</f>
        <v>Năm 2017</v>
      </c>
      <c r="X1615" s="1324"/>
      <c r="Y1615" s="1324"/>
      <c r="Z1615" s="1324"/>
      <c r="AA1615" s="1324"/>
      <c r="AB1615" s="1324"/>
      <c r="AC1615" s="681"/>
      <c r="AD1615" s="1324" t="str">
        <f>Ky_Truoc2_V</f>
        <v>Năm 2016</v>
      </c>
      <c r="AE1615" s="1324"/>
      <c r="AF1615" s="1324"/>
      <c r="AG1615" s="1324"/>
      <c r="AH1615" s="1324"/>
      <c r="AI1615" s="1324"/>
      <c r="AJ1615" s="741"/>
      <c r="AK1615" s="727"/>
      <c r="AL1615" s="728"/>
      <c r="AM1615" s="690"/>
      <c r="AN1615" s="690"/>
      <c r="AO1615" s="690"/>
      <c r="AP1615" s="690"/>
      <c r="AQ1615" s="690"/>
      <c r="AR1615" s="690"/>
      <c r="AS1615" s="690"/>
      <c r="AT1615" s="690"/>
      <c r="AU1615" s="690"/>
      <c r="AV1615" s="690"/>
      <c r="AW1615" s="690"/>
      <c r="AX1615" s="690"/>
      <c r="AY1615" s="690"/>
      <c r="AZ1615" s="690"/>
      <c r="BA1615" s="690"/>
      <c r="BB1615" s="690"/>
      <c r="BC1615" s="690"/>
      <c r="BD1615" s="690"/>
      <c r="BE1615" s="690"/>
      <c r="BF1615" s="690"/>
      <c r="BG1615" s="1324" t="str">
        <f>Ky_Nay2_E</f>
        <v>Year 2016</v>
      </c>
      <c r="BH1615" s="1324"/>
      <c r="BI1615" s="1324"/>
      <c r="BJ1615" s="1324"/>
      <c r="BK1615" s="1324"/>
      <c r="BL1615" s="1324"/>
      <c r="BM1615" s="681"/>
      <c r="BN1615" s="1324" t="str">
        <f>Ky_Truoc2_E</f>
        <v>Year 2015</v>
      </c>
      <c r="BO1615" s="1324"/>
      <c r="BP1615" s="1324"/>
      <c r="BQ1615" s="1324"/>
      <c r="BR1615" s="1324"/>
      <c r="BS1615" s="1324"/>
      <c r="BT1615" s="742"/>
      <c r="BU1615" s="743"/>
      <c r="BV1615" s="310"/>
      <c r="BW1615" s="310"/>
      <c r="BX1615" s="291">
        <f t="shared" si="113"/>
        <v>0</v>
      </c>
      <c r="BY1615" s="741"/>
      <c r="BZ1615" s="744"/>
      <c r="CA1615" s="744"/>
      <c r="CB1615" s="745"/>
      <c r="CC1615" s="745"/>
      <c r="CD1615" s="745"/>
      <c r="CE1615" s="745"/>
      <c r="CF1615" s="745"/>
    </row>
    <row r="1616" spans="1:84" ht="15" customHeight="1" x14ac:dyDescent="0.25">
      <c r="A1616" s="313"/>
      <c r="B1616" s="340"/>
      <c r="C1616" s="342"/>
      <c r="D1616" s="342"/>
      <c r="E1616" s="342"/>
      <c r="F1616" s="342"/>
      <c r="G1616" s="342"/>
      <c r="H1616" s="342"/>
      <c r="I1616" s="342"/>
      <c r="J1616" s="342"/>
      <c r="K1616" s="342"/>
      <c r="L1616" s="342"/>
      <c r="M1616" s="342"/>
      <c r="N1616" s="342"/>
      <c r="O1616" s="342"/>
      <c r="P1616" s="342"/>
      <c r="Q1616" s="342"/>
      <c r="R1616" s="342"/>
      <c r="S1616" s="342"/>
      <c r="T1616" s="342"/>
      <c r="U1616" s="342"/>
      <c r="V1616" s="342"/>
      <c r="W1616" s="1327" t="str">
        <f>Don_Vi_Tinh_V</f>
        <v>VND</v>
      </c>
      <c r="X1616" s="1327"/>
      <c r="Y1616" s="1327"/>
      <c r="Z1616" s="1327"/>
      <c r="AA1616" s="1327"/>
      <c r="AB1616" s="1327"/>
      <c r="AC1616" s="351"/>
      <c r="AD1616" s="1327" t="str">
        <f>Don_Vi_Tinh_V</f>
        <v>VND</v>
      </c>
      <c r="AE1616" s="1327"/>
      <c r="AF1616" s="1327"/>
      <c r="AG1616" s="1327"/>
      <c r="AH1616" s="1327"/>
      <c r="AI1616" s="1327"/>
      <c r="AJ1616" s="344"/>
      <c r="AK1616" s="345"/>
      <c r="AL1616" s="340"/>
      <c r="AM1616" s="342"/>
      <c r="AN1616" s="342"/>
      <c r="AO1616" s="342"/>
      <c r="AP1616" s="342"/>
      <c r="AQ1616" s="342"/>
      <c r="AR1616" s="342"/>
      <c r="AS1616" s="342"/>
      <c r="AT1616" s="342"/>
      <c r="AU1616" s="342"/>
      <c r="AV1616" s="342"/>
      <c r="AW1616" s="342"/>
      <c r="AX1616" s="342"/>
      <c r="AY1616" s="342"/>
      <c r="AZ1616" s="342"/>
      <c r="BA1616" s="342"/>
      <c r="BB1616" s="342"/>
      <c r="BC1616" s="342"/>
      <c r="BD1616" s="342"/>
      <c r="BE1616" s="342"/>
      <c r="BF1616" s="342"/>
      <c r="BG1616" s="1327" t="str">
        <f>Don_Vi_Tinh_E</f>
        <v>VND</v>
      </c>
      <c r="BH1616" s="1327"/>
      <c r="BI1616" s="1327"/>
      <c r="BJ1616" s="1327"/>
      <c r="BK1616" s="1327"/>
      <c r="BL1616" s="1327"/>
      <c r="BM1616" s="351"/>
      <c r="BN1616" s="1327" t="str">
        <f>Don_Vi_Tinh_E</f>
        <v>VND</v>
      </c>
      <c r="BO1616" s="1327"/>
      <c r="BP1616" s="1327"/>
      <c r="BQ1616" s="1327"/>
      <c r="BR1616" s="1327"/>
      <c r="BS1616" s="1327"/>
      <c r="BT1616" s="714"/>
      <c r="BU1616" s="370"/>
      <c r="BV1616" s="310"/>
      <c r="BW1616" s="310"/>
      <c r="BX1616" s="291">
        <f t="shared" ref="BX1616:BX1688" si="124">IF(ISNONTEXT($C1616),0,SUM(D1616:AI1616)-SUM(AN1616:BS1616))</f>
        <v>0</v>
      </c>
      <c r="BY1616" s="344"/>
      <c r="BZ1616" s="347"/>
      <c r="CA1616" s="347"/>
    </row>
    <row r="1617" spans="1:84" ht="12.95" customHeight="1" x14ac:dyDescent="0.25">
      <c r="A1617" s="313"/>
      <c r="B1617" s="340"/>
      <c r="C1617" s="350"/>
      <c r="D1617" s="342"/>
      <c r="E1617" s="342"/>
      <c r="F1617" s="342"/>
      <c r="G1617" s="342"/>
      <c r="H1617" s="342"/>
      <c r="I1617" s="342"/>
      <c r="J1617" s="342"/>
      <c r="K1617" s="342"/>
      <c r="L1617" s="342"/>
      <c r="M1617" s="342"/>
      <c r="N1617" s="342"/>
      <c r="O1617" s="342"/>
      <c r="P1617" s="342"/>
      <c r="Q1617" s="342"/>
      <c r="R1617" s="342"/>
      <c r="S1617" s="342"/>
      <c r="T1617" s="342"/>
      <c r="U1617" s="342"/>
      <c r="V1617" s="342"/>
      <c r="W1617" s="660"/>
      <c r="X1617" s="660"/>
      <c r="Y1617" s="660"/>
      <c r="Z1617" s="660"/>
      <c r="AA1617" s="660"/>
      <c r="AB1617" s="660"/>
      <c r="AC1617" s="437"/>
      <c r="AD1617" s="660"/>
      <c r="AE1617" s="660"/>
      <c r="AF1617" s="660"/>
      <c r="AG1617" s="660"/>
      <c r="AH1617" s="660"/>
      <c r="AI1617" s="660"/>
      <c r="AJ1617" s="344"/>
      <c r="AK1617" s="345"/>
      <c r="AL1617" s="340"/>
      <c r="AM1617" s="350"/>
      <c r="AN1617" s="342"/>
      <c r="AO1617" s="342"/>
      <c r="AP1617" s="342"/>
      <c r="AQ1617" s="342"/>
      <c r="AR1617" s="342"/>
      <c r="AS1617" s="342"/>
      <c r="AT1617" s="342"/>
      <c r="AU1617" s="342"/>
      <c r="AV1617" s="342"/>
      <c r="AW1617" s="342"/>
      <c r="AX1617" s="342"/>
      <c r="AY1617" s="342"/>
      <c r="AZ1617" s="342"/>
      <c r="BA1617" s="342"/>
      <c r="BB1617" s="342"/>
      <c r="BC1617" s="342"/>
      <c r="BD1617" s="342"/>
      <c r="BE1617" s="342"/>
      <c r="BF1617" s="342"/>
      <c r="BG1617" s="599"/>
      <c r="BH1617" s="599"/>
      <c r="BI1617" s="599"/>
      <c r="BJ1617" s="599"/>
      <c r="BK1617" s="599"/>
      <c r="BL1617" s="599"/>
      <c r="BM1617" s="600"/>
      <c r="BN1617" s="599"/>
      <c r="BO1617" s="599"/>
      <c r="BP1617" s="599"/>
      <c r="BQ1617" s="599"/>
      <c r="BR1617" s="599"/>
      <c r="BS1617" s="599"/>
      <c r="BT1617" s="714"/>
      <c r="BU1617" s="370"/>
      <c r="BV1617" s="310"/>
      <c r="BW1617" s="310"/>
      <c r="BX1617" s="291"/>
      <c r="BY1617" s="344"/>
      <c r="BZ1617" s="347"/>
      <c r="CA1617" s="347"/>
    </row>
    <row r="1618" spans="1:84" ht="15" customHeight="1" x14ac:dyDescent="0.25">
      <c r="A1618" s="313"/>
      <c r="B1618" s="340"/>
      <c r="C1618" s="1347" t="s">
        <v>1674</v>
      </c>
      <c r="D1618" s="1347"/>
      <c r="E1618" s="1347"/>
      <c r="F1618" s="1347"/>
      <c r="G1618" s="1347"/>
      <c r="H1618" s="1347"/>
      <c r="I1618" s="1347"/>
      <c r="J1618" s="1347"/>
      <c r="K1618" s="1347"/>
      <c r="L1618" s="1347"/>
      <c r="M1618" s="1347"/>
      <c r="N1618" s="1347"/>
      <c r="O1618" s="1347"/>
      <c r="P1618" s="1347"/>
      <c r="Q1618" s="1347"/>
      <c r="R1618" s="1347"/>
      <c r="S1618" s="1347"/>
      <c r="T1618" s="1347"/>
      <c r="U1618" s="1347"/>
      <c r="V1618" s="1347"/>
      <c r="W1618" s="1318">
        <f>KN_CT50</f>
        <v>2829447486</v>
      </c>
      <c r="X1618" s="1318"/>
      <c r="Y1618" s="1318"/>
      <c r="Z1618" s="1318"/>
      <c r="AA1618" s="1318"/>
      <c r="AB1618" s="1318"/>
      <c r="AC1618" s="355"/>
      <c r="AD1618" s="1318">
        <f>KT_CT50</f>
        <v>979639262</v>
      </c>
      <c r="AE1618" s="1318"/>
      <c r="AF1618" s="1318"/>
      <c r="AG1618" s="1318"/>
      <c r="AH1618" s="1318"/>
      <c r="AI1618" s="1318"/>
      <c r="AJ1618" s="344"/>
      <c r="AK1618" s="345"/>
      <c r="AL1618" s="340"/>
      <c r="AM1618" s="1347" t="s">
        <v>1675</v>
      </c>
      <c r="AN1618" s="1347"/>
      <c r="AO1618" s="1347"/>
      <c r="AP1618" s="1347"/>
      <c r="AQ1618" s="1347"/>
      <c r="AR1618" s="1347"/>
      <c r="AS1618" s="1347"/>
      <c r="AT1618" s="1347"/>
      <c r="AU1618" s="1347"/>
      <c r="AV1618" s="1347"/>
      <c r="AW1618" s="1347"/>
      <c r="AX1618" s="1347"/>
      <c r="AY1618" s="1347"/>
      <c r="AZ1618" s="1347"/>
      <c r="BA1618" s="1347"/>
      <c r="BB1618" s="1347"/>
      <c r="BC1618" s="1347"/>
      <c r="BD1618" s="1347"/>
      <c r="BE1618" s="1347"/>
      <c r="BF1618" s="1347"/>
      <c r="BG1618" s="1318">
        <f>W1618</f>
        <v>2829447486</v>
      </c>
      <c r="BH1618" s="1318"/>
      <c r="BI1618" s="1318"/>
      <c r="BJ1618" s="1318"/>
      <c r="BK1618" s="1318"/>
      <c r="BL1618" s="1318"/>
      <c r="BM1618" s="355"/>
      <c r="BN1618" s="1318">
        <f>AD1618</f>
        <v>979639262</v>
      </c>
      <c r="BO1618" s="1318"/>
      <c r="BP1618" s="1318"/>
      <c r="BQ1618" s="1318"/>
      <c r="BR1618" s="1318"/>
      <c r="BS1618" s="1318"/>
      <c r="BT1618" s="389"/>
      <c r="BU1618" s="357"/>
      <c r="BV1618" s="310"/>
      <c r="BW1618" s="310"/>
      <c r="BX1618" s="291">
        <f t="shared" si="124"/>
        <v>0</v>
      </c>
      <c r="BY1618" s="344"/>
      <c r="BZ1618" s="347"/>
      <c r="CA1618" s="347"/>
    </row>
    <row r="1619" spans="1:84" ht="15" customHeight="1" x14ac:dyDescent="0.25">
      <c r="A1619" s="313"/>
      <c r="B1619" s="340"/>
      <c r="C1619" s="1347" t="s">
        <v>1676</v>
      </c>
      <c r="D1619" s="1347"/>
      <c r="E1619" s="1347"/>
      <c r="F1619" s="1347"/>
      <c r="G1619" s="1347"/>
      <c r="H1619" s="1347"/>
      <c r="I1619" s="1347"/>
      <c r="J1619" s="1347"/>
      <c r="K1619" s="1347"/>
      <c r="L1619" s="1347"/>
      <c r="M1619" s="1347"/>
      <c r="N1619" s="1347"/>
      <c r="O1619" s="1347"/>
      <c r="P1619" s="1347"/>
      <c r="Q1619" s="1347"/>
      <c r="R1619" s="1347"/>
      <c r="S1619" s="1347"/>
      <c r="T1619" s="1347"/>
      <c r="U1619" s="1347"/>
      <c r="V1619" s="1347"/>
      <c r="W1619" s="1318">
        <f>SUBTOTAL(109,W1620:AB1624)</f>
        <v>289835652</v>
      </c>
      <c r="X1619" s="1318"/>
      <c r="Y1619" s="1318"/>
      <c r="Z1619" s="1318"/>
      <c r="AA1619" s="1318"/>
      <c r="AB1619" s="1318"/>
      <c r="AC1619" s="355"/>
      <c r="AD1619" s="1318">
        <f>SUBTOTAL(109,AD1620:AI1624)</f>
        <v>531775426</v>
      </c>
      <c r="AE1619" s="1318"/>
      <c r="AF1619" s="1318"/>
      <c r="AG1619" s="1318"/>
      <c r="AH1619" s="1318"/>
      <c r="AI1619" s="1318"/>
      <c r="AJ1619" s="344"/>
      <c r="AK1619" s="345"/>
      <c r="AL1619" s="340"/>
      <c r="AM1619" s="1347" t="s">
        <v>1677</v>
      </c>
      <c r="AN1619" s="1347"/>
      <c r="AO1619" s="1347"/>
      <c r="AP1619" s="1347"/>
      <c r="AQ1619" s="1347"/>
      <c r="AR1619" s="1347"/>
      <c r="AS1619" s="1347"/>
      <c r="AT1619" s="1347"/>
      <c r="AU1619" s="1347"/>
      <c r="AV1619" s="1347"/>
      <c r="AW1619" s="1347"/>
      <c r="AX1619" s="1347"/>
      <c r="AY1619" s="1347"/>
      <c r="AZ1619" s="1347"/>
      <c r="BA1619" s="1347"/>
      <c r="BB1619" s="1347"/>
      <c r="BC1619" s="1347"/>
      <c r="BD1619" s="1347"/>
      <c r="BE1619" s="1347"/>
      <c r="BF1619" s="1347"/>
      <c r="BG1619" s="1318">
        <f>SUBTOTAL(109,BG1620:BL1624)</f>
        <v>289835652</v>
      </c>
      <c r="BH1619" s="1318"/>
      <c r="BI1619" s="1318"/>
      <c r="BJ1619" s="1318"/>
      <c r="BK1619" s="1318"/>
      <c r="BL1619" s="1318"/>
      <c r="BM1619" s="355"/>
      <c r="BN1619" s="1318">
        <f>SUBTOTAL(109,BN1620:BS1624)</f>
        <v>531775426</v>
      </c>
      <c r="BO1619" s="1318"/>
      <c r="BP1619" s="1318"/>
      <c r="BQ1619" s="1318"/>
      <c r="BR1619" s="1318"/>
      <c r="BS1619" s="1318"/>
      <c r="BT1619" s="342"/>
      <c r="BU1619" s="346"/>
      <c r="BV1619" s="310"/>
      <c r="BW1619" s="310"/>
      <c r="BX1619" s="291">
        <f t="shared" si="124"/>
        <v>0</v>
      </c>
      <c r="BY1619" s="344"/>
      <c r="BZ1619" s="347"/>
      <c r="CA1619" s="347" t="s">
        <v>1678</v>
      </c>
      <c r="CB1619" s="347" t="s">
        <v>1679</v>
      </c>
    </row>
    <row r="1620" spans="1:84" ht="29.1" customHeight="1" x14ac:dyDescent="0.25">
      <c r="A1620" s="313"/>
      <c r="B1620" s="340"/>
      <c r="C1620" s="1379" t="s">
        <v>1680</v>
      </c>
      <c r="D1620" s="1379"/>
      <c r="E1620" s="1379"/>
      <c r="F1620" s="1379"/>
      <c r="G1620" s="1379"/>
      <c r="H1620" s="1379"/>
      <c r="I1620" s="1379"/>
      <c r="J1620" s="1379"/>
      <c r="K1620" s="1379"/>
      <c r="L1620" s="1379"/>
      <c r="M1620" s="1379"/>
      <c r="N1620" s="1379"/>
      <c r="O1620" s="1379"/>
      <c r="P1620" s="1379"/>
      <c r="Q1620" s="1379"/>
      <c r="R1620" s="1379"/>
      <c r="S1620" s="676"/>
      <c r="T1620" s="676"/>
      <c r="U1620" s="676"/>
      <c r="V1620" s="676"/>
      <c r="W1620" s="1369">
        <f>BZ1620</f>
        <v>24000000</v>
      </c>
      <c r="X1620" s="1369"/>
      <c r="Y1620" s="1369"/>
      <c r="Z1620" s="1369"/>
      <c r="AA1620" s="1369"/>
      <c r="AB1620" s="1369"/>
      <c r="AC1620" s="665"/>
      <c r="AD1620" s="1369">
        <v>3550000</v>
      </c>
      <c r="AE1620" s="1369"/>
      <c r="AF1620" s="1369"/>
      <c r="AG1620" s="1369"/>
      <c r="AH1620" s="1369"/>
      <c r="AI1620" s="1369"/>
      <c r="AJ1620" s="677"/>
      <c r="AK1620" s="678"/>
      <c r="AL1620" s="679"/>
      <c r="AM1620" s="747" t="s">
        <v>1681</v>
      </c>
      <c r="AN1620" s="676"/>
      <c r="AO1620" s="676"/>
      <c r="AP1620" s="676"/>
      <c r="AQ1620" s="676"/>
      <c r="AR1620" s="676"/>
      <c r="AS1620" s="676"/>
      <c r="AT1620" s="676"/>
      <c r="AU1620" s="676"/>
      <c r="AV1620" s="676"/>
      <c r="AW1620" s="676"/>
      <c r="AX1620" s="676"/>
      <c r="AY1620" s="676"/>
      <c r="AZ1620" s="676"/>
      <c r="BA1620" s="676"/>
      <c r="BB1620" s="676"/>
      <c r="BC1620" s="676"/>
      <c r="BD1620" s="676"/>
      <c r="BE1620" s="676"/>
      <c r="BF1620" s="676"/>
      <c r="BG1620" s="1369">
        <f>W1620</f>
        <v>24000000</v>
      </c>
      <c r="BH1620" s="1369"/>
      <c r="BI1620" s="1369"/>
      <c r="BJ1620" s="1369"/>
      <c r="BK1620" s="1369"/>
      <c r="BL1620" s="1369"/>
      <c r="BM1620" s="665"/>
      <c r="BN1620" s="1369">
        <f>AD1620</f>
        <v>3550000</v>
      </c>
      <c r="BO1620" s="1369"/>
      <c r="BP1620" s="1369"/>
      <c r="BQ1620" s="1369"/>
      <c r="BR1620" s="1369"/>
      <c r="BS1620" s="1369"/>
      <c r="BT1620" s="342"/>
      <c r="BU1620" s="346"/>
      <c r="BV1620" s="310"/>
      <c r="BW1620" s="310"/>
      <c r="BX1620" s="291">
        <f t="shared" si="124"/>
        <v>0</v>
      </c>
      <c r="BY1620" s="344"/>
      <c r="BZ1620" s="347">
        <f>SUM(CA1620:CB1620)</f>
        <v>24000000</v>
      </c>
      <c r="CA1620" s="347">
        <v>24000000</v>
      </c>
    </row>
    <row r="1621" spans="1:84" ht="15" customHeight="1" x14ac:dyDescent="0.25">
      <c r="A1621" s="313"/>
      <c r="B1621" s="340"/>
      <c r="C1621" s="747" t="s">
        <v>1682</v>
      </c>
      <c r="D1621" s="676"/>
      <c r="E1621" s="676"/>
      <c r="F1621" s="676"/>
      <c r="G1621" s="676"/>
      <c r="H1621" s="676"/>
      <c r="I1621" s="676"/>
      <c r="J1621" s="676"/>
      <c r="K1621" s="676"/>
      <c r="L1621" s="676"/>
      <c r="M1621" s="676"/>
      <c r="N1621" s="676"/>
      <c r="O1621" s="676"/>
      <c r="P1621" s="676"/>
      <c r="Q1621" s="676"/>
      <c r="R1621" s="676"/>
      <c r="S1621" s="676"/>
      <c r="T1621" s="676"/>
      <c r="U1621" s="676"/>
      <c r="V1621" s="676"/>
      <c r="W1621" s="1369">
        <f>BZ1621</f>
        <v>0</v>
      </c>
      <c r="X1621" s="1369"/>
      <c r="Y1621" s="1369"/>
      <c r="Z1621" s="1369"/>
      <c r="AA1621" s="1369"/>
      <c r="AB1621" s="1369"/>
      <c r="AC1621" s="665"/>
      <c r="AD1621" s="1369">
        <v>511332272</v>
      </c>
      <c r="AE1621" s="1369"/>
      <c r="AF1621" s="1369"/>
      <c r="AG1621" s="1369"/>
      <c r="AH1621" s="1369"/>
      <c r="AI1621" s="1369"/>
      <c r="AJ1621" s="677"/>
      <c r="AK1621" s="678"/>
      <c r="AL1621" s="679"/>
      <c r="AM1621" s="747" t="s">
        <v>1683</v>
      </c>
      <c r="AN1621" s="676"/>
      <c r="AO1621" s="676"/>
      <c r="AP1621" s="676"/>
      <c r="AQ1621" s="676"/>
      <c r="AR1621" s="676"/>
      <c r="AS1621" s="676"/>
      <c r="AT1621" s="676"/>
      <c r="AU1621" s="676"/>
      <c r="AV1621" s="676"/>
      <c r="AW1621" s="676"/>
      <c r="AX1621" s="676"/>
      <c r="AY1621" s="676"/>
      <c r="AZ1621" s="676"/>
      <c r="BA1621" s="676"/>
      <c r="BB1621" s="676"/>
      <c r="BC1621" s="676"/>
      <c r="BD1621" s="676"/>
      <c r="BE1621" s="676"/>
      <c r="BF1621" s="676"/>
      <c r="BG1621" s="1369">
        <f>W1621</f>
        <v>0</v>
      </c>
      <c r="BH1621" s="1369"/>
      <c r="BI1621" s="1369"/>
      <c r="BJ1621" s="1369"/>
      <c r="BK1621" s="1369"/>
      <c r="BL1621" s="1369"/>
      <c r="BM1621" s="665"/>
      <c r="BN1621" s="1369">
        <f>AD1621</f>
        <v>511332272</v>
      </c>
      <c r="BO1621" s="1369"/>
      <c r="BP1621" s="1369"/>
      <c r="BQ1621" s="1369"/>
      <c r="BR1621" s="1369"/>
      <c r="BS1621" s="1369"/>
      <c r="BT1621" s="342"/>
      <c r="BU1621" s="346"/>
      <c r="BV1621" s="310"/>
      <c r="BW1621" s="310"/>
      <c r="BX1621" s="291">
        <f>IF(ISNONTEXT($C1621),0,SUM(D1621:AI1621)-SUM(AN1621:BS1621))</f>
        <v>0</v>
      </c>
      <c r="BY1621" s="344"/>
      <c r="BZ1621" s="347">
        <f>SUM(CA1621:CB1621)</f>
        <v>0</v>
      </c>
      <c r="CA1621" s="347"/>
    </row>
    <row r="1622" spans="1:84" ht="15" customHeight="1" x14ac:dyDescent="0.25">
      <c r="A1622" s="313"/>
      <c r="B1622" s="340"/>
      <c r="C1622" s="747" t="s">
        <v>1684</v>
      </c>
      <c r="D1622" s="676"/>
      <c r="E1622" s="676"/>
      <c r="F1622" s="676"/>
      <c r="G1622" s="676"/>
      <c r="H1622" s="676"/>
      <c r="I1622" s="676"/>
      <c r="J1622" s="676"/>
      <c r="K1622" s="676"/>
      <c r="L1622" s="676"/>
      <c r="M1622" s="676"/>
      <c r="N1622" s="676"/>
      <c r="O1622" s="676"/>
      <c r="P1622" s="676"/>
      <c r="Q1622" s="676"/>
      <c r="R1622" s="676"/>
      <c r="S1622" s="676"/>
      <c r="T1622" s="676"/>
      <c r="U1622" s="676"/>
      <c r="V1622" s="676"/>
      <c r="W1622" s="1369">
        <f>BZ1622</f>
        <v>122454535</v>
      </c>
      <c r="X1622" s="1369"/>
      <c r="Y1622" s="1369"/>
      <c r="Z1622" s="1369"/>
      <c r="AA1622" s="1369"/>
      <c r="AB1622" s="1369"/>
      <c r="AC1622" s="665"/>
      <c r="AD1622" s="1369">
        <v>14077560</v>
      </c>
      <c r="AE1622" s="1369"/>
      <c r="AF1622" s="1369"/>
      <c r="AG1622" s="1369"/>
      <c r="AH1622" s="1369"/>
      <c r="AI1622" s="1369"/>
      <c r="AJ1622" s="677"/>
      <c r="AK1622" s="678"/>
      <c r="AL1622" s="679"/>
      <c r="AM1622" s="747" t="s">
        <v>1683</v>
      </c>
      <c r="AN1622" s="676"/>
      <c r="AO1622" s="676"/>
      <c r="AP1622" s="676"/>
      <c r="AQ1622" s="676"/>
      <c r="AR1622" s="676"/>
      <c r="AS1622" s="676"/>
      <c r="AT1622" s="676"/>
      <c r="AU1622" s="676"/>
      <c r="AV1622" s="676"/>
      <c r="AW1622" s="676"/>
      <c r="AX1622" s="676"/>
      <c r="AY1622" s="676"/>
      <c r="AZ1622" s="676"/>
      <c r="BA1622" s="676"/>
      <c r="BB1622" s="676"/>
      <c r="BC1622" s="676"/>
      <c r="BD1622" s="676"/>
      <c r="BE1622" s="676"/>
      <c r="BF1622" s="676"/>
      <c r="BG1622" s="1369">
        <f>W1622</f>
        <v>122454535</v>
      </c>
      <c r="BH1622" s="1369"/>
      <c r="BI1622" s="1369"/>
      <c r="BJ1622" s="1369"/>
      <c r="BK1622" s="1369"/>
      <c r="BL1622" s="1369"/>
      <c r="BM1622" s="665"/>
      <c r="BN1622" s="1369">
        <f>AD1622</f>
        <v>14077560</v>
      </c>
      <c r="BO1622" s="1369"/>
      <c r="BP1622" s="1369"/>
      <c r="BQ1622" s="1369"/>
      <c r="BR1622" s="1369"/>
      <c r="BS1622" s="1369"/>
      <c r="BT1622" s="342"/>
      <c r="BU1622" s="346"/>
      <c r="BV1622" s="310"/>
      <c r="BW1622" s="310"/>
      <c r="BX1622" s="291">
        <f>IF(ISNONTEXT($C1622),0,SUM(D1622:AI1622)-SUM(AN1622:BS1622))</f>
        <v>0</v>
      </c>
      <c r="BY1622" s="344"/>
      <c r="BZ1622" s="347">
        <f>SUM(CA1622:CB1622)</f>
        <v>122454535</v>
      </c>
      <c r="CA1622" s="347">
        <f>W1605</f>
        <v>122454535</v>
      </c>
    </row>
    <row r="1623" spans="1:84" ht="15" customHeight="1" x14ac:dyDescent="0.25">
      <c r="A1623" s="313"/>
      <c r="B1623" s="340"/>
      <c r="C1623" s="747" t="s">
        <v>1685</v>
      </c>
      <c r="D1623" s="676"/>
      <c r="E1623" s="676"/>
      <c r="F1623" s="676"/>
      <c r="G1623" s="676"/>
      <c r="H1623" s="676"/>
      <c r="I1623" s="676"/>
      <c r="J1623" s="676"/>
      <c r="K1623" s="676"/>
      <c r="L1623" s="676"/>
      <c r="M1623" s="676"/>
      <c r="N1623" s="676"/>
      <c r="O1623" s="676"/>
      <c r="P1623" s="676"/>
      <c r="Q1623" s="676"/>
      <c r="R1623" s="676"/>
      <c r="S1623" s="676"/>
      <c r="T1623" s="676"/>
      <c r="U1623" s="676"/>
      <c r="V1623" s="676"/>
      <c r="W1623" s="1369">
        <f>BZ1623+68043413</f>
        <v>122629080</v>
      </c>
      <c r="X1623" s="1369"/>
      <c r="Y1623" s="1369"/>
      <c r="Z1623" s="1369"/>
      <c r="AA1623" s="1369"/>
      <c r="AB1623" s="1369"/>
      <c r="AC1623" s="665"/>
      <c r="AD1623" s="1369">
        <v>0</v>
      </c>
      <c r="AE1623" s="1369"/>
      <c r="AF1623" s="1369"/>
      <c r="AG1623" s="1369"/>
      <c r="AH1623" s="1369"/>
      <c r="AI1623" s="1369"/>
      <c r="AJ1623" s="677"/>
      <c r="AK1623" s="678"/>
      <c r="AL1623" s="679"/>
      <c r="AM1623" s="747" t="s">
        <v>1683</v>
      </c>
      <c r="AN1623" s="676"/>
      <c r="AO1623" s="676"/>
      <c r="AP1623" s="676"/>
      <c r="AQ1623" s="676"/>
      <c r="AR1623" s="676"/>
      <c r="AS1623" s="676"/>
      <c r="AT1623" s="676"/>
      <c r="AU1623" s="676"/>
      <c r="AV1623" s="676"/>
      <c r="AW1623" s="676"/>
      <c r="AX1623" s="676"/>
      <c r="AY1623" s="676"/>
      <c r="AZ1623" s="676"/>
      <c r="BA1623" s="676"/>
      <c r="BB1623" s="676"/>
      <c r="BC1623" s="676"/>
      <c r="BD1623" s="676"/>
      <c r="BE1623" s="676"/>
      <c r="BF1623" s="676"/>
      <c r="BG1623" s="1369">
        <f>W1623</f>
        <v>122629080</v>
      </c>
      <c r="BH1623" s="1369"/>
      <c r="BI1623" s="1369"/>
      <c r="BJ1623" s="1369"/>
      <c r="BK1623" s="1369"/>
      <c r="BL1623" s="1369"/>
      <c r="BM1623" s="665"/>
      <c r="BN1623" s="1369">
        <f>AD1623</f>
        <v>0</v>
      </c>
      <c r="BO1623" s="1369"/>
      <c r="BP1623" s="1369"/>
      <c r="BQ1623" s="1369"/>
      <c r="BR1623" s="1369"/>
      <c r="BS1623" s="1369"/>
      <c r="BT1623" s="342"/>
      <c r="BU1623" s="346"/>
      <c r="BV1623" s="310"/>
      <c r="BW1623" s="310"/>
      <c r="BX1623" s="291">
        <f>IF(ISNONTEXT($C1623),0,SUM(D1623:AI1623)-SUM(AN1623:BS1623))</f>
        <v>0</v>
      </c>
      <c r="BY1623" s="344"/>
      <c r="BZ1623" s="347">
        <f>SUM(CA1623:CB1623)</f>
        <v>54585667</v>
      </c>
      <c r="CA1623" s="347">
        <f>W1603</f>
        <v>54585667</v>
      </c>
    </row>
    <row r="1624" spans="1:84" ht="15" customHeight="1" x14ac:dyDescent="0.25">
      <c r="A1624" s="313"/>
      <c r="B1624" s="340"/>
      <c r="C1624" s="747" t="s">
        <v>1686</v>
      </c>
      <c r="D1624" s="676"/>
      <c r="E1624" s="676"/>
      <c r="F1624" s="676"/>
      <c r="G1624" s="676"/>
      <c r="H1624" s="676"/>
      <c r="I1624" s="676"/>
      <c r="J1624" s="676"/>
      <c r="K1624" s="676"/>
      <c r="L1624" s="676"/>
      <c r="M1624" s="676"/>
      <c r="N1624" s="676"/>
      <c r="O1624" s="676"/>
      <c r="P1624" s="676"/>
      <c r="Q1624" s="676"/>
      <c r="R1624" s="676"/>
      <c r="S1624" s="676"/>
      <c r="T1624" s="676"/>
      <c r="U1624" s="676"/>
      <c r="V1624" s="676"/>
      <c r="W1624" s="1369">
        <f>BZ1624</f>
        <v>20752037</v>
      </c>
      <c r="X1624" s="1369"/>
      <c r="Y1624" s="1369"/>
      <c r="Z1624" s="1369"/>
      <c r="AA1624" s="1369"/>
      <c r="AB1624" s="1369"/>
      <c r="AC1624" s="665"/>
      <c r="AD1624" s="1369">
        <v>2815594</v>
      </c>
      <c r="AE1624" s="1369"/>
      <c r="AF1624" s="1369"/>
      <c r="AG1624" s="1369"/>
      <c r="AH1624" s="1369"/>
      <c r="AI1624" s="1369"/>
      <c r="AJ1624" s="677"/>
      <c r="AK1624" s="678"/>
      <c r="AL1624" s="679"/>
      <c r="AM1624" s="747" t="s">
        <v>1687</v>
      </c>
      <c r="AN1624" s="676"/>
      <c r="AO1624" s="676"/>
      <c r="AP1624" s="676"/>
      <c r="AQ1624" s="676"/>
      <c r="AR1624" s="676"/>
      <c r="AS1624" s="676"/>
      <c r="AT1624" s="676"/>
      <c r="AU1624" s="676"/>
      <c r="AV1624" s="676"/>
      <c r="AW1624" s="676"/>
      <c r="AX1624" s="676"/>
      <c r="AY1624" s="676"/>
      <c r="AZ1624" s="676"/>
      <c r="BA1624" s="676"/>
      <c r="BB1624" s="676"/>
      <c r="BC1624" s="676"/>
      <c r="BD1624" s="676"/>
      <c r="BE1624" s="676"/>
      <c r="BF1624" s="676"/>
      <c r="BG1624" s="1369">
        <f>W1624</f>
        <v>20752037</v>
      </c>
      <c r="BH1624" s="1369"/>
      <c r="BI1624" s="1369"/>
      <c r="BJ1624" s="1369"/>
      <c r="BK1624" s="1369"/>
      <c r="BL1624" s="1369"/>
      <c r="BM1624" s="665"/>
      <c r="BN1624" s="1369">
        <f>AD1624</f>
        <v>2815594</v>
      </c>
      <c r="BO1624" s="1369"/>
      <c r="BP1624" s="1369"/>
      <c r="BQ1624" s="1369"/>
      <c r="BR1624" s="1369"/>
      <c r="BS1624" s="1369"/>
      <c r="BT1624" s="342"/>
      <c r="BU1624" s="346"/>
      <c r="BV1624" s="310"/>
      <c r="BW1624" s="310"/>
      <c r="BX1624" s="291">
        <f t="shared" si="124"/>
        <v>0</v>
      </c>
      <c r="BY1624" s="344"/>
      <c r="BZ1624" s="347">
        <f>SUM(CA1624:CB1624)</f>
        <v>20752037</v>
      </c>
      <c r="CA1624" s="347">
        <v>20752037</v>
      </c>
    </row>
    <row r="1625" spans="1:84" ht="15" hidden="1" customHeight="1" x14ac:dyDescent="0.25">
      <c r="A1625" s="313"/>
      <c r="B1625" s="340"/>
      <c r="C1625" s="346" t="s">
        <v>1688</v>
      </c>
      <c r="D1625" s="346"/>
      <c r="E1625" s="346"/>
      <c r="F1625" s="346"/>
      <c r="G1625" s="346"/>
      <c r="H1625" s="346"/>
      <c r="I1625" s="346"/>
      <c r="J1625" s="346"/>
      <c r="K1625" s="346"/>
      <c r="L1625" s="346"/>
      <c r="M1625" s="346"/>
      <c r="N1625" s="346"/>
      <c r="O1625" s="346"/>
      <c r="P1625" s="346"/>
      <c r="Q1625" s="346"/>
      <c r="R1625" s="346"/>
      <c r="S1625" s="346"/>
      <c r="T1625" s="346"/>
      <c r="U1625" s="346"/>
      <c r="V1625" s="346"/>
      <c r="W1625" s="1318">
        <f>SUBTOTAL(109,W1626:AB1627)</f>
        <v>0</v>
      </c>
      <c r="X1625" s="1318"/>
      <c r="Y1625" s="1318"/>
      <c r="Z1625" s="1318"/>
      <c r="AA1625" s="1318"/>
      <c r="AB1625" s="1318"/>
      <c r="AC1625" s="355"/>
      <c r="AD1625" s="1318">
        <f>SUBTOTAL(109,AD1626:AI1627)</f>
        <v>0</v>
      </c>
      <c r="AE1625" s="1318"/>
      <c r="AF1625" s="1318"/>
      <c r="AG1625" s="1318"/>
      <c r="AH1625" s="1318"/>
      <c r="AI1625" s="1318"/>
      <c r="AJ1625" s="344"/>
      <c r="AK1625" s="345"/>
      <c r="AL1625" s="340"/>
      <c r="AM1625" s="346" t="s">
        <v>1689</v>
      </c>
      <c r="AN1625" s="346"/>
      <c r="AO1625" s="346"/>
      <c r="AP1625" s="346"/>
      <c r="AQ1625" s="346"/>
      <c r="AR1625" s="346"/>
      <c r="AS1625" s="346"/>
      <c r="AT1625" s="346"/>
      <c r="AU1625" s="346"/>
      <c r="AV1625" s="346"/>
      <c r="AW1625" s="346"/>
      <c r="AX1625" s="346"/>
      <c r="AY1625" s="346"/>
      <c r="AZ1625" s="346"/>
      <c r="BA1625" s="346"/>
      <c r="BB1625" s="346"/>
      <c r="BC1625" s="346"/>
      <c r="BD1625" s="346"/>
      <c r="BE1625" s="346"/>
      <c r="BF1625" s="346"/>
      <c r="BG1625" s="1318">
        <f>SUBTOTAL(109,BG1626:BL1627)</f>
        <v>0</v>
      </c>
      <c r="BH1625" s="1318"/>
      <c r="BI1625" s="1318"/>
      <c r="BJ1625" s="1318"/>
      <c r="BK1625" s="1318"/>
      <c r="BL1625" s="1318"/>
      <c r="BM1625" s="355"/>
      <c r="BN1625" s="1318">
        <f>SUBTOTAL(109,BN1626:BS1627)</f>
        <v>0</v>
      </c>
      <c r="BO1625" s="1318"/>
      <c r="BP1625" s="1318"/>
      <c r="BQ1625" s="1318"/>
      <c r="BR1625" s="1318"/>
      <c r="BS1625" s="1318"/>
      <c r="BT1625" s="342"/>
      <c r="BU1625" s="346"/>
      <c r="BV1625" s="310"/>
      <c r="BW1625" s="310"/>
      <c r="BX1625" s="291">
        <f t="shared" si="124"/>
        <v>0</v>
      </c>
      <c r="BY1625" s="344"/>
      <c r="BZ1625" s="347"/>
      <c r="CA1625" s="347"/>
    </row>
    <row r="1626" spans="1:84" ht="15" hidden="1" customHeight="1" x14ac:dyDescent="0.25">
      <c r="A1626" s="313"/>
      <c r="B1626" s="340"/>
      <c r="C1626" s="747" t="s">
        <v>1690</v>
      </c>
      <c r="D1626" s="676"/>
      <c r="E1626" s="676"/>
      <c r="F1626" s="676"/>
      <c r="G1626" s="676"/>
      <c r="H1626" s="676"/>
      <c r="I1626" s="676"/>
      <c r="J1626" s="676"/>
      <c r="K1626" s="676"/>
      <c r="L1626" s="676"/>
      <c r="M1626" s="676"/>
      <c r="N1626" s="676"/>
      <c r="O1626" s="676"/>
      <c r="P1626" s="676"/>
      <c r="Q1626" s="676"/>
      <c r="R1626" s="676"/>
      <c r="S1626" s="676"/>
      <c r="T1626" s="676"/>
      <c r="U1626" s="676"/>
      <c r="V1626" s="676"/>
      <c r="W1626" s="1369">
        <v>0</v>
      </c>
      <c r="X1626" s="1369"/>
      <c r="Y1626" s="1369"/>
      <c r="Z1626" s="1369"/>
      <c r="AA1626" s="1369"/>
      <c r="AB1626" s="1369"/>
      <c r="AC1626" s="665"/>
      <c r="AD1626" s="1369">
        <v>0</v>
      </c>
      <c r="AE1626" s="1369"/>
      <c r="AF1626" s="1369"/>
      <c r="AG1626" s="1369"/>
      <c r="AH1626" s="1369"/>
      <c r="AI1626" s="1369"/>
      <c r="AJ1626" s="677"/>
      <c r="AK1626" s="678"/>
      <c r="AL1626" s="679"/>
      <c r="AM1626" s="747" t="s">
        <v>1683</v>
      </c>
      <c r="AN1626" s="676"/>
      <c r="AO1626" s="676"/>
      <c r="AP1626" s="676"/>
      <c r="AQ1626" s="676"/>
      <c r="AR1626" s="676"/>
      <c r="AS1626" s="676"/>
      <c r="AT1626" s="676"/>
      <c r="AU1626" s="676"/>
      <c r="AV1626" s="676"/>
      <c r="AW1626" s="676"/>
      <c r="AX1626" s="676"/>
      <c r="AY1626" s="676"/>
      <c r="AZ1626" s="676"/>
      <c r="BA1626" s="676"/>
      <c r="BB1626" s="676"/>
      <c r="BC1626" s="676"/>
      <c r="BD1626" s="676"/>
      <c r="BE1626" s="676"/>
      <c r="BF1626" s="676"/>
      <c r="BG1626" s="1369">
        <f>W1626</f>
        <v>0</v>
      </c>
      <c r="BH1626" s="1369"/>
      <c r="BI1626" s="1369"/>
      <c r="BJ1626" s="1369"/>
      <c r="BK1626" s="1369"/>
      <c r="BL1626" s="1369"/>
      <c r="BM1626" s="665"/>
      <c r="BN1626" s="1369">
        <f>AD1626</f>
        <v>0</v>
      </c>
      <c r="BO1626" s="1369"/>
      <c r="BP1626" s="1369"/>
      <c r="BQ1626" s="1369"/>
      <c r="BR1626" s="1369"/>
      <c r="BS1626" s="1369"/>
      <c r="BT1626" s="342"/>
      <c r="BU1626" s="346"/>
      <c r="BV1626" s="310"/>
      <c r="BW1626" s="310"/>
      <c r="BX1626" s="291">
        <f t="shared" si="124"/>
        <v>0</v>
      </c>
      <c r="BY1626" s="344"/>
      <c r="BZ1626" s="347"/>
      <c r="CA1626" s="347"/>
    </row>
    <row r="1627" spans="1:84" ht="15" hidden="1" customHeight="1" x14ac:dyDescent="0.25">
      <c r="A1627" s="313"/>
      <c r="B1627" s="340"/>
      <c r="C1627" s="747" t="s">
        <v>1687</v>
      </c>
      <c r="D1627" s="676"/>
      <c r="E1627" s="676"/>
      <c r="F1627" s="676"/>
      <c r="G1627" s="676"/>
      <c r="H1627" s="676"/>
      <c r="I1627" s="676"/>
      <c r="J1627" s="676"/>
      <c r="K1627" s="676"/>
      <c r="L1627" s="676"/>
      <c r="M1627" s="676"/>
      <c r="N1627" s="676"/>
      <c r="O1627" s="676"/>
      <c r="P1627" s="676"/>
      <c r="Q1627" s="676"/>
      <c r="R1627" s="676"/>
      <c r="S1627" s="676"/>
      <c r="T1627" s="676"/>
      <c r="U1627" s="676"/>
      <c r="V1627" s="676"/>
      <c r="W1627" s="1369">
        <v>0</v>
      </c>
      <c r="X1627" s="1369"/>
      <c r="Y1627" s="1369"/>
      <c r="Z1627" s="1369"/>
      <c r="AA1627" s="1369"/>
      <c r="AB1627" s="1369"/>
      <c r="AC1627" s="665"/>
      <c r="AD1627" s="1369">
        <v>0</v>
      </c>
      <c r="AE1627" s="1369"/>
      <c r="AF1627" s="1369"/>
      <c r="AG1627" s="1369"/>
      <c r="AH1627" s="1369"/>
      <c r="AI1627" s="1369"/>
      <c r="AJ1627" s="677"/>
      <c r="AK1627" s="678"/>
      <c r="AL1627" s="679"/>
      <c r="AM1627" s="747" t="s">
        <v>1687</v>
      </c>
      <c r="AN1627" s="676"/>
      <c r="AO1627" s="676"/>
      <c r="AP1627" s="676"/>
      <c r="AQ1627" s="676"/>
      <c r="AR1627" s="676"/>
      <c r="AS1627" s="676"/>
      <c r="AT1627" s="676"/>
      <c r="AU1627" s="676"/>
      <c r="AV1627" s="676"/>
      <c r="AW1627" s="676"/>
      <c r="AX1627" s="676"/>
      <c r="AY1627" s="676"/>
      <c r="AZ1627" s="676"/>
      <c r="BA1627" s="676"/>
      <c r="BB1627" s="676"/>
      <c r="BC1627" s="676"/>
      <c r="BD1627" s="676"/>
      <c r="BE1627" s="676"/>
      <c r="BF1627" s="676"/>
      <c r="BG1627" s="1369">
        <f>W1627</f>
        <v>0</v>
      </c>
      <c r="BH1627" s="1369"/>
      <c r="BI1627" s="1369"/>
      <c r="BJ1627" s="1369"/>
      <c r="BK1627" s="1369"/>
      <c r="BL1627" s="1369"/>
      <c r="BM1627" s="665"/>
      <c r="BN1627" s="1369">
        <f>AD1627</f>
        <v>0</v>
      </c>
      <c r="BO1627" s="1369"/>
      <c r="BP1627" s="1369"/>
      <c r="BQ1627" s="1369"/>
      <c r="BR1627" s="1369"/>
      <c r="BS1627" s="1369"/>
      <c r="BT1627" s="342"/>
      <c r="BU1627" s="346"/>
      <c r="BV1627" s="310"/>
      <c r="BW1627" s="310"/>
      <c r="BX1627" s="291">
        <f t="shared" si="124"/>
        <v>0</v>
      </c>
      <c r="BY1627" s="344"/>
      <c r="BZ1627" s="347"/>
      <c r="CA1627" s="347"/>
    </row>
    <row r="1628" spans="1:84" s="423" customFormat="1" ht="15" customHeight="1" x14ac:dyDescent="0.25">
      <c r="A1628" s="313"/>
      <c r="B1628" s="340"/>
      <c r="C1628" s="346" t="s">
        <v>1691</v>
      </c>
      <c r="D1628" s="346"/>
      <c r="E1628" s="346"/>
      <c r="F1628" s="346"/>
      <c r="G1628" s="346"/>
      <c r="H1628" s="346"/>
      <c r="I1628" s="346"/>
      <c r="J1628" s="346"/>
      <c r="K1628" s="346"/>
      <c r="L1628" s="346"/>
      <c r="M1628" s="346"/>
      <c r="N1628" s="346"/>
      <c r="O1628" s="346"/>
      <c r="P1628" s="346"/>
      <c r="Q1628" s="346"/>
      <c r="R1628" s="346"/>
      <c r="S1628" s="346"/>
      <c r="T1628" s="346"/>
      <c r="U1628" s="346"/>
      <c r="V1628" s="346"/>
      <c r="W1628" s="1318">
        <f>SUBTOTAL(109,W1617:AB1626)</f>
        <v>3119283138</v>
      </c>
      <c r="X1628" s="1318"/>
      <c r="Y1628" s="1318"/>
      <c r="Z1628" s="1318"/>
      <c r="AA1628" s="1318"/>
      <c r="AB1628" s="1318"/>
      <c r="AC1628" s="355"/>
      <c r="AD1628" s="1318">
        <f>SUBTOTAL(109,AD1617:AI1626)</f>
        <v>1511414688</v>
      </c>
      <c r="AE1628" s="1318"/>
      <c r="AF1628" s="1318"/>
      <c r="AG1628" s="1318"/>
      <c r="AH1628" s="1318"/>
      <c r="AI1628" s="1318"/>
      <c r="AJ1628" s="342"/>
      <c r="AK1628" s="345"/>
      <c r="AL1628" s="340"/>
      <c r="AM1628" s="346" t="s">
        <v>1692</v>
      </c>
      <c r="AN1628" s="346"/>
      <c r="AO1628" s="346"/>
      <c r="AP1628" s="346"/>
      <c r="AQ1628" s="346"/>
      <c r="AR1628" s="346"/>
      <c r="AS1628" s="346"/>
      <c r="AT1628" s="346"/>
      <c r="AU1628" s="346"/>
      <c r="AV1628" s="346"/>
      <c r="AW1628" s="346"/>
      <c r="AX1628" s="346"/>
      <c r="AY1628" s="346"/>
      <c r="AZ1628" s="346"/>
      <c r="BA1628" s="346"/>
      <c r="BB1628" s="346"/>
      <c r="BC1628" s="346"/>
      <c r="BD1628" s="346"/>
      <c r="BE1628" s="346"/>
      <c r="BF1628" s="346"/>
      <c r="BG1628" s="1318">
        <f>SUBTOTAL(109,BG1617:BL1626)</f>
        <v>3119283138</v>
      </c>
      <c r="BH1628" s="1318"/>
      <c r="BI1628" s="1318"/>
      <c r="BJ1628" s="1318"/>
      <c r="BK1628" s="1318"/>
      <c r="BL1628" s="1318"/>
      <c r="BM1628" s="355"/>
      <c r="BN1628" s="1318">
        <f>SUBTOTAL(109,BN1617:BS1626)</f>
        <v>1511414688</v>
      </c>
      <c r="BO1628" s="1318"/>
      <c r="BP1628" s="1318"/>
      <c r="BQ1628" s="1318"/>
      <c r="BR1628" s="1318"/>
      <c r="BS1628" s="1318"/>
      <c r="BT1628" s="342"/>
      <c r="BU1628" s="346"/>
      <c r="BV1628" s="299"/>
      <c r="BW1628" s="299"/>
      <c r="BX1628" s="300">
        <f>IF(ISNONTEXT($C1628),0,SUM(D1628:AI1628)-SUM(AN1628:BS1628))</f>
        <v>0</v>
      </c>
      <c r="BY1628" s="342"/>
      <c r="BZ1628" s="438"/>
      <c r="CA1628" s="438"/>
      <c r="CB1628" s="439"/>
      <c r="CC1628" s="439"/>
      <c r="CD1628" s="439"/>
      <c r="CE1628" s="439"/>
      <c r="CF1628" s="439"/>
    </row>
    <row r="1629" spans="1:84" ht="15" customHeight="1" x14ac:dyDescent="0.25">
      <c r="A1629" s="313"/>
      <c r="B1629" s="340"/>
      <c r="C1629" s="748" t="s">
        <v>1693</v>
      </c>
      <c r="D1629" s="346"/>
      <c r="E1629" s="346"/>
      <c r="F1629" s="346"/>
      <c r="G1629" s="346"/>
      <c r="H1629" s="346"/>
      <c r="I1629" s="346"/>
      <c r="J1629" s="346"/>
      <c r="K1629" s="346"/>
      <c r="L1629" s="346"/>
      <c r="M1629" s="346"/>
      <c r="N1629" s="346"/>
      <c r="O1629" s="346"/>
      <c r="P1629" s="346"/>
      <c r="Q1629" s="346"/>
      <c r="R1629" s="346"/>
      <c r="S1629" s="346"/>
      <c r="T1629" s="346"/>
      <c r="U1629" s="346"/>
      <c r="V1629" s="346"/>
      <c r="W1629" s="1318">
        <v>0</v>
      </c>
      <c r="X1629" s="1318"/>
      <c r="Y1629" s="1318"/>
      <c r="Z1629" s="1318"/>
      <c r="AA1629" s="1318"/>
      <c r="AB1629" s="1318"/>
      <c r="AC1629" s="355"/>
      <c r="AD1629" s="1318">
        <v>-230332711</v>
      </c>
      <c r="AE1629" s="1318"/>
      <c r="AF1629" s="1318"/>
      <c r="AG1629" s="1318"/>
      <c r="AH1629" s="1318"/>
      <c r="AI1629" s="1318"/>
      <c r="AJ1629" s="344"/>
      <c r="AK1629" s="345"/>
      <c r="AL1629" s="340"/>
      <c r="AM1629" s="748" t="s">
        <v>1687</v>
      </c>
      <c r="AN1629" s="346"/>
      <c r="AO1629" s="346"/>
      <c r="AP1629" s="346"/>
      <c r="AQ1629" s="346"/>
      <c r="AR1629" s="346"/>
      <c r="AS1629" s="346"/>
      <c r="AT1629" s="346"/>
      <c r="AU1629" s="346"/>
      <c r="AV1629" s="346"/>
      <c r="AW1629" s="346"/>
      <c r="AX1629" s="346"/>
      <c r="AY1629" s="346"/>
      <c r="AZ1629" s="346"/>
      <c r="BA1629" s="346"/>
      <c r="BB1629" s="346"/>
      <c r="BC1629" s="346"/>
      <c r="BD1629" s="346"/>
      <c r="BE1629" s="346"/>
      <c r="BF1629" s="346"/>
      <c r="BG1629" s="1318">
        <f>W1629</f>
        <v>0</v>
      </c>
      <c r="BH1629" s="1318"/>
      <c r="BI1629" s="1318"/>
      <c r="BJ1629" s="1318"/>
      <c r="BK1629" s="1318"/>
      <c r="BL1629" s="1318"/>
      <c r="BM1629" s="355"/>
      <c r="BN1629" s="1318">
        <f>AD1629</f>
        <v>-230332711</v>
      </c>
      <c r="BO1629" s="1318"/>
      <c r="BP1629" s="1318"/>
      <c r="BQ1629" s="1318"/>
      <c r="BR1629" s="1318"/>
      <c r="BS1629" s="1318"/>
      <c r="BT1629" s="342"/>
      <c r="BU1629" s="346"/>
      <c r="BV1629" s="310"/>
      <c r="BW1629" s="310"/>
      <c r="BX1629" s="291">
        <f>IF(ISNONTEXT($C1629),0,SUM(D1629:AI1629)-SUM(AN1629:BS1629))</f>
        <v>0</v>
      </c>
      <c r="BY1629" s="344"/>
      <c r="BZ1629" s="347"/>
      <c r="CA1629" s="347"/>
    </row>
    <row r="1630" spans="1:84" ht="15" customHeight="1" x14ac:dyDescent="0.25">
      <c r="A1630" s="313"/>
      <c r="B1630" s="340"/>
      <c r="C1630" s="748" t="s">
        <v>1694</v>
      </c>
      <c r="D1630" s="346"/>
      <c r="E1630" s="346"/>
      <c r="F1630" s="346"/>
      <c r="G1630" s="346"/>
      <c r="H1630" s="346"/>
      <c r="I1630" s="346"/>
      <c r="J1630" s="346"/>
      <c r="K1630" s="346"/>
      <c r="L1630" s="346"/>
      <c r="M1630" s="346"/>
      <c r="N1630" s="346"/>
      <c r="O1630" s="346"/>
      <c r="P1630" s="346"/>
      <c r="Q1630" s="346"/>
      <c r="R1630" s="346"/>
      <c r="S1630" s="346"/>
      <c r="T1630" s="346"/>
      <c r="U1630" s="346"/>
      <c r="V1630" s="346"/>
      <c r="W1630" s="1318">
        <f>W1628+W1629</f>
        <v>3119283138</v>
      </c>
      <c r="X1630" s="1318"/>
      <c r="Y1630" s="1318"/>
      <c r="Z1630" s="1318"/>
      <c r="AA1630" s="1318"/>
      <c r="AB1630" s="1318"/>
      <c r="AC1630" s="355"/>
      <c r="AD1630" s="1318">
        <f>AD1628+AD1629</f>
        <v>1281081977</v>
      </c>
      <c r="AE1630" s="1318"/>
      <c r="AF1630" s="1318"/>
      <c r="AG1630" s="1318"/>
      <c r="AH1630" s="1318"/>
      <c r="AI1630" s="1318"/>
      <c r="AJ1630" s="344"/>
      <c r="AK1630" s="345"/>
      <c r="AL1630" s="340"/>
      <c r="AM1630" s="748" t="s">
        <v>1687</v>
      </c>
      <c r="AN1630" s="346"/>
      <c r="AO1630" s="346"/>
      <c r="AP1630" s="346"/>
      <c r="AQ1630" s="346"/>
      <c r="AR1630" s="346"/>
      <c r="AS1630" s="346"/>
      <c r="AT1630" s="346"/>
      <c r="AU1630" s="346"/>
      <c r="AV1630" s="346"/>
      <c r="AW1630" s="346"/>
      <c r="AX1630" s="346"/>
      <c r="AY1630" s="346"/>
      <c r="AZ1630" s="346"/>
      <c r="BA1630" s="346"/>
      <c r="BB1630" s="346"/>
      <c r="BC1630" s="346"/>
      <c r="BD1630" s="346"/>
      <c r="BE1630" s="346"/>
      <c r="BF1630" s="346"/>
      <c r="BG1630" s="1318">
        <f>W1630</f>
        <v>3119283138</v>
      </c>
      <c r="BH1630" s="1318"/>
      <c r="BI1630" s="1318"/>
      <c r="BJ1630" s="1318"/>
      <c r="BK1630" s="1318"/>
      <c r="BL1630" s="1318"/>
      <c r="BM1630" s="355"/>
      <c r="BN1630" s="1318">
        <f>AD1630</f>
        <v>1281081977</v>
      </c>
      <c r="BO1630" s="1318"/>
      <c r="BP1630" s="1318"/>
      <c r="BQ1630" s="1318"/>
      <c r="BR1630" s="1318"/>
      <c r="BS1630" s="1318"/>
      <c r="BT1630" s="342"/>
      <c r="BU1630" s="346"/>
      <c r="BV1630" s="310"/>
      <c r="BW1630" s="310"/>
      <c r="BX1630" s="291">
        <f>IF(ISNONTEXT($C1630),0,SUM(D1630:AI1630)-SUM(AN1630:BS1630))</f>
        <v>0</v>
      </c>
      <c r="BY1630" s="344"/>
      <c r="BZ1630" s="347"/>
      <c r="CA1630" s="347"/>
    </row>
    <row r="1631" spans="1:84" s="423" customFormat="1" ht="15" customHeight="1" x14ac:dyDescent="0.25">
      <c r="A1631" s="313"/>
      <c r="B1631" s="340"/>
      <c r="C1631" s="1378" t="s">
        <v>1695</v>
      </c>
      <c r="D1631" s="1378"/>
      <c r="E1631" s="1378"/>
      <c r="F1631" s="1378"/>
      <c r="G1631" s="1378"/>
      <c r="H1631" s="1378"/>
      <c r="I1631" s="1378"/>
      <c r="J1631" s="1378"/>
      <c r="K1631" s="1378"/>
      <c r="L1631" s="1378"/>
      <c r="M1631" s="1378"/>
      <c r="N1631" s="1378"/>
      <c r="O1631" s="1378"/>
      <c r="P1631" s="1378"/>
      <c r="Q1631" s="1378"/>
      <c r="R1631" s="1378"/>
      <c r="S1631" s="1378"/>
      <c r="T1631" s="1378"/>
      <c r="U1631" s="1378"/>
      <c r="V1631" s="346"/>
      <c r="W1631" s="1375">
        <v>0.2</v>
      </c>
      <c r="X1631" s="1375"/>
      <c r="Y1631" s="1375"/>
      <c r="Z1631" s="1375"/>
      <c r="AA1631" s="1375"/>
      <c r="AB1631" s="1375"/>
      <c r="AC1631" s="749"/>
      <c r="AD1631" s="1375">
        <v>0.2</v>
      </c>
      <c r="AE1631" s="1375"/>
      <c r="AF1631" s="1375"/>
      <c r="AG1631" s="1375"/>
      <c r="AH1631" s="1375"/>
      <c r="AI1631" s="1375"/>
      <c r="AJ1631" s="342"/>
      <c r="AK1631" s="345"/>
      <c r="AL1631" s="340"/>
      <c r="AM1631" s="346" t="s">
        <v>1696</v>
      </c>
      <c r="AN1631" s="346"/>
      <c r="AO1631" s="346"/>
      <c r="AP1631" s="346"/>
      <c r="AQ1631" s="346"/>
      <c r="AR1631" s="346"/>
      <c r="AS1631" s="346"/>
      <c r="AT1631" s="346"/>
      <c r="AU1631" s="346"/>
      <c r="AV1631" s="346"/>
      <c r="AW1631" s="346"/>
      <c r="AX1631" s="346"/>
      <c r="AY1631" s="346"/>
      <c r="AZ1631" s="346"/>
      <c r="BA1631" s="346"/>
      <c r="BB1631" s="346"/>
      <c r="BC1631" s="346"/>
      <c r="BD1631" s="346"/>
      <c r="BE1631" s="346"/>
      <c r="BF1631" s="346"/>
      <c r="BG1631" s="1375">
        <v>0.2</v>
      </c>
      <c r="BH1631" s="1375"/>
      <c r="BI1631" s="1375"/>
      <c r="BJ1631" s="1375"/>
      <c r="BK1631" s="1375"/>
      <c r="BL1631" s="1375"/>
      <c r="BM1631" s="355"/>
      <c r="BN1631" s="1375">
        <v>0.2</v>
      </c>
      <c r="BO1631" s="1375"/>
      <c r="BP1631" s="1375"/>
      <c r="BQ1631" s="1375"/>
      <c r="BR1631" s="1375"/>
      <c r="BS1631" s="1375"/>
      <c r="BT1631" s="342"/>
      <c r="BU1631" s="346"/>
      <c r="BV1631" s="299"/>
      <c r="BW1631" s="299"/>
      <c r="BX1631" s="300"/>
      <c r="BY1631" s="342"/>
      <c r="BZ1631" s="438"/>
      <c r="CA1631" s="438"/>
      <c r="CB1631" s="439"/>
      <c r="CC1631" s="439"/>
      <c r="CD1631" s="439"/>
      <c r="CE1631" s="439"/>
      <c r="CF1631" s="439"/>
    </row>
    <row r="1632" spans="1:84" ht="12.95" customHeight="1" x14ac:dyDescent="0.25">
      <c r="A1632" s="313"/>
      <c r="B1632" s="340"/>
      <c r="C1632" s="346"/>
      <c r="D1632" s="346"/>
      <c r="E1632" s="346"/>
      <c r="F1632" s="346"/>
      <c r="G1632" s="346"/>
      <c r="H1632" s="346"/>
      <c r="I1632" s="346"/>
      <c r="J1632" s="346"/>
      <c r="K1632" s="346"/>
      <c r="L1632" s="346"/>
      <c r="M1632" s="346"/>
      <c r="N1632" s="346"/>
      <c r="O1632" s="346"/>
      <c r="P1632" s="346"/>
      <c r="Q1632" s="346"/>
      <c r="R1632" s="346"/>
      <c r="S1632" s="346"/>
      <c r="T1632" s="346"/>
      <c r="U1632" s="346"/>
      <c r="V1632" s="346"/>
      <c r="W1632" s="1318"/>
      <c r="X1632" s="1318"/>
      <c r="Y1632" s="1318"/>
      <c r="Z1632" s="1318"/>
      <c r="AA1632" s="1318"/>
      <c r="AB1632" s="1318"/>
      <c r="AC1632" s="355"/>
      <c r="AD1632" s="1318"/>
      <c r="AE1632" s="1318"/>
      <c r="AF1632" s="1318"/>
      <c r="AG1632" s="1318"/>
      <c r="AH1632" s="1318"/>
      <c r="AI1632" s="1318"/>
      <c r="AJ1632" s="344"/>
      <c r="AK1632" s="345"/>
      <c r="AL1632" s="340"/>
      <c r="AM1632" s="346"/>
      <c r="AN1632" s="346"/>
      <c r="AO1632" s="346"/>
      <c r="AP1632" s="346"/>
      <c r="AQ1632" s="346"/>
      <c r="AR1632" s="346"/>
      <c r="AS1632" s="346"/>
      <c r="AT1632" s="346"/>
      <c r="AU1632" s="346"/>
      <c r="AV1632" s="346"/>
      <c r="AW1632" s="346"/>
      <c r="AX1632" s="346"/>
      <c r="AY1632" s="346"/>
      <c r="AZ1632" s="346"/>
      <c r="BA1632" s="346"/>
      <c r="BB1632" s="346"/>
      <c r="BC1632" s="346"/>
      <c r="BD1632" s="346"/>
      <c r="BE1632" s="346"/>
      <c r="BF1632" s="346"/>
      <c r="BG1632" s="1318"/>
      <c r="BH1632" s="1318"/>
      <c r="BI1632" s="1318"/>
      <c r="BJ1632" s="1318"/>
      <c r="BK1632" s="1318"/>
      <c r="BL1632" s="1318"/>
      <c r="BM1632" s="355"/>
      <c r="BN1632" s="1318"/>
      <c r="BO1632" s="1318"/>
      <c r="BP1632" s="1318"/>
      <c r="BQ1632" s="1318"/>
      <c r="BR1632" s="1318"/>
      <c r="BS1632" s="1318"/>
      <c r="BT1632" s="342"/>
      <c r="BU1632" s="346"/>
      <c r="BV1632" s="310"/>
      <c r="BW1632" s="310"/>
      <c r="BX1632" s="291">
        <f>IF(ISNONTEXT($C1632),0,SUM(D1632:AI1632)-SUM(AN1632:BS1632))</f>
        <v>0</v>
      </c>
      <c r="BY1632" s="344"/>
      <c r="BZ1632" s="347"/>
      <c r="CA1632" s="347"/>
    </row>
    <row r="1633" spans="1:84" s="423" customFormat="1" ht="15" customHeight="1" thickBot="1" x14ac:dyDescent="0.3">
      <c r="A1633" s="313"/>
      <c r="B1633" s="340"/>
      <c r="C1633" s="341" t="s">
        <v>1697</v>
      </c>
      <c r="D1633" s="429"/>
      <c r="E1633" s="342"/>
      <c r="F1633" s="342"/>
      <c r="G1633" s="342"/>
      <c r="H1633" s="342"/>
      <c r="I1633" s="342"/>
      <c r="J1633" s="342"/>
      <c r="K1633" s="342"/>
      <c r="L1633" s="342"/>
      <c r="M1633" s="342"/>
      <c r="N1633" s="342"/>
      <c r="O1633" s="342"/>
      <c r="P1633" s="342"/>
      <c r="Q1633" s="342"/>
      <c r="R1633" s="342"/>
      <c r="S1633" s="342"/>
      <c r="T1633" s="342"/>
      <c r="U1633" s="342"/>
      <c r="V1633" s="342"/>
      <c r="W1633" s="1359">
        <f>ROUND(W1630*W1631,0)</f>
        <v>623856628</v>
      </c>
      <c r="X1633" s="1359"/>
      <c r="Y1633" s="1359"/>
      <c r="Z1633" s="1359"/>
      <c r="AA1633" s="1359"/>
      <c r="AB1633" s="1359"/>
      <c r="AC1633" s="355"/>
      <c r="AD1633" s="1359">
        <f>ROUND(AD1630*AD1631,0)</f>
        <v>256216395</v>
      </c>
      <c r="AE1633" s="1359"/>
      <c r="AF1633" s="1359"/>
      <c r="AG1633" s="1359"/>
      <c r="AH1633" s="1359"/>
      <c r="AI1633" s="1359"/>
      <c r="AJ1633" s="342"/>
      <c r="AK1633" s="345">
        <f>A1633</f>
        <v>0</v>
      </c>
      <c r="AL1633" s="340"/>
      <c r="AM1633" s="341" t="s">
        <v>1698</v>
      </c>
      <c r="AN1633" s="429"/>
      <c r="AO1633" s="342"/>
      <c r="AP1633" s="342"/>
      <c r="AQ1633" s="342"/>
      <c r="AR1633" s="342"/>
      <c r="AS1633" s="342"/>
      <c r="AT1633" s="342"/>
      <c r="AU1633" s="342"/>
      <c r="AV1633" s="342"/>
      <c r="AW1633" s="342"/>
      <c r="AX1633" s="342"/>
      <c r="AY1633" s="342"/>
      <c r="AZ1633" s="342"/>
      <c r="BA1633" s="342"/>
      <c r="BB1633" s="342"/>
      <c r="BC1633" s="342"/>
      <c r="BD1633" s="342"/>
      <c r="BE1633" s="342"/>
      <c r="BF1633" s="342"/>
      <c r="BG1633" s="1359">
        <f>ROUND(BG1628*BG1631,0)</f>
        <v>623856628</v>
      </c>
      <c r="BH1633" s="1359"/>
      <c r="BI1633" s="1359"/>
      <c r="BJ1633" s="1359"/>
      <c r="BK1633" s="1359"/>
      <c r="BL1633" s="1359"/>
      <c r="BM1633" s="355"/>
      <c r="BN1633" s="1359">
        <f>ROUND(BN1628*BN1631,0)</f>
        <v>302282938</v>
      </c>
      <c r="BO1633" s="1359"/>
      <c r="BP1633" s="1359"/>
      <c r="BQ1633" s="1359"/>
      <c r="BR1633" s="1359"/>
      <c r="BS1633" s="1359"/>
      <c r="BT1633" s="429"/>
      <c r="BU1633" s="676"/>
      <c r="BV1633" s="310">
        <f>W1633-KN_82111</f>
        <v>0</v>
      </c>
      <c r="BW1633" s="310">
        <f>AD1633-KT_82111</f>
        <v>0</v>
      </c>
      <c r="BX1633" s="300">
        <f>IF(ISNONTEXT($C1633),0,SUM(D1633:AI1633)-SUM(AN1633:BS1633))</f>
        <v>-46066543</v>
      </c>
      <c r="BY1633" s="342"/>
      <c r="BZ1633" s="438"/>
      <c r="CA1633" s="438"/>
      <c r="CB1633" s="439"/>
      <c r="CC1633" s="439"/>
      <c r="CD1633" s="439"/>
      <c r="CE1633" s="439"/>
      <c r="CF1633" s="439"/>
    </row>
    <row r="1634" spans="1:84" ht="12.95" customHeight="1" thickTop="1" x14ac:dyDescent="0.25">
      <c r="A1634" s="313"/>
      <c r="B1634" s="340"/>
      <c r="C1634" s="342"/>
      <c r="D1634" s="429"/>
      <c r="E1634" s="342"/>
      <c r="F1634" s="342"/>
      <c r="G1634" s="342"/>
      <c r="H1634" s="342"/>
      <c r="I1634" s="342"/>
      <c r="J1634" s="342"/>
      <c r="K1634" s="342"/>
      <c r="L1634" s="342"/>
      <c r="M1634" s="342"/>
      <c r="N1634" s="342"/>
      <c r="O1634" s="342"/>
      <c r="P1634" s="342"/>
      <c r="Q1634" s="342"/>
      <c r="R1634" s="342"/>
      <c r="S1634" s="342"/>
      <c r="T1634" s="342"/>
      <c r="U1634" s="342"/>
      <c r="V1634" s="342"/>
      <c r="W1634" s="363"/>
      <c r="X1634" s="363"/>
      <c r="Y1634" s="363"/>
      <c r="Z1634" s="363"/>
      <c r="AA1634" s="363"/>
      <c r="AB1634" s="363"/>
      <c r="AC1634" s="355"/>
      <c r="AD1634" s="363"/>
      <c r="AE1634" s="363"/>
      <c r="AF1634" s="363"/>
      <c r="AG1634" s="363"/>
      <c r="AH1634" s="363"/>
      <c r="AI1634" s="363"/>
      <c r="AJ1634" s="344"/>
      <c r="AK1634" s="345"/>
      <c r="AL1634" s="340"/>
      <c r="AM1634" s="342"/>
      <c r="AN1634" s="429"/>
      <c r="AO1634" s="342"/>
      <c r="AP1634" s="342"/>
      <c r="AQ1634" s="342"/>
      <c r="AR1634" s="342"/>
      <c r="AS1634" s="342"/>
      <c r="AT1634" s="342"/>
      <c r="AU1634" s="342"/>
      <c r="AV1634" s="342"/>
      <c r="AW1634" s="342"/>
      <c r="AX1634" s="342"/>
      <c r="AY1634" s="342"/>
      <c r="AZ1634" s="342"/>
      <c r="BA1634" s="342"/>
      <c r="BB1634" s="342"/>
      <c r="BC1634" s="342"/>
      <c r="BD1634" s="342"/>
      <c r="BE1634" s="342"/>
      <c r="BF1634" s="342"/>
      <c r="BG1634" s="363"/>
      <c r="BH1634" s="363"/>
      <c r="BI1634" s="363"/>
      <c r="BJ1634" s="363"/>
      <c r="BK1634" s="363"/>
      <c r="BL1634" s="363"/>
      <c r="BM1634" s="355"/>
      <c r="BN1634" s="363"/>
      <c r="BO1634" s="363"/>
      <c r="BP1634" s="363"/>
      <c r="BQ1634" s="363"/>
      <c r="BR1634" s="363"/>
      <c r="BS1634" s="363"/>
      <c r="BT1634" s="429"/>
      <c r="BU1634" s="676"/>
      <c r="BV1634" s="310"/>
      <c r="BW1634" s="310"/>
      <c r="BX1634" s="291">
        <f t="shared" si="124"/>
        <v>0</v>
      </c>
      <c r="BY1634" s="344"/>
      <c r="BZ1634" s="347"/>
      <c r="CA1634" s="347"/>
    </row>
    <row r="1635" spans="1:84" ht="27.95" hidden="1" customHeight="1" x14ac:dyDescent="0.25">
      <c r="A1635" s="313"/>
      <c r="B1635" s="340"/>
      <c r="C1635" s="1347" t="s">
        <v>1699</v>
      </c>
      <c r="D1635" s="1347"/>
      <c r="E1635" s="1347"/>
      <c r="F1635" s="1347"/>
      <c r="G1635" s="1347"/>
      <c r="H1635" s="1347"/>
      <c r="I1635" s="1347"/>
      <c r="J1635" s="1347"/>
      <c r="K1635" s="1347"/>
      <c r="L1635" s="1347"/>
      <c r="M1635" s="1347"/>
      <c r="N1635" s="1347"/>
      <c r="O1635" s="1347"/>
      <c r="P1635" s="1347"/>
      <c r="Q1635" s="1347"/>
      <c r="R1635" s="1347"/>
      <c r="S1635" s="1347"/>
      <c r="T1635" s="1347"/>
      <c r="U1635" s="1347"/>
      <c r="V1635" s="342"/>
      <c r="W1635" s="1318">
        <f>KN_82112</f>
        <v>0</v>
      </c>
      <c r="X1635" s="1318"/>
      <c r="Y1635" s="1318"/>
      <c r="Z1635" s="1318"/>
      <c r="AA1635" s="1318"/>
      <c r="AB1635" s="1318"/>
      <c r="AC1635" s="355"/>
      <c r="AD1635" s="1318">
        <f>KT_82112</f>
        <v>0</v>
      </c>
      <c r="AE1635" s="1318"/>
      <c r="AF1635" s="1318"/>
      <c r="AG1635" s="1318"/>
      <c r="AH1635" s="1318"/>
      <c r="AI1635" s="1318"/>
      <c r="AJ1635" s="344"/>
      <c r="AK1635" s="345"/>
      <c r="AL1635" s="340"/>
      <c r="AM1635" s="1347" t="s">
        <v>1700</v>
      </c>
      <c r="AN1635" s="1347"/>
      <c r="AO1635" s="1347"/>
      <c r="AP1635" s="1347"/>
      <c r="AQ1635" s="1347"/>
      <c r="AR1635" s="1347"/>
      <c r="AS1635" s="1347"/>
      <c r="AT1635" s="1347"/>
      <c r="AU1635" s="1347"/>
      <c r="AV1635" s="1347"/>
      <c r="AW1635" s="1347"/>
      <c r="AX1635" s="1347"/>
      <c r="AY1635" s="1347"/>
      <c r="AZ1635" s="1347"/>
      <c r="BA1635" s="1347"/>
      <c r="BB1635" s="1347"/>
      <c r="BC1635" s="1347"/>
      <c r="BD1635" s="1347"/>
      <c r="BE1635" s="1347"/>
      <c r="BF1635" s="342"/>
      <c r="BG1635" s="1318">
        <f>W1635</f>
        <v>0</v>
      </c>
      <c r="BH1635" s="1318"/>
      <c r="BI1635" s="1318"/>
      <c r="BJ1635" s="1318"/>
      <c r="BK1635" s="1318"/>
      <c r="BL1635" s="1318"/>
      <c r="BM1635" s="355"/>
      <c r="BN1635" s="1318">
        <f>AD1635</f>
        <v>0</v>
      </c>
      <c r="BO1635" s="1318"/>
      <c r="BP1635" s="1318"/>
      <c r="BQ1635" s="1318"/>
      <c r="BR1635" s="1318"/>
      <c r="BS1635" s="1318"/>
      <c r="BT1635" s="429"/>
      <c r="BU1635" s="676"/>
      <c r="BV1635" s="310">
        <f>W1635-KN_82112</f>
        <v>0</v>
      </c>
      <c r="BW1635" s="310">
        <f>AD1635-KT_82112</f>
        <v>0</v>
      </c>
      <c r="BX1635" s="291">
        <f t="shared" si="124"/>
        <v>0</v>
      </c>
      <c r="BY1635" s="344"/>
      <c r="BZ1635" s="347"/>
      <c r="CA1635" s="347"/>
    </row>
    <row r="1636" spans="1:84" ht="15" customHeight="1" x14ac:dyDescent="0.25">
      <c r="A1636" s="313"/>
      <c r="B1636" s="340"/>
      <c r="C1636" s="1347" t="s">
        <v>1701</v>
      </c>
      <c r="D1636" s="1347"/>
      <c r="E1636" s="1347"/>
      <c r="F1636" s="1347"/>
      <c r="G1636" s="1347"/>
      <c r="H1636" s="1347"/>
      <c r="I1636" s="1347"/>
      <c r="J1636" s="1347"/>
      <c r="K1636" s="1347"/>
      <c r="L1636" s="1347"/>
      <c r="M1636" s="1347"/>
      <c r="N1636" s="1347"/>
      <c r="O1636" s="1347"/>
      <c r="P1636" s="1347"/>
      <c r="Q1636" s="1347"/>
      <c r="R1636" s="1347"/>
      <c r="S1636" s="1347"/>
      <c r="T1636" s="1347"/>
      <c r="U1636" s="1347"/>
      <c r="V1636" s="342"/>
      <c r="W1636" s="1318">
        <f>KT_3334b-KT_3334a</f>
        <v>74192816</v>
      </c>
      <c r="X1636" s="1318"/>
      <c r="Y1636" s="1318"/>
      <c r="Z1636" s="1318"/>
      <c r="AA1636" s="1318"/>
      <c r="AB1636" s="1318"/>
      <c r="AC1636" s="355"/>
      <c r="AD1636" s="1318">
        <v>0</v>
      </c>
      <c r="AE1636" s="1318"/>
      <c r="AF1636" s="1318"/>
      <c r="AG1636" s="1318"/>
      <c r="AH1636" s="1318"/>
      <c r="AI1636" s="1318"/>
      <c r="AJ1636" s="344"/>
      <c r="AK1636" s="345"/>
      <c r="AL1636" s="340"/>
      <c r="AM1636" s="1347" t="s">
        <v>1702</v>
      </c>
      <c r="AN1636" s="1347"/>
      <c r="AO1636" s="1347"/>
      <c r="AP1636" s="1347"/>
      <c r="AQ1636" s="1347"/>
      <c r="AR1636" s="1347"/>
      <c r="AS1636" s="1347"/>
      <c r="AT1636" s="1347"/>
      <c r="AU1636" s="1347"/>
      <c r="AV1636" s="1347"/>
      <c r="AW1636" s="1347"/>
      <c r="AX1636" s="1347"/>
      <c r="AY1636" s="1347"/>
      <c r="AZ1636" s="1347"/>
      <c r="BA1636" s="1347"/>
      <c r="BB1636" s="1347"/>
      <c r="BC1636" s="1347"/>
      <c r="BD1636" s="1347"/>
      <c r="BE1636" s="1347"/>
      <c r="BF1636" s="342"/>
      <c r="BG1636" s="1318">
        <f>W1636</f>
        <v>74192816</v>
      </c>
      <c r="BH1636" s="1318"/>
      <c r="BI1636" s="1318"/>
      <c r="BJ1636" s="1318"/>
      <c r="BK1636" s="1318"/>
      <c r="BL1636" s="1318"/>
      <c r="BM1636" s="355"/>
      <c r="BN1636" s="1318">
        <f>AD1636</f>
        <v>0</v>
      </c>
      <c r="BO1636" s="1318"/>
      <c r="BP1636" s="1318"/>
      <c r="BQ1636" s="1318"/>
      <c r="BR1636" s="1318"/>
      <c r="BS1636" s="1318"/>
      <c r="BT1636" s="429"/>
      <c r="BU1636" s="676"/>
      <c r="BV1636" s="310">
        <f>W1636+W1655-KT_3334b+KT_3334a</f>
        <v>0</v>
      </c>
      <c r="BW1636" s="310"/>
      <c r="BX1636" s="291">
        <f t="shared" si="124"/>
        <v>0</v>
      </c>
      <c r="BY1636" s="344"/>
      <c r="BZ1636" s="347"/>
      <c r="CA1636" s="347"/>
    </row>
    <row r="1637" spans="1:84" ht="15" customHeight="1" x14ac:dyDescent="0.25">
      <c r="A1637" s="313"/>
      <c r="B1637" s="340"/>
      <c r="C1637" s="1347" t="s">
        <v>1703</v>
      </c>
      <c r="D1637" s="1347"/>
      <c r="E1637" s="1347"/>
      <c r="F1637" s="1347"/>
      <c r="G1637" s="1347"/>
      <c r="H1637" s="1347"/>
      <c r="I1637" s="1347"/>
      <c r="J1637" s="1347"/>
      <c r="K1637" s="1347"/>
      <c r="L1637" s="1347"/>
      <c r="M1637" s="1347"/>
      <c r="N1637" s="1347"/>
      <c r="O1637" s="1347"/>
      <c r="P1637" s="1347"/>
      <c r="Q1637" s="1347"/>
      <c r="R1637" s="1347"/>
      <c r="S1637" s="1347"/>
      <c r="T1637" s="1347"/>
      <c r="U1637" s="1347"/>
      <c r="V1637" s="342"/>
      <c r="W1637" s="1318">
        <f>-252730366</f>
        <v>-252730366</v>
      </c>
      <c r="X1637" s="1318"/>
      <c r="Y1637" s="1318"/>
      <c r="Z1637" s="1318"/>
      <c r="AA1637" s="1318"/>
      <c r="AB1637" s="1318"/>
      <c r="AC1637" s="355"/>
      <c r="AD1637" s="1318">
        <v>-182023579</v>
      </c>
      <c r="AE1637" s="1318"/>
      <c r="AF1637" s="1318"/>
      <c r="AG1637" s="1318"/>
      <c r="AH1637" s="1318"/>
      <c r="AI1637" s="1318"/>
      <c r="AJ1637" s="344"/>
      <c r="AK1637" s="345"/>
      <c r="AL1637" s="340"/>
      <c r="AM1637" s="1347" t="s">
        <v>1704</v>
      </c>
      <c r="AN1637" s="1347"/>
      <c r="AO1637" s="1347"/>
      <c r="AP1637" s="1347"/>
      <c r="AQ1637" s="1347"/>
      <c r="AR1637" s="1347"/>
      <c r="AS1637" s="1347"/>
      <c r="AT1637" s="1347"/>
      <c r="AU1637" s="1347"/>
      <c r="AV1637" s="1347"/>
      <c r="AW1637" s="1347"/>
      <c r="AX1637" s="1347"/>
      <c r="AY1637" s="1347"/>
      <c r="AZ1637" s="1347"/>
      <c r="BA1637" s="1347"/>
      <c r="BB1637" s="1347"/>
      <c r="BC1637" s="1347"/>
      <c r="BD1637" s="1347"/>
      <c r="BE1637" s="1347"/>
      <c r="BF1637" s="342"/>
      <c r="BG1637" s="1318">
        <f>W1637</f>
        <v>-252730366</v>
      </c>
      <c r="BH1637" s="1318"/>
      <c r="BI1637" s="1318"/>
      <c r="BJ1637" s="1318"/>
      <c r="BK1637" s="1318"/>
      <c r="BL1637" s="1318"/>
      <c r="BM1637" s="355"/>
      <c r="BN1637" s="1318">
        <f>AD1637</f>
        <v>-182023579</v>
      </c>
      <c r="BO1637" s="1318"/>
      <c r="BP1637" s="1318"/>
      <c r="BQ1637" s="1318"/>
      <c r="BR1637" s="1318"/>
      <c r="BS1637" s="1318"/>
      <c r="BT1637" s="429"/>
      <c r="BU1637" s="676"/>
      <c r="BV1637" s="310">
        <f>W1637-[1]LCGT!AE31</f>
        <v>0</v>
      </c>
      <c r="BW1637" s="310">
        <f>AD1637-[1]LCGT!AL31</f>
        <v>0</v>
      </c>
      <c r="BX1637" s="291">
        <f t="shared" si="124"/>
        <v>0</v>
      </c>
      <c r="BY1637" s="344"/>
      <c r="BZ1637" s="347">
        <v>252730366</v>
      </c>
      <c r="CA1637" s="347"/>
    </row>
    <row r="1638" spans="1:84" ht="14.1" customHeight="1" x14ac:dyDescent="0.25">
      <c r="A1638" s="313"/>
      <c r="B1638" s="340"/>
      <c r="C1638" s="1347"/>
      <c r="D1638" s="1347"/>
      <c r="E1638" s="1347"/>
      <c r="F1638" s="1347"/>
      <c r="G1638" s="1347"/>
      <c r="H1638" s="1347"/>
      <c r="I1638" s="1347"/>
      <c r="J1638" s="1347"/>
      <c r="K1638" s="1347"/>
      <c r="L1638" s="1347"/>
      <c r="M1638" s="1347"/>
      <c r="N1638" s="1347"/>
      <c r="O1638" s="1347"/>
      <c r="P1638" s="1347"/>
      <c r="Q1638" s="1347"/>
      <c r="R1638" s="1347"/>
      <c r="S1638" s="1347"/>
      <c r="T1638" s="1347"/>
      <c r="U1638" s="1347"/>
      <c r="V1638" s="342"/>
      <c r="W1638" s="1318"/>
      <c r="X1638" s="1318"/>
      <c r="Y1638" s="1318"/>
      <c r="Z1638" s="1318"/>
      <c r="AA1638" s="1318"/>
      <c r="AB1638" s="1318"/>
      <c r="AC1638" s="355"/>
      <c r="AD1638" s="1318"/>
      <c r="AE1638" s="1318"/>
      <c r="AF1638" s="1318"/>
      <c r="AG1638" s="1318"/>
      <c r="AH1638" s="1318"/>
      <c r="AI1638" s="1318"/>
      <c r="AJ1638" s="344"/>
      <c r="AK1638" s="345"/>
      <c r="AL1638" s="340"/>
      <c r="AM1638" s="1347"/>
      <c r="AN1638" s="1347"/>
      <c r="AO1638" s="1347"/>
      <c r="AP1638" s="1347"/>
      <c r="AQ1638" s="1347"/>
      <c r="AR1638" s="1347"/>
      <c r="AS1638" s="1347"/>
      <c r="AT1638" s="1347"/>
      <c r="AU1638" s="1347"/>
      <c r="AV1638" s="1347"/>
      <c r="AW1638" s="1347"/>
      <c r="AX1638" s="1347"/>
      <c r="AY1638" s="1347"/>
      <c r="AZ1638" s="1347"/>
      <c r="BA1638" s="1347"/>
      <c r="BB1638" s="1347"/>
      <c r="BC1638" s="1347"/>
      <c r="BD1638" s="1347"/>
      <c r="BE1638" s="1347"/>
      <c r="BF1638" s="342"/>
      <c r="BG1638" s="1318"/>
      <c r="BH1638" s="1318"/>
      <c r="BI1638" s="1318"/>
      <c r="BJ1638" s="1318"/>
      <c r="BK1638" s="1318"/>
      <c r="BL1638" s="1318"/>
      <c r="BM1638" s="355"/>
      <c r="BN1638" s="1318"/>
      <c r="BO1638" s="1318"/>
      <c r="BP1638" s="1318"/>
      <c r="BQ1638" s="1318"/>
      <c r="BR1638" s="1318"/>
      <c r="BS1638" s="1318"/>
      <c r="BT1638" s="429"/>
      <c r="BU1638" s="676"/>
      <c r="BV1638" s="310"/>
      <c r="BW1638" s="310"/>
      <c r="BX1638" s="291">
        <f t="shared" si="124"/>
        <v>0</v>
      </c>
      <c r="BY1638" s="344"/>
      <c r="BZ1638" s="347"/>
      <c r="CA1638" s="347"/>
    </row>
    <row r="1639" spans="1:84" ht="15" customHeight="1" thickBot="1" x14ac:dyDescent="0.3">
      <c r="A1639" s="313"/>
      <c r="B1639" s="340"/>
      <c r="C1639" s="1350" t="s">
        <v>1705</v>
      </c>
      <c r="D1639" s="1350"/>
      <c r="E1639" s="1350"/>
      <c r="F1639" s="1350"/>
      <c r="G1639" s="1350"/>
      <c r="H1639" s="1350"/>
      <c r="I1639" s="1350"/>
      <c r="J1639" s="1350"/>
      <c r="K1639" s="1350"/>
      <c r="L1639" s="1350"/>
      <c r="M1639" s="1350"/>
      <c r="N1639" s="1350"/>
      <c r="O1639" s="1350"/>
      <c r="P1639" s="1350"/>
      <c r="Q1639" s="1350"/>
      <c r="R1639" s="1350"/>
      <c r="S1639" s="1350"/>
      <c r="T1639" s="1350"/>
      <c r="U1639" s="1350"/>
      <c r="V1639" s="342"/>
      <c r="W1639" s="1359">
        <f>SUBTOTAL(109,W1633:AB1638)</f>
        <v>445319078</v>
      </c>
      <c r="X1639" s="1359"/>
      <c r="Y1639" s="1359"/>
      <c r="Z1639" s="1359"/>
      <c r="AA1639" s="1359"/>
      <c r="AB1639" s="1359"/>
      <c r="AC1639" s="363"/>
      <c r="AD1639" s="1359">
        <f>SUBTOTAL(109,AD1633:AI1638)</f>
        <v>74192816</v>
      </c>
      <c r="AE1639" s="1359"/>
      <c r="AF1639" s="1359"/>
      <c r="AG1639" s="1359"/>
      <c r="AH1639" s="1359"/>
      <c r="AI1639" s="1359"/>
      <c r="AJ1639" s="344"/>
      <c r="AK1639" s="345"/>
      <c r="AL1639" s="340"/>
      <c r="AM1639" s="1350" t="s">
        <v>1706</v>
      </c>
      <c r="AN1639" s="1350"/>
      <c r="AO1639" s="1350"/>
      <c r="AP1639" s="1350"/>
      <c r="AQ1639" s="1350"/>
      <c r="AR1639" s="1350"/>
      <c r="AS1639" s="1350"/>
      <c r="AT1639" s="1350"/>
      <c r="AU1639" s="1350"/>
      <c r="AV1639" s="1350"/>
      <c r="AW1639" s="1350"/>
      <c r="AX1639" s="1350"/>
      <c r="AY1639" s="1350"/>
      <c r="AZ1639" s="1350"/>
      <c r="BA1639" s="1350"/>
      <c r="BB1639" s="1350"/>
      <c r="BC1639" s="1350"/>
      <c r="BD1639" s="1350"/>
      <c r="BE1639" s="1350"/>
      <c r="BF1639" s="342"/>
      <c r="BG1639" s="1359">
        <f>SUBTOTAL(109,BG1633:BL1638)</f>
        <v>445319078</v>
      </c>
      <c r="BH1639" s="1359"/>
      <c r="BI1639" s="1359"/>
      <c r="BJ1639" s="1359"/>
      <c r="BK1639" s="1359"/>
      <c r="BL1639" s="1359"/>
      <c r="BM1639" s="363"/>
      <c r="BN1639" s="1359">
        <f>SUBTOTAL(109,BN1633:BS1638)</f>
        <v>120259359</v>
      </c>
      <c r="BO1639" s="1359"/>
      <c r="BP1639" s="1359"/>
      <c r="BQ1639" s="1359"/>
      <c r="BR1639" s="1359"/>
      <c r="BS1639" s="1359"/>
      <c r="BT1639" s="429"/>
      <c r="BU1639" s="676"/>
      <c r="BV1639" s="310">
        <f>W1639+W1658-KN_3334b+KN_3334a</f>
        <v>0</v>
      </c>
      <c r="BW1639" s="310"/>
      <c r="BX1639" s="291">
        <f t="shared" si="124"/>
        <v>-46066543</v>
      </c>
      <c r="BY1639" s="344"/>
      <c r="BZ1639" s="347"/>
      <c r="CA1639" s="347"/>
    </row>
    <row r="1640" spans="1:84" ht="15" customHeight="1" thickTop="1" x14ac:dyDescent="0.25">
      <c r="A1640" s="313"/>
      <c r="B1640" s="340"/>
      <c r="C1640" s="750"/>
      <c r="D1640" s="750"/>
      <c r="E1640" s="750"/>
      <c r="F1640" s="750"/>
      <c r="G1640" s="750"/>
      <c r="H1640" s="750"/>
      <c r="I1640" s="750"/>
      <c r="J1640" s="750"/>
      <c r="K1640" s="750"/>
      <c r="L1640" s="750"/>
      <c r="M1640" s="750"/>
      <c r="N1640" s="750"/>
      <c r="O1640" s="750"/>
      <c r="P1640" s="750"/>
      <c r="Q1640" s="750"/>
      <c r="R1640" s="750"/>
      <c r="S1640" s="750"/>
      <c r="T1640" s="750"/>
      <c r="U1640" s="750"/>
      <c r="V1640" s="342"/>
      <c r="W1640" s="363"/>
      <c r="X1640" s="363"/>
      <c r="Y1640" s="363"/>
      <c r="Z1640" s="363"/>
      <c r="AA1640" s="363"/>
      <c r="AB1640" s="363"/>
      <c r="AC1640" s="363"/>
      <c r="AD1640" s="363"/>
      <c r="AE1640" s="363"/>
      <c r="AF1640" s="363"/>
      <c r="AG1640" s="363"/>
      <c r="AH1640" s="363"/>
      <c r="AI1640" s="363"/>
      <c r="AJ1640" s="344"/>
      <c r="AK1640" s="345"/>
      <c r="AL1640" s="340"/>
      <c r="AM1640" s="574"/>
      <c r="AN1640" s="574"/>
      <c r="AO1640" s="574"/>
      <c r="AP1640" s="574"/>
      <c r="AQ1640" s="574"/>
      <c r="AR1640" s="574"/>
      <c r="AS1640" s="574"/>
      <c r="AT1640" s="574"/>
      <c r="AU1640" s="574"/>
      <c r="AV1640" s="574"/>
      <c r="AW1640" s="574"/>
      <c r="AX1640" s="574"/>
      <c r="AY1640" s="574"/>
      <c r="AZ1640" s="574"/>
      <c r="BA1640" s="574"/>
      <c r="BB1640" s="574"/>
      <c r="BC1640" s="574"/>
      <c r="BD1640" s="574"/>
      <c r="BE1640" s="574"/>
      <c r="BF1640" s="342"/>
      <c r="BG1640" s="363"/>
      <c r="BH1640" s="363"/>
      <c r="BI1640" s="363"/>
      <c r="BJ1640" s="363"/>
      <c r="BK1640" s="363"/>
      <c r="BL1640" s="363"/>
      <c r="BM1640" s="363"/>
      <c r="BN1640" s="363"/>
      <c r="BO1640" s="363"/>
      <c r="BP1640" s="363"/>
      <c r="BQ1640" s="363"/>
      <c r="BR1640" s="363"/>
      <c r="BS1640" s="363"/>
      <c r="BT1640" s="429"/>
      <c r="BU1640" s="676"/>
      <c r="BV1640" s="310"/>
      <c r="BW1640" s="310"/>
      <c r="BX1640" s="291">
        <f t="shared" si="124"/>
        <v>0</v>
      </c>
      <c r="BY1640" s="344"/>
      <c r="BZ1640" s="347"/>
      <c r="CA1640" s="347"/>
    </row>
    <row r="1641" spans="1:84" ht="15" hidden="1" customHeight="1" x14ac:dyDescent="0.25">
      <c r="A1641" s="313"/>
      <c r="B1641" s="340"/>
      <c r="C1641" s="350" t="s">
        <v>1707</v>
      </c>
      <c r="D1641" s="342"/>
      <c r="E1641" s="342"/>
      <c r="F1641" s="342"/>
      <c r="G1641" s="342"/>
      <c r="H1641" s="342"/>
      <c r="I1641" s="342"/>
      <c r="J1641" s="342"/>
      <c r="K1641" s="342"/>
      <c r="L1641" s="342"/>
      <c r="M1641" s="342"/>
      <c r="N1641" s="342"/>
      <c r="O1641" s="342"/>
      <c r="P1641" s="342"/>
      <c r="Q1641" s="342"/>
      <c r="R1641" s="342"/>
      <c r="S1641" s="342"/>
      <c r="T1641" s="342"/>
      <c r="U1641" s="342"/>
      <c r="V1641" s="342"/>
      <c r="W1641" s="660"/>
      <c r="X1641" s="660"/>
      <c r="Y1641" s="660"/>
      <c r="Z1641" s="660"/>
      <c r="AA1641" s="660"/>
      <c r="AB1641" s="660"/>
      <c r="AC1641" s="437"/>
      <c r="AD1641" s="660"/>
      <c r="AE1641" s="660"/>
      <c r="AF1641" s="660"/>
      <c r="AG1641" s="660"/>
      <c r="AH1641" s="660"/>
      <c r="AI1641" s="660"/>
      <c r="AJ1641" s="344"/>
      <c r="AK1641" s="345"/>
      <c r="AL1641" s="340"/>
      <c r="AM1641" s="751" t="s">
        <v>1708</v>
      </c>
      <c r="AN1641" s="342"/>
      <c r="AO1641" s="342"/>
      <c r="AP1641" s="342"/>
      <c r="AQ1641" s="342"/>
      <c r="AR1641" s="342"/>
      <c r="AS1641" s="342"/>
      <c r="AT1641" s="342"/>
      <c r="AU1641" s="342"/>
      <c r="AV1641" s="342"/>
      <c r="AW1641" s="342"/>
      <c r="AX1641" s="342"/>
      <c r="AY1641" s="342"/>
      <c r="AZ1641" s="342"/>
      <c r="BA1641" s="342"/>
      <c r="BB1641" s="342"/>
      <c r="BC1641" s="342"/>
      <c r="BD1641" s="342"/>
      <c r="BE1641" s="342"/>
      <c r="BF1641" s="342"/>
      <c r="BG1641" s="599"/>
      <c r="BH1641" s="599"/>
      <c r="BI1641" s="599"/>
      <c r="BJ1641" s="599"/>
      <c r="BK1641" s="599"/>
      <c r="BL1641" s="599"/>
      <c r="BM1641" s="600"/>
      <c r="BN1641" s="599"/>
      <c r="BO1641" s="599"/>
      <c r="BP1641" s="599"/>
      <c r="BQ1641" s="599"/>
      <c r="BR1641" s="599"/>
      <c r="BS1641" s="599"/>
      <c r="BT1641" s="714"/>
      <c r="BU1641" s="370"/>
      <c r="BV1641" s="310"/>
      <c r="BW1641" s="310"/>
      <c r="BX1641" s="291">
        <f t="shared" si="124"/>
        <v>0</v>
      </c>
      <c r="BY1641" s="344"/>
      <c r="BZ1641" s="347"/>
      <c r="CA1641" s="347"/>
    </row>
    <row r="1642" spans="1:84" ht="15" hidden="1" customHeight="1" x14ac:dyDescent="0.25">
      <c r="A1642" s="313"/>
      <c r="B1642" s="340"/>
      <c r="C1642" s="1347" t="s">
        <v>1709</v>
      </c>
      <c r="D1642" s="1347"/>
      <c r="E1642" s="1347"/>
      <c r="F1642" s="1347"/>
      <c r="G1642" s="1347"/>
      <c r="H1642" s="1347"/>
      <c r="I1642" s="1347"/>
      <c r="J1642" s="1347"/>
      <c r="K1642" s="1347"/>
      <c r="L1642" s="1347"/>
      <c r="M1642" s="1347"/>
      <c r="N1642" s="1347"/>
      <c r="O1642" s="1347"/>
      <c r="P1642" s="1347"/>
      <c r="Q1642" s="1347"/>
      <c r="R1642" s="1347"/>
      <c r="S1642" s="1347"/>
      <c r="T1642" s="1347"/>
      <c r="U1642" s="1347"/>
      <c r="V1642" s="1347"/>
      <c r="W1642" s="1318">
        <f>KN_CT50</f>
        <v>2829447486</v>
      </c>
      <c r="X1642" s="1318"/>
      <c r="Y1642" s="1318"/>
      <c r="Z1642" s="1318"/>
      <c r="AA1642" s="1318"/>
      <c r="AB1642" s="1318"/>
      <c r="AC1642" s="355"/>
      <c r="AD1642" s="1318">
        <f>KT_CT50</f>
        <v>979639262</v>
      </c>
      <c r="AE1642" s="1318"/>
      <c r="AF1642" s="1318"/>
      <c r="AG1642" s="1318"/>
      <c r="AH1642" s="1318"/>
      <c r="AI1642" s="1318"/>
      <c r="AJ1642" s="344"/>
      <c r="AK1642" s="345"/>
      <c r="AL1642" s="340"/>
      <c r="AM1642" s="1347" t="s">
        <v>1710</v>
      </c>
      <c r="AN1642" s="1347"/>
      <c r="AO1642" s="1347"/>
      <c r="AP1642" s="1347"/>
      <c r="AQ1642" s="1347"/>
      <c r="AR1642" s="1347"/>
      <c r="AS1642" s="1347"/>
      <c r="AT1642" s="1347"/>
      <c r="AU1642" s="1347"/>
      <c r="AV1642" s="1347"/>
      <c r="AW1642" s="1347"/>
      <c r="AX1642" s="1347"/>
      <c r="AY1642" s="1347"/>
      <c r="AZ1642" s="1347"/>
      <c r="BA1642" s="1347"/>
      <c r="BB1642" s="1347"/>
      <c r="BC1642" s="1347"/>
      <c r="BD1642" s="1347"/>
      <c r="BE1642" s="1347"/>
      <c r="BF1642" s="1347"/>
      <c r="BG1642" s="1318">
        <f>W1642</f>
        <v>2829447486</v>
      </c>
      <c r="BH1642" s="1318"/>
      <c r="BI1642" s="1318"/>
      <c r="BJ1642" s="1318"/>
      <c r="BK1642" s="1318"/>
      <c r="BL1642" s="1318"/>
      <c r="BM1642" s="355"/>
      <c r="BN1642" s="1318">
        <f>AD1642</f>
        <v>979639262</v>
      </c>
      <c r="BO1642" s="1318"/>
      <c r="BP1642" s="1318"/>
      <c r="BQ1642" s="1318"/>
      <c r="BR1642" s="1318"/>
      <c r="BS1642" s="1318"/>
      <c r="BT1642" s="389"/>
      <c r="BU1642" s="357"/>
      <c r="BV1642" s="310"/>
      <c r="BW1642" s="310"/>
      <c r="BX1642" s="291">
        <f t="shared" si="124"/>
        <v>0</v>
      </c>
      <c r="BY1642" s="344"/>
      <c r="BZ1642" s="347"/>
      <c r="CA1642" s="347"/>
    </row>
    <row r="1643" spans="1:84" ht="15" hidden="1" customHeight="1" x14ac:dyDescent="0.25">
      <c r="A1643" s="313"/>
      <c r="B1643" s="340"/>
      <c r="C1643" s="1347" t="s">
        <v>1676</v>
      </c>
      <c r="D1643" s="1347"/>
      <c r="E1643" s="1347"/>
      <c r="F1643" s="1347"/>
      <c r="G1643" s="1347"/>
      <c r="H1643" s="1347"/>
      <c r="I1643" s="1347"/>
      <c r="J1643" s="1347"/>
      <c r="K1643" s="1347"/>
      <c r="L1643" s="1347"/>
      <c r="M1643" s="1347"/>
      <c r="N1643" s="1347"/>
      <c r="O1643" s="1347"/>
      <c r="P1643" s="1347"/>
      <c r="Q1643" s="1347"/>
      <c r="R1643" s="1347"/>
      <c r="S1643" s="1347"/>
      <c r="T1643" s="1347"/>
      <c r="U1643" s="1347"/>
      <c r="V1643" s="1347"/>
      <c r="W1643" s="1318">
        <f>SUBTOTAL(109,W1644:AB1645)</f>
        <v>0</v>
      </c>
      <c r="X1643" s="1318"/>
      <c r="Y1643" s="1318"/>
      <c r="Z1643" s="1318"/>
      <c r="AA1643" s="1318"/>
      <c r="AB1643" s="1318"/>
      <c r="AC1643" s="355"/>
      <c r="AD1643" s="1318">
        <f>SUBTOTAL(109,AD1644:AI1645)</f>
        <v>0</v>
      </c>
      <c r="AE1643" s="1318"/>
      <c r="AF1643" s="1318"/>
      <c r="AG1643" s="1318"/>
      <c r="AH1643" s="1318"/>
      <c r="AI1643" s="1318"/>
      <c r="AJ1643" s="344"/>
      <c r="AK1643" s="345"/>
      <c r="AL1643" s="340"/>
      <c r="AM1643" s="1347" t="s">
        <v>1677</v>
      </c>
      <c r="AN1643" s="1347"/>
      <c r="AO1643" s="1347"/>
      <c r="AP1643" s="1347"/>
      <c r="AQ1643" s="1347"/>
      <c r="AR1643" s="1347"/>
      <c r="AS1643" s="1347"/>
      <c r="AT1643" s="1347"/>
      <c r="AU1643" s="1347"/>
      <c r="AV1643" s="1347"/>
      <c r="AW1643" s="1347"/>
      <c r="AX1643" s="1347"/>
      <c r="AY1643" s="1347"/>
      <c r="AZ1643" s="1347"/>
      <c r="BA1643" s="1347"/>
      <c r="BB1643" s="1347"/>
      <c r="BC1643" s="1347"/>
      <c r="BD1643" s="1347"/>
      <c r="BE1643" s="1347"/>
      <c r="BF1643" s="1347"/>
      <c r="BG1643" s="1318">
        <f>SUBTOTAL(109,BG1644:BL1645)</f>
        <v>0</v>
      </c>
      <c r="BH1643" s="1318"/>
      <c r="BI1643" s="1318"/>
      <c r="BJ1643" s="1318"/>
      <c r="BK1643" s="1318"/>
      <c r="BL1643" s="1318"/>
      <c r="BM1643" s="355"/>
      <c r="BN1643" s="1318">
        <f>SUBTOTAL(109,BN1644:BS1645)</f>
        <v>0</v>
      </c>
      <c r="BO1643" s="1318"/>
      <c r="BP1643" s="1318"/>
      <c r="BQ1643" s="1318"/>
      <c r="BR1643" s="1318"/>
      <c r="BS1643" s="1318"/>
      <c r="BT1643" s="342"/>
      <c r="BU1643" s="346"/>
      <c r="BV1643" s="310"/>
      <c r="BW1643" s="310"/>
      <c r="BX1643" s="291">
        <f t="shared" si="124"/>
        <v>0</v>
      </c>
      <c r="BY1643" s="344"/>
      <c r="BZ1643" s="347"/>
      <c r="CA1643" s="347"/>
    </row>
    <row r="1644" spans="1:84" ht="15" hidden="1" customHeight="1" x14ac:dyDescent="0.25">
      <c r="A1644" s="313"/>
      <c r="B1644" s="340"/>
      <c r="C1644" s="747" t="s">
        <v>1711</v>
      </c>
      <c r="D1644" s="676"/>
      <c r="E1644" s="676"/>
      <c r="F1644" s="676"/>
      <c r="G1644" s="676"/>
      <c r="H1644" s="676"/>
      <c r="I1644" s="676"/>
      <c r="J1644" s="676"/>
      <c r="K1644" s="676"/>
      <c r="L1644" s="676"/>
      <c r="M1644" s="676"/>
      <c r="N1644" s="676"/>
      <c r="O1644" s="676"/>
      <c r="P1644" s="676"/>
      <c r="Q1644" s="676"/>
      <c r="R1644" s="676"/>
      <c r="S1644" s="676"/>
      <c r="T1644" s="676"/>
      <c r="U1644" s="676"/>
      <c r="V1644" s="676"/>
      <c r="W1644" s="1369">
        <v>0</v>
      </c>
      <c r="X1644" s="1369"/>
      <c r="Y1644" s="1369"/>
      <c r="Z1644" s="1369"/>
      <c r="AA1644" s="1369"/>
      <c r="AB1644" s="1369"/>
      <c r="AC1644" s="665"/>
      <c r="AD1644" s="1369">
        <v>0</v>
      </c>
      <c r="AE1644" s="1369"/>
      <c r="AF1644" s="1369"/>
      <c r="AG1644" s="1369"/>
      <c r="AH1644" s="1369"/>
      <c r="AI1644" s="1369"/>
      <c r="AJ1644" s="677"/>
      <c r="AK1644" s="678"/>
      <c r="AL1644" s="679"/>
      <c r="AM1644" s="747" t="s">
        <v>1681</v>
      </c>
      <c r="AN1644" s="676"/>
      <c r="AO1644" s="676"/>
      <c r="AP1644" s="676"/>
      <c r="AQ1644" s="676"/>
      <c r="AR1644" s="676"/>
      <c r="AS1644" s="676"/>
      <c r="AT1644" s="676"/>
      <c r="AU1644" s="676"/>
      <c r="AV1644" s="676"/>
      <c r="AW1644" s="676"/>
      <c r="AX1644" s="676"/>
      <c r="AY1644" s="676"/>
      <c r="AZ1644" s="676"/>
      <c r="BA1644" s="676"/>
      <c r="BB1644" s="676"/>
      <c r="BC1644" s="676"/>
      <c r="BD1644" s="676"/>
      <c r="BE1644" s="676"/>
      <c r="BF1644" s="676"/>
      <c r="BG1644" s="1369">
        <f>W1644</f>
        <v>0</v>
      </c>
      <c r="BH1644" s="1369"/>
      <c r="BI1644" s="1369"/>
      <c r="BJ1644" s="1369"/>
      <c r="BK1644" s="1369"/>
      <c r="BL1644" s="1369"/>
      <c r="BM1644" s="665"/>
      <c r="BN1644" s="1369">
        <f>AD1644</f>
        <v>0</v>
      </c>
      <c r="BO1644" s="1369"/>
      <c r="BP1644" s="1369"/>
      <c r="BQ1644" s="1369"/>
      <c r="BR1644" s="1369"/>
      <c r="BS1644" s="1369"/>
      <c r="BT1644" s="342"/>
      <c r="BU1644" s="346"/>
      <c r="BV1644" s="310"/>
      <c r="BW1644" s="310"/>
      <c r="BX1644" s="291">
        <f t="shared" si="124"/>
        <v>0</v>
      </c>
      <c r="BY1644" s="344"/>
      <c r="BZ1644" s="347"/>
      <c r="CA1644" s="347"/>
    </row>
    <row r="1645" spans="1:84" ht="15" hidden="1" customHeight="1" x14ac:dyDescent="0.25">
      <c r="A1645" s="313"/>
      <c r="B1645" s="340"/>
      <c r="C1645" s="747" t="s">
        <v>1687</v>
      </c>
      <c r="D1645" s="676"/>
      <c r="E1645" s="676"/>
      <c r="F1645" s="676"/>
      <c r="G1645" s="676"/>
      <c r="H1645" s="676"/>
      <c r="I1645" s="676"/>
      <c r="J1645" s="676"/>
      <c r="K1645" s="676"/>
      <c r="L1645" s="676"/>
      <c r="M1645" s="676"/>
      <c r="N1645" s="676"/>
      <c r="O1645" s="676"/>
      <c r="P1645" s="676"/>
      <c r="Q1645" s="676"/>
      <c r="R1645" s="676"/>
      <c r="S1645" s="676"/>
      <c r="T1645" s="676"/>
      <c r="U1645" s="676"/>
      <c r="V1645" s="676"/>
      <c r="W1645" s="1369">
        <v>0</v>
      </c>
      <c r="X1645" s="1369"/>
      <c r="Y1645" s="1369"/>
      <c r="Z1645" s="1369"/>
      <c r="AA1645" s="1369"/>
      <c r="AB1645" s="1369"/>
      <c r="AC1645" s="665"/>
      <c r="AD1645" s="1369">
        <v>0</v>
      </c>
      <c r="AE1645" s="1369"/>
      <c r="AF1645" s="1369"/>
      <c r="AG1645" s="1369"/>
      <c r="AH1645" s="1369"/>
      <c r="AI1645" s="1369"/>
      <c r="AJ1645" s="677"/>
      <c r="AK1645" s="678"/>
      <c r="AL1645" s="679"/>
      <c r="AM1645" s="747" t="s">
        <v>1687</v>
      </c>
      <c r="AN1645" s="676"/>
      <c r="AO1645" s="676"/>
      <c r="AP1645" s="676"/>
      <c r="AQ1645" s="676"/>
      <c r="AR1645" s="676"/>
      <c r="AS1645" s="676"/>
      <c r="AT1645" s="676"/>
      <c r="AU1645" s="676"/>
      <c r="AV1645" s="676"/>
      <c r="AW1645" s="676"/>
      <c r="AX1645" s="676"/>
      <c r="AY1645" s="676"/>
      <c r="AZ1645" s="676"/>
      <c r="BA1645" s="676"/>
      <c r="BB1645" s="676"/>
      <c r="BC1645" s="676"/>
      <c r="BD1645" s="676"/>
      <c r="BE1645" s="676"/>
      <c r="BF1645" s="676"/>
      <c r="BG1645" s="1369">
        <f>W1645</f>
        <v>0</v>
      </c>
      <c r="BH1645" s="1369"/>
      <c r="BI1645" s="1369"/>
      <c r="BJ1645" s="1369"/>
      <c r="BK1645" s="1369"/>
      <c r="BL1645" s="1369"/>
      <c r="BM1645" s="665"/>
      <c r="BN1645" s="1369">
        <f>AD1645</f>
        <v>0</v>
      </c>
      <c r="BO1645" s="1369"/>
      <c r="BP1645" s="1369"/>
      <c r="BQ1645" s="1369"/>
      <c r="BR1645" s="1369"/>
      <c r="BS1645" s="1369"/>
      <c r="BT1645" s="342"/>
      <c r="BU1645" s="346"/>
      <c r="BV1645" s="310"/>
      <c r="BW1645" s="310"/>
      <c r="BX1645" s="291">
        <f t="shared" si="124"/>
        <v>0</v>
      </c>
      <c r="BY1645" s="344"/>
      <c r="BZ1645" s="347"/>
      <c r="CA1645" s="347"/>
    </row>
    <row r="1646" spans="1:84" ht="15" hidden="1" customHeight="1" x14ac:dyDescent="0.25">
      <c r="A1646" s="313"/>
      <c r="B1646" s="340"/>
      <c r="C1646" s="346" t="s">
        <v>1688</v>
      </c>
      <c r="D1646" s="346"/>
      <c r="E1646" s="346"/>
      <c r="F1646" s="346"/>
      <c r="G1646" s="346"/>
      <c r="H1646" s="346"/>
      <c r="I1646" s="346"/>
      <c r="J1646" s="346"/>
      <c r="K1646" s="346"/>
      <c r="L1646" s="346"/>
      <c r="M1646" s="346"/>
      <c r="N1646" s="346"/>
      <c r="O1646" s="346"/>
      <c r="P1646" s="346"/>
      <c r="Q1646" s="346"/>
      <c r="R1646" s="346"/>
      <c r="S1646" s="346"/>
      <c r="T1646" s="346"/>
      <c r="U1646" s="346"/>
      <c r="V1646" s="346"/>
      <c r="W1646" s="1318">
        <f>SUBTOTAL(109,W1647:AB1648)</f>
        <v>0</v>
      </c>
      <c r="X1646" s="1318"/>
      <c r="Y1646" s="1318"/>
      <c r="Z1646" s="1318"/>
      <c r="AA1646" s="1318"/>
      <c r="AB1646" s="1318"/>
      <c r="AC1646" s="355"/>
      <c r="AD1646" s="1318">
        <f>SUBTOTAL(109,AD1647:AI1648)</f>
        <v>0</v>
      </c>
      <c r="AE1646" s="1318"/>
      <c r="AF1646" s="1318"/>
      <c r="AG1646" s="1318"/>
      <c r="AH1646" s="1318"/>
      <c r="AI1646" s="1318"/>
      <c r="AJ1646" s="344"/>
      <c r="AK1646" s="345"/>
      <c r="AL1646" s="340"/>
      <c r="AM1646" s="346" t="s">
        <v>1689</v>
      </c>
      <c r="AN1646" s="346"/>
      <c r="AO1646" s="346"/>
      <c r="AP1646" s="346"/>
      <c r="AQ1646" s="346"/>
      <c r="AR1646" s="346"/>
      <c r="AS1646" s="346"/>
      <c r="AT1646" s="346"/>
      <c r="AU1646" s="346"/>
      <c r="AV1646" s="346"/>
      <c r="AW1646" s="346"/>
      <c r="AX1646" s="346"/>
      <c r="AY1646" s="346"/>
      <c r="AZ1646" s="346"/>
      <c r="BA1646" s="346"/>
      <c r="BB1646" s="346"/>
      <c r="BC1646" s="346"/>
      <c r="BD1646" s="346"/>
      <c r="BE1646" s="346"/>
      <c r="BF1646" s="346"/>
      <c r="BG1646" s="1318">
        <f>SUBTOTAL(109,BG1647:BL1648)</f>
        <v>0</v>
      </c>
      <c r="BH1646" s="1318"/>
      <c r="BI1646" s="1318"/>
      <c r="BJ1646" s="1318"/>
      <c r="BK1646" s="1318"/>
      <c r="BL1646" s="1318"/>
      <c r="BM1646" s="355"/>
      <c r="BN1646" s="1318">
        <f>SUBTOTAL(109,BN1647:BS1648)</f>
        <v>0</v>
      </c>
      <c r="BO1646" s="1318"/>
      <c r="BP1646" s="1318"/>
      <c r="BQ1646" s="1318"/>
      <c r="BR1646" s="1318"/>
      <c r="BS1646" s="1318"/>
      <c r="BT1646" s="342"/>
      <c r="BU1646" s="346"/>
      <c r="BV1646" s="310"/>
      <c r="BW1646" s="310"/>
      <c r="BX1646" s="291">
        <f t="shared" si="124"/>
        <v>0</v>
      </c>
      <c r="BY1646" s="344"/>
      <c r="BZ1646" s="347"/>
      <c r="CA1646" s="347"/>
    </row>
    <row r="1647" spans="1:84" ht="15" hidden="1" customHeight="1" x14ac:dyDescent="0.25">
      <c r="A1647" s="313"/>
      <c r="B1647" s="340"/>
      <c r="C1647" s="747" t="s">
        <v>1690</v>
      </c>
      <c r="D1647" s="676"/>
      <c r="E1647" s="676"/>
      <c r="F1647" s="676"/>
      <c r="G1647" s="676"/>
      <c r="H1647" s="676"/>
      <c r="I1647" s="676"/>
      <c r="J1647" s="676"/>
      <c r="K1647" s="676"/>
      <c r="L1647" s="676"/>
      <c r="M1647" s="676"/>
      <c r="N1647" s="676"/>
      <c r="O1647" s="676"/>
      <c r="P1647" s="676"/>
      <c r="Q1647" s="676"/>
      <c r="R1647" s="676"/>
      <c r="S1647" s="676"/>
      <c r="T1647" s="676"/>
      <c r="U1647" s="676"/>
      <c r="V1647" s="676"/>
      <c r="W1647" s="1369">
        <v>0</v>
      </c>
      <c r="X1647" s="1369"/>
      <c r="Y1647" s="1369"/>
      <c r="Z1647" s="1369"/>
      <c r="AA1647" s="1369"/>
      <c r="AB1647" s="1369"/>
      <c r="AC1647" s="665"/>
      <c r="AD1647" s="1369">
        <v>0</v>
      </c>
      <c r="AE1647" s="1369"/>
      <c r="AF1647" s="1369"/>
      <c r="AG1647" s="1369"/>
      <c r="AH1647" s="1369"/>
      <c r="AI1647" s="1369"/>
      <c r="AJ1647" s="677"/>
      <c r="AK1647" s="678"/>
      <c r="AL1647" s="679"/>
      <c r="AM1647" s="747" t="s">
        <v>1683</v>
      </c>
      <c r="AN1647" s="676"/>
      <c r="AO1647" s="676"/>
      <c r="AP1647" s="676"/>
      <c r="AQ1647" s="676"/>
      <c r="AR1647" s="676"/>
      <c r="AS1647" s="676"/>
      <c r="AT1647" s="676"/>
      <c r="AU1647" s="676"/>
      <c r="AV1647" s="676"/>
      <c r="AW1647" s="676"/>
      <c r="AX1647" s="676"/>
      <c r="AY1647" s="676"/>
      <c r="AZ1647" s="676"/>
      <c r="BA1647" s="676"/>
      <c r="BB1647" s="676"/>
      <c r="BC1647" s="676"/>
      <c r="BD1647" s="676"/>
      <c r="BE1647" s="676"/>
      <c r="BF1647" s="676"/>
      <c r="BG1647" s="1369">
        <f>W1647</f>
        <v>0</v>
      </c>
      <c r="BH1647" s="1369"/>
      <c r="BI1647" s="1369"/>
      <c r="BJ1647" s="1369"/>
      <c r="BK1647" s="1369"/>
      <c r="BL1647" s="1369"/>
      <c r="BM1647" s="665"/>
      <c r="BN1647" s="1369">
        <f>AD1647</f>
        <v>0</v>
      </c>
      <c r="BO1647" s="1369"/>
      <c r="BP1647" s="1369"/>
      <c r="BQ1647" s="1369"/>
      <c r="BR1647" s="1369"/>
      <c r="BS1647" s="1369"/>
      <c r="BT1647" s="342"/>
      <c r="BU1647" s="346"/>
      <c r="BV1647" s="310"/>
      <c r="BW1647" s="310"/>
      <c r="BX1647" s="291">
        <f t="shared" si="124"/>
        <v>0</v>
      </c>
      <c r="BY1647" s="344"/>
      <c r="BZ1647" s="347"/>
      <c r="CA1647" s="347"/>
    </row>
    <row r="1648" spans="1:84" ht="15" hidden="1" customHeight="1" x14ac:dyDescent="0.25">
      <c r="A1648" s="313"/>
      <c r="B1648" s="340"/>
      <c r="C1648" s="747" t="s">
        <v>1687</v>
      </c>
      <c r="D1648" s="676"/>
      <c r="E1648" s="676"/>
      <c r="F1648" s="676"/>
      <c r="G1648" s="676"/>
      <c r="H1648" s="676"/>
      <c r="I1648" s="676"/>
      <c r="J1648" s="676"/>
      <c r="K1648" s="676"/>
      <c r="L1648" s="676"/>
      <c r="M1648" s="676"/>
      <c r="N1648" s="676"/>
      <c r="O1648" s="676"/>
      <c r="P1648" s="676"/>
      <c r="Q1648" s="676"/>
      <c r="R1648" s="676"/>
      <c r="S1648" s="676"/>
      <c r="T1648" s="676"/>
      <c r="U1648" s="676"/>
      <c r="V1648" s="676"/>
      <c r="W1648" s="1369">
        <v>0</v>
      </c>
      <c r="X1648" s="1369"/>
      <c r="Y1648" s="1369"/>
      <c r="Z1648" s="1369"/>
      <c r="AA1648" s="1369"/>
      <c r="AB1648" s="1369"/>
      <c r="AC1648" s="665"/>
      <c r="AD1648" s="1369">
        <v>0</v>
      </c>
      <c r="AE1648" s="1369"/>
      <c r="AF1648" s="1369"/>
      <c r="AG1648" s="1369"/>
      <c r="AH1648" s="1369"/>
      <c r="AI1648" s="1369"/>
      <c r="AJ1648" s="677"/>
      <c r="AK1648" s="678"/>
      <c r="AL1648" s="679"/>
      <c r="AM1648" s="747" t="s">
        <v>1687</v>
      </c>
      <c r="AN1648" s="676"/>
      <c r="AO1648" s="676"/>
      <c r="AP1648" s="676"/>
      <c r="AQ1648" s="676"/>
      <c r="AR1648" s="676"/>
      <c r="AS1648" s="676"/>
      <c r="AT1648" s="676"/>
      <c r="AU1648" s="676"/>
      <c r="AV1648" s="676"/>
      <c r="AW1648" s="676"/>
      <c r="AX1648" s="676"/>
      <c r="AY1648" s="676"/>
      <c r="AZ1648" s="676"/>
      <c r="BA1648" s="676"/>
      <c r="BB1648" s="676"/>
      <c r="BC1648" s="676"/>
      <c r="BD1648" s="676"/>
      <c r="BE1648" s="676"/>
      <c r="BF1648" s="676"/>
      <c r="BG1648" s="1369">
        <f>W1648</f>
        <v>0</v>
      </c>
      <c r="BH1648" s="1369"/>
      <c r="BI1648" s="1369"/>
      <c r="BJ1648" s="1369"/>
      <c r="BK1648" s="1369"/>
      <c r="BL1648" s="1369"/>
      <c r="BM1648" s="665"/>
      <c r="BN1648" s="1369">
        <f>AD1648</f>
        <v>0</v>
      </c>
      <c r="BO1648" s="1369"/>
      <c r="BP1648" s="1369"/>
      <c r="BQ1648" s="1369"/>
      <c r="BR1648" s="1369"/>
      <c r="BS1648" s="1369"/>
      <c r="BT1648" s="342"/>
      <c r="BU1648" s="346"/>
      <c r="BV1648" s="310"/>
      <c r="BW1648" s="310"/>
      <c r="BX1648" s="291">
        <f t="shared" si="124"/>
        <v>0</v>
      </c>
      <c r="BY1648" s="344"/>
      <c r="BZ1648" s="347"/>
      <c r="CA1648" s="347"/>
    </row>
    <row r="1649" spans="1:84" ht="15" hidden="1" customHeight="1" x14ac:dyDescent="0.25">
      <c r="A1649" s="313"/>
      <c r="B1649" s="340"/>
      <c r="C1649" s="346" t="s">
        <v>1691</v>
      </c>
      <c r="D1649" s="346"/>
      <c r="E1649" s="346"/>
      <c r="F1649" s="346"/>
      <c r="G1649" s="346"/>
      <c r="H1649" s="346"/>
      <c r="I1649" s="346"/>
      <c r="J1649" s="346"/>
      <c r="K1649" s="346"/>
      <c r="L1649" s="346"/>
      <c r="M1649" s="346"/>
      <c r="N1649" s="346"/>
      <c r="O1649" s="346"/>
      <c r="P1649" s="346"/>
      <c r="Q1649" s="346"/>
      <c r="R1649" s="346"/>
      <c r="S1649" s="346"/>
      <c r="T1649" s="346"/>
      <c r="U1649" s="346"/>
      <c r="V1649" s="346"/>
      <c r="W1649" s="1318">
        <f>SUBTOTAL(109,W1642:AB1648)</f>
        <v>0</v>
      </c>
      <c r="X1649" s="1318"/>
      <c r="Y1649" s="1318"/>
      <c r="Z1649" s="1318"/>
      <c r="AA1649" s="1318"/>
      <c r="AB1649" s="1318"/>
      <c r="AC1649" s="355"/>
      <c r="AD1649" s="1318">
        <f>SUBTOTAL(109,AD1642:AI1648)</f>
        <v>0</v>
      </c>
      <c r="AE1649" s="1318"/>
      <c r="AF1649" s="1318"/>
      <c r="AG1649" s="1318"/>
      <c r="AH1649" s="1318"/>
      <c r="AI1649" s="1318"/>
      <c r="AJ1649" s="344"/>
      <c r="AK1649" s="345"/>
      <c r="AL1649" s="340"/>
      <c r="AM1649" s="346" t="s">
        <v>1692</v>
      </c>
      <c r="AN1649" s="346"/>
      <c r="AO1649" s="346"/>
      <c r="AP1649" s="346"/>
      <c r="AQ1649" s="346"/>
      <c r="AR1649" s="346"/>
      <c r="AS1649" s="346"/>
      <c r="AT1649" s="346"/>
      <c r="AU1649" s="346"/>
      <c r="AV1649" s="346"/>
      <c r="AW1649" s="346"/>
      <c r="AX1649" s="346"/>
      <c r="AY1649" s="346"/>
      <c r="AZ1649" s="346"/>
      <c r="BA1649" s="346"/>
      <c r="BB1649" s="346"/>
      <c r="BC1649" s="346"/>
      <c r="BD1649" s="346"/>
      <c r="BE1649" s="346"/>
      <c r="BF1649" s="346"/>
      <c r="BG1649" s="1318">
        <f>SUBTOTAL(109,BG1642:BL1648)</f>
        <v>0</v>
      </c>
      <c r="BH1649" s="1318"/>
      <c r="BI1649" s="1318"/>
      <c r="BJ1649" s="1318"/>
      <c r="BK1649" s="1318"/>
      <c r="BL1649" s="1318"/>
      <c r="BM1649" s="355"/>
      <c r="BN1649" s="1318">
        <f>SUBTOTAL(109,BN1642:BS1648)</f>
        <v>0</v>
      </c>
      <c r="BO1649" s="1318"/>
      <c r="BP1649" s="1318"/>
      <c r="BQ1649" s="1318"/>
      <c r="BR1649" s="1318"/>
      <c r="BS1649" s="1318"/>
      <c r="BT1649" s="342"/>
      <c r="BU1649" s="346"/>
      <c r="BV1649" s="310"/>
      <c r="BW1649" s="310"/>
      <c r="BX1649" s="291">
        <f t="shared" si="124"/>
        <v>0</v>
      </c>
      <c r="BY1649" s="344"/>
      <c r="BZ1649" s="347"/>
      <c r="CA1649" s="347"/>
    </row>
    <row r="1650" spans="1:84" s="423" customFormat="1" ht="42.75" hidden="1" customHeight="1" x14ac:dyDescent="0.25">
      <c r="A1650" s="313"/>
      <c r="B1650" s="340"/>
      <c r="C1650" s="1378" t="s">
        <v>1712</v>
      </c>
      <c r="D1650" s="1378"/>
      <c r="E1650" s="1378"/>
      <c r="F1650" s="1378"/>
      <c r="G1650" s="1378"/>
      <c r="H1650" s="1378"/>
      <c r="I1650" s="1378"/>
      <c r="J1650" s="1378"/>
      <c r="K1650" s="1378"/>
      <c r="L1650" s="1378"/>
      <c r="M1650" s="1378"/>
      <c r="N1650" s="1378"/>
      <c r="O1650" s="1378"/>
      <c r="P1650" s="1378"/>
      <c r="Q1650" s="1378"/>
      <c r="R1650" s="1378"/>
      <c r="S1650" s="1378"/>
      <c r="T1650" s="1378"/>
      <c r="U1650" s="1378"/>
      <c r="V1650" s="346"/>
      <c r="W1650" s="1375">
        <v>0.2</v>
      </c>
      <c r="X1650" s="1375"/>
      <c r="Y1650" s="1375"/>
      <c r="Z1650" s="1375"/>
      <c r="AA1650" s="1375"/>
      <c r="AB1650" s="1375"/>
      <c r="AC1650" s="749"/>
      <c r="AD1650" s="1375">
        <v>0.2</v>
      </c>
      <c r="AE1650" s="1375"/>
      <c r="AF1650" s="1375"/>
      <c r="AG1650" s="1375"/>
      <c r="AH1650" s="1375"/>
      <c r="AI1650" s="1375"/>
      <c r="AJ1650" s="342"/>
      <c r="AK1650" s="345"/>
      <c r="AL1650" s="340"/>
      <c r="AM1650" s="346" t="s">
        <v>1696</v>
      </c>
      <c r="AN1650" s="346"/>
      <c r="AO1650" s="346"/>
      <c r="AP1650" s="346"/>
      <c r="AQ1650" s="346"/>
      <c r="AR1650" s="346"/>
      <c r="AS1650" s="346"/>
      <c r="AT1650" s="346"/>
      <c r="AU1650" s="346"/>
      <c r="AV1650" s="346"/>
      <c r="AW1650" s="346"/>
      <c r="AX1650" s="346"/>
      <c r="AY1650" s="346"/>
      <c r="AZ1650" s="346"/>
      <c r="BA1650" s="346"/>
      <c r="BB1650" s="346"/>
      <c r="BC1650" s="346"/>
      <c r="BD1650" s="346"/>
      <c r="BE1650" s="346"/>
      <c r="BF1650" s="346"/>
      <c r="BG1650" s="1375">
        <v>0.2</v>
      </c>
      <c r="BH1650" s="1375"/>
      <c r="BI1650" s="1375"/>
      <c r="BJ1650" s="1375"/>
      <c r="BK1650" s="1375"/>
      <c r="BL1650" s="1375"/>
      <c r="BM1650" s="355"/>
      <c r="BN1650" s="1375">
        <v>0.2</v>
      </c>
      <c r="BO1650" s="1375"/>
      <c r="BP1650" s="1375"/>
      <c r="BQ1650" s="1375"/>
      <c r="BR1650" s="1375"/>
      <c r="BS1650" s="1375"/>
      <c r="BT1650" s="342"/>
      <c r="BU1650" s="346"/>
      <c r="BV1650" s="299"/>
      <c r="BW1650" s="299"/>
      <c r="BX1650" s="300"/>
      <c r="BY1650" s="342"/>
      <c r="BZ1650" s="438"/>
      <c r="CA1650" s="438"/>
      <c r="CB1650" s="439"/>
      <c r="CC1650" s="439"/>
      <c r="CD1650" s="439"/>
      <c r="CE1650" s="439"/>
      <c r="CF1650" s="439"/>
    </row>
    <row r="1651" spans="1:84" ht="15" hidden="1" customHeight="1" x14ac:dyDescent="0.25">
      <c r="A1651" s="313"/>
      <c r="B1651" s="340"/>
      <c r="C1651" s="346"/>
      <c r="D1651" s="346"/>
      <c r="E1651" s="346"/>
      <c r="F1651" s="346"/>
      <c r="G1651" s="346"/>
      <c r="H1651" s="346"/>
      <c r="I1651" s="346"/>
      <c r="J1651" s="346"/>
      <c r="K1651" s="346"/>
      <c r="L1651" s="346"/>
      <c r="M1651" s="346"/>
      <c r="N1651" s="346"/>
      <c r="O1651" s="346"/>
      <c r="P1651" s="346"/>
      <c r="Q1651" s="346"/>
      <c r="R1651" s="346"/>
      <c r="S1651" s="346"/>
      <c r="T1651" s="346"/>
      <c r="U1651" s="346"/>
      <c r="V1651" s="346"/>
      <c r="W1651" s="1318"/>
      <c r="X1651" s="1318"/>
      <c r="Y1651" s="1318"/>
      <c r="Z1651" s="1318"/>
      <c r="AA1651" s="1318"/>
      <c r="AB1651" s="1318"/>
      <c r="AC1651" s="355"/>
      <c r="AD1651" s="1318"/>
      <c r="AE1651" s="1318"/>
      <c r="AF1651" s="1318"/>
      <c r="AG1651" s="1318"/>
      <c r="AH1651" s="1318"/>
      <c r="AI1651" s="1318"/>
      <c r="AJ1651" s="344"/>
      <c r="AK1651" s="345"/>
      <c r="AL1651" s="340"/>
      <c r="AM1651" s="346"/>
      <c r="AN1651" s="346"/>
      <c r="AO1651" s="346"/>
      <c r="AP1651" s="346"/>
      <c r="AQ1651" s="346"/>
      <c r="AR1651" s="346"/>
      <c r="AS1651" s="346"/>
      <c r="AT1651" s="346"/>
      <c r="AU1651" s="346"/>
      <c r="AV1651" s="346"/>
      <c r="AW1651" s="346"/>
      <c r="AX1651" s="346"/>
      <c r="AY1651" s="346"/>
      <c r="AZ1651" s="346"/>
      <c r="BA1651" s="346"/>
      <c r="BB1651" s="346"/>
      <c r="BC1651" s="346"/>
      <c r="BD1651" s="346"/>
      <c r="BE1651" s="346"/>
      <c r="BF1651" s="346"/>
      <c r="BG1651" s="1318"/>
      <c r="BH1651" s="1318"/>
      <c r="BI1651" s="1318"/>
      <c r="BJ1651" s="1318"/>
      <c r="BK1651" s="1318"/>
      <c r="BL1651" s="1318"/>
      <c r="BM1651" s="355"/>
      <c r="BN1651" s="1318"/>
      <c r="BO1651" s="1318"/>
      <c r="BP1651" s="1318"/>
      <c r="BQ1651" s="1318"/>
      <c r="BR1651" s="1318"/>
      <c r="BS1651" s="1318"/>
      <c r="BT1651" s="342"/>
      <c r="BU1651" s="346"/>
      <c r="BV1651" s="310"/>
      <c r="BW1651" s="310"/>
      <c r="BX1651" s="291">
        <f t="shared" si="124"/>
        <v>0</v>
      </c>
      <c r="BY1651" s="344"/>
      <c r="BZ1651" s="347"/>
      <c r="CA1651" s="347"/>
    </row>
    <row r="1652" spans="1:84" ht="15" hidden="1" customHeight="1" thickBot="1" x14ac:dyDescent="0.3">
      <c r="A1652" s="313"/>
      <c r="B1652" s="340"/>
      <c r="C1652" s="341" t="s">
        <v>1713</v>
      </c>
      <c r="D1652" s="429"/>
      <c r="E1652" s="342"/>
      <c r="F1652" s="342"/>
      <c r="G1652" s="342"/>
      <c r="H1652" s="342"/>
      <c r="I1652" s="342"/>
      <c r="J1652" s="342"/>
      <c r="K1652" s="342"/>
      <c r="L1652" s="342"/>
      <c r="M1652" s="342"/>
      <c r="N1652" s="342"/>
      <c r="O1652" s="342"/>
      <c r="P1652" s="342"/>
      <c r="Q1652" s="342"/>
      <c r="R1652" s="342"/>
      <c r="S1652" s="342"/>
      <c r="T1652" s="342"/>
      <c r="U1652" s="342"/>
      <c r="V1652" s="342"/>
      <c r="W1652" s="1359">
        <f>ROUND(W1649*W1650,0)</f>
        <v>0</v>
      </c>
      <c r="X1652" s="1359"/>
      <c r="Y1652" s="1359"/>
      <c r="Z1652" s="1359"/>
      <c r="AA1652" s="1359"/>
      <c r="AB1652" s="1359"/>
      <c r="AC1652" s="355"/>
      <c r="AD1652" s="1359">
        <f>ROUND(AD1649*AD1650,0)</f>
        <v>0</v>
      </c>
      <c r="AE1652" s="1359"/>
      <c r="AF1652" s="1359"/>
      <c r="AG1652" s="1359"/>
      <c r="AH1652" s="1359"/>
      <c r="AI1652" s="1359"/>
      <c r="AJ1652" s="344"/>
      <c r="AK1652" s="345"/>
      <c r="AL1652" s="340"/>
      <c r="AM1652" s="341" t="s">
        <v>1714</v>
      </c>
      <c r="AN1652" s="429"/>
      <c r="AO1652" s="342"/>
      <c r="AP1652" s="342"/>
      <c r="AQ1652" s="342"/>
      <c r="AR1652" s="342"/>
      <c r="AS1652" s="342"/>
      <c r="AT1652" s="342"/>
      <c r="AU1652" s="342"/>
      <c r="AV1652" s="342"/>
      <c r="AW1652" s="342"/>
      <c r="AX1652" s="342"/>
      <c r="AY1652" s="342"/>
      <c r="AZ1652" s="342"/>
      <c r="BA1652" s="342"/>
      <c r="BB1652" s="342"/>
      <c r="BC1652" s="342"/>
      <c r="BD1652" s="342"/>
      <c r="BE1652" s="342"/>
      <c r="BF1652" s="342"/>
      <c r="BG1652" s="1359">
        <f>ROUND(BG1649*BG1650,0)</f>
        <v>0</v>
      </c>
      <c r="BH1652" s="1359"/>
      <c r="BI1652" s="1359"/>
      <c r="BJ1652" s="1359"/>
      <c r="BK1652" s="1359"/>
      <c r="BL1652" s="1359"/>
      <c r="BM1652" s="355"/>
      <c r="BN1652" s="1359">
        <f>ROUND(BN1649*BN1650,0)</f>
        <v>0</v>
      </c>
      <c r="BO1652" s="1359"/>
      <c r="BP1652" s="1359"/>
      <c r="BQ1652" s="1359"/>
      <c r="BR1652" s="1359"/>
      <c r="BS1652" s="1359"/>
      <c r="BT1652" s="429"/>
      <c r="BU1652" s="676"/>
      <c r="BV1652" s="310"/>
      <c r="BW1652" s="310"/>
      <c r="BX1652" s="291">
        <f t="shared" si="124"/>
        <v>0</v>
      </c>
      <c r="BY1652" s="344"/>
      <c r="BZ1652" s="347"/>
      <c r="CA1652" s="347"/>
    </row>
    <row r="1653" spans="1:84" ht="15" hidden="1" customHeight="1" thickTop="1" x14ac:dyDescent="0.25">
      <c r="A1653" s="313"/>
      <c r="B1653" s="340"/>
      <c r="C1653" s="342"/>
      <c r="D1653" s="429"/>
      <c r="E1653" s="342"/>
      <c r="F1653" s="342"/>
      <c r="G1653" s="342"/>
      <c r="H1653" s="342"/>
      <c r="I1653" s="342"/>
      <c r="J1653" s="342"/>
      <c r="K1653" s="342"/>
      <c r="L1653" s="342"/>
      <c r="M1653" s="342"/>
      <c r="N1653" s="342"/>
      <c r="O1653" s="342"/>
      <c r="P1653" s="342"/>
      <c r="Q1653" s="342"/>
      <c r="R1653" s="342"/>
      <c r="S1653" s="342"/>
      <c r="T1653" s="342"/>
      <c r="U1653" s="342"/>
      <c r="V1653" s="342"/>
      <c r="W1653" s="363"/>
      <c r="X1653" s="363"/>
      <c r="Y1653" s="363"/>
      <c r="Z1653" s="363"/>
      <c r="AA1653" s="363"/>
      <c r="AB1653" s="363"/>
      <c r="AC1653" s="355"/>
      <c r="AD1653" s="363"/>
      <c r="AE1653" s="363"/>
      <c r="AF1653" s="363"/>
      <c r="AG1653" s="363"/>
      <c r="AH1653" s="363"/>
      <c r="AI1653" s="363"/>
      <c r="AJ1653" s="344"/>
      <c r="AK1653" s="345"/>
      <c r="AL1653" s="340"/>
      <c r="AM1653" s="342"/>
      <c r="AN1653" s="429"/>
      <c r="AO1653" s="342"/>
      <c r="AP1653" s="342"/>
      <c r="AQ1653" s="342"/>
      <c r="AR1653" s="342"/>
      <c r="AS1653" s="342"/>
      <c r="AT1653" s="342"/>
      <c r="AU1653" s="342"/>
      <c r="AV1653" s="342"/>
      <c r="AW1653" s="342"/>
      <c r="AX1653" s="342"/>
      <c r="AY1653" s="342"/>
      <c r="AZ1653" s="342"/>
      <c r="BA1653" s="342"/>
      <c r="BB1653" s="342"/>
      <c r="BC1653" s="342"/>
      <c r="BD1653" s="342"/>
      <c r="BE1653" s="342"/>
      <c r="BF1653" s="342"/>
      <c r="BG1653" s="363"/>
      <c r="BH1653" s="363"/>
      <c r="BI1653" s="363"/>
      <c r="BJ1653" s="363"/>
      <c r="BK1653" s="363"/>
      <c r="BL1653" s="363"/>
      <c r="BM1653" s="355"/>
      <c r="BN1653" s="363"/>
      <c r="BO1653" s="363"/>
      <c r="BP1653" s="363"/>
      <c r="BQ1653" s="363"/>
      <c r="BR1653" s="363"/>
      <c r="BS1653" s="363"/>
      <c r="BT1653" s="429"/>
      <c r="BU1653" s="676"/>
      <c r="BV1653" s="310"/>
      <c r="BW1653" s="310"/>
      <c r="BX1653" s="291">
        <f t="shared" si="124"/>
        <v>0</v>
      </c>
      <c r="BY1653" s="344"/>
      <c r="BZ1653" s="347"/>
      <c r="CA1653" s="347"/>
    </row>
    <row r="1654" spans="1:84" ht="15" hidden="1" customHeight="1" x14ac:dyDescent="0.25">
      <c r="A1654" s="313"/>
      <c r="B1654" s="340"/>
      <c r="C1654" s="1347" t="s">
        <v>1715</v>
      </c>
      <c r="D1654" s="1347"/>
      <c r="E1654" s="1347"/>
      <c r="F1654" s="1347"/>
      <c r="G1654" s="1347"/>
      <c r="H1654" s="1347"/>
      <c r="I1654" s="1347"/>
      <c r="J1654" s="1347"/>
      <c r="K1654" s="1347"/>
      <c r="L1654" s="1347"/>
      <c r="M1654" s="1347"/>
      <c r="N1654" s="1347"/>
      <c r="O1654" s="1347"/>
      <c r="P1654" s="1347"/>
      <c r="Q1654" s="1347"/>
      <c r="R1654" s="1347"/>
      <c r="S1654" s="1347"/>
      <c r="T1654" s="1347"/>
      <c r="U1654" s="1347"/>
      <c r="V1654" s="342"/>
      <c r="W1654" s="1318">
        <v>0</v>
      </c>
      <c r="X1654" s="1318"/>
      <c r="Y1654" s="1318"/>
      <c r="Z1654" s="1318"/>
      <c r="AA1654" s="1318"/>
      <c r="AB1654" s="1318"/>
      <c r="AC1654" s="355"/>
      <c r="AD1654" s="1318">
        <v>0</v>
      </c>
      <c r="AE1654" s="1318"/>
      <c r="AF1654" s="1318"/>
      <c r="AG1654" s="1318"/>
      <c r="AH1654" s="1318"/>
      <c r="AI1654" s="1318"/>
      <c r="AJ1654" s="344"/>
      <c r="AK1654" s="345"/>
      <c r="AL1654" s="340"/>
      <c r="AM1654" s="1347" t="s">
        <v>1716</v>
      </c>
      <c r="AN1654" s="1347"/>
      <c r="AO1654" s="1347"/>
      <c r="AP1654" s="1347"/>
      <c r="AQ1654" s="1347"/>
      <c r="AR1654" s="1347"/>
      <c r="AS1654" s="1347"/>
      <c r="AT1654" s="1347"/>
      <c r="AU1654" s="1347"/>
      <c r="AV1654" s="1347"/>
      <c r="AW1654" s="1347"/>
      <c r="AX1654" s="1347"/>
      <c r="AY1654" s="1347"/>
      <c r="AZ1654" s="1347"/>
      <c r="BA1654" s="1347"/>
      <c r="BB1654" s="1347"/>
      <c r="BC1654" s="1347"/>
      <c r="BD1654" s="1347"/>
      <c r="BE1654" s="1347"/>
      <c r="BF1654" s="342"/>
      <c r="BG1654" s="1318">
        <f>W1654</f>
        <v>0</v>
      </c>
      <c r="BH1654" s="1318"/>
      <c r="BI1654" s="1318"/>
      <c r="BJ1654" s="1318"/>
      <c r="BK1654" s="1318"/>
      <c r="BL1654" s="1318"/>
      <c r="BM1654" s="355"/>
      <c r="BN1654" s="1318">
        <f>AD1654</f>
        <v>0</v>
      </c>
      <c r="BO1654" s="1318"/>
      <c r="BP1654" s="1318"/>
      <c r="BQ1654" s="1318"/>
      <c r="BR1654" s="1318"/>
      <c r="BS1654" s="1318"/>
      <c r="BT1654" s="429"/>
      <c r="BU1654" s="676"/>
      <c r="BV1654" s="310"/>
      <c r="BW1654" s="310"/>
      <c r="BX1654" s="291">
        <f t="shared" si="124"/>
        <v>0</v>
      </c>
      <c r="BY1654" s="344"/>
      <c r="BZ1654" s="347"/>
      <c r="CA1654" s="347"/>
    </row>
    <row r="1655" spans="1:84" ht="15" hidden="1" customHeight="1" x14ac:dyDescent="0.25">
      <c r="A1655" s="313"/>
      <c r="B1655" s="340"/>
      <c r="C1655" s="1347" t="s">
        <v>1717</v>
      </c>
      <c r="D1655" s="1347"/>
      <c r="E1655" s="1347"/>
      <c r="F1655" s="1347"/>
      <c r="G1655" s="1347"/>
      <c r="H1655" s="1347"/>
      <c r="I1655" s="1347"/>
      <c r="J1655" s="1347"/>
      <c r="K1655" s="1347"/>
      <c r="L1655" s="1347"/>
      <c r="M1655" s="1347"/>
      <c r="N1655" s="1347"/>
      <c r="O1655" s="1347"/>
      <c r="P1655" s="1347"/>
      <c r="Q1655" s="1347"/>
      <c r="R1655" s="1347"/>
      <c r="S1655" s="1347"/>
      <c r="T1655" s="1347"/>
      <c r="U1655" s="1347"/>
      <c r="V1655" s="342"/>
      <c r="W1655" s="1318">
        <f>AD1658</f>
        <v>0</v>
      </c>
      <c r="X1655" s="1318"/>
      <c r="Y1655" s="1318"/>
      <c r="Z1655" s="1318"/>
      <c r="AA1655" s="1318"/>
      <c r="AB1655" s="1318"/>
      <c r="AC1655" s="355"/>
      <c r="AD1655" s="1318"/>
      <c r="AE1655" s="1318"/>
      <c r="AF1655" s="1318"/>
      <c r="AG1655" s="1318"/>
      <c r="AH1655" s="1318"/>
      <c r="AI1655" s="1318"/>
      <c r="AJ1655" s="344"/>
      <c r="AK1655" s="345"/>
      <c r="AL1655" s="340"/>
      <c r="AM1655" s="1347" t="s">
        <v>1702</v>
      </c>
      <c r="AN1655" s="1347"/>
      <c r="AO1655" s="1347"/>
      <c r="AP1655" s="1347"/>
      <c r="AQ1655" s="1347"/>
      <c r="AR1655" s="1347"/>
      <c r="AS1655" s="1347"/>
      <c r="AT1655" s="1347"/>
      <c r="AU1655" s="1347"/>
      <c r="AV1655" s="1347"/>
      <c r="AW1655" s="1347"/>
      <c r="AX1655" s="1347"/>
      <c r="AY1655" s="1347"/>
      <c r="AZ1655" s="1347"/>
      <c r="BA1655" s="1347"/>
      <c r="BB1655" s="1347"/>
      <c r="BC1655" s="1347"/>
      <c r="BD1655" s="1347"/>
      <c r="BE1655" s="1347"/>
      <c r="BF1655" s="342"/>
      <c r="BG1655" s="1318">
        <f>W1655</f>
        <v>0</v>
      </c>
      <c r="BH1655" s="1318"/>
      <c r="BI1655" s="1318"/>
      <c r="BJ1655" s="1318"/>
      <c r="BK1655" s="1318"/>
      <c r="BL1655" s="1318"/>
      <c r="BM1655" s="355"/>
      <c r="BN1655" s="1318">
        <f>AD1655</f>
        <v>0</v>
      </c>
      <c r="BO1655" s="1318"/>
      <c r="BP1655" s="1318"/>
      <c r="BQ1655" s="1318"/>
      <c r="BR1655" s="1318"/>
      <c r="BS1655" s="1318"/>
      <c r="BT1655" s="429"/>
      <c r="BU1655" s="676"/>
      <c r="BV1655" s="310"/>
      <c r="BW1655" s="310"/>
      <c r="BX1655" s="291">
        <f t="shared" si="124"/>
        <v>0</v>
      </c>
      <c r="BY1655" s="344"/>
      <c r="BZ1655" s="347"/>
      <c r="CA1655" s="347"/>
    </row>
    <row r="1656" spans="1:84" ht="15" hidden="1" customHeight="1" x14ac:dyDescent="0.25">
      <c r="A1656" s="313"/>
      <c r="B1656" s="340"/>
      <c r="C1656" s="1347" t="s">
        <v>1718</v>
      </c>
      <c r="D1656" s="1347"/>
      <c r="E1656" s="1347"/>
      <c r="F1656" s="1347"/>
      <c r="G1656" s="1347"/>
      <c r="H1656" s="1347"/>
      <c r="I1656" s="1347"/>
      <c r="J1656" s="1347"/>
      <c r="K1656" s="1347"/>
      <c r="L1656" s="1347"/>
      <c r="M1656" s="1347"/>
      <c r="N1656" s="1347"/>
      <c r="O1656" s="1347"/>
      <c r="P1656" s="1347"/>
      <c r="Q1656" s="1347"/>
      <c r="R1656" s="1347"/>
      <c r="S1656" s="1347"/>
      <c r="T1656" s="1347"/>
      <c r="U1656" s="1347"/>
      <c r="V1656" s="342"/>
      <c r="W1656" s="1318">
        <v>0</v>
      </c>
      <c r="X1656" s="1318"/>
      <c r="Y1656" s="1318"/>
      <c r="Z1656" s="1318"/>
      <c r="AA1656" s="1318"/>
      <c r="AB1656" s="1318"/>
      <c r="AC1656" s="355"/>
      <c r="AD1656" s="1318">
        <v>0</v>
      </c>
      <c r="AE1656" s="1318"/>
      <c r="AF1656" s="1318"/>
      <c r="AG1656" s="1318"/>
      <c r="AH1656" s="1318"/>
      <c r="AI1656" s="1318"/>
      <c r="AJ1656" s="344"/>
      <c r="AK1656" s="345"/>
      <c r="AL1656" s="340"/>
      <c r="AM1656" s="1347" t="s">
        <v>1704</v>
      </c>
      <c r="AN1656" s="1347"/>
      <c r="AO1656" s="1347"/>
      <c r="AP1656" s="1347"/>
      <c r="AQ1656" s="1347"/>
      <c r="AR1656" s="1347"/>
      <c r="AS1656" s="1347"/>
      <c r="AT1656" s="1347"/>
      <c r="AU1656" s="1347"/>
      <c r="AV1656" s="1347"/>
      <c r="AW1656" s="1347"/>
      <c r="AX1656" s="1347"/>
      <c r="AY1656" s="1347"/>
      <c r="AZ1656" s="1347"/>
      <c r="BA1656" s="1347"/>
      <c r="BB1656" s="1347"/>
      <c r="BC1656" s="1347"/>
      <c r="BD1656" s="1347"/>
      <c r="BE1656" s="1347"/>
      <c r="BF1656" s="342"/>
      <c r="BG1656" s="1318">
        <f>W1656</f>
        <v>0</v>
      </c>
      <c r="BH1656" s="1318"/>
      <c r="BI1656" s="1318"/>
      <c r="BJ1656" s="1318"/>
      <c r="BK1656" s="1318"/>
      <c r="BL1656" s="1318"/>
      <c r="BM1656" s="355"/>
      <c r="BN1656" s="1318">
        <f>AD1656</f>
        <v>0</v>
      </c>
      <c r="BO1656" s="1318"/>
      <c r="BP1656" s="1318"/>
      <c r="BQ1656" s="1318"/>
      <c r="BR1656" s="1318"/>
      <c r="BS1656" s="1318"/>
      <c r="BT1656" s="429"/>
      <c r="BU1656" s="676"/>
      <c r="BV1656" s="310"/>
      <c r="BW1656" s="310"/>
      <c r="BX1656" s="291">
        <f t="shared" si="124"/>
        <v>0</v>
      </c>
      <c r="BY1656" s="344"/>
      <c r="BZ1656" s="347"/>
      <c r="CA1656" s="347"/>
    </row>
    <row r="1657" spans="1:84" ht="15" hidden="1" customHeight="1" x14ac:dyDescent="0.25">
      <c r="A1657" s="313"/>
      <c r="B1657" s="340"/>
      <c r="C1657" s="1347"/>
      <c r="D1657" s="1347"/>
      <c r="E1657" s="1347"/>
      <c r="F1657" s="1347"/>
      <c r="G1657" s="1347"/>
      <c r="H1657" s="1347"/>
      <c r="I1657" s="1347"/>
      <c r="J1657" s="1347"/>
      <c r="K1657" s="1347"/>
      <c r="L1657" s="1347"/>
      <c r="M1657" s="1347"/>
      <c r="N1657" s="1347"/>
      <c r="O1657" s="1347"/>
      <c r="P1657" s="1347"/>
      <c r="Q1657" s="1347"/>
      <c r="R1657" s="1347"/>
      <c r="S1657" s="1347"/>
      <c r="T1657" s="1347"/>
      <c r="U1657" s="1347"/>
      <c r="V1657" s="342"/>
      <c r="W1657" s="1318"/>
      <c r="X1657" s="1318"/>
      <c r="Y1657" s="1318"/>
      <c r="Z1657" s="1318"/>
      <c r="AA1657" s="1318"/>
      <c r="AB1657" s="1318"/>
      <c r="AC1657" s="355"/>
      <c r="AD1657" s="1318"/>
      <c r="AE1657" s="1318"/>
      <c r="AF1657" s="1318"/>
      <c r="AG1657" s="1318"/>
      <c r="AH1657" s="1318"/>
      <c r="AI1657" s="1318"/>
      <c r="AJ1657" s="344"/>
      <c r="AK1657" s="345"/>
      <c r="AL1657" s="340"/>
      <c r="AM1657" s="1347"/>
      <c r="AN1657" s="1347"/>
      <c r="AO1657" s="1347"/>
      <c r="AP1657" s="1347"/>
      <c r="AQ1657" s="1347"/>
      <c r="AR1657" s="1347"/>
      <c r="AS1657" s="1347"/>
      <c r="AT1657" s="1347"/>
      <c r="AU1657" s="1347"/>
      <c r="AV1657" s="1347"/>
      <c r="AW1657" s="1347"/>
      <c r="AX1657" s="1347"/>
      <c r="AY1657" s="1347"/>
      <c r="AZ1657" s="1347"/>
      <c r="BA1657" s="1347"/>
      <c r="BB1657" s="1347"/>
      <c r="BC1657" s="1347"/>
      <c r="BD1657" s="1347"/>
      <c r="BE1657" s="1347"/>
      <c r="BF1657" s="342"/>
      <c r="BG1657" s="1318"/>
      <c r="BH1657" s="1318"/>
      <c r="BI1657" s="1318"/>
      <c r="BJ1657" s="1318"/>
      <c r="BK1657" s="1318"/>
      <c r="BL1657" s="1318"/>
      <c r="BM1657" s="355"/>
      <c r="BN1657" s="1318"/>
      <c r="BO1657" s="1318"/>
      <c r="BP1657" s="1318"/>
      <c r="BQ1657" s="1318"/>
      <c r="BR1657" s="1318"/>
      <c r="BS1657" s="1318"/>
      <c r="BT1657" s="429"/>
      <c r="BU1657" s="676"/>
      <c r="BV1657" s="310"/>
      <c r="BW1657" s="310"/>
      <c r="BX1657" s="291">
        <f t="shared" si="124"/>
        <v>0</v>
      </c>
      <c r="BY1657" s="344"/>
      <c r="BZ1657" s="347"/>
      <c r="CA1657" s="347"/>
    </row>
    <row r="1658" spans="1:84" ht="15" hidden="1" customHeight="1" thickBot="1" x14ac:dyDescent="0.3">
      <c r="A1658" s="313"/>
      <c r="B1658" s="340"/>
      <c r="C1658" s="1350" t="s">
        <v>1719</v>
      </c>
      <c r="D1658" s="1350"/>
      <c r="E1658" s="1350"/>
      <c r="F1658" s="1350"/>
      <c r="G1658" s="1350"/>
      <c r="H1658" s="1350"/>
      <c r="I1658" s="1350"/>
      <c r="J1658" s="1350"/>
      <c r="K1658" s="1350"/>
      <c r="L1658" s="1350"/>
      <c r="M1658" s="1350"/>
      <c r="N1658" s="1350"/>
      <c r="O1658" s="1350"/>
      <c r="P1658" s="1350"/>
      <c r="Q1658" s="1350"/>
      <c r="R1658" s="1350"/>
      <c r="S1658" s="1350"/>
      <c r="T1658" s="1350"/>
      <c r="U1658" s="1350"/>
      <c r="V1658" s="342"/>
      <c r="W1658" s="1359">
        <f>SUBTOTAL(109,W1652:AB1657)</f>
        <v>0</v>
      </c>
      <c r="X1658" s="1359"/>
      <c r="Y1658" s="1359"/>
      <c r="Z1658" s="1359"/>
      <c r="AA1658" s="1359"/>
      <c r="AB1658" s="1359"/>
      <c r="AC1658" s="363"/>
      <c r="AD1658" s="1359">
        <f>SUBTOTAL(109,AD1652:AI1657)</f>
        <v>0</v>
      </c>
      <c r="AE1658" s="1359"/>
      <c r="AF1658" s="1359"/>
      <c r="AG1658" s="1359"/>
      <c r="AH1658" s="1359"/>
      <c r="AI1658" s="1359"/>
      <c r="AJ1658" s="344"/>
      <c r="AK1658" s="345"/>
      <c r="AL1658" s="340"/>
      <c r="AM1658" s="1350" t="s">
        <v>1720</v>
      </c>
      <c r="AN1658" s="1350"/>
      <c r="AO1658" s="1350"/>
      <c r="AP1658" s="1350"/>
      <c r="AQ1658" s="1350"/>
      <c r="AR1658" s="1350"/>
      <c r="AS1658" s="1350"/>
      <c r="AT1658" s="1350"/>
      <c r="AU1658" s="1350"/>
      <c r="AV1658" s="1350"/>
      <c r="AW1658" s="1350"/>
      <c r="AX1658" s="1350"/>
      <c r="AY1658" s="1350"/>
      <c r="AZ1658" s="1350"/>
      <c r="BA1658" s="1350"/>
      <c r="BB1658" s="1350"/>
      <c r="BC1658" s="1350"/>
      <c r="BD1658" s="1350"/>
      <c r="BE1658" s="1350"/>
      <c r="BF1658" s="342"/>
      <c r="BG1658" s="1359">
        <f>SUBTOTAL(109,BG1652:BL1657)</f>
        <v>0</v>
      </c>
      <c r="BH1658" s="1359"/>
      <c r="BI1658" s="1359"/>
      <c r="BJ1658" s="1359"/>
      <c r="BK1658" s="1359"/>
      <c r="BL1658" s="1359"/>
      <c r="BM1658" s="363"/>
      <c r="BN1658" s="1359">
        <f>SUBTOTAL(109,BN1652:BS1657)</f>
        <v>0</v>
      </c>
      <c r="BO1658" s="1359"/>
      <c r="BP1658" s="1359"/>
      <c r="BQ1658" s="1359"/>
      <c r="BR1658" s="1359"/>
      <c r="BS1658" s="1359"/>
      <c r="BT1658" s="429"/>
      <c r="BU1658" s="676"/>
      <c r="BV1658" s="310"/>
      <c r="BW1658" s="310"/>
      <c r="BX1658" s="291">
        <f t="shared" si="124"/>
        <v>0</v>
      </c>
      <c r="BY1658" s="344"/>
      <c r="BZ1658" s="347"/>
      <c r="CA1658" s="347"/>
    </row>
    <row r="1659" spans="1:84" ht="15" hidden="1" customHeight="1" thickTop="1" x14ac:dyDescent="0.25">
      <c r="A1659" s="313"/>
      <c r="B1659" s="340"/>
      <c r="C1659" s="574"/>
      <c r="D1659" s="574"/>
      <c r="E1659" s="574"/>
      <c r="F1659" s="574"/>
      <c r="G1659" s="574"/>
      <c r="H1659" s="574"/>
      <c r="I1659" s="574"/>
      <c r="J1659" s="574"/>
      <c r="K1659" s="574"/>
      <c r="L1659" s="574"/>
      <c r="M1659" s="574"/>
      <c r="N1659" s="574"/>
      <c r="O1659" s="574"/>
      <c r="P1659" s="574"/>
      <c r="Q1659" s="574"/>
      <c r="R1659" s="574"/>
      <c r="S1659" s="574"/>
      <c r="T1659" s="574"/>
      <c r="U1659" s="574"/>
      <c r="V1659" s="342"/>
      <c r="W1659" s="363"/>
      <c r="X1659" s="363"/>
      <c r="Y1659" s="363"/>
      <c r="Z1659" s="363"/>
      <c r="AA1659" s="363"/>
      <c r="AB1659" s="363"/>
      <c r="AC1659" s="363"/>
      <c r="AD1659" s="363"/>
      <c r="AE1659" s="363"/>
      <c r="AF1659" s="363"/>
      <c r="AG1659" s="363"/>
      <c r="AH1659" s="363"/>
      <c r="AI1659" s="363"/>
      <c r="AJ1659" s="344"/>
      <c r="AK1659" s="345"/>
      <c r="AL1659" s="340"/>
      <c r="AM1659" s="574"/>
      <c r="AN1659" s="574"/>
      <c r="AO1659" s="574"/>
      <c r="AP1659" s="574"/>
      <c r="AQ1659" s="574"/>
      <c r="AR1659" s="574"/>
      <c r="AS1659" s="574"/>
      <c r="AT1659" s="574"/>
      <c r="AU1659" s="574"/>
      <c r="AV1659" s="574"/>
      <c r="AW1659" s="574"/>
      <c r="AX1659" s="574"/>
      <c r="AY1659" s="574"/>
      <c r="AZ1659" s="574"/>
      <c r="BA1659" s="574"/>
      <c r="BB1659" s="574"/>
      <c r="BC1659" s="574"/>
      <c r="BD1659" s="574"/>
      <c r="BE1659" s="574"/>
      <c r="BF1659" s="342"/>
      <c r="BG1659" s="363"/>
      <c r="BH1659" s="363"/>
      <c r="BI1659" s="363"/>
      <c r="BJ1659" s="363"/>
      <c r="BK1659" s="363"/>
      <c r="BL1659" s="363"/>
      <c r="BM1659" s="363"/>
      <c r="BN1659" s="363"/>
      <c r="BO1659" s="363"/>
      <c r="BP1659" s="363"/>
      <c r="BQ1659" s="363"/>
      <c r="BR1659" s="363"/>
      <c r="BS1659" s="363"/>
      <c r="BT1659" s="429"/>
      <c r="BU1659" s="676"/>
      <c r="BV1659" s="310"/>
      <c r="BW1659" s="310"/>
      <c r="BX1659" s="291"/>
      <c r="BY1659" s="344"/>
      <c r="BZ1659" s="347"/>
      <c r="CA1659" s="347"/>
    </row>
    <row r="1660" spans="1:84" s="754" customFormat="1" ht="15" hidden="1" customHeight="1" x14ac:dyDescent="0.25">
      <c r="A1660" s="602"/>
      <c r="B1660" s="373"/>
      <c r="C1660" s="1377" t="s">
        <v>1721</v>
      </c>
      <c r="D1660" s="1377"/>
      <c r="E1660" s="1377"/>
      <c r="F1660" s="1377"/>
      <c r="G1660" s="1377"/>
      <c r="H1660" s="1377"/>
      <c r="I1660" s="1377"/>
      <c r="J1660" s="1377"/>
      <c r="K1660" s="1377"/>
      <c r="L1660" s="1377"/>
      <c r="M1660" s="1377"/>
      <c r="N1660" s="1377"/>
      <c r="O1660" s="1377"/>
      <c r="P1660" s="1377"/>
      <c r="Q1660" s="1377"/>
      <c r="R1660" s="1377"/>
      <c r="S1660" s="1377"/>
      <c r="T1660" s="1377"/>
      <c r="U1660" s="1377"/>
      <c r="V1660" s="389"/>
      <c r="W1660" s="1318">
        <v>0</v>
      </c>
      <c r="X1660" s="1318"/>
      <c r="Y1660" s="1318"/>
      <c r="Z1660" s="1318"/>
      <c r="AA1660" s="1318"/>
      <c r="AB1660" s="1318"/>
      <c r="AC1660" s="355"/>
      <c r="AD1660" s="1318">
        <v>0</v>
      </c>
      <c r="AE1660" s="1318"/>
      <c r="AF1660" s="1318"/>
      <c r="AG1660" s="1318"/>
      <c r="AH1660" s="1318"/>
      <c r="AI1660" s="1318"/>
      <c r="AJ1660" s="516"/>
      <c r="AK1660" s="662"/>
      <c r="AL1660" s="373"/>
      <c r="AM1660" s="1377" t="s">
        <v>1722</v>
      </c>
      <c r="AN1660" s="1377"/>
      <c r="AO1660" s="1377"/>
      <c r="AP1660" s="1377"/>
      <c r="AQ1660" s="1377"/>
      <c r="AR1660" s="1377"/>
      <c r="AS1660" s="1377"/>
      <c r="AT1660" s="1377"/>
      <c r="AU1660" s="1377"/>
      <c r="AV1660" s="1377"/>
      <c r="AW1660" s="1377"/>
      <c r="AX1660" s="1377"/>
      <c r="AY1660" s="1377"/>
      <c r="AZ1660" s="1377"/>
      <c r="BA1660" s="1377"/>
      <c r="BB1660" s="1377"/>
      <c r="BC1660" s="1377"/>
      <c r="BD1660" s="1377"/>
      <c r="BE1660" s="1377"/>
      <c r="BF1660" s="389"/>
      <c r="BG1660" s="1318">
        <f>W1660</f>
        <v>0</v>
      </c>
      <c r="BH1660" s="1318"/>
      <c r="BI1660" s="1318"/>
      <c r="BJ1660" s="1318"/>
      <c r="BK1660" s="1318"/>
      <c r="BL1660" s="1318"/>
      <c r="BM1660" s="355"/>
      <c r="BN1660" s="1318">
        <f>AD1660</f>
        <v>0</v>
      </c>
      <c r="BO1660" s="1318"/>
      <c r="BP1660" s="1318"/>
      <c r="BQ1660" s="1318"/>
      <c r="BR1660" s="1318"/>
      <c r="BS1660" s="1318"/>
      <c r="BT1660" s="670"/>
      <c r="BU1660" s="707"/>
      <c r="BV1660" s="310"/>
      <c r="BW1660" s="310"/>
      <c r="BX1660" s="291">
        <f>IF(ISNONTEXT($C1660),0,SUM(D1660:AI1660)-SUM(AN1660:BS1660))</f>
        <v>0</v>
      </c>
      <c r="BY1660" s="516"/>
      <c r="BZ1660" s="752"/>
      <c r="CA1660" s="752"/>
      <c r="CB1660" s="753"/>
      <c r="CC1660" s="753"/>
      <c r="CD1660" s="753"/>
      <c r="CE1660" s="753"/>
      <c r="CF1660" s="753"/>
    </row>
    <row r="1661" spans="1:84" ht="15" hidden="1" customHeight="1" x14ac:dyDescent="0.25">
      <c r="A1661" s="313"/>
      <c r="B1661" s="340"/>
      <c r="C1661" s="750"/>
      <c r="D1661" s="750"/>
      <c r="E1661" s="750"/>
      <c r="F1661" s="750"/>
      <c r="G1661" s="750"/>
      <c r="H1661" s="750"/>
      <c r="I1661" s="750"/>
      <c r="J1661" s="750"/>
      <c r="K1661" s="750"/>
      <c r="L1661" s="750"/>
      <c r="M1661" s="750"/>
      <c r="N1661" s="750"/>
      <c r="O1661" s="750"/>
      <c r="P1661" s="750"/>
      <c r="Q1661" s="750"/>
      <c r="R1661" s="750"/>
      <c r="S1661" s="750"/>
      <c r="T1661" s="750"/>
      <c r="U1661" s="750"/>
      <c r="V1661" s="342"/>
      <c r="W1661" s="363"/>
      <c r="X1661" s="363"/>
      <c r="Y1661" s="363"/>
      <c r="Z1661" s="363"/>
      <c r="AA1661" s="363"/>
      <c r="AB1661" s="363"/>
      <c r="AC1661" s="363"/>
      <c r="AD1661" s="363"/>
      <c r="AE1661" s="363"/>
      <c r="AF1661" s="363"/>
      <c r="AG1661" s="363"/>
      <c r="AH1661" s="363"/>
      <c r="AI1661" s="363"/>
      <c r="AJ1661" s="344"/>
      <c r="AK1661" s="345"/>
      <c r="AL1661" s="340"/>
      <c r="AM1661" s="574"/>
      <c r="AN1661" s="574"/>
      <c r="AO1661" s="574"/>
      <c r="AP1661" s="574"/>
      <c r="AQ1661" s="574"/>
      <c r="AR1661" s="574"/>
      <c r="AS1661" s="574"/>
      <c r="AT1661" s="574"/>
      <c r="AU1661" s="574"/>
      <c r="AV1661" s="574"/>
      <c r="AW1661" s="574"/>
      <c r="AX1661" s="574"/>
      <c r="AY1661" s="574"/>
      <c r="AZ1661" s="574"/>
      <c r="BA1661" s="574"/>
      <c r="BB1661" s="574"/>
      <c r="BC1661" s="574"/>
      <c r="BD1661" s="574"/>
      <c r="BE1661" s="574"/>
      <c r="BF1661" s="342"/>
      <c r="BG1661" s="363"/>
      <c r="BH1661" s="363"/>
      <c r="BI1661" s="363"/>
      <c r="BJ1661" s="363"/>
      <c r="BK1661" s="363"/>
      <c r="BL1661" s="363"/>
      <c r="BM1661" s="363"/>
      <c r="BN1661" s="363"/>
      <c r="BO1661" s="363"/>
      <c r="BP1661" s="363"/>
      <c r="BQ1661" s="363"/>
      <c r="BR1661" s="363"/>
      <c r="BS1661" s="363"/>
      <c r="BT1661" s="429"/>
      <c r="BU1661" s="676"/>
      <c r="BV1661" s="310"/>
      <c r="BW1661" s="310"/>
      <c r="BX1661" s="291">
        <f t="shared" si="124"/>
        <v>0</v>
      </c>
      <c r="BY1661" s="344"/>
      <c r="BZ1661" s="347"/>
      <c r="CA1661" s="347"/>
    </row>
    <row r="1662" spans="1:84" ht="15" hidden="1" customHeight="1" thickBot="1" x14ac:dyDescent="0.3">
      <c r="A1662" s="313"/>
      <c r="B1662" s="340"/>
      <c r="C1662" s="1350" t="s">
        <v>1723</v>
      </c>
      <c r="D1662" s="1350"/>
      <c r="E1662" s="1350"/>
      <c r="F1662" s="1350"/>
      <c r="G1662" s="1350"/>
      <c r="H1662" s="1350"/>
      <c r="I1662" s="1350"/>
      <c r="J1662" s="1350"/>
      <c r="K1662" s="1350"/>
      <c r="L1662" s="1350"/>
      <c r="M1662" s="1350"/>
      <c r="N1662" s="1350"/>
      <c r="O1662" s="1350"/>
      <c r="P1662" s="1350"/>
      <c r="Q1662" s="1350"/>
      <c r="R1662" s="1350"/>
      <c r="S1662" s="1350"/>
      <c r="T1662" s="1350"/>
      <c r="U1662" s="1350"/>
      <c r="V1662" s="342"/>
      <c r="W1662" s="1359">
        <f>W1639+W1658</f>
        <v>445319078</v>
      </c>
      <c r="X1662" s="1359"/>
      <c r="Y1662" s="1359"/>
      <c r="Z1662" s="1359"/>
      <c r="AA1662" s="1359"/>
      <c r="AB1662" s="1359"/>
      <c r="AC1662" s="363"/>
      <c r="AD1662" s="1359">
        <f>AD1639+AD1658</f>
        <v>74192816</v>
      </c>
      <c r="AE1662" s="1359"/>
      <c r="AF1662" s="1359"/>
      <c r="AG1662" s="1359"/>
      <c r="AH1662" s="1359"/>
      <c r="AI1662" s="1359"/>
      <c r="AJ1662" s="344"/>
      <c r="AK1662" s="345"/>
      <c r="AL1662" s="340"/>
      <c r="AM1662" s="1350" t="s">
        <v>1724</v>
      </c>
      <c r="AN1662" s="1350"/>
      <c r="AO1662" s="1350"/>
      <c r="AP1662" s="1350"/>
      <c r="AQ1662" s="1350"/>
      <c r="AR1662" s="1350"/>
      <c r="AS1662" s="1350"/>
      <c r="AT1662" s="1350"/>
      <c r="AU1662" s="1350"/>
      <c r="AV1662" s="1350"/>
      <c r="AW1662" s="1350"/>
      <c r="AX1662" s="1350"/>
      <c r="AY1662" s="1350"/>
      <c r="AZ1662" s="1350"/>
      <c r="BA1662" s="1350"/>
      <c r="BB1662" s="1350"/>
      <c r="BC1662" s="1350"/>
      <c r="BD1662" s="1350"/>
      <c r="BE1662" s="1350"/>
      <c r="BF1662" s="342"/>
      <c r="BG1662" s="1359">
        <f>BG1639+BG1658</f>
        <v>445319078</v>
      </c>
      <c r="BH1662" s="1359"/>
      <c r="BI1662" s="1359"/>
      <c r="BJ1662" s="1359"/>
      <c r="BK1662" s="1359"/>
      <c r="BL1662" s="1359"/>
      <c r="BM1662" s="363"/>
      <c r="BN1662" s="1359">
        <f>BN1639+BN1658</f>
        <v>120259359</v>
      </c>
      <c r="BO1662" s="1359"/>
      <c r="BP1662" s="1359"/>
      <c r="BQ1662" s="1359"/>
      <c r="BR1662" s="1359"/>
      <c r="BS1662" s="1359"/>
      <c r="BT1662" s="429"/>
      <c r="BU1662" s="676"/>
      <c r="BV1662" s="310">
        <f>W1662-KN_3334b+KN_3334a</f>
        <v>0</v>
      </c>
      <c r="BW1662" s="310"/>
      <c r="BX1662" s="291">
        <f t="shared" si="124"/>
        <v>-46066543</v>
      </c>
      <c r="BY1662" s="344"/>
      <c r="BZ1662" s="347"/>
      <c r="CA1662" s="347"/>
    </row>
    <row r="1663" spans="1:84" ht="15" hidden="1" customHeight="1" thickTop="1" x14ac:dyDescent="0.25">
      <c r="A1663" s="313"/>
      <c r="B1663" s="340"/>
      <c r="C1663" s="342"/>
      <c r="D1663" s="429"/>
      <c r="E1663" s="342"/>
      <c r="F1663" s="342"/>
      <c r="G1663" s="342"/>
      <c r="H1663" s="342"/>
      <c r="I1663" s="342"/>
      <c r="J1663" s="342"/>
      <c r="K1663" s="342"/>
      <c r="L1663" s="342"/>
      <c r="M1663" s="342"/>
      <c r="N1663" s="342"/>
      <c r="O1663" s="342"/>
      <c r="P1663" s="342"/>
      <c r="Q1663" s="342"/>
      <c r="R1663" s="342"/>
      <c r="S1663" s="342"/>
      <c r="T1663" s="342"/>
      <c r="U1663" s="342"/>
      <c r="V1663" s="342"/>
      <c r="W1663" s="363"/>
      <c r="X1663" s="363"/>
      <c r="Y1663" s="363"/>
      <c r="Z1663" s="363"/>
      <c r="AA1663" s="363"/>
      <c r="AB1663" s="363"/>
      <c r="AC1663" s="355"/>
      <c r="AD1663" s="363"/>
      <c r="AE1663" s="363"/>
      <c r="AF1663" s="363"/>
      <c r="AG1663" s="363"/>
      <c r="AH1663" s="363"/>
      <c r="AI1663" s="363"/>
      <c r="AJ1663" s="344"/>
      <c r="AK1663" s="345"/>
      <c r="AL1663" s="340"/>
      <c r="AM1663" s="341"/>
      <c r="AN1663" s="429"/>
      <c r="AO1663" s="342"/>
      <c r="AP1663" s="342"/>
      <c r="AQ1663" s="342"/>
      <c r="AR1663" s="342"/>
      <c r="AS1663" s="342"/>
      <c r="AT1663" s="342"/>
      <c r="AU1663" s="342"/>
      <c r="AV1663" s="342"/>
      <c r="AW1663" s="342"/>
      <c r="AX1663" s="342"/>
      <c r="AY1663" s="342"/>
      <c r="AZ1663" s="342"/>
      <c r="BA1663" s="342"/>
      <c r="BB1663" s="342"/>
      <c r="BC1663" s="342"/>
      <c r="BD1663" s="342"/>
      <c r="BE1663" s="342"/>
      <c r="BF1663" s="342"/>
      <c r="BG1663" s="363"/>
      <c r="BH1663" s="363"/>
      <c r="BI1663" s="363"/>
      <c r="BJ1663" s="363"/>
      <c r="BK1663" s="363"/>
      <c r="BL1663" s="363"/>
      <c r="BM1663" s="355"/>
      <c r="BN1663" s="363"/>
      <c r="BO1663" s="363"/>
      <c r="BP1663" s="363"/>
      <c r="BQ1663" s="363"/>
      <c r="BR1663" s="363"/>
      <c r="BS1663" s="363"/>
      <c r="BT1663" s="429"/>
      <c r="BU1663" s="676"/>
      <c r="BV1663" s="310"/>
      <c r="BW1663" s="310"/>
      <c r="BX1663" s="291">
        <f t="shared" si="124"/>
        <v>0</v>
      </c>
      <c r="BY1663" s="344"/>
      <c r="BZ1663" s="347"/>
      <c r="CA1663" s="347"/>
    </row>
    <row r="1664" spans="1:84" ht="15" hidden="1" customHeight="1" x14ac:dyDescent="0.25">
      <c r="A1664" s="313"/>
      <c r="B1664" s="340"/>
      <c r="C1664" s="1376" t="s">
        <v>1076</v>
      </c>
      <c r="D1664" s="1376"/>
      <c r="E1664" s="1376"/>
      <c r="F1664" s="1376"/>
      <c r="G1664" s="1376"/>
      <c r="H1664" s="1376"/>
      <c r="I1664" s="1376"/>
      <c r="J1664" s="1376"/>
      <c r="K1664" s="1376"/>
      <c r="L1664" s="1376"/>
      <c r="M1664" s="1376"/>
      <c r="N1664" s="1376"/>
      <c r="O1664" s="1376"/>
      <c r="P1664" s="1376"/>
      <c r="Q1664" s="1376"/>
      <c r="R1664" s="1376"/>
      <c r="S1664" s="1376"/>
      <c r="T1664" s="1376"/>
      <c r="U1664" s="1376"/>
      <c r="V1664" s="1376"/>
      <c r="W1664" s="1376"/>
      <c r="X1664" s="1376"/>
      <c r="Y1664" s="1376"/>
      <c r="Z1664" s="1376"/>
      <c r="AA1664" s="1376"/>
      <c r="AB1664" s="1376"/>
      <c r="AC1664" s="1376"/>
      <c r="AD1664" s="1376"/>
      <c r="AE1664" s="1376"/>
      <c r="AF1664" s="1376"/>
      <c r="AG1664" s="1376"/>
      <c r="AH1664" s="1376"/>
      <c r="AI1664" s="1376"/>
      <c r="AJ1664" s="344"/>
      <c r="AK1664" s="345"/>
      <c r="AL1664" s="340"/>
      <c r="AM1664" s="341"/>
      <c r="AN1664" s="429"/>
      <c r="AO1664" s="342"/>
      <c r="AP1664" s="342"/>
      <c r="AQ1664" s="342"/>
      <c r="AR1664" s="342"/>
      <c r="AS1664" s="342"/>
      <c r="AT1664" s="342"/>
      <c r="AU1664" s="342"/>
      <c r="AV1664" s="342"/>
      <c r="AW1664" s="342"/>
      <c r="AX1664" s="342"/>
      <c r="AY1664" s="342"/>
      <c r="AZ1664" s="342"/>
      <c r="BA1664" s="342"/>
      <c r="BB1664" s="342"/>
      <c r="BC1664" s="342"/>
      <c r="BD1664" s="342"/>
      <c r="BE1664" s="342"/>
      <c r="BF1664" s="342"/>
      <c r="BG1664" s="363"/>
      <c r="BH1664" s="363"/>
      <c r="BI1664" s="363"/>
      <c r="BJ1664" s="363"/>
      <c r="BK1664" s="363"/>
      <c r="BL1664" s="363"/>
      <c r="BM1664" s="355"/>
      <c r="BN1664" s="363"/>
      <c r="BO1664" s="363"/>
      <c r="BP1664" s="363"/>
      <c r="BQ1664" s="363"/>
      <c r="BR1664" s="363"/>
      <c r="BS1664" s="363"/>
      <c r="BT1664" s="429"/>
      <c r="BU1664" s="676"/>
      <c r="BV1664" s="310"/>
      <c r="BW1664" s="310"/>
      <c r="BX1664" s="291">
        <f t="shared" si="124"/>
        <v>0</v>
      </c>
      <c r="BY1664" s="344"/>
      <c r="BZ1664" s="347"/>
      <c r="CA1664" s="347"/>
    </row>
    <row r="1665" spans="1:84" ht="2.1" hidden="1" customHeight="1" x14ac:dyDescent="0.25">
      <c r="A1665" s="313"/>
      <c r="B1665" s="340"/>
      <c r="C1665" s="342"/>
      <c r="D1665" s="429"/>
      <c r="E1665" s="342"/>
      <c r="F1665" s="342"/>
      <c r="G1665" s="342"/>
      <c r="H1665" s="342"/>
      <c r="I1665" s="342"/>
      <c r="J1665" s="342"/>
      <c r="K1665" s="342"/>
      <c r="L1665" s="342"/>
      <c r="M1665" s="342"/>
      <c r="N1665" s="342"/>
      <c r="O1665" s="342"/>
      <c r="P1665" s="342"/>
      <c r="Q1665" s="342"/>
      <c r="R1665" s="342"/>
      <c r="S1665" s="342"/>
      <c r="T1665" s="342"/>
      <c r="U1665" s="342"/>
      <c r="V1665" s="342"/>
      <c r="W1665" s="363"/>
      <c r="X1665" s="363"/>
      <c r="Y1665" s="363"/>
      <c r="Z1665" s="363"/>
      <c r="AA1665" s="363"/>
      <c r="AB1665" s="363"/>
      <c r="AC1665" s="355"/>
      <c r="AD1665" s="363"/>
      <c r="AE1665" s="363"/>
      <c r="AF1665" s="363"/>
      <c r="AG1665" s="363"/>
      <c r="AH1665" s="363"/>
      <c r="AI1665" s="363"/>
      <c r="AJ1665" s="344"/>
      <c r="AK1665" s="345"/>
      <c r="AL1665" s="340"/>
      <c r="AM1665" s="341"/>
      <c r="AN1665" s="429"/>
      <c r="AO1665" s="342"/>
      <c r="AP1665" s="342"/>
      <c r="AQ1665" s="342"/>
      <c r="AR1665" s="342"/>
      <c r="AS1665" s="342"/>
      <c r="AT1665" s="342"/>
      <c r="AU1665" s="342"/>
      <c r="AV1665" s="342"/>
      <c r="AW1665" s="342"/>
      <c r="AX1665" s="342"/>
      <c r="AY1665" s="342"/>
      <c r="AZ1665" s="342"/>
      <c r="BA1665" s="342"/>
      <c r="BB1665" s="342"/>
      <c r="BC1665" s="342"/>
      <c r="BD1665" s="342"/>
      <c r="BE1665" s="342"/>
      <c r="BF1665" s="342"/>
      <c r="BG1665" s="363"/>
      <c r="BH1665" s="363"/>
      <c r="BI1665" s="363"/>
      <c r="BJ1665" s="363"/>
      <c r="BK1665" s="363"/>
      <c r="BL1665" s="363"/>
      <c r="BM1665" s="355"/>
      <c r="BN1665" s="363"/>
      <c r="BO1665" s="363"/>
      <c r="BP1665" s="363"/>
      <c r="BQ1665" s="363"/>
      <c r="BR1665" s="363"/>
      <c r="BS1665" s="363"/>
      <c r="BT1665" s="429"/>
      <c r="BU1665" s="676"/>
      <c r="BV1665" s="310"/>
      <c r="BW1665" s="310"/>
      <c r="BX1665" s="291">
        <f t="shared" si="124"/>
        <v>0</v>
      </c>
      <c r="BY1665" s="344"/>
      <c r="BZ1665" s="347"/>
      <c r="CA1665" s="347"/>
    </row>
    <row r="1666" spans="1:84" ht="12.95" hidden="1" customHeight="1" x14ac:dyDescent="0.25">
      <c r="A1666" s="313"/>
      <c r="B1666" s="340"/>
      <c r="C1666" s="342"/>
      <c r="D1666" s="429"/>
      <c r="E1666" s="342"/>
      <c r="F1666" s="342"/>
      <c r="G1666" s="342"/>
      <c r="H1666" s="342"/>
      <c r="I1666" s="342"/>
      <c r="J1666" s="342"/>
      <c r="K1666" s="342"/>
      <c r="L1666" s="342"/>
      <c r="M1666" s="342"/>
      <c r="N1666" s="342"/>
      <c r="O1666" s="342"/>
      <c r="P1666" s="342"/>
      <c r="Q1666" s="342"/>
      <c r="R1666" s="342"/>
      <c r="S1666" s="342"/>
      <c r="T1666" s="342"/>
      <c r="U1666" s="342"/>
      <c r="V1666" s="342"/>
      <c r="W1666" s="363"/>
      <c r="X1666" s="363"/>
      <c r="Y1666" s="363"/>
      <c r="Z1666" s="363"/>
      <c r="AA1666" s="363"/>
      <c r="AB1666" s="363"/>
      <c r="AC1666" s="355"/>
      <c r="AD1666" s="363"/>
      <c r="AE1666" s="363"/>
      <c r="AF1666" s="363"/>
      <c r="AG1666" s="363"/>
      <c r="AH1666" s="363"/>
      <c r="AI1666" s="363"/>
      <c r="AJ1666" s="344"/>
      <c r="AK1666" s="345"/>
      <c r="AL1666" s="340"/>
      <c r="AM1666" s="341"/>
      <c r="AN1666" s="429"/>
      <c r="AO1666" s="342"/>
      <c r="AP1666" s="342"/>
      <c r="AQ1666" s="342"/>
      <c r="AR1666" s="342"/>
      <c r="AS1666" s="342"/>
      <c r="AT1666" s="342"/>
      <c r="AU1666" s="342"/>
      <c r="AV1666" s="342"/>
      <c r="AW1666" s="342"/>
      <c r="AX1666" s="342"/>
      <c r="AY1666" s="342"/>
      <c r="AZ1666" s="342"/>
      <c r="BA1666" s="342"/>
      <c r="BB1666" s="342"/>
      <c r="BC1666" s="342"/>
      <c r="BD1666" s="342"/>
      <c r="BE1666" s="342"/>
      <c r="BF1666" s="342"/>
      <c r="BG1666" s="363"/>
      <c r="BH1666" s="363"/>
      <c r="BI1666" s="363"/>
      <c r="BJ1666" s="363"/>
      <c r="BK1666" s="363"/>
      <c r="BL1666" s="363"/>
      <c r="BM1666" s="355"/>
      <c r="BN1666" s="363"/>
      <c r="BO1666" s="363"/>
      <c r="BP1666" s="363"/>
      <c r="BQ1666" s="363"/>
      <c r="BR1666" s="363"/>
      <c r="BS1666" s="363"/>
      <c r="BT1666" s="429"/>
      <c r="BU1666" s="676"/>
      <c r="BV1666" s="310"/>
      <c r="BW1666" s="310"/>
      <c r="BX1666" s="291">
        <f t="shared" si="124"/>
        <v>0</v>
      </c>
      <c r="BY1666" s="344"/>
      <c r="BZ1666" s="347"/>
      <c r="CA1666" s="347"/>
    </row>
    <row r="1667" spans="1:84" ht="15" hidden="1" customHeight="1" x14ac:dyDescent="0.25">
      <c r="A1667" s="313">
        <f>STT</f>
        <v>31</v>
      </c>
      <c r="B1667" s="340" t="s">
        <v>345</v>
      </c>
      <c r="C1667" s="471" t="s">
        <v>1725</v>
      </c>
      <c r="D1667" s="392"/>
      <c r="E1667" s="392"/>
      <c r="F1667" s="392"/>
      <c r="G1667" s="392"/>
      <c r="H1667" s="392"/>
      <c r="I1667" s="392"/>
      <c r="J1667" s="392"/>
      <c r="K1667" s="392"/>
      <c r="L1667" s="392"/>
      <c r="M1667" s="392"/>
      <c r="N1667" s="392"/>
      <c r="O1667" s="392"/>
      <c r="P1667" s="392"/>
      <c r="Q1667" s="392"/>
      <c r="R1667" s="392"/>
      <c r="S1667" s="392"/>
      <c r="T1667" s="392"/>
      <c r="U1667" s="392"/>
      <c r="V1667" s="392"/>
      <c r="W1667" s="393"/>
      <c r="X1667" s="393"/>
      <c r="Y1667" s="393"/>
      <c r="Z1667" s="393"/>
      <c r="AA1667" s="393"/>
      <c r="AB1667" s="393"/>
      <c r="AC1667" s="343"/>
      <c r="AD1667" s="343"/>
      <c r="AE1667" s="343"/>
      <c r="AF1667" s="343"/>
      <c r="AG1667" s="343"/>
      <c r="AH1667" s="343"/>
      <c r="AI1667" s="343"/>
      <c r="AJ1667" s="344"/>
      <c r="AK1667" s="345">
        <f>A1667</f>
        <v>31</v>
      </c>
      <c r="AL1667" s="340"/>
      <c r="AM1667" s="471" t="s">
        <v>1726</v>
      </c>
      <c r="AN1667" s="392"/>
      <c r="AO1667" s="392"/>
      <c r="AP1667" s="392"/>
      <c r="AQ1667" s="392"/>
      <c r="AR1667" s="392"/>
      <c r="AS1667" s="392"/>
      <c r="AT1667" s="392"/>
      <c r="AU1667" s="392"/>
      <c r="AV1667" s="392"/>
      <c r="AW1667" s="392"/>
      <c r="AX1667" s="392"/>
      <c r="AY1667" s="392"/>
      <c r="AZ1667" s="392"/>
      <c r="BA1667" s="392"/>
      <c r="BB1667" s="392"/>
      <c r="BC1667" s="392"/>
      <c r="BD1667" s="392"/>
      <c r="BE1667" s="392"/>
      <c r="BF1667" s="392"/>
      <c r="BG1667" s="392"/>
      <c r="BH1667" s="392"/>
      <c r="BI1667" s="392"/>
      <c r="BJ1667" s="392"/>
      <c r="BK1667" s="392"/>
      <c r="BL1667" s="392"/>
      <c r="BM1667" s="342"/>
      <c r="BN1667" s="356"/>
      <c r="BO1667" s="356"/>
      <c r="BP1667" s="356"/>
      <c r="BQ1667" s="356"/>
      <c r="BR1667" s="356"/>
      <c r="BS1667" s="356"/>
      <c r="BT1667" s="356"/>
      <c r="BU1667" s="346">
        <f>SUBTOTAL(103,AK1667)</f>
        <v>0</v>
      </c>
      <c r="BV1667" s="310"/>
      <c r="BW1667" s="310"/>
      <c r="BX1667" s="291">
        <f t="shared" si="124"/>
        <v>0</v>
      </c>
      <c r="BY1667" s="344"/>
      <c r="BZ1667" s="347"/>
      <c r="CA1667" s="347"/>
    </row>
    <row r="1668" spans="1:84" ht="15" hidden="1" customHeight="1" x14ac:dyDescent="0.25">
      <c r="A1668" s="313"/>
      <c r="B1668" s="340"/>
      <c r="C1668" s="471"/>
      <c r="D1668" s="392"/>
      <c r="E1668" s="392"/>
      <c r="F1668" s="392"/>
      <c r="G1668" s="392"/>
      <c r="H1668" s="392"/>
      <c r="I1668" s="392"/>
      <c r="J1668" s="392"/>
      <c r="K1668" s="392"/>
      <c r="L1668" s="392"/>
      <c r="M1668" s="392"/>
      <c r="N1668" s="392"/>
      <c r="O1668" s="392"/>
      <c r="P1668" s="392"/>
      <c r="Q1668" s="392"/>
      <c r="R1668" s="392"/>
      <c r="S1668" s="392"/>
      <c r="T1668" s="392"/>
      <c r="U1668" s="392"/>
      <c r="V1668" s="392"/>
      <c r="W1668" s="393"/>
      <c r="X1668" s="393"/>
      <c r="Y1668" s="393"/>
      <c r="Z1668" s="393"/>
      <c r="AA1668" s="393"/>
      <c r="AB1668" s="393"/>
      <c r="AC1668" s="343"/>
      <c r="AD1668" s="343"/>
      <c r="AE1668" s="343"/>
      <c r="AF1668" s="343"/>
      <c r="AG1668" s="343"/>
      <c r="AH1668" s="343"/>
      <c r="AI1668" s="343"/>
      <c r="AJ1668" s="344"/>
      <c r="AK1668" s="345"/>
      <c r="AL1668" s="340"/>
      <c r="AM1668" s="471"/>
      <c r="AN1668" s="392"/>
      <c r="AO1668" s="392"/>
      <c r="AP1668" s="392"/>
      <c r="AQ1668" s="392"/>
      <c r="AR1668" s="392"/>
      <c r="AS1668" s="392"/>
      <c r="AT1668" s="392"/>
      <c r="AU1668" s="392"/>
      <c r="AV1668" s="392"/>
      <c r="AW1668" s="392"/>
      <c r="AX1668" s="392"/>
      <c r="AY1668" s="392"/>
      <c r="AZ1668" s="392"/>
      <c r="BA1668" s="392"/>
      <c r="BB1668" s="392"/>
      <c r="BC1668" s="392"/>
      <c r="BD1668" s="392"/>
      <c r="BE1668" s="392"/>
      <c r="BF1668" s="392"/>
      <c r="BG1668" s="392"/>
      <c r="BH1668" s="392"/>
      <c r="BI1668" s="392"/>
      <c r="BJ1668" s="392"/>
      <c r="BK1668" s="392"/>
      <c r="BL1668" s="392"/>
      <c r="BM1668" s="342"/>
      <c r="BN1668" s="356"/>
      <c r="BO1668" s="356"/>
      <c r="BP1668" s="356"/>
      <c r="BQ1668" s="356"/>
      <c r="BR1668" s="356"/>
      <c r="BS1668" s="356"/>
      <c r="BT1668" s="356"/>
      <c r="BU1668" s="346"/>
      <c r="BV1668" s="310"/>
      <c r="BW1668" s="310"/>
      <c r="BX1668" s="291">
        <f t="shared" si="124"/>
        <v>0</v>
      </c>
      <c r="BY1668" s="344"/>
      <c r="BZ1668" s="347"/>
      <c r="CA1668" s="347"/>
    </row>
    <row r="1669" spans="1:84" ht="15" hidden="1" customHeight="1" x14ac:dyDescent="0.25">
      <c r="A1669" s="313"/>
      <c r="B1669" s="340"/>
      <c r="C1669" s="471" t="s">
        <v>1727</v>
      </c>
      <c r="D1669" s="392"/>
      <c r="E1669" s="392"/>
      <c r="F1669" s="392"/>
      <c r="G1669" s="392"/>
      <c r="H1669" s="392"/>
      <c r="I1669" s="392"/>
      <c r="J1669" s="392"/>
      <c r="K1669" s="392"/>
      <c r="L1669" s="392"/>
      <c r="M1669" s="392"/>
      <c r="N1669" s="392"/>
      <c r="O1669" s="392"/>
      <c r="P1669" s="392"/>
      <c r="Q1669" s="392"/>
      <c r="R1669" s="392"/>
      <c r="S1669" s="392"/>
      <c r="T1669" s="392"/>
      <c r="U1669" s="392"/>
      <c r="V1669" s="392"/>
      <c r="W1669" s="393"/>
      <c r="X1669" s="393"/>
      <c r="Y1669" s="393"/>
      <c r="Z1669" s="393"/>
      <c r="AA1669" s="393"/>
      <c r="AB1669" s="393"/>
      <c r="AC1669" s="343"/>
      <c r="AD1669" s="343"/>
      <c r="AE1669" s="343"/>
      <c r="AF1669" s="343"/>
      <c r="AG1669" s="343"/>
      <c r="AH1669" s="343"/>
      <c r="AI1669" s="343"/>
      <c r="AJ1669" s="344"/>
      <c r="AK1669" s="345"/>
      <c r="AL1669" s="340"/>
      <c r="AM1669" s="471" t="s">
        <v>1728</v>
      </c>
      <c r="AN1669" s="392"/>
      <c r="AO1669" s="392"/>
      <c r="AP1669" s="392"/>
      <c r="AQ1669" s="392"/>
      <c r="AR1669" s="392"/>
      <c r="AS1669" s="392"/>
      <c r="AT1669" s="392"/>
      <c r="AU1669" s="392"/>
      <c r="AV1669" s="392"/>
      <c r="AW1669" s="392"/>
      <c r="AX1669" s="392"/>
      <c r="AY1669" s="392"/>
      <c r="AZ1669" s="392"/>
      <c r="BA1669" s="392"/>
      <c r="BB1669" s="392"/>
      <c r="BC1669" s="392"/>
      <c r="BD1669" s="392"/>
      <c r="BE1669" s="392"/>
      <c r="BF1669" s="392"/>
      <c r="BG1669" s="393"/>
      <c r="BH1669" s="393"/>
      <c r="BI1669" s="393"/>
      <c r="BJ1669" s="393"/>
      <c r="BK1669" s="393"/>
      <c r="BL1669" s="393"/>
      <c r="BM1669" s="343"/>
      <c r="BN1669" s="343"/>
      <c r="BO1669" s="343"/>
      <c r="BP1669" s="343"/>
      <c r="BQ1669" s="343"/>
      <c r="BR1669" s="343"/>
      <c r="BS1669" s="343"/>
      <c r="BT1669" s="356"/>
      <c r="BU1669" s="346"/>
      <c r="BV1669" s="310"/>
      <c r="BW1669" s="310"/>
      <c r="BX1669" s="291">
        <f t="shared" si="124"/>
        <v>0</v>
      </c>
      <c r="BY1669" s="344"/>
      <c r="BZ1669" s="347"/>
      <c r="CA1669" s="347"/>
    </row>
    <row r="1670" spans="1:84" ht="15" hidden="1" customHeight="1" x14ac:dyDescent="0.2">
      <c r="A1670" s="313"/>
      <c r="B1670" s="340"/>
      <c r="C1670" s="574"/>
      <c r="D1670" s="574"/>
      <c r="E1670" s="574"/>
      <c r="F1670" s="574"/>
      <c r="G1670" s="574"/>
      <c r="H1670" s="574"/>
      <c r="I1670" s="574"/>
      <c r="J1670" s="574"/>
      <c r="K1670" s="574"/>
      <c r="L1670" s="574"/>
      <c r="M1670" s="574"/>
      <c r="N1670" s="574"/>
      <c r="O1670" s="574"/>
      <c r="P1670" s="574"/>
      <c r="Q1670" s="574"/>
      <c r="R1670" s="574"/>
      <c r="S1670" s="574"/>
      <c r="T1670" s="574"/>
      <c r="U1670" s="574"/>
      <c r="V1670" s="342"/>
      <c r="W1670" s="1314" t="str">
        <f>Ky_Nay1_V</f>
        <v>31/12/2017</v>
      </c>
      <c r="X1670" s="1314"/>
      <c r="Y1670" s="1314"/>
      <c r="Z1670" s="1314"/>
      <c r="AA1670" s="1314"/>
      <c r="AB1670" s="1314"/>
      <c r="AC1670" s="351"/>
      <c r="AD1670" s="1314" t="str">
        <f>Ky_Truoc1_V</f>
        <v>01/01/2017</v>
      </c>
      <c r="AE1670" s="1314"/>
      <c r="AF1670" s="1314"/>
      <c r="AG1670" s="1314"/>
      <c r="AH1670" s="1314"/>
      <c r="AI1670" s="1314"/>
      <c r="AJ1670" s="344"/>
      <c r="AK1670" s="345"/>
      <c r="AL1670" s="340"/>
      <c r="AM1670" s="574"/>
      <c r="AN1670" s="574"/>
      <c r="AO1670" s="574"/>
      <c r="AP1670" s="574"/>
      <c r="AQ1670" s="574"/>
      <c r="AR1670" s="574"/>
      <c r="AS1670" s="574"/>
      <c r="AT1670" s="574"/>
      <c r="AU1670" s="574"/>
      <c r="AV1670" s="574"/>
      <c r="AW1670" s="574"/>
      <c r="AX1670" s="574"/>
      <c r="AY1670" s="574"/>
      <c r="AZ1670" s="574"/>
      <c r="BA1670" s="574"/>
      <c r="BB1670" s="574"/>
      <c r="BC1670" s="574"/>
      <c r="BD1670" s="574"/>
      <c r="BE1670" s="574"/>
      <c r="BF1670" s="342"/>
      <c r="BG1670" s="1314" t="str">
        <f>Ky_Nay1_E</f>
        <v>31/12/2017</v>
      </c>
      <c r="BH1670" s="1314"/>
      <c r="BI1670" s="1314"/>
      <c r="BJ1670" s="1314"/>
      <c r="BK1670" s="1314"/>
      <c r="BL1670" s="1314"/>
      <c r="BM1670" s="351"/>
      <c r="BN1670" s="1314" t="str">
        <f>Ky_Truoc1_E</f>
        <v>01/01/2017</v>
      </c>
      <c r="BO1670" s="1314"/>
      <c r="BP1670" s="1314"/>
      <c r="BQ1670" s="1314"/>
      <c r="BR1670" s="1314"/>
      <c r="BS1670" s="1314"/>
      <c r="BT1670" s="352"/>
      <c r="BU1670" s="353"/>
      <c r="BV1670" s="310"/>
      <c r="BW1670" s="310"/>
      <c r="BX1670" s="291">
        <f t="shared" si="124"/>
        <v>0</v>
      </c>
      <c r="BY1670" s="344"/>
      <c r="BZ1670" s="347"/>
      <c r="CA1670" s="347"/>
    </row>
    <row r="1671" spans="1:84" ht="15" hidden="1" customHeight="1" x14ac:dyDescent="0.25">
      <c r="A1671" s="313"/>
      <c r="B1671" s="340"/>
      <c r="C1671" s="728"/>
      <c r="D1671" s="728"/>
      <c r="E1671" s="728"/>
      <c r="F1671" s="728"/>
      <c r="G1671" s="728"/>
      <c r="H1671" s="728"/>
      <c r="I1671" s="728"/>
      <c r="J1671" s="728"/>
      <c r="K1671" s="728"/>
      <c r="L1671" s="728"/>
      <c r="M1671" s="728"/>
      <c r="N1671" s="728"/>
      <c r="O1671" s="728"/>
      <c r="P1671" s="728"/>
      <c r="Q1671" s="728"/>
      <c r="R1671" s="728"/>
      <c r="S1671" s="728"/>
      <c r="T1671" s="728"/>
      <c r="U1671" s="728"/>
      <c r="V1671" s="342"/>
      <c r="W1671" s="1327" t="str">
        <f>Don_Vi_Tinh_V</f>
        <v>VND</v>
      </c>
      <c r="X1671" s="1327"/>
      <c r="Y1671" s="1327"/>
      <c r="Z1671" s="1327"/>
      <c r="AA1671" s="1327"/>
      <c r="AB1671" s="1327"/>
      <c r="AC1671" s="351"/>
      <c r="AD1671" s="1327" t="str">
        <f>Don_Vi_Tinh_V</f>
        <v>VND</v>
      </c>
      <c r="AE1671" s="1327"/>
      <c r="AF1671" s="1327"/>
      <c r="AG1671" s="1327"/>
      <c r="AH1671" s="1327"/>
      <c r="AI1671" s="1327"/>
      <c r="AJ1671" s="344"/>
      <c r="AK1671" s="345"/>
      <c r="AL1671" s="340"/>
      <c r="AM1671" s="728"/>
      <c r="AN1671" s="728"/>
      <c r="AO1671" s="728"/>
      <c r="AP1671" s="728"/>
      <c r="AQ1671" s="728"/>
      <c r="AR1671" s="728"/>
      <c r="AS1671" s="728"/>
      <c r="AT1671" s="728"/>
      <c r="AU1671" s="728"/>
      <c r="AV1671" s="728"/>
      <c r="AW1671" s="728"/>
      <c r="AX1671" s="728"/>
      <c r="AY1671" s="728"/>
      <c r="AZ1671" s="728"/>
      <c r="BA1671" s="728"/>
      <c r="BB1671" s="728"/>
      <c r="BC1671" s="728"/>
      <c r="BD1671" s="728"/>
      <c r="BE1671" s="728"/>
      <c r="BF1671" s="342"/>
      <c r="BG1671" s="1327" t="str">
        <f>Don_Vi_Tinh_E</f>
        <v>VND</v>
      </c>
      <c r="BH1671" s="1327"/>
      <c r="BI1671" s="1327"/>
      <c r="BJ1671" s="1327"/>
      <c r="BK1671" s="1327"/>
      <c r="BL1671" s="1327"/>
      <c r="BM1671" s="351"/>
      <c r="BN1671" s="1327" t="str">
        <f>Don_Vi_Tinh_E</f>
        <v>VND</v>
      </c>
      <c r="BO1671" s="1327"/>
      <c r="BP1671" s="1327"/>
      <c r="BQ1671" s="1327"/>
      <c r="BR1671" s="1327"/>
      <c r="BS1671" s="1327"/>
      <c r="BT1671" s="352"/>
      <c r="BU1671" s="353"/>
      <c r="BV1671" s="310"/>
      <c r="BW1671" s="310"/>
      <c r="BX1671" s="291">
        <f t="shared" si="124"/>
        <v>0</v>
      </c>
      <c r="BY1671" s="344"/>
      <c r="BZ1671" s="347"/>
      <c r="CA1671" s="347"/>
    </row>
    <row r="1672" spans="1:84" ht="15" hidden="1" customHeight="1" x14ac:dyDescent="0.25">
      <c r="A1672" s="313"/>
      <c r="B1672" s="340"/>
      <c r="C1672" s="728"/>
      <c r="D1672" s="728"/>
      <c r="E1672" s="728"/>
      <c r="F1672" s="728"/>
      <c r="G1672" s="728"/>
      <c r="H1672" s="728"/>
      <c r="I1672" s="728"/>
      <c r="J1672" s="728"/>
      <c r="K1672" s="728"/>
      <c r="L1672" s="728"/>
      <c r="M1672" s="728"/>
      <c r="N1672" s="728"/>
      <c r="O1672" s="728"/>
      <c r="P1672" s="728"/>
      <c r="Q1672" s="728"/>
      <c r="R1672" s="728"/>
      <c r="S1672" s="728"/>
      <c r="T1672" s="728"/>
      <c r="U1672" s="728"/>
      <c r="V1672" s="342"/>
      <c r="W1672" s="372"/>
      <c r="X1672" s="372"/>
      <c r="Y1672" s="372"/>
      <c r="Z1672" s="372"/>
      <c r="AA1672" s="372"/>
      <c r="AB1672" s="372"/>
      <c r="AC1672" s="351"/>
      <c r="AD1672" s="372"/>
      <c r="AE1672" s="372"/>
      <c r="AF1672" s="372"/>
      <c r="AG1672" s="372"/>
      <c r="AH1672" s="372"/>
      <c r="AI1672" s="372"/>
      <c r="AJ1672" s="344"/>
      <c r="AK1672" s="345"/>
      <c r="AL1672" s="340"/>
      <c r="AM1672" s="728"/>
      <c r="AN1672" s="728"/>
      <c r="AO1672" s="728"/>
      <c r="AP1672" s="728"/>
      <c r="AQ1672" s="728"/>
      <c r="AR1672" s="728"/>
      <c r="AS1672" s="728"/>
      <c r="AT1672" s="728"/>
      <c r="AU1672" s="728"/>
      <c r="AV1672" s="728"/>
      <c r="AW1672" s="728"/>
      <c r="AX1672" s="728"/>
      <c r="AY1672" s="728"/>
      <c r="AZ1672" s="728"/>
      <c r="BA1672" s="728"/>
      <c r="BB1672" s="728"/>
      <c r="BC1672" s="728"/>
      <c r="BD1672" s="728"/>
      <c r="BE1672" s="728"/>
      <c r="BF1672" s="342"/>
      <c r="BG1672" s="372"/>
      <c r="BH1672" s="372"/>
      <c r="BI1672" s="372"/>
      <c r="BJ1672" s="372"/>
      <c r="BK1672" s="372"/>
      <c r="BL1672" s="372"/>
      <c r="BM1672" s="351"/>
      <c r="BN1672" s="372"/>
      <c r="BO1672" s="372"/>
      <c r="BP1672" s="372"/>
      <c r="BQ1672" s="372"/>
      <c r="BR1672" s="372"/>
      <c r="BS1672" s="372"/>
      <c r="BT1672" s="352"/>
      <c r="BU1672" s="353"/>
      <c r="BV1672" s="310"/>
      <c r="BW1672" s="310"/>
      <c r="BX1672" s="291">
        <f t="shared" si="124"/>
        <v>0</v>
      </c>
      <c r="BY1672" s="344"/>
      <c r="BZ1672" s="347"/>
      <c r="CA1672" s="347"/>
    </row>
    <row r="1673" spans="1:84" s="423" customFormat="1" ht="27.95" hidden="1" customHeight="1" x14ac:dyDescent="0.25">
      <c r="A1673" s="313"/>
      <c r="B1673" s="340"/>
      <c r="C1673" s="1347" t="s">
        <v>1729</v>
      </c>
      <c r="D1673" s="1347"/>
      <c r="E1673" s="1347"/>
      <c r="F1673" s="1347"/>
      <c r="G1673" s="1347"/>
      <c r="H1673" s="1347"/>
      <c r="I1673" s="1347"/>
      <c r="J1673" s="1347"/>
      <c r="K1673" s="1347"/>
      <c r="L1673" s="1347"/>
      <c r="M1673" s="1347"/>
      <c r="N1673" s="1347"/>
      <c r="O1673" s="1347"/>
      <c r="P1673" s="1347"/>
      <c r="Q1673" s="1347"/>
      <c r="R1673" s="1347"/>
      <c r="S1673" s="1347"/>
      <c r="T1673" s="1347"/>
      <c r="U1673" s="1347"/>
      <c r="V1673" s="690"/>
      <c r="W1673" s="1375">
        <v>0</v>
      </c>
      <c r="X1673" s="1375"/>
      <c r="Y1673" s="1375"/>
      <c r="Z1673" s="1375"/>
      <c r="AA1673" s="1375"/>
      <c r="AB1673" s="1375"/>
      <c r="AC1673" s="355"/>
      <c r="AD1673" s="1375">
        <v>0</v>
      </c>
      <c r="AE1673" s="1375"/>
      <c r="AF1673" s="1375"/>
      <c r="AG1673" s="1375"/>
      <c r="AH1673" s="1375"/>
      <c r="AI1673" s="1375"/>
      <c r="AJ1673" s="342"/>
      <c r="AK1673" s="345"/>
      <c r="AL1673" s="340"/>
      <c r="AM1673" s="1347" t="s">
        <v>1730</v>
      </c>
      <c r="AN1673" s="1347"/>
      <c r="AO1673" s="1347"/>
      <c r="AP1673" s="1347"/>
      <c r="AQ1673" s="1347"/>
      <c r="AR1673" s="1347"/>
      <c r="AS1673" s="1347"/>
      <c r="AT1673" s="1347"/>
      <c r="AU1673" s="1347"/>
      <c r="AV1673" s="1347"/>
      <c r="AW1673" s="1347"/>
      <c r="AX1673" s="1347"/>
      <c r="AY1673" s="1347"/>
      <c r="AZ1673" s="1347"/>
      <c r="BA1673" s="1347"/>
      <c r="BB1673" s="1347"/>
      <c r="BC1673" s="1347"/>
      <c r="BD1673" s="1347"/>
      <c r="BE1673" s="1347"/>
      <c r="BF1673" s="690"/>
      <c r="BG1673" s="1375">
        <f>W1673</f>
        <v>0</v>
      </c>
      <c r="BH1673" s="1375"/>
      <c r="BI1673" s="1375"/>
      <c r="BJ1673" s="1375"/>
      <c r="BK1673" s="1375"/>
      <c r="BL1673" s="1375"/>
      <c r="BM1673" s="355"/>
      <c r="BN1673" s="1375">
        <f>AD1673</f>
        <v>0</v>
      </c>
      <c r="BO1673" s="1375"/>
      <c r="BP1673" s="1375"/>
      <c r="BQ1673" s="1375"/>
      <c r="BR1673" s="1375"/>
      <c r="BS1673" s="1375"/>
      <c r="BT1673" s="352"/>
      <c r="BU1673" s="353"/>
      <c r="BV1673" s="310"/>
      <c r="BW1673" s="310"/>
      <c r="BX1673" s="300">
        <f t="shared" si="124"/>
        <v>0</v>
      </c>
      <c r="BY1673" s="342"/>
      <c r="BZ1673" s="438"/>
      <c r="CA1673" s="438"/>
      <c r="CB1673" s="439"/>
      <c r="CC1673" s="439"/>
      <c r="CD1673" s="439"/>
      <c r="CE1673" s="439"/>
      <c r="CF1673" s="439"/>
    </row>
    <row r="1674" spans="1:84" ht="27.95" hidden="1" customHeight="1" x14ac:dyDescent="0.25">
      <c r="A1674" s="313"/>
      <c r="B1674" s="340"/>
      <c r="C1674" s="1347" t="s">
        <v>1731</v>
      </c>
      <c r="D1674" s="1347"/>
      <c r="E1674" s="1347"/>
      <c r="F1674" s="1347"/>
      <c r="G1674" s="1347"/>
      <c r="H1674" s="1347"/>
      <c r="I1674" s="1347"/>
      <c r="J1674" s="1347"/>
      <c r="K1674" s="1347"/>
      <c r="L1674" s="1347"/>
      <c r="M1674" s="1347"/>
      <c r="N1674" s="1347"/>
      <c r="O1674" s="1347"/>
      <c r="P1674" s="1347"/>
      <c r="Q1674" s="1347"/>
      <c r="R1674" s="1347"/>
      <c r="S1674" s="1347"/>
      <c r="T1674" s="1347"/>
      <c r="U1674" s="1347"/>
      <c r="V1674" s="690"/>
      <c r="W1674" s="1318">
        <v>0</v>
      </c>
      <c r="X1674" s="1318"/>
      <c r="Y1674" s="1318"/>
      <c r="Z1674" s="1318"/>
      <c r="AA1674" s="1318"/>
      <c r="AB1674" s="1318"/>
      <c r="AC1674" s="355"/>
      <c r="AD1674" s="1318">
        <v>0</v>
      </c>
      <c r="AE1674" s="1318"/>
      <c r="AF1674" s="1318"/>
      <c r="AG1674" s="1318"/>
      <c r="AH1674" s="1318"/>
      <c r="AI1674" s="1318"/>
      <c r="AJ1674" s="344"/>
      <c r="AK1674" s="345"/>
      <c r="AL1674" s="340"/>
      <c r="AM1674" s="1347" t="s">
        <v>1732</v>
      </c>
      <c r="AN1674" s="1347"/>
      <c r="AO1674" s="1347"/>
      <c r="AP1674" s="1347"/>
      <c r="AQ1674" s="1347"/>
      <c r="AR1674" s="1347"/>
      <c r="AS1674" s="1347"/>
      <c r="AT1674" s="1347"/>
      <c r="AU1674" s="1347"/>
      <c r="AV1674" s="1347"/>
      <c r="AW1674" s="1347"/>
      <c r="AX1674" s="1347"/>
      <c r="AY1674" s="1347"/>
      <c r="AZ1674" s="1347"/>
      <c r="BA1674" s="1347"/>
      <c r="BB1674" s="1347"/>
      <c r="BC1674" s="1347"/>
      <c r="BD1674" s="1347"/>
      <c r="BE1674" s="1347"/>
      <c r="BF1674" s="690"/>
      <c r="BG1674" s="1318">
        <f>W1674</f>
        <v>0</v>
      </c>
      <c r="BH1674" s="1318"/>
      <c r="BI1674" s="1318"/>
      <c r="BJ1674" s="1318"/>
      <c r="BK1674" s="1318"/>
      <c r="BL1674" s="1318"/>
      <c r="BM1674" s="355"/>
      <c r="BN1674" s="1318">
        <f>AD1674</f>
        <v>0</v>
      </c>
      <c r="BO1674" s="1318"/>
      <c r="BP1674" s="1318"/>
      <c r="BQ1674" s="1318"/>
      <c r="BR1674" s="1318"/>
      <c r="BS1674" s="1318"/>
      <c r="BT1674" s="352"/>
      <c r="BU1674" s="353"/>
      <c r="BV1674" s="310"/>
      <c r="BW1674" s="310"/>
      <c r="BX1674" s="291">
        <f t="shared" si="124"/>
        <v>0</v>
      </c>
      <c r="BY1674" s="344"/>
      <c r="BZ1674" s="347"/>
      <c r="CA1674" s="347"/>
    </row>
    <row r="1675" spans="1:84" ht="27.95" hidden="1" customHeight="1" x14ac:dyDescent="0.25">
      <c r="A1675" s="313"/>
      <c r="B1675" s="340"/>
      <c r="C1675" s="1347" t="s">
        <v>1733</v>
      </c>
      <c r="D1675" s="1347"/>
      <c r="E1675" s="1347"/>
      <c r="F1675" s="1347"/>
      <c r="G1675" s="1347"/>
      <c r="H1675" s="1347"/>
      <c r="I1675" s="1347"/>
      <c r="J1675" s="1347"/>
      <c r="K1675" s="1347"/>
      <c r="L1675" s="1347"/>
      <c r="M1675" s="1347"/>
      <c r="N1675" s="1347"/>
      <c r="O1675" s="1347"/>
      <c r="P1675" s="1347"/>
      <c r="Q1675" s="1347"/>
      <c r="R1675" s="1347"/>
      <c r="S1675" s="1347"/>
      <c r="T1675" s="1347"/>
      <c r="U1675" s="1347"/>
      <c r="V1675" s="690"/>
      <c r="W1675" s="1318">
        <v>0</v>
      </c>
      <c r="X1675" s="1318"/>
      <c r="Y1675" s="1318"/>
      <c r="Z1675" s="1318"/>
      <c r="AA1675" s="1318"/>
      <c r="AB1675" s="1318"/>
      <c r="AC1675" s="355"/>
      <c r="AD1675" s="1318">
        <v>0</v>
      </c>
      <c r="AE1675" s="1318"/>
      <c r="AF1675" s="1318"/>
      <c r="AG1675" s="1318"/>
      <c r="AH1675" s="1318"/>
      <c r="AI1675" s="1318"/>
      <c r="AJ1675" s="344"/>
      <c r="AK1675" s="345"/>
      <c r="AL1675" s="340"/>
      <c r="AM1675" s="1347" t="s">
        <v>1734</v>
      </c>
      <c r="AN1675" s="1347"/>
      <c r="AO1675" s="1347"/>
      <c r="AP1675" s="1347"/>
      <c r="AQ1675" s="1347"/>
      <c r="AR1675" s="1347"/>
      <c r="AS1675" s="1347"/>
      <c r="AT1675" s="1347"/>
      <c r="AU1675" s="1347"/>
      <c r="AV1675" s="1347"/>
      <c r="AW1675" s="1347"/>
      <c r="AX1675" s="1347"/>
      <c r="AY1675" s="1347"/>
      <c r="AZ1675" s="1347"/>
      <c r="BA1675" s="1347"/>
      <c r="BB1675" s="1347"/>
      <c r="BC1675" s="1347"/>
      <c r="BD1675" s="1347"/>
      <c r="BE1675" s="1347"/>
      <c r="BF1675" s="690"/>
      <c r="BG1675" s="1318">
        <f>W1675</f>
        <v>0</v>
      </c>
      <c r="BH1675" s="1318"/>
      <c r="BI1675" s="1318"/>
      <c r="BJ1675" s="1318"/>
      <c r="BK1675" s="1318"/>
      <c r="BL1675" s="1318"/>
      <c r="BM1675" s="355"/>
      <c r="BN1675" s="1318">
        <f>AD1675</f>
        <v>0</v>
      </c>
      <c r="BO1675" s="1318"/>
      <c r="BP1675" s="1318"/>
      <c r="BQ1675" s="1318"/>
      <c r="BR1675" s="1318"/>
      <c r="BS1675" s="1318"/>
      <c r="BT1675" s="356"/>
      <c r="BU1675" s="357"/>
      <c r="BV1675" s="310"/>
      <c r="BW1675" s="310"/>
      <c r="BX1675" s="291">
        <f t="shared" si="124"/>
        <v>0</v>
      </c>
      <c r="BY1675" s="344"/>
      <c r="BZ1675" s="347"/>
      <c r="CA1675" s="347"/>
    </row>
    <row r="1676" spans="1:84" ht="27.95" hidden="1" customHeight="1" x14ac:dyDescent="0.25">
      <c r="A1676" s="313"/>
      <c r="B1676" s="340"/>
      <c r="C1676" s="1347" t="s">
        <v>1735</v>
      </c>
      <c r="D1676" s="1347"/>
      <c r="E1676" s="1347"/>
      <c r="F1676" s="1347"/>
      <c r="G1676" s="1347"/>
      <c r="H1676" s="1347"/>
      <c r="I1676" s="1347"/>
      <c r="J1676" s="1347"/>
      <c r="K1676" s="1347"/>
      <c r="L1676" s="1347"/>
      <c r="M1676" s="1347"/>
      <c r="N1676" s="1347"/>
      <c r="O1676" s="1347"/>
      <c r="P1676" s="1347"/>
      <c r="Q1676" s="1347"/>
      <c r="R1676" s="1347"/>
      <c r="S1676" s="1347"/>
      <c r="T1676" s="1347"/>
      <c r="U1676" s="1347"/>
      <c r="V1676" s="690"/>
      <c r="W1676" s="1318">
        <v>0</v>
      </c>
      <c r="X1676" s="1318"/>
      <c r="Y1676" s="1318"/>
      <c r="Z1676" s="1318"/>
      <c r="AA1676" s="1318"/>
      <c r="AB1676" s="1318"/>
      <c r="AC1676" s="355"/>
      <c r="AD1676" s="1318">
        <v>0</v>
      </c>
      <c r="AE1676" s="1318"/>
      <c r="AF1676" s="1318"/>
      <c r="AG1676" s="1318"/>
      <c r="AH1676" s="1318"/>
      <c r="AI1676" s="1318"/>
      <c r="AJ1676" s="344"/>
      <c r="AK1676" s="345"/>
      <c r="AL1676" s="340"/>
      <c r="AM1676" s="1347" t="s">
        <v>1736</v>
      </c>
      <c r="AN1676" s="1347"/>
      <c r="AO1676" s="1347"/>
      <c r="AP1676" s="1347"/>
      <c r="AQ1676" s="1347"/>
      <c r="AR1676" s="1347"/>
      <c r="AS1676" s="1347"/>
      <c r="AT1676" s="1347"/>
      <c r="AU1676" s="1347"/>
      <c r="AV1676" s="1347"/>
      <c r="AW1676" s="1347"/>
      <c r="AX1676" s="1347"/>
      <c r="AY1676" s="1347"/>
      <c r="AZ1676" s="1347"/>
      <c r="BA1676" s="1347"/>
      <c r="BB1676" s="1347"/>
      <c r="BC1676" s="1347"/>
      <c r="BD1676" s="1347"/>
      <c r="BE1676" s="1347"/>
      <c r="BF1676" s="690"/>
      <c r="BG1676" s="1318">
        <f>W1676</f>
        <v>0</v>
      </c>
      <c r="BH1676" s="1318"/>
      <c r="BI1676" s="1318"/>
      <c r="BJ1676" s="1318"/>
      <c r="BK1676" s="1318"/>
      <c r="BL1676" s="1318"/>
      <c r="BM1676" s="355"/>
      <c r="BN1676" s="1318">
        <f>AD1676</f>
        <v>0</v>
      </c>
      <c r="BO1676" s="1318"/>
      <c r="BP1676" s="1318"/>
      <c r="BQ1676" s="1318"/>
      <c r="BR1676" s="1318"/>
      <c r="BS1676" s="1318"/>
      <c r="BT1676" s="359"/>
      <c r="BU1676" s="346"/>
      <c r="BV1676" s="310"/>
      <c r="BW1676" s="310"/>
      <c r="BX1676" s="291">
        <f t="shared" si="124"/>
        <v>0</v>
      </c>
      <c r="BY1676" s="344"/>
      <c r="BZ1676" s="347"/>
      <c r="CA1676" s="347"/>
    </row>
    <row r="1677" spans="1:84" ht="15" hidden="1" customHeight="1" x14ac:dyDescent="0.25">
      <c r="A1677" s="313"/>
      <c r="B1677" s="340"/>
      <c r="C1677" s="1347" t="s">
        <v>1737</v>
      </c>
      <c r="D1677" s="1347"/>
      <c r="E1677" s="1347"/>
      <c r="F1677" s="1347"/>
      <c r="G1677" s="1347"/>
      <c r="H1677" s="1347"/>
      <c r="I1677" s="1347"/>
      <c r="J1677" s="1347"/>
      <c r="K1677" s="1347"/>
      <c r="L1677" s="1347"/>
      <c r="M1677" s="1347"/>
      <c r="N1677" s="1347"/>
      <c r="O1677" s="1347"/>
      <c r="P1677" s="1347"/>
      <c r="Q1677" s="1347"/>
      <c r="R1677" s="1347"/>
      <c r="S1677" s="1347"/>
      <c r="T1677" s="1347"/>
      <c r="U1677" s="1347"/>
      <c r="V1677" s="690"/>
      <c r="W1677" s="1318">
        <v>0</v>
      </c>
      <c r="X1677" s="1318"/>
      <c r="Y1677" s="1318"/>
      <c r="Z1677" s="1318"/>
      <c r="AA1677" s="1318"/>
      <c r="AB1677" s="1318"/>
      <c r="AC1677" s="355"/>
      <c r="AD1677" s="1318">
        <v>0</v>
      </c>
      <c r="AE1677" s="1318"/>
      <c r="AF1677" s="1318"/>
      <c r="AG1677" s="1318"/>
      <c r="AH1677" s="1318"/>
      <c r="AI1677" s="1318"/>
      <c r="AJ1677" s="344"/>
      <c r="AK1677" s="345"/>
      <c r="AL1677" s="340"/>
      <c r="AM1677" s="1347" t="s">
        <v>1738</v>
      </c>
      <c r="AN1677" s="1347"/>
      <c r="AO1677" s="1347"/>
      <c r="AP1677" s="1347"/>
      <c r="AQ1677" s="1347"/>
      <c r="AR1677" s="1347"/>
      <c r="AS1677" s="1347"/>
      <c r="AT1677" s="1347"/>
      <c r="AU1677" s="1347"/>
      <c r="AV1677" s="1347"/>
      <c r="AW1677" s="1347"/>
      <c r="AX1677" s="1347"/>
      <c r="AY1677" s="1347"/>
      <c r="AZ1677" s="1347"/>
      <c r="BA1677" s="1347"/>
      <c r="BB1677" s="1347"/>
      <c r="BC1677" s="1347"/>
      <c r="BD1677" s="1347"/>
      <c r="BE1677" s="1347"/>
      <c r="BF1677" s="690"/>
      <c r="BG1677" s="1318">
        <f>W1677</f>
        <v>0</v>
      </c>
      <c r="BH1677" s="1318"/>
      <c r="BI1677" s="1318"/>
      <c r="BJ1677" s="1318"/>
      <c r="BK1677" s="1318"/>
      <c r="BL1677" s="1318"/>
      <c r="BM1677" s="355"/>
      <c r="BN1677" s="1318">
        <f>AD1677</f>
        <v>0</v>
      </c>
      <c r="BO1677" s="1318"/>
      <c r="BP1677" s="1318"/>
      <c r="BQ1677" s="1318"/>
      <c r="BR1677" s="1318"/>
      <c r="BS1677" s="1318"/>
      <c r="BT1677" s="359"/>
      <c r="BU1677" s="346"/>
      <c r="BV1677" s="310"/>
      <c r="BW1677" s="310"/>
      <c r="BX1677" s="291">
        <f t="shared" si="124"/>
        <v>0</v>
      </c>
      <c r="BY1677" s="344"/>
      <c r="BZ1677" s="347"/>
      <c r="CA1677" s="347"/>
    </row>
    <row r="1678" spans="1:84" ht="15" hidden="1" customHeight="1" x14ac:dyDescent="0.25">
      <c r="A1678" s="313"/>
      <c r="B1678" s="340"/>
      <c r="C1678" s="342"/>
      <c r="D1678" s="429"/>
      <c r="E1678" s="342"/>
      <c r="F1678" s="342"/>
      <c r="G1678" s="342"/>
      <c r="H1678" s="342"/>
      <c r="I1678" s="342"/>
      <c r="J1678" s="342"/>
      <c r="K1678" s="342"/>
      <c r="L1678" s="342"/>
      <c r="M1678" s="342"/>
      <c r="N1678" s="342"/>
      <c r="O1678" s="342"/>
      <c r="P1678" s="342"/>
      <c r="Q1678" s="342"/>
      <c r="R1678" s="342"/>
      <c r="S1678" s="342"/>
      <c r="T1678" s="342"/>
      <c r="U1678" s="342"/>
      <c r="V1678" s="342"/>
      <c r="W1678" s="1318"/>
      <c r="X1678" s="1318"/>
      <c r="Y1678" s="1318"/>
      <c r="Z1678" s="1318"/>
      <c r="AA1678" s="1318"/>
      <c r="AB1678" s="1318"/>
      <c r="AC1678" s="355"/>
      <c r="AD1678" s="1318"/>
      <c r="AE1678" s="1318"/>
      <c r="AF1678" s="1318"/>
      <c r="AG1678" s="1318"/>
      <c r="AH1678" s="1318"/>
      <c r="AI1678" s="1318"/>
      <c r="AJ1678" s="344"/>
      <c r="AK1678" s="345"/>
      <c r="AL1678" s="340"/>
      <c r="AM1678" s="342"/>
      <c r="AN1678" s="429"/>
      <c r="AO1678" s="342"/>
      <c r="AP1678" s="342"/>
      <c r="AQ1678" s="342"/>
      <c r="AR1678" s="342"/>
      <c r="AS1678" s="342"/>
      <c r="AT1678" s="342"/>
      <c r="AU1678" s="342"/>
      <c r="AV1678" s="342"/>
      <c r="AW1678" s="342"/>
      <c r="AX1678" s="342"/>
      <c r="AY1678" s="342"/>
      <c r="AZ1678" s="342"/>
      <c r="BA1678" s="342"/>
      <c r="BB1678" s="342"/>
      <c r="BC1678" s="342"/>
      <c r="BD1678" s="342"/>
      <c r="BE1678" s="342"/>
      <c r="BF1678" s="342"/>
      <c r="BG1678" s="1318"/>
      <c r="BH1678" s="1318"/>
      <c r="BI1678" s="1318"/>
      <c r="BJ1678" s="1318"/>
      <c r="BK1678" s="1318"/>
      <c r="BL1678" s="1318"/>
      <c r="BM1678" s="355"/>
      <c r="BN1678" s="1318"/>
      <c r="BO1678" s="1318"/>
      <c r="BP1678" s="1318"/>
      <c r="BQ1678" s="1318"/>
      <c r="BR1678" s="1318"/>
      <c r="BS1678" s="1318"/>
      <c r="BT1678" s="359"/>
      <c r="BU1678" s="346"/>
      <c r="BV1678" s="310"/>
      <c r="BW1678" s="310"/>
      <c r="BX1678" s="291">
        <f t="shared" si="124"/>
        <v>0</v>
      </c>
      <c r="BY1678" s="344"/>
      <c r="BZ1678" s="347"/>
      <c r="CA1678" s="347"/>
    </row>
    <row r="1679" spans="1:84" s="423" customFormat="1" ht="15" hidden="1" customHeight="1" thickBot="1" x14ac:dyDescent="0.3">
      <c r="A1679" s="313"/>
      <c r="B1679" s="340"/>
      <c r="C1679" s="340" t="s">
        <v>1739</v>
      </c>
      <c r="D1679" s="429"/>
      <c r="E1679" s="342"/>
      <c r="F1679" s="342"/>
      <c r="G1679" s="342"/>
      <c r="H1679" s="342"/>
      <c r="I1679" s="342"/>
      <c r="J1679" s="342"/>
      <c r="K1679" s="342"/>
      <c r="L1679" s="342"/>
      <c r="M1679" s="342"/>
      <c r="N1679" s="342"/>
      <c r="O1679" s="342"/>
      <c r="P1679" s="342"/>
      <c r="Q1679" s="342"/>
      <c r="R1679" s="342"/>
      <c r="S1679" s="342"/>
      <c r="T1679" s="342"/>
      <c r="U1679" s="342"/>
      <c r="V1679" s="342"/>
      <c r="W1679" s="1359">
        <f>SUBTOTAL(109,W1674:AB1677)</f>
        <v>0</v>
      </c>
      <c r="X1679" s="1359"/>
      <c r="Y1679" s="1359"/>
      <c r="Z1679" s="1359"/>
      <c r="AA1679" s="1359"/>
      <c r="AB1679" s="1359"/>
      <c r="AC1679" s="355"/>
      <c r="AD1679" s="1359">
        <f>SUBTOTAL(109,AD1674:AI1677)</f>
        <v>0</v>
      </c>
      <c r="AE1679" s="1359"/>
      <c r="AF1679" s="1359"/>
      <c r="AG1679" s="1359"/>
      <c r="AH1679" s="1359"/>
      <c r="AI1679" s="1359"/>
      <c r="AJ1679" s="342"/>
      <c r="AK1679" s="345"/>
      <c r="AL1679" s="340"/>
      <c r="AM1679" s="340" t="s">
        <v>1740</v>
      </c>
      <c r="AN1679" s="429"/>
      <c r="AO1679" s="342"/>
      <c r="AP1679" s="342"/>
      <c r="AQ1679" s="342"/>
      <c r="AR1679" s="342"/>
      <c r="AS1679" s="342"/>
      <c r="AT1679" s="342"/>
      <c r="AU1679" s="342"/>
      <c r="AV1679" s="342"/>
      <c r="AW1679" s="342"/>
      <c r="AX1679" s="342"/>
      <c r="AY1679" s="342"/>
      <c r="AZ1679" s="342"/>
      <c r="BA1679" s="342"/>
      <c r="BB1679" s="342"/>
      <c r="BC1679" s="342"/>
      <c r="BD1679" s="342"/>
      <c r="BE1679" s="342"/>
      <c r="BF1679" s="342"/>
      <c r="BG1679" s="1359">
        <f>SUBTOTAL(109,BG1674:BL1677)</f>
        <v>0</v>
      </c>
      <c r="BH1679" s="1359"/>
      <c r="BI1679" s="1359"/>
      <c r="BJ1679" s="1359"/>
      <c r="BK1679" s="1359"/>
      <c r="BL1679" s="1359"/>
      <c r="BM1679" s="355"/>
      <c r="BN1679" s="1359">
        <f>SUBTOTAL(109,BN1674:BS1677)</f>
        <v>0</v>
      </c>
      <c r="BO1679" s="1359"/>
      <c r="BP1679" s="1359"/>
      <c r="BQ1679" s="1359"/>
      <c r="BR1679" s="1359"/>
      <c r="BS1679" s="1359"/>
      <c r="BT1679" s="359"/>
      <c r="BU1679" s="346"/>
      <c r="BV1679" s="310">
        <f>W1679-KN_CT262</f>
        <v>0</v>
      </c>
      <c r="BW1679" s="310">
        <f>AD1679-KT_CT262</f>
        <v>0</v>
      </c>
      <c r="BX1679" s="300">
        <f t="shared" si="124"/>
        <v>0</v>
      </c>
      <c r="BY1679" s="342"/>
      <c r="BZ1679" s="438"/>
      <c r="CA1679" s="438"/>
      <c r="CB1679" s="439"/>
      <c r="CC1679" s="439"/>
      <c r="CD1679" s="439"/>
      <c r="CE1679" s="439"/>
      <c r="CF1679" s="439"/>
    </row>
    <row r="1680" spans="1:84" ht="15" hidden="1" customHeight="1" thickTop="1" x14ac:dyDescent="0.25">
      <c r="A1680" s="313"/>
      <c r="B1680" s="340"/>
      <c r="C1680" s="388"/>
      <c r="D1680" s="373"/>
      <c r="E1680" s="373"/>
      <c r="F1680" s="373"/>
      <c r="G1680" s="373"/>
      <c r="H1680" s="373"/>
      <c r="I1680" s="373"/>
      <c r="J1680" s="373"/>
      <c r="K1680" s="373"/>
      <c r="L1680" s="373"/>
      <c r="M1680" s="373"/>
      <c r="N1680" s="373"/>
      <c r="O1680" s="373"/>
      <c r="P1680" s="373"/>
      <c r="Q1680" s="373"/>
      <c r="R1680" s="373"/>
      <c r="S1680" s="373"/>
      <c r="T1680" s="373"/>
      <c r="U1680" s="389"/>
      <c r="V1680" s="389"/>
      <c r="W1680" s="363"/>
      <c r="X1680" s="363"/>
      <c r="Y1680" s="363"/>
      <c r="Z1680" s="363"/>
      <c r="AA1680" s="363"/>
      <c r="AB1680" s="363"/>
      <c r="AC1680" s="355"/>
      <c r="AD1680" s="363"/>
      <c r="AE1680" s="363"/>
      <c r="AF1680" s="363"/>
      <c r="AG1680" s="363"/>
      <c r="AH1680" s="363"/>
      <c r="AI1680" s="363"/>
      <c r="AJ1680" s="344"/>
      <c r="AK1680" s="345"/>
      <c r="AL1680" s="340"/>
      <c r="AM1680" s="388"/>
      <c r="AN1680" s="373"/>
      <c r="AO1680" s="373"/>
      <c r="AP1680" s="373"/>
      <c r="AQ1680" s="373"/>
      <c r="AR1680" s="373"/>
      <c r="AS1680" s="373"/>
      <c r="AT1680" s="373"/>
      <c r="AU1680" s="373"/>
      <c r="AV1680" s="373"/>
      <c r="AW1680" s="373"/>
      <c r="AX1680" s="373"/>
      <c r="AY1680" s="373"/>
      <c r="AZ1680" s="373"/>
      <c r="BA1680" s="373"/>
      <c r="BB1680" s="373"/>
      <c r="BC1680" s="373"/>
      <c r="BD1680" s="373"/>
      <c r="BE1680" s="389"/>
      <c r="BF1680" s="389"/>
      <c r="BG1680" s="363"/>
      <c r="BH1680" s="363"/>
      <c r="BI1680" s="363"/>
      <c r="BJ1680" s="363"/>
      <c r="BK1680" s="363"/>
      <c r="BL1680" s="363"/>
      <c r="BM1680" s="355"/>
      <c r="BN1680" s="363"/>
      <c r="BO1680" s="363"/>
      <c r="BP1680" s="363"/>
      <c r="BQ1680" s="363"/>
      <c r="BR1680" s="363"/>
      <c r="BS1680" s="363"/>
      <c r="BT1680" s="361"/>
      <c r="BU1680" s="362"/>
      <c r="BV1680" s="310"/>
      <c r="BW1680" s="310"/>
      <c r="BX1680" s="291">
        <f t="shared" si="124"/>
        <v>0</v>
      </c>
      <c r="BY1680" s="344"/>
      <c r="BZ1680" s="347"/>
      <c r="CA1680" s="347"/>
    </row>
    <row r="1681" spans="1:84" ht="15" hidden="1" customHeight="1" x14ac:dyDescent="0.25">
      <c r="A1681" s="313"/>
      <c r="B1681" s="340"/>
      <c r="C1681" s="373" t="s">
        <v>1741</v>
      </c>
      <c r="D1681" s="373"/>
      <c r="E1681" s="373"/>
      <c r="F1681" s="373"/>
      <c r="G1681" s="373"/>
      <c r="H1681" s="373"/>
      <c r="I1681" s="373"/>
      <c r="J1681" s="373"/>
      <c r="K1681" s="373"/>
      <c r="L1681" s="373"/>
      <c r="M1681" s="373"/>
      <c r="N1681" s="373"/>
      <c r="O1681" s="373"/>
      <c r="P1681" s="373"/>
      <c r="Q1681" s="373"/>
      <c r="R1681" s="373"/>
      <c r="S1681" s="373"/>
      <c r="T1681" s="373"/>
      <c r="U1681" s="389"/>
      <c r="V1681" s="389"/>
      <c r="W1681" s="363"/>
      <c r="X1681" s="363"/>
      <c r="Y1681" s="363"/>
      <c r="Z1681" s="363"/>
      <c r="AA1681" s="363"/>
      <c r="AB1681" s="363"/>
      <c r="AC1681" s="355"/>
      <c r="AD1681" s="363"/>
      <c r="AE1681" s="363"/>
      <c r="AF1681" s="363"/>
      <c r="AG1681" s="363"/>
      <c r="AH1681" s="363"/>
      <c r="AI1681" s="363"/>
      <c r="AJ1681" s="344"/>
      <c r="AK1681" s="345"/>
      <c r="AL1681" s="340"/>
      <c r="AM1681" s="373" t="s">
        <v>1742</v>
      </c>
      <c r="AN1681" s="373"/>
      <c r="AO1681" s="373"/>
      <c r="AP1681" s="373"/>
      <c r="AQ1681" s="373"/>
      <c r="AR1681" s="373"/>
      <c r="AS1681" s="373"/>
      <c r="AT1681" s="373"/>
      <c r="AU1681" s="373"/>
      <c r="AV1681" s="373"/>
      <c r="AW1681" s="373"/>
      <c r="AX1681" s="373"/>
      <c r="AY1681" s="373"/>
      <c r="AZ1681" s="373"/>
      <c r="BA1681" s="373"/>
      <c r="BB1681" s="373"/>
      <c r="BC1681" s="373"/>
      <c r="BD1681" s="373"/>
      <c r="BE1681" s="389"/>
      <c r="BF1681" s="389"/>
      <c r="BG1681" s="363"/>
      <c r="BH1681" s="363"/>
      <c r="BI1681" s="363"/>
      <c r="BJ1681" s="363"/>
      <c r="BK1681" s="363"/>
      <c r="BL1681" s="363"/>
      <c r="BM1681" s="355"/>
      <c r="BN1681" s="363"/>
      <c r="BO1681" s="363"/>
      <c r="BP1681" s="363"/>
      <c r="BQ1681" s="363"/>
      <c r="BR1681" s="363"/>
      <c r="BS1681" s="363"/>
      <c r="BT1681" s="361"/>
      <c r="BU1681" s="362"/>
      <c r="BV1681" s="310"/>
      <c r="BW1681" s="310"/>
      <c r="BX1681" s="291">
        <f t="shared" si="124"/>
        <v>0</v>
      </c>
      <c r="BY1681" s="344"/>
      <c r="BZ1681" s="347"/>
      <c r="CA1681" s="347"/>
    </row>
    <row r="1682" spans="1:84" ht="15" hidden="1" customHeight="1" x14ac:dyDescent="0.2">
      <c r="A1682" s="313"/>
      <c r="B1682" s="340"/>
      <c r="C1682" s="386"/>
      <c r="D1682" s="373"/>
      <c r="E1682" s="373"/>
      <c r="F1682" s="373"/>
      <c r="G1682" s="373"/>
      <c r="H1682" s="373"/>
      <c r="I1682" s="373"/>
      <c r="J1682" s="373"/>
      <c r="K1682" s="373"/>
      <c r="L1682" s="373"/>
      <c r="M1682" s="373"/>
      <c r="N1682" s="373"/>
      <c r="O1682" s="373"/>
      <c r="P1682" s="373"/>
      <c r="Q1682" s="373"/>
      <c r="R1682" s="373"/>
      <c r="S1682" s="373"/>
      <c r="T1682" s="373"/>
      <c r="U1682" s="389"/>
      <c r="V1682" s="389"/>
      <c r="W1682" s="1314" t="str">
        <f>Ky_Nay1_V</f>
        <v>31/12/2017</v>
      </c>
      <c r="X1682" s="1314"/>
      <c r="Y1682" s="1314"/>
      <c r="Z1682" s="1314"/>
      <c r="AA1682" s="1314"/>
      <c r="AB1682" s="1314"/>
      <c r="AC1682" s="351"/>
      <c r="AD1682" s="1314" t="str">
        <f>Ky_Truoc1_V</f>
        <v>01/01/2017</v>
      </c>
      <c r="AE1682" s="1314"/>
      <c r="AF1682" s="1314"/>
      <c r="AG1682" s="1314"/>
      <c r="AH1682" s="1314"/>
      <c r="AI1682" s="1314"/>
      <c r="AJ1682" s="344"/>
      <c r="AK1682" s="345"/>
      <c r="AL1682" s="340"/>
      <c r="AM1682" s="386"/>
      <c r="AN1682" s="373"/>
      <c r="AO1682" s="373"/>
      <c r="AP1682" s="373"/>
      <c r="AQ1682" s="373"/>
      <c r="AR1682" s="373"/>
      <c r="AS1682" s="373"/>
      <c r="AT1682" s="373"/>
      <c r="AU1682" s="373"/>
      <c r="AV1682" s="373"/>
      <c r="AW1682" s="373"/>
      <c r="AX1682" s="373"/>
      <c r="AY1682" s="373"/>
      <c r="AZ1682" s="373"/>
      <c r="BA1682" s="373"/>
      <c r="BB1682" s="373"/>
      <c r="BC1682" s="373"/>
      <c r="BD1682" s="373"/>
      <c r="BE1682" s="389"/>
      <c r="BF1682" s="389"/>
      <c r="BG1682" s="1314" t="str">
        <f>Ky_Nay1_E</f>
        <v>31/12/2017</v>
      </c>
      <c r="BH1682" s="1314"/>
      <c r="BI1682" s="1314"/>
      <c r="BJ1682" s="1314"/>
      <c r="BK1682" s="1314"/>
      <c r="BL1682" s="1314"/>
      <c r="BM1682" s="351"/>
      <c r="BN1682" s="1314" t="str">
        <f>Ky_Truoc1_E</f>
        <v>01/01/2017</v>
      </c>
      <c r="BO1682" s="1314"/>
      <c r="BP1682" s="1314"/>
      <c r="BQ1682" s="1314"/>
      <c r="BR1682" s="1314"/>
      <c r="BS1682" s="1314"/>
      <c r="BT1682" s="361"/>
      <c r="BU1682" s="362"/>
      <c r="BV1682" s="310"/>
      <c r="BW1682" s="310"/>
      <c r="BX1682" s="291">
        <f t="shared" si="124"/>
        <v>0</v>
      </c>
      <c r="BY1682" s="344"/>
      <c r="BZ1682" s="347"/>
      <c r="CA1682" s="347"/>
    </row>
    <row r="1683" spans="1:84" ht="15" hidden="1" customHeight="1" x14ac:dyDescent="0.25">
      <c r="A1683" s="313"/>
      <c r="B1683" s="340"/>
      <c r="C1683" s="386"/>
      <c r="D1683" s="373"/>
      <c r="E1683" s="373"/>
      <c r="F1683" s="373"/>
      <c r="G1683" s="373"/>
      <c r="H1683" s="373"/>
      <c r="I1683" s="373"/>
      <c r="J1683" s="373"/>
      <c r="K1683" s="373"/>
      <c r="L1683" s="373"/>
      <c r="M1683" s="373"/>
      <c r="N1683" s="373"/>
      <c r="O1683" s="373"/>
      <c r="P1683" s="373"/>
      <c r="Q1683" s="373"/>
      <c r="R1683" s="373"/>
      <c r="S1683" s="373"/>
      <c r="T1683" s="373"/>
      <c r="U1683" s="389"/>
      <c r="V1683" s="389"/>
      <c r="W1683" s="1327" t="str">
        <f>Don_Vi_Tinh_V</f>
        <v>VND</v>
      </c>
      <c r="X1683" s="1327"/>
      <c r="Y1683" s="1327"/>
      <c r="Z1683" s="1327"/>
      <c r="AA1683" s="1327"/>
      <c r="AB1683" s="1327"/>
      <c r="AC1683" s="351"/>
      <c r="AD1683" s="1327" t="str">
        <f>Don_Vi_Tinh_V</f>
        <v>VND</v>
      </c>
      <c r="AE1683" s="1327"/>
      <c r="AF1683" s="1327"/>
      <c r="AG1683" s="1327"/>
      <c r="AH1683" s="1327"/>
      <c r="AI1683" s="1327"/>
      <c r="AJ1683" s="344"/>
      <c r="AK1683" s="345"/>
      <c r="AL1683" s="340"/>
      <c r="AM1683" s="386"/>
      <c r="AN1683" s="373"/>
      <c r="AO1683" s="373"/>
      <c r="AP1683" s="373"/>
      <c r="AQ1683" s="373"/>
      <c r="AR1683" s="373"/>
      <c r="AS1683" s="373"/>
      <c r="AT1683" s="373"/>
      <c r="AU1683" s="373"/>
      <c r="AV1683" s="373"/>
      <c r="AW1683" s="373"/>
      <c r="AX1683" s="373"/>
      <c r="AY1683" s="373"/>
      <c r="AZ1683" s="373"/>
      <c r="BA1683" s="373"/>
      <c r="BB1683" s="373"/>
      <c r="BC1683" s="373"/>
      <c r="BD1683" s="373"/>
      <c r="BE1683" s="389"/>
      <c r="BF1683" s="389"/>
      <c r="BG1683" s="1327" t="str">
        <f>Don_Vi_Tinh_E</f>
        <v>VND</v>
      </c>
      <c r="BH1683" s="1327"/>
      <c r="BI1683" s="1327"/>
      <c r="BJ1683" s="1327"/>
      <c r="BK1683" s="1327"/>
      <c r="BL1683" s="1327"/>
      <c r="BM1683" s="351"/>
      <c r="BN1683" s="1327" t="str">
        <f>Don_Vi_Tinh_E</f>
        <v>VND</v>
      </c>
      <c r="BO1683" s="1327"/>
      <c r="BP1683" s="1327"/>
      <c r="BQ1683" s="1327"/>
      <c r="BR1683" s="1327"/>
      <c r="BS1683" s="1327"/>
      <c r="BT1683" s="361"/>
      <c r="BU1683" s="362"/>
      <c r="BV1683" s="310"/>
      <c r="BW1683" s="310"/>
      <c r="BX1683" s="291">
        <f t="shared" si="124"/>
        <v>0</v>
      </c>
      <c r="BY1683" s="344"/>
      <c r="BZ1683" s="347"/>
      <c r="CA1683" s="347"/>
    </row>
    <row r="1684" spans="1:84" ht="15" hidden="1" customHeight="1" x14ac:dyDescent="0.25">
      <c r="A1684" s="313"/>
      <c r="B1684" s="340"/>
      <c r="C1684" s="386"/>
      <c r="D1684" s="373"/>
      <c r="E1684" s="373"/>
      <c r="F1684" s="373"/>
      <c r="G1684" s="373"/>
      <c r="H1684" s="373"/>
      <c r="I1684" s="373"/>
      <c r="J1684" s="373"/>
      <c r="K1684" s="373"/>
      <c r="L1684" s="373"/>
      <c r="M1684" s="373"/>
      <c r="N1684" s="373"/>
      <c r="O1684" s="373"/>
      <c r="P1684" s="373"/>
      <c r="Q1684" s="373"/>
      <c r="R1684" s="373"/>
      <c r="S1684" s="373"/>
      <c r="T1684" s="373"/>
      <c r="U1684" s="389"/>
      <c r="V1684" s="389"/>
      <c r="W1684" s="363"/>
      <c r="X1684" s="363"/>
      <c r="Y1684" s="363"/>
      <c r="Z1684" s="363"/>
      <c r="AA1684" s="363"/>
      <c r="AB1684" s="363"/>
      <c r="AC1684" s="355"/>
      <c r="AD1684" s="363"/>
      <c r="AE1684" s="363"/>
      <c r="AF1684" s="363"/>
      <c r="AG1684" s="363"/>
      <c r="AH1684" s="363"/>
      <c r="AI1684" s="363"/>
      <c r="AJ1684" s="344"/>
      <c r="AK1684" s="345"/>
      <c r="AL1684" s="340"/>
      <c r="AM1684" s="386"/>
      <c r="AN1684" s="373"/>
      <c r="AO1684" s="373"/>
      <c r="AP1684" s="373"/>
      <c r="AQ1684" s="373"/>
      <c r="AR1684" s="373"/>
      <c r="AS1684" s="373"/>
      <c r="AT1684" s="373"/>
      <c r="AU1684" s="373"/>
      <c r="AV1684" s="373"/>
      <c r="AW1684" s="373"/>
      <c r="AX1684" s="373"/>
      <c r="AY1684" s="373"/>
      <c r="AZ1684" s="373"/>
      <c r="BA1684" s="373"/>
      <c r="BB1684" s="373"/>
      <c r="BC1684" s="373"/>
      <c r="BD1684" s="373"/>
      <c r="BE1684" s="389"/>
      <c r="BF1684" s="389"/>
      <c r="BG1684" s="363"/>
      <c r="BH1684" s="363"/>
      <c r="BI1684" s="363"/>
      <c r="BJ1684" s="363"/>
      <c r="BK1684" s="363"/>
      <c r="BL1684" s="363"/>
      <c r="BM1684" s="355"/>
      <c r="BN1684" s="363"/>
      <c r="BO1684" s="363"/>
      <c r="BP1684" s="363"/>
      <c r="BQ1684" s="363"/>
      <c r="BR1684" s="363"/>
      <c r="BS1684" s="363"/>
      <c r="BT1684" s="361"/>
      <c r="BU1684" s="362"/>
      <c r="BV1684" s="310"/>
      <c r="BW1684" s="310"/>
      <c r="BX1684" s="291">
        <f t="shared" si="124"/>
        <v>0</v>
      </c>
      <c r="BY1684" s="344"/>
      <c r="BZ1684" s="347"/>
      <c r="CA1684" s="347"/>
    </row>
    <row r="1685" spans="1:84" s="423" customFormat="1" ht="27.95" hidden="1" customHeight="1" x14ac:dyDescent="0.25">
      <c r="A1685" s="313"/>
      <c r="B1685" s="340"/>
      <c r="C1685" s="1347" t="s">
        <v>1743</v>
      </c>
      <c r="D1685" s="1347"/>
      <c r="E1685" s="1347"/>
      <c r="F1685" s="1347"/>
      <c r="G1685" s="1347"/>
      <c r="H1685" s="1347"/>
      <c r="I1685" s="1347"/>
      <c r="J1685" s="1347"/>
      <c r="K1685" s="1347"/>
      <c r="L1685" s="1347"/>
      <c r="M1685" s="1347"/>
      <c r="N1685" s="1347"/>
      <c r="O1685" s="1347"/>
      <c r="P1685" s="1347"/>
      <c r="Q1685" s="1347"/>
      <c r="R1685" s="1347"/>
      <c r="S1685" s="1347"/>
      <c r="T1685" s="1347"/>
      <c r="U1685" s="1347"/>
      <c r="V1685" s="389"/>
      <c r="W1685" s="1375">
        <v>0</v>
      </c>
      <c r="X1685" s="1375"/>
      <c r="Y1685" s="1375"/>
      <c r="Z1685" s="1375"/>
      <c r="AA1685" s="1375"/>
      <c r="AB1685" s="1375"/>
      <c r="AC1685" s="355"/>
      <c r="AD1685" s="1375">
        <v>0</v>
      </c>
      <c r="AE1685" s="1375"/>
      <c r="AF1685" s="1375"/>
      <c r="AG1685" s="1375"/>
      <c r="AH1685" s="1375"/>
      <c r="AI1685" s="1375"/>
      <c r="AJ1685" s="342"/>
      <c r="AK1685" s="345"/>
      <c r="AL1685" s="340"/>
      <c r="AM1685" s="1347" t="s">
        <v>1744</v>
      </c>
      <c r="AN1685" s="1347"/>
      <c r="AO1685" s="1347"/>
      <c r="AP1685" s="1347"/>
      <c r="AQ1685" s="1347"/>
      <c r="AR1685" s="1347"/>
      <c r="AS1685" s="1347"/>
      <c r="AT1685" s="1347"/>
      <c r="AU1685" s="1347"/>
      <c r="AV1685" s="1347"/>
      <c r="AW1685" s="1347"/>
      <c r="AX1685" s="1347"/>
      <c r="AY1685" s="1347"/>
      <c r="AZ1685" s="1347"/>
      <c r="BA1685" s="1347"/>
      <c r="BB1685" s="1347"/>
      <c r="BC1685" s="1347"/>
      <c r="BD1685" s="1347"/>
      <c r="BE1685" s="1347"/>
      <c r="BF1685" s="389"/>
      <c r="BG1685" s="1375">
        <f>W1685</f>
        <v>0</v>
      </c>
      <c r="BH1685" s="1375"/>
      <c r="BI1685" s="1375"/>
      <c r="BJ1685" s="1375"/>
      <c r="BK1685" s="1375"/>
      <c r="BL1685" s="1375"/>
      <c r="BM1685" s="355"/>
      <c r="BN1685" s="1375">
        <f>AD1685</f>
        <v>0</v>
      </c>
      <c r="BO1685" s="1375"/>
      <c r="BP1685" s="1375"/>
      <c r="BQ1685" s="1375"/>
      <c r="BR1685" s="1375"/>
      <c r="BS1685" s="1375"/>
      <c r="BT1685" s="361"/>
      <c r="BU1685" s="362"/>
      <c r="BV1685" s="310"/>
      <c r="BW1685" s="310"/>
      <c r="BX1685" s="300">
        <f t="shared" si="124"/>
        <v>0</v>
      </c>
      <c r="BY1685" s="342"/>
      <c r="BZ1685" s="438"/>
      <c r="CA1685" s="438"/>
      <c r="CB1685" s="439"/>
      <c r="CC1685" s="439"/>
      <c r="CD1685" s="439"/>
      <c r="CE1685" s="439"/>
      <c r="CF1685" s="439"/>
    </row>
    <row r="1686" spans="1:84" ht="27.95" hidden="1" customHeight="1" x14ac:dyDescent="0.25">
      <c r="A1686" s="313"/>
      <c r="B1686" s="340"/>
      <c r="C1686" s="1347" t="s">
        <v>1745</v>
      </c>
      <c r="D1686" s="1347"/>
      <c r="E1686" s="1347"/>
      <c r="F1686" s="1347"/>
      <c r="G1686" s="1347"/>
      <c r="H1686" s="1347"/>
      <c r="I1686" s="1347"/>
      <c r="J1686" s="1347"/>
      <c r="K1686" s="1347"/>
      <c r="L1686" s="1347"/>
      <c r="M1686" s="1347"/>
      <c r="N1686" s="1347"/>
      <c r="O1686" s="1347"/>
      <c r="P1686" s="1347"/>
      <c r="Q1686" s="1347"/>
      <c r="R1686" s="1347"/>
      <c r="S1686" s="1347"/>
      <c r="T1686" s="1347"/>
      <c r="U1686" s="1347"/>
      <c r="V1686" s="389"/>
      <c r="W1686" s="1318">
        <v>0</v>
      </c>
      <c r="X1686" s="1318"/>
      <c r="Y1686" s="1318"/>
      <c r="Z1686" s="1318"/>
      <c r="AA1686" s="1318"/>
      <c r="AB1686" s="1318"/>
      <c r="AC1686" s="355"/>
      <c r="AD1686" s="1318">
        <v>0</v>
      </c>
      <c r="AE1686" s="1318"/>
      <c r="AF1686" s="1318"/>
      <c r="AG1686" s="1318"/>
      <c r="AH1686" s="1318"/>
      <c r="AI1686" s="1318"/>
      <c r="AJ1686" s="344"/>
      <c r="AK1686" s="345"/>
      <c r="AL1686" s="340"/>
      <c r="AM1686" s="1347" t="s">
        <v>1746</v>
      </c>
      <c r="AN1686" s="1347"/>
      <c r="AO1686" s="1347"/>
      <c r="AP1686" s="1347"/>
      <c r="AQ1686" s="1347"/>
      <c r="AR1686" s="1347"/>
      <c r="AS1686" s="1347"/>
      <c r="AT1686" s="1347"/>
      <c r="AU1686" s="1347"/>
      <c r="AV1686" s="1347"/>
      <c r="AW1686" s="1347"/>
      <c r="AX1686" s="1347"/>
      <c r="AY1686" s="1347"/>
      <c r="AZ1686" s="1347"/>
      <c r="BA1686" s="1347"/>
      <c r="BB1686" s="1347"/>
      <c r="BC1686" s="1347"/>
      <c r="BD1686" s="1347"/>
      <c r="BE1686" s="1347"/>
      <c r="BF1686" s="389"/>
      <c r="BG1686" s="1318">
        <f>W1686</f>
        <v>0</v>
      </c>
      <c r="BH1686" s="1318"/>
      <c r="BI1686" s="1318"/>
      <c r="BJ1686" s="1318"/>
      <c r="BK1686" s="1318"/>
      <c r="BL1686" s="1318"/>
      <c r="BM1686" s="355"/>
      <c r="BN1686" s="1318">
        <f>AD1686</f>
        <v>0</v>
      </c>
      <c r="BO1686" s="1318"/>
      <c r="BP1686" s="1318"/>
      <c r="BQ1686" s="1318"/>
      <c r="BR1686" s="1318"/>
      <c r="BS1686" s="1318"/>
      <c r="BT1686" s="361"/>
      <c r="BU1686" s="362"/>
      <c r="BV1686" s="310"/>
      <c r="BW1686" s="310"/>
      <c r="BX1686" s="291">
        <f t="shared" si="124"/>
        <v>0</v>
      </c>
      <c r="BY1686" s="344"/>
      <c r="BZ1686" s="347"/>
      <c r="CA1686" s="347"/>
    </row>
    <row r="1687" spans="1:84" ht="15" hidden="1" customHeight="1" x14ac:dyDescent="0.25">
      <c r="A1687" s="313"/>
      <c r="B1687" s="340"/>
      <c r="C1687" s="386" t="s">
        <v>1747</v>
      </c>
      <c r="D1687" s="373"/>
      <c r="E1687" s="373"/>
      <c r="F1687" s="373"/>
      <c r="G1687" s="373"/>
      <c r="H1687" s="373"/>
      <c r="I1687" s="373"/>
      <c r="J1687" s="373"/>
      <c r="K1687" s="373"/>
      <c r="L1687" s="373"/>
      <c r="M1687" s="373"/>
      <c r="N1687" s="373"/>
      <c r="O1687" s="373"/>
      <c r="P1687" s="373"/>
      <c r="Q1687" s="373"/>
      <c r="R1687" s="373"/>
      <c r="S1687" s="373"/>
      <c r="T1687" s="373"/>
      <c r="U1687" s="389"/>
      <c r="V1687" s="389"/>
      <c r="W1687" s="1318">
        <v>0</v>
      </c>
      <c r="X1687" s="1318"/>
      <c r="Y1687" s="1318"/>
      <c r="Z1687" s="1318"/>
      <c r="AA1687" s="1318"/>
      <c r="AB1687" s="1318"/>
      <c r="AC1687" s="355"/>
      <c r="AD1687" s="1318">
        <v>0</v>
      </c>
      <c r="AE1687" s="1318"/>
      <c r="AF1687" s="1318"/>
      <c r="AG1687" s="1318"/>
      <c r="AH1687" s="1318"/>
      <c r="AI1687" s="1318"/>
      <c r="AJ1687" s="344"/>
      <c r="AK1687" s="345"/>
      <c r="AL1687" s="340"/>
      <c r="AM1687" s="386" t="s">
        <v>1748</v>
      </c>
      <c r="AN1687" s="373"/>
      <c r="AO1687" s="373"/>
      <c r="AP1687" s="373"/>
      <c r="AQ1687" s="373"/>
      <c r="AR1687" s="373"/>
      <c r="AS1687" s="373"/>
      <c r="AT1687" s="373"/>
      <c r="AU1687" s="373"/>
      <c r="AV1687" s="373"/>
      <c r="AW1687" s="373"/>
      <c r="AX1687" s="373"/>
      <c r="AY1687" s="373"/>
      <c r="AZ1687" s="373"/>
      <c r="BA1687" s="373"/>
      <c r="BB1687" s="373"/>
      <c r="BC1687" s="373"/>
      <c r="BD1687" s="373"/>
      <c r="BE1687" s="389"/>
      <c r="BF1687" s="389"/>
      <c r="BG1687" s="1318">
        <f>W1687</f>
        <v>0</v>
      </c>
      <c r="BH1687" s="1318"/>
      <c r="BI1687" s="1318"/>
      <c r="BJ1687" s="1318"/>
      <c r="BK1687" s="1318"/>
      <c r="BL1687" s="1318"/>
      <c r="BM1687" s="355"/>
      <c r="BN1687" s="1318">
        <f>AD1687</f>
        <v>0</v>
      </c>
      <c r="BO1687" s="1318"/>
      <c r="BP1687" s="1318"/>
      <c r="BQ1687" s="1318"/>
      <c r="BR1687" s="1318"/>
      <c r="BS1687" s="1318"/>
      <c r="BT1687" s="361"/>
      <c r="BU1687" s="362"/>
      <c r="BV1687" s="310"/>
      <c r="BW1687" s="310"/>
      <c r="BX1687" s="291">
        <f t="shared" si="124"/>
        <v>0</v>
      </c>
      <c r="BY1687" s="344"/>
      <c r="BZ1687" s="347"/>
      <c r="CA1687" s="347"/>
    </row>
    <row r="1688" spans="1:84" ht="15" hidden="1" customHeight="1" x14ac:dyDescent="0.25">
      <c r="A1688" s="313"/>
      <c r="B1688" s="340"/>
      <c r="C1688" s="386"/>
      <c r="D1688" s="373"/>
      <c r="E1688" s="373"/>
      <c r="F1688" s="373"/>
      <c r="G1688" s="373"/>
      <c r="H1688" s="373"/>
      <c r="I1688" s="373"/>
      <c r="J1688" s="373"/>
      <c r="K1688" s="373"/>
      <c r="L1688" s="373"/>
      <c r="M1688" s="373"/>
      <c r="N1688" s="373"/>
      <c r="O1688" s="373"/>
      <c r="P1688" s="373"/>
      <c r="Q1688" s="373"/>
      <c r="R1688" s="373"/>
      <c r="S1688" s="373"/>
      <c r="T1688" s="373"/>
      <c r="U1688" s="389"/>
      <c r="V1688" s="389"/>
      <c r="W1688" s="1318"/>
      <c r="X1688" s="1318"/>
      <c r="Y1688" s="1318"/>
      <c r="Z1688" s="1318"/>
      <c r="AA1688" s="1318"/>
      <c r="AB1688" s="1318"/>
      <c r="AC1688" s="355"/>
      <c r="AD1688" s="1318"/>
      <c r="AE1688" s="1318"/>
      <c r="AF1688" s="1318"/>
      <c r="AG1688" s="1318"/>
      <c r="AH1688" s="1318"/>
      <c r="AI1688" s="1318"/>
      <c r="AJ1688" s="344"/>
      <c r="AK1688" s="345"/>
      <c r="AL1688" s="340"/>
      <c r="AM1688" s="386"/>
      <c r="AN1688" s="373"/>
      <c r="AO1688" s="373"/>
      <c r="AP1688" s="373"/>
      <c r="AQ1688" s="373"/>
      <c r="AR1688" s="373"/>
      <c r="AS1688" s="373"/>
      <c r="AT1688" s="373"/>
      <c r="AU1688" s="373"/>
      <c r="AV1688" s="373"/>
      <c r="AW1688" s="373"/>
      <c r="AX1688" s="373"/>
      <c r="AY1688" s="373"/>
      <c r="AZ1688" s="373"/>
      <c r="BA1688" s="373"/>
      <c r="BB1688" s="373"/>
      <c r="BC1688" s="373"/>
      <c r="BD1688" s="373"/>
      <c r="BE1688" s="389"/>
      <c r="BF1688" s="389"/>
      <c r="BG1688" s="1318"/>
      <c r="BH1688" s="1318"/>
      <c r="BI1688" s="1318"/>
      <c r="BJ1688" s="1318"/>
      <c r="BK1688" s="1318"/>
      <c r="BL1688" s="1318"/>
      <c r="BM1688" s="355"/>
      <c r="BN1688" s="1318"/>
      <c r="BO1688" s="1318"/>
      <c r="BP1688" s="1318"/>
      <c r="BQ1688" s="1318"/>
      <c r="BR1688" s="1318"/>
      <c r="BS1688" s="1318"/>
      <c r="BT1688" s="361"/>
      <c r="BU1688" s="362"/>
      <c r="BV1688" s="310"/>
      <c r="BW1688" s="310"/>
      <c r="BX1688" s="291">
        <f t="shared" si="124"/>
        <v>0</v>
      </c>
      <c r="BY1688" s="344"/>
      <c r="BZ1688" s="347"/>
      <c r="CA1688" s="347"/>
    </row>
    <row r="1689" spans="1:84" s="423" customFormat="1" ht="15" hidden="1" customHeight="1" thickBot="1" x14ac:dyDescent="0.3">
      <c r="A1689" s="313"/>
      <c r="B1689" s="340"/>
      <c r="C1689" s="373" t="s">
        <v>1749</v>
      </c>
      <c r="D1689" s="373"/>
      <c r="E1689" s="373"/>
      <c r="F1689" s="373"/>
      <c r="G1689" s="373"/>
      <c r="H1689" s="373"/>
      <c r="I1689" s="373"/>
      <c r="J1689" s="373"/>
      <c r="K1689" s="373"/>
      <c r="L1689" s="373"/>
      <c r="M1689" s="373"/>
      <c r="N1689" s="373"/>
      <c r="O1689" s="373"/>
      <c r="P1689" s="373"/>
      <c r="Q1689" s="373"/>
      <c r="R1689" s="373"/>
      <c r="S1689" s="373"/>
      <c r="T1689" s="373"/>
      <c r="U1689" s="389"/>
      <c r="V1689" s="389"/>
      <c r="W1689" s="1359">
        <f>SUBTOTAL(109,W1686:AB1687)</f>
        <v>0</v>
      </c>
      <c r="X1689" s="1359"/>
      <c r="Y1689" s="1359"/>
      <c r="Z1689" s="1359"/>
      <c r="AA1689" s="1359"/>
      <c r="AB1689" s="1359"/>
      <c r="AC1689" s="355"/>
      <c r="AD1689" s="1359">
        <f>SUBTOTAL(109,AD1686:AI1687)</f>
        <v>0</v>
      </c>
      <c r="AE1689" s="1359"/>
      <c r="AF1689" s="1359"/>
      <c r="AG1689" s="1359"/>
      <c r="AH1689" s="1359"/>
      <c r="AI1689" s="1359"/>
      <c r="AJ1689" s="342"/>
      <c r="AK1689" s="345"/>
      <c r="AL1689" s="340"/>
      <c r="AM1689" s="373" t="s">
        <v>1750</v>
      </c>
      <c r="AN1689" s="373"/>
      <c r="AO1689" s="373"/>
      <c r="AP1689" s="373"/>
      <c r="AQ1689" s="373"/>
      <c r="AR1689" s="373"/>
      <c r="AS1689" s="373"/>
      <c r="AT1689" s="373"/>
      <c r="AU1689" s="373"/>
      <c r="AV1689" s="373"/>
      <c r="AW1689" s="373"/>
      <c r="AX1689" s="373"/>
      <c r="AY1689" s="373"/>
      <c r="AZ1689" s="373"/>
      <c r="BA1689" s="373"/>
      <c r="BB1689" s="373"/>
      <c r="BC1689" s="373"/>
      <c r="BD1689" s="373"/>
      <c r="BE1689" s="389"/>
      <c r="BF1689" s="389"/>
      <c r="BG1689" s="1359">
        <f>SUBTOTAL(109,BG1686:BL1687)</f>
        <v>0</v>
      </c>
      <c r="BH1689" s="1359"/>
      <c r="BI1689" s="1359"/>
      <c r="BJ1689" s="1359"/>
      <c r="BK1689" s="1359"/>
      <c r="BL1689" s="1359"/>
      <c r="BM1689" s="355"/>
      <c r="BN1689" s="1359">
        <f>SUBTOTAL(109,BN1686:BS1687)</f>
        <v>0</v>
      </c>
      <c r="BO1689" s="1359"/>
      <c r="BP1689" s="1359"/>
      <c r="BQ1689" s="1359"/>
      <c r="BR1689" s="1359"/>
      <c r="BS1689" s="1359"/>
      <c r="BT1689" s="361"/>
      <c r="BU1689" s="362"/>
      <c r="BV1689" s="310">
        <f>W1689-KN_CT341</f>
        <v>0</v>
      </c>
      <c r="BW1689" s="310">
        <f>AD1689-KT_CT341</f>
        <v>0</v>
      </c>
      <c r="BX1689" s="300">
        <f t="shared" ref="BX1689:BX1761" si="125">IF(ISNONTEXT($C1689),0,SUM(D1689:AI1689)-SUM(AN1689:BS1689))</f>
        <v>0</v>
      </c>
      <c r="BY1689" s="342"/>
      <c r="BZ1689" s="438"/>
      <c r="CA1689" s="438"/>
      <c r="CB1689" s="439"/>
      <c r="CC1689" s="439"/>
      <c r="CD1689" s="439"/>
      <c r="CE1689" s="439"/>
      <c r="CF1689" s="439"/>
    </row>
    <row r="1690" spans="1:84" ht="15" hidden="1" customHeight="1" thickTop="1" x14ac:dyDescent="0.25">
      <c r="A1690" s="313"/>
      <c r="B1690" s="340"/>
      <c r="C1690" s="386"/>
      <c r="D1690" s="373"/>
      <c r="E1690" s="373"/>
      <c r="F1690" s="373"/>
      <c r="G1690" s="373"/>
      <c r="H1690" s="373"/>
      <c r="I1690" s="373"/>
      <c r="J1690" s="373"/>
      <c r="K1690" s="373"/>
      <c r="L1690" s="373"/>
      <c r="M1690" s="373"/>
      <c r="N1690" s="373"/>
      <c r="O1690" s="373"/>
      <c r="P1690" s="373"/>
      <c r="Q1690" s="373"/>
      <c r="R1690" s="373"/>
      <c r="S1690" s="373"/>
      <c r="T1690" s="373"/>
      <c r="U1690" s="389"/>
      <c r="V1690" s="389"/>
      <c r="W1690" s="363"/>
      <c r="X1690" s="363"/>
      <c r="Y1690" s="363"/>
      <c r="Z1690" s="363"/>
      <c r="AA1690" s="363"/>
      <c r="AB1690" s="363"/>
      <c r="AC1690" s="355"/>
      <c r="AD1690" s="363"/>
      <c r="AE1690" s="363"/>
      <c r="AF1690" s="363"/>
      <c r="AG1690" s="363"/>
      <c r="AH1690" s="363"/>
      <c r="AI1690" s="363"/>
      <c r="AJ1690" s="344"/>
      <c r="AK1690" s="345"/>
      <c r="AL1690" s="340"/>
      <c r="AM1690" s="386"/>
      <c r="AN1690" s="373"/>
      <c r="AO1690" s="373"/>
      <c r="AP1690" s="373"/>
      <c r="AQ1690" s="373"/>
      <c r="AR1690" s="373"/>
      <c r="AS1690" s="373"/>
      <c r="AT1690" s="373"/>
      <c r="AU1690" s="373"/>
      <c r="AV1690" s="373"/>
      <c r="AW1690" s="373"/>
      <c r="AX1690" s="373"/>
      <c r="AY1690" s="373"/>
      <c r="AZ1690" s="373"/>
      <c r="BA1690" s="373"/>
      <c r="BB1690" s="373"/>
      <c r="BC1690" s="373"/>
      <c r="BD1690" s="373"/>
      <c r="BE1690" s="389"/>
      <c r="BF1690" s="389"/>
      <c r="BG1690" s="363"/>
      <c r="BH1690" s="363"/>
      <c r="BI1690" s="363"/>
      <c r="BJ1690" s="363"/>
      <c r="BK1690" s="363"/>
      <c r="BL1690" s="363"/>
      <c r="BM1690" s="355"/>
      <c r="BN1690" s="363"/>
      <c r="BO1690" s="363"/>
      <c r="BP1690" s="363"/>
      <c r="BQ1690" s="363"/>
      <c r="BR1690" s="363"/>
      <c r="BS1690" s="363"/>
      <c r="BT1690" s="361"/>
      <c r="BU1690" s="362"/>
      <c r="BV1690" s="310"/>
      <c r="BW1690" s="310"/>
      <c r="BX1690" s="291">
        <f t="shared" si="125"/>
        <v>0</v>
      </c>
      <c r="BY1690" s="344"/>
      <c r="BZ1690" s="347"/>
      <c r="CA1690" s="347"/>
    </row>
    <row r="1691" spans="1:84" ht="15" hidden="1" customHeight="1" x14ac:dyDescent="0.25">
      <c r="A1691" s="313"/>
      <c r="B1691" s="340"/>
      <c r="C1691" s="373" t="s">
        <v>1751</v>
      </c>
      <c r="D1691" s="373"/>
      <c r="E1691" s="373"/>
      <c r="F1691" s="373"/>
      <c r="G1691" s="373"/>
      <c r="H1691" s="373"/>
      <c r="I1691" s="373"/>
      <c r="J1691" s="373"/>
      <c r="K1691" s="373"/>
      <c r="L1691" s="373"/>
      <c r="M1691" s="373"/>
      <c r="N1691" s="373"/>
      <c r="O1691" s="373"/>
      <c r="P1691" s="373"/>
      <c r="Q1691" s="373"/>
      <c r="R1691" s="373"/>
      <c r="S1691" s="373"/>
      <c r="T1691" s="373"/>
      <c r="U1691" s="389"/>
      <c r="V1691" s="389"/>
      <c r="W1691" s="363"/>
      <c r="X1691" s="363"/>
      <c r="Y1691" s="363"/>
      <c r="Z1691" s="363"/>
      <c r="AA1691" s="363"/>
      <c r="AB1691" s="363"/>
      <c r="AC1691" s="355"/>
      <c r="AD1691" s="363"/>
      <c r="AE1691" s="363"/>
      <c r="AF1691" s="363"/>
      <c r="AG1691" s="363"/>
      <c r="AH1691" s="363"/>
      <c r="AI1691" s="363"/>
      <c r="AJ1691" s="344"/>
      <c r="AK1691" s="345"/>
      <c r="AL1691" s="340"/>
      <c r="AM1691" s="373" t="s">
        <v>1752</v>
      </c>
      <c r="AN1691" s="373"/>
      <c r="AO1691" s="373"/>
      <c r="AP1691" s="373"/>
      <c r="AQ1691" s="373"/>
      <c r="AR1691" s="373"/>
      <c r="AS1691" s="373"/>
      <c r="AT1691" s="373"/>
      <c r="AU1691" s="373"/>
      <c r="AV1691" s="373"/>
      <c r="AW1691" s="373"/>
      <c r="AX1691" s="373"/>
      <c r="AY1691" s="373"/>
      <c r="AZ1691" s="373"/>
      <c r="BA1691" s="373"/>
      <c r="BB1691" s="373"/>
      <c r="BC1691" s="373"/>
      <c r="BD1691" s="373"/>
      <c r="BE1691" s="389"/>
      <c r="BF1691" s="389"/>
      <c r="BG1691" s="363"/>
      <c r="BH1691" s="363"/>
      <c r="BI1691" s="363"/>
      <c r="BJ1691" s="363"/>
      <c r="BK1691" s="363"/>
      <c r="BL1691" s="363"/>
      <c r="BM1691" s="355"/>
      <c r="BN1691" s="363"/>
      <c r="BO1691" s="363"/>
      <c r="BP1691" s="363"/>
      <c r="BQ1691" s="363"/>
      <c r="BR1691" s="363"/>
      <c r="BS1691" s="363"/>
      <c r="BT1691" s="361"/>
      <c r="BU1691" s="362"/>
      <c r="BV1691" s="310"/>
      <c r="BW1691" s="310"/>
      <c r="BX1691" s="291">
        <f t="shared" si="125"/>
        <v>0</v>
      </c>
      <c r="BY1691" s="344"/>
      <c r="BZ1691" s="347"/>
      <c r="CA1691" s="347"/>
    </row>
    <row r="1692" spans="1:84" s="746" customFormat="1" ht="27.75" hidden="1" customHeight="1" x14ac:dyDescent="0.2">
      <c r="A1692" s="725"/>
      <c r="B1692" s="728"/>
      <c r="C1692" s="755"/>
      <c r="D1692" s="756"/>
      <c r="E1692" s="756"/>
      <c r="F1692" s="756"/>
      <c r="G1692" s="756"/>
      <c r="H1692" s="756"/>
      <c r="I1692" s="756"/>
      <c r="J1692" s="756"/>
      <c r="K1692" s="756"/>
      <c r="L1692" s="756"/>
      <c r="M1692" s="756"/>
      <c r="N1692" s="756"/>
      <c r="O1692" s="756"/>
      <c r="P1692" s="756"/>
      <c r="Q1692" s="756"/>
      <c r="R1692" s="756"/>
      <c r="S1692" s="756"/>
      <c r="T1692" s="756"/>
      <c r="U1692" s="378"/>
      <c r="V1692" s="378"/>
      <c r="W1692" s="1316" t="str">
        <f>Ky_Nay2_V</f>
        <v>Năm 2017</v>
      </c>
      <c r="X1692" s="1316"/>
      <c r="Y1692" s="1316"/>
      <c r="Z1692" s="1316"/>
      <c r="AA1692" s="1316"/>
      <c r="AB1692" s="1316"/>
      <c r="AC1692" s="681"/>
      <c r="AD1692" s="1316" t="str">
        <f>Ky_Truoc2_V</f>
        <v>Năm 2016</v>
      </c>
      <c r="AE1692" s="1316"/>
      <c r="AF1692" s="1316"/>
      <c r="AG1692" s="1316"/>
      <c r="AH1692" s="1316"/>
      <c r="AI1692" s="1316"/>
      <c r="AJ1692" s="741"/>
      <c r="AK1692" s="727"/>
      <c r="AL1692" s="728"/>
      <c r="AM1692" s="755"/>
      <c r="AN1692" s="756"/>
      <c r="AO1692" s="756"/>
      <c r="AP1692" s="756"/>
      <c r="AQ1692" s="756"/>
      <c r="AR1692" s="756"/>
      <c r="AS1692" s="756"/>
      <c r="AT1692" s="756"/>
      <c r="AU1692" s="756"/>
      <c r="AV1692" s="756"/>
      <c r="AW1692" s="756"/>
      <c r="AX1692" s="756"/>
      <c r="AY1692" s="756"/>
      <c r="AZ1692" s="756"/>
      <c r="BA1692" s="756"/>
      <c r="BB1692" s="756"/>
      <c r="BC1692" s="756"/>
      <c r="BD1692" s="756"/>
      <c r="BE1692" s="378"/>
      <c r="BF1692" s="378"/>
      <c r="BG1692" s="1316" t="str">
        <f>Ky_Nay2_E</f>
        <v>Year 2016</v>
      </c>
      <c r="BH1692" s="1316"/>
      <c r="BI1692" s="1316"/>
      <c r="BJ1692" s="1316"/>
      <c r="BK1692" s="1316"/>
      <c r="BL1692" s="1316"/>
      <c r="BM1692" s="681"/>
      <c r="BN1692" s="1316" t="str">
        <f>Ky_Truoc2_E</f>
        <v>Year 2015</v>
      </c>
      <c r="BO1692" s="1316"/>
      <c r="BP1692" s="1316"/>
      <c r="BQ1692" s="1316"/>
      <c r="BR1692" s="1316"/>
      <c r="BS1692" s="1316"/>
      <c r="BT1692" s="757"/>
      <c r="BU1692" s="758"/>
      <c r="BV1692" s="310"/>
      <c r="BW1692" s="310"/>
      <c r="BX1692" s="291">
        <f t="shared" si="125"/>
        <v>0</v>
      </c>
      <c r="BY1692" s="741"/>
      <c r="BZ1692" s="744"/>
      <c r="CA1692" s="744"/>
      <c r="CB1692" s="745"/>
      <c r="CC1692" s="745"/>
      <c r="CD1692" s="745"/>
      <c r="CE1692" s="745"/>
      <c r="CF1692" s="745"/>
    </row>
    <row r="1693" spans="1:84" ht="15" hidden="1" customHeight="1" x14ac:dyDescent="0.25">
      <c r="A1693" s="313"/>
      <c r="B1693" s="340"/>
      <c r="C1693" s="386"/>
      <c r="D1693" s="373"/>
      <c r="E1693" s="373"/>
      <c r="F1693" s="373"/>
      <c r="G1693" s="373"/>
      <c r="H1693" s="373"/>
      <c r="I1693" s="373"/>
      <c r="J1693" s="373"/>
      <c r="K1693" s="373"/>
      <c r="L1693" s="373"/>
      <c r="M1693" s="373"/>
      <c r="N1693" s="373"/>
      <c r="O1693" s="373"/>
      <c r="P1693" s="373"/>
      <c r="Q1693" s="373"/>
      <c r="R1693" s="373"/>
      <c r="S1693" s="373"/>
      <c r="T1693" s="373"/>
      <c r="U1693" s="389"/>
      <c r="V1693" s="389"/>
      <c r="W1693" s="1327" t="str">
        <f>Don_Vi_Tinh_V</f>
        <v>VND</v>
      </c>
      <c r="X1693" s="1327"/>
      <c r="Y1693" s="1327"/>
      <c r="Z1693" s="1327"/>
      <c r="AA1693" s="1327"/>
      <c r="AB1693" s="1327"/>
      <c r="AC1693" s="351"/>
      <c r="AD1693" s="1327" t="str">
        <f>Don_Vi_Tinh_V</f>
        <v>VND</v>
      </c>
      <c r="AE1693" s="1327"/>
      <c r="AF1693" s="1327"/>
      <c r="AG1693" s="1327"/>
      <c r="AH1693" s="1327"/>
      <c r="AI1693" s="1327"/>
      <c r="AJ1693" s="344"/>
      <c r="AK1693" s="345"/>
      <c r="AL1693" s="340"/>
      <c r="AM1693" s="386"/>
      <c r="AN1693" s="373"/>
      <c r="AO1693" s="373"/>
      <c r="AP1693" s="373"/>
      <c r="AQ1693" s="373"/>
      <c r="AR1693" s="373"/>
      <c r="AS1693" s="373"/>
      <c r="AT1693" s="373"/>
      <c r="AU1693" s="373"/>
      <c r="AV1693" s="373"/>
      <c r="AW1693" s="373"/>
      <c r="AX1693" s="373"/>
      <c r="AY1693" s="373"/>
      <c r="AZ1693" s="373"/>
      <c r="BA1693" s="373"/>
      <c r="BB1693" s="373"/>
      <c r="BC1693" s="373"/>
      <c r="BD1693" s="373"/>
      <c r="BE1693" s="389"/>
      <c r="BF1693" s="389"/>
      <c r="BG1693" s="1327" t="str">
        <f>Don_Vi_Tinh_E</f>
        <v>VND</v>
      </c>
      <c r="BH1693" s="1327"/>
      <c r="BI1693" s="1327"/>
      <c r="BJ1693" s="1327"/>
      <c r="BK1693" s="1327"/>
      <c r="BL1693" s="1327"/>
      <c r="BM1693" s="351"/>
      <c r="BN1693" s="1327" t="str">
        <f>Don_Vi_Tinh_E</f>
        <v>VND</v>
      </c>
      <c r="BO1693" s="1327"/>
      <c r="BP1693" s="1327"/>
      <c r="BQ1693" s="1327"/>
      <c r="BR1693" s="1327"/>
      <c r="BS1693" s="1327"/>
      <c r="BT1693" s="361"/>
      <c r="BU1693" s="362"/>
      <c r="BV1693" s="310"/>
      <c r="BW1693" s="310"/>
      <c r="BX1693" s="291">
        <f t="shared" si="125"/>
        <v>0</v>
      </c>
      <c r="BY1693" s="344"/>
      <c r="BZ1693" s="347"/>
      <c r="CA1693" s="347"/>
    </row>
    <row r="1694" spans="1:84" ht="15" hidden="1" customHeight="1" x14ac:dyDescent="0.25">
      <c r="A1694" s="313"/>
      <c r="B1694" s="340"/>
      <c r="C1694" s="386"/>
      <c r="D1694" s="373"/>
      <c r="E1694" s="373"/>
      <c r="F1694" s="373"/>
      <c r="G1694" s="373"/>
      <c r="H1694" s="373"/>
      <c r="I1694" s="373"/>
      <c r="J1694" s="373"/>
      <c r="K1694" s="373"/>
      <c r="L1694" s="373"/>
      <c r="M1694" s="373"/>
      <c r="N1694" s="373"/>
      <c r="O1694" s="373"/>
      <c r="P1694" s="373"/>
      <c r="Q1694" s="373"/>
      <c r="R1694" s="373"/>
      <c r="S1694" s="373"/>
      <c r="T1694" s="373"/>
      <c r="U1694" s="389"/>
      <c r="V1694" s="389"/>
      <c r="W1694" s="363"/>
      <c r="X1694" s="363"/>
      <c r="Y1694" s="363"/>
      <c r="Z1694" s="363"/>
      <c r="AA1694" s="363"/>
      <c r="AB1694" s="363"/>
      <c r="AC1694" s="355"/>
      <c r="AD1694" s="363"/>
      <c r="AE1694" s="363"/>
      <c r="AF1694" s="363"/>
      <c r="AG1694" s="363"/>
      <c r="AH1694" s="363"/>
      <c r="AI1694" s="363"/>
      <c r="AJ1694" s="344"/>
      <c r="AK1694" s="345"/>
      <c r="AL1694" s="340"/>
      <c r="AM1694" s="386"/>
      <c r="AN1694" s="373"/>
      <c r="AO1694" s="373"/>
      <c r="AP1694" s="373"/>
      <c r="AQ1694" s="373"/>
      <c r="AR1694" s="373"/>
      <c r="AS1694" s="373"/>
      <c r="AT1694" s="373"/>
      <c r="AU1694" s="373"/>
      <c r="AV1694" s="373"/>
      <c r="AW1694" s="373"/>
      <c r="AX1694" s="373"/>
      <c r="AY1694" s="373"/>
      <c r="AZ1694" s="373"/>
      <c r="BA1694" s="373"/>
      <c r="BB1694" s="373"/>
      <c r="BC1694" s="373"/>
      <c r="BD1694" s="373"/>
      <c r="BE1694" s="389"/>
      <c r="BF1694" s="389"/>
      <c r="BG1694" s="363"/>
      <c r="BH1694" s="363"/>
      <c r="BI1694" s="363"/>
      <c r="BJ1694" s="363"/>
      <c r="BK1694" s="363"/>
      <c r="BL1694" s="363"/>
      <c r="BM1694" s="355"/>
      <c r="BN1694" s="363"/>
      <c r="BO1694" s="363"/>
      <c r="BP1694" s="363"/>
      <c r="BQ1694" s="363"/>
      <c r="BR1694" s="363"/>
      <c r="BS1694" s="363"/>
      <c r="BT1694" s="361"/>
      <c r="BU1694" s="362"/>
      <c r="BV1694" s="310"/>
      <c r="BW1694" s="310"/>
      <c r="BX1694" s="291">
        <f t="shared" si="125"/>
        <v>0</v>
      </c>
      <c r="BY1694" s="344"/>
      <c r="BZ1694" s="347"/>
      <c r="CA1694" s="347"/>
    </row>
    <row r="1695" spans="1:84" ht="15" hidden="1" customHeight="1" x14ac:dyDescent="0.25">
      <c r="A1695" s="313"/>
      <c r="B1695" s="340"/>
      <c r="C1695" s="386" t="s">
        <v>1753</v>
      </c>
      <c r="D1695" s="373"/>
      <c r="E1695" s="373"/>
      <c r="F1695" s="373"/>
      <c r="G1695" s="373"/>
      <c r="H1695" s="373"/>
      <c r="I1695" s="373"/>
      <c r="J1695" s="373"/>
      <c r="K1695" s="373"/>
      <c r="L1695" s="373"/>
      <c r="M1695" s="373"/>
      <c r="N1695" s="373"/>
      <c r="O1695" s="373"/>
      <c r="P1695" s="373"/>
      <c r="Q1695" s="373"/>
      <c r="R1695" s="373"/>
      <c r="S1695" s="373"/>
      <c r="T1695" s="373"/>
      <c r="U1695" s="389"/>
      <c r="V1695" s="389"/>
      <c r="W1695" s="1318"/>
      <c r="X1695" s="1318"/>
      <c r="Y1695" s="1318"/>
      <c r="Z1695" s="1318"/>
      <c r="AA1695" s="1318"/>
      <c r="AB1695" s="1318"/>
      <c r="AC1695" s="355"/>
      <c r="AD1695" s="1318"/>
      <c r="AE1695" s="1318"/>
      <c r="AF1695" s="1318"/>
      <c r="AG1695" s="1318"/>
      <c r="AH1695" s="1318"/>
      <c r="AI1695" s="1318"/>
      <c r="AJ1695" s="344"/>
      <c r="AK1695" s="345"/>
      <c r="AL1695" s="340"/>
      <c r="AM1695" s="386" t="s">
        <v>1754</v>
      </c>
      <c r="AN1695" s="373"/>
      <c r="AO1695" s="373"/>
      <c r="AP1695" s="373"/>
      <c r="AQ1695" s="373"/>
      <c r="AR1695" s="373"/>
      <c r="AS1695" s="373"/>
      <c r="AT1695" s="373"/>
      <c r="AU1695" s="373"/>
      <c r="AV1695" s="373"/>
      <c r="AW1695" s="373"/>
      <c r="AX1695" s="373"/>
      <c r="AY1695" s="373"/>
      <c r="AZ1695" s="373"/>
      <c r="BA1695" s="373"/>
      <c r="BB1695" s="373"/>
      <c r="BC1695" s="373"/>
      <c r="BD1695" s="373"/>
      <c r="BE1695" s="389"/>
      <c r="BF1695" s="389"/>
      <c r="BG1695" s="1318">
        <f>W1695</f>
        <v>0</v>
      </c>
      <c r="BH1695" s="1318"/>
      <c r="BI1695" s="1318"/>
      <c r="BJ1695" s="1318"/>
      <c r="BK1695" s="1318"/>
      <c r="BL1695" s="1318"/>
      <c r="BM1695" s="355"/>
      <c r="BN1695" s="1318">
        <f>AD1695</f>
        <v>0</v>
      </c>
      <c r="BO1695" s="1318"/>
      <c r="BP1695" s="1318"/>
      <c r="BQ1695" s="1318"/>
      <c r="BR1695" s="1318"/>
      <c r="BS1695" s="1318"/>
      <c r="BT1695" s="361"/>
      <c r="BU1695" s="362"/>
      <c r="BV1695" s="310"/>
      <c r="BW1695" s="310"/>
      <c r="BX1695" s="291">
        <f t="shared" si="125"/>
        <v>0</v>
      </c>
      <c r="BY1695" s="344"/>
      <c r="BZ1695" s="347"/>
      <c r="CA1695" s="347"/>
    </row>
    <row r="1696" spans="1:84" ht="15" hidden="1" customHeight="1" x14ac:dyDescent="0.25">
      <c r="A1696" s="313"/>
      <c r="B1696" s="340"/>
      <c r="C1696" s="386" t="s">
        <v>1755</v>
      </c>
      <c r="D1696" s="373"/>
      <c r="E1696" s="373"/>
      <c r="F1696" s="373"/>
      <c r="G1696" s="373"/>
      <c r="H1696" s="373"/>
      <c r="I1696" s="373"/>
      <c r="J1696" s="373"/>
      <c r="K1696" s="373"/>
      <c r="L1696" s="373"/>
      <c r="M1696" s="373"/>
      <c r="N1696" s="373"/>
      <c r="O1696" s="373"/>
      <c r="P1696" s="373"/>
      <c r="Q1696" s="373"/>
      <c r="R1696" s="373"/>
      <c r="S1696" s="373"/>
      <c r="T1696" s="373"/>
      <c r="U1696" s="389"/>
      <c r="V1696" s="389"/>
      <c r="W1696" s="1318"/>
      <c r="X1696" s="1318"/>
      <c r="Y1696" s="1318"/>
      <c r="Z1696" s="1318"/>
      <c r="AA1696" s="1318"/>
      <c r="AB1696" s="1318"/>
      <c r="AC1696" s="355"/>
      <c r="AD1696" s="1318"/>
      <c r="AE1696" s="1318"/>
      <c r="AF1696" s="1318"/>
      <c r="AG1696" s="1318"/>
      <c r="AH1696" s="1318"/>
      <c r="AI1696" s="1318"/>
      <c r="AJ1696" s="344"/>
      <c r="AK1696" s="345"/>
      <c r="AL1696" s="340"/>
      <c r="AM1696" s="386" t="s">
        <v>1756</v>
      </c>
      <c r="AN1696" s="373"/>
      <c r="AO1696" s="373"/>
      <c r="AP1696" s="373"/>
      <c r="AQ1696" s="373"/>
      <c r="AR1696" s="373"/>
      <c r="AS1696" s="373"/>
      <c r="AT1696" s="373"/>
      <c r="AU1696" s="373"/>
      <c r="AV1696" s="373"/>
      <c r="AW1696" s="373"/>
      <c r="AX1696" s="373"/>
      <c r="AY1696" s="373"/>
      <c r="AZ1696" s="373"/>
      <c r="BA1696" s="373"/>
      <c r="BB1696" s="373"/>
      <c r="BC1696" s="373"/>
      <c r="BD1696" s="373"/>
      <c r="BE1696" s="389"/>
      <c r="BF1696" s="389"/>
      <c r="BG1696" s="1318">
        <f>W1696</f>
        <v>0</v>
      </c>
      <c r="BH1696" s="1318"/>
      <c r="BI1696" s="1318"/>
      <c r="BJ1696" s="1318"/>
      <c r="BK1696" s="1318"/>
      <c r="BL1696" s="1318"/>
      <c r="BM1696" s="355"/>
      <c r="BN1696" s="1318">
        <f>AD1696</f>
        <v>0</v>
      </c>
      <c r="BO1696" s="1318"/>
      <c r="BP1696" s="1318"/>
      <c r="BQ1696" s="1318"/>
      <c r="BR1696" s="1318"/>
      <c r="BS1696" s="1318"/>
      <c r="BT1696" s="361"/>
      <c r="BU1696" s="362"/>
      <c r="BV1696" s="310"/>
      <c r="BW1696" s="310"/>
      <c r="BX1696" s="291">
        <f t="shared" si="125"/>
        <v>0</v>
      </c>
      <c r="BY1696" s="344"/>
      <c r="BZ1696" s="347"/>
      <c r="CA1696" s="347"/>
    </row>
    <row r="1697" spans="1:84" ht="15" hidden="1" customHeight="1" x14ac:dyDescent="0.25">
      <c r="A1697" s="313"/>
      <c r="B1697" s="340"/>
      <c r="C1697" s="759" t="s">
        <v>1757</v>
      </c>
      <c r="D1697" s="373"/>
      <c r="E1697" s="373"/>
      <c r="F1697" s="373"/>
      <c r="G1697" s="373"/>
      <c r="H1697" s="373"/>
      <c r="I1697" s="373"/>
      <c r="J1697" s="373"/>
      <c r="K1697" s="373"/>
      <c r="L1697" s="373"/>
      <c r="M1697" s="373"/>
      <c r="N1697" s="373"/>
      <c r="O1697" s="373"/>
      <c r="P1697" s="373"/>
      <c r="Q1697" s="373"/>
      <c r="R1697" s="373"/>
      <c r="S1697" s="373"/>
      <c r="T1697" s="373"/>
      <c r="U1697" s="389"/>
      <c r="V1697" s="389"/>
      <c r="W1697" s="1318"/>
      <c r="X1697" s="1318"/>
      <c r="Y1697" s="1318"/>
      <c r="Z1697" s="1318"/>
      <c r="AA1697" s="1318"/>
      <c r="AB1697" s="1318"/>
      <c r="AC1697" s="355"/>
      <c r="AD1697" s="1318"/>
      <c r="AE1697" s="1318"/>
      <c r="AF1697" s="1318"/>
      <c r="AG1697" s="1318"/>
      <c r="AH1697" s="1318"/>
      <c r="AI1697" s="1318"/>
      <c r="AJ1697" s="344"/>
      <c r="AK1697" s="345"/>
      <c r="AL1697" s="340"/>
      <c r="AM1697" s="386" t="s">
        <v>1758</v>
      </c>
      <c r="AN1697" s="373"/>
      <c r="AO1697" s="373"/>
      <c r="AP1697" s="373"/>
      <c r="AQ1697" s="373"/>
      <c r="AR1697" s="373"/>
      <c r="AS1697" s="373"/>
      <c r="AT1697" s="373"/>
      <c r="AU1697" s="373"/>
      <c r="AV1697" s="373"/>
      <c r="AW1697" s="373"/>
      <c r="AX1697" s="373"/>
      <c r="AY1697" s="373"/>
      <c r="AZ1697" s="373"/>
      <c r="BA1697" s="373"/>
      <c r="BB1697" s="373"/>
      <c r="BC1697" s="373"/>
      <c r="BD1697" s="373"/>
      <c r="BE1697" s="389"/>
      <c r="BF1697" s="389"/>
      <c r="BG1697" s="1318">
        <f>W1697</f>
        <v>0</v>
      </c>
      <c r="BH1697" s="1318"/>
      <c r="BI1697" s="1318"/>
      <c r="BJ1697" s="1318"/>
      <c r="BK1697" s="1318"/>
      <c r="BL1697" s="1318"/>
      <c r="BM1697" s="355"/>
      <c r="BN1697" s="1318">
        <f>AD1697</f>
        <v>0</v>
      </c>
      <c r="BO1697" s="1318"/>
      <c r="BP1697" s="1318"/>
      <c r="BQ1697" s="1318"/>
      <c r="BR1697" s="1318"/>
      <c r="BS1697" s="1318"/>
      <c r="BT1697" s="361"/>
      <c r="BU1697" s="362"/>
      <c r="BV1697" s="310"/>
      <c r="BW1697" s="310"/>
      <c r="BX1697" s="291">
        <f t="shared" si="125"/>
        <v>0</v>
      </c>
      <c r="BY1697" s="344"/>
      <c r="BZ1697" s="347"/>
      <c r="CA1697" s="347"/>
    </row>
    <row r="1698" spans="1:84" ht="15" hidden="1" customHeight="1" x14ac:dyDescent="0.25">
      <c r="A1698" s="313"/>
      <c r="B1698" s="340"/>
      <c r="C1698" s="759" t="s">
        <v>1759</v>
      </c>
      <c r="D1698" s="373"/>
      <c r="E1698" s="373"/>
      <c r="F1698" s="373"/>
      <c r="G1698" s="373"/>
      <c r="H1698" s="373"/>
      <c r="I1698" s="373"/>
      <c r="J1698" s="373"/>
      <c r="K1698" s="373"/>
      <c r="L1698" s="373"/>
      <c r="M1698" s="373"/>
      <c r="N1698" s="373"/>
      <c r="O1698" s="373"/>
      <c r="P1698" s="373"/>
      <c r="Q1698" s="373"/>
      <c r="R1698" s="373"/>
      <c r="S1698" s="373"/>
      <c r="T1698" s="373"/>
      <c r="U1698" s="389"/>
      <c r="V1698" s="389"/>
      <c r="W1698" s="1318"/>
      <c r="X1698" s="1318"/>
      <c r="Y1698" s="1318"/>
      <c r="Z1698" s="1318"/>
      <c r="AA1698" s="1318"/>
      <c r="AB1698" s="1318"/>
      <c r="AC1698" s="355"/>
      <c r="AD1698" s="1318"/>
      <c r="AE1698" s="1318"/>
      <c r="AF1698" s="1318"/>
      <c r="AG1698" s="1318"/>
      <c r="AH1698" s="1318"/>
      <c r="AI1698" s="1318"/>
      <c r="AJ1698" s="344"/>
      <c r="AK1698" s="345"/>
      <c r="AL1698" s="340"/>
      <c r="AM1698" s="386" t="s">
        <v>1760</v>
      </c>
      <c r="AN1698" s="373"/>
      <c r="AO1698" s="373"/>
      <c r="AP1698" s="373"/>
      <c r="AQ1698" s="373"/>
      <c r="AR1698" s="373"/>
      <c r="AS1698" s="373"/>
      <c r="AT1698" s="373"/>
      <c r="AU1698" s="373"/>
      <c r="AV1698" s="373"/>
      <c r="AW1698" s="373"/>
      <c r="AX1698" s="373"/>
      <c r="AY1698" s="373"/>
      <c r="AZ1698" s="373"/>
      <c r="BA1698" s="373"/>
      <c r="BB1698" s="373"/>
      <c r="BC1698" s="373"/>
      <c r="BD1698" s="373"/>
      <c r="BE1698" s="389"/>
      <c r="BF1698" s="389"/>
      <c r="BG1698" s="1318">
        <f>W1698</f>
        <v>0</v>
      </c>
      <c r="BH1698" s="1318"/>
      <c r="BI1698" s="1318"/>
      <c r="BJ1698" s="1318"/>
      <c r="BK1698" s="1318"/>
      <c r="BL1698" s="1318"/>
      <c r="BM1698" s="355"/>
      <c r="BN1698" s="1318">
        <f>AD1698</f>
        <v>0</v>
      </c>
      <c r="BO1698" s="1318"/>
      <c r="BP1698" s="1318"/>
      <c r="BQ1698" s="1318"/>
      <c r="BR1698" s="1318"/>
      <c r="BS1698" s="1318"/>
      <c r="BT1698" s="361"/>
      <c r="BU1698" s="362"/>
      <c r="BV1698" s="310"/>
      <c r="BW1698" s="310"/>
      <c r="BX1698" s="291">
        <f t="shared" si="125"/>
        <v>0</v>
      </c>
      <c r="BY1698" s="344"/>
      <c r="BZ1698" s="347"/>
      <c r="CA1698" s="347"/>
    </row>
    <row r="1699" spans="1:84" ht="15" hidden="1" customHeight="1" x14ac:dyDescent="0.25">
      <c r="A1699" s="313"/>
      <c r="B1699" s="340"/>
      <c r="C1699" s="759" t="s">
        <v>1761</v>
      </c>
      <c r="D1699" s="373"/>
      <c r="E1699" s="373"/>
      <c r="F1699" s="373"/>
      <c r="G1699" s="373"/>
      <c r="H1699" s="373"/>
      <c r="I1699" s="373"/>
      <c r="J1699" s="373"/>
      <c r="K1699" s="373"/>
      <c r="L1699" s="373"/>
      <c r="M1699" s="373"/>
      <c r="N1699" s="373"/>
      <c r="O1699" s="373"/>
      <c r="P1699" s="373"/>
      <c r="Q1699" s="373"/>
      <c r="R1699" s="373"/>
      <c r="S1699" s="373"/>
      <c r="T1699" s="373"/>
      <c r="U1699" s="389"/>
      <c r="V1699" s="389"/>
      <c r="W1699" s="1318"/>
      <c r="X1699" s="1318"/>
      <c r="Y1699" s="1318"/>
      <c r="Z1699" s="1318"/>
      <c r="AA1699" s="1318"/>
      <c r="AB1699" s="1318"/>
      <c r="AC1699" s="355"/>
      <c r="AD1699" s="1318"/>
      <c r="AE1699" s="1318"/>
      <c r="AF1699" s="1318"/>
      <c r="AG1699" s="1318"/>
      <c r="AH1699" s="1318"/>
      <c r="AI1699" s="1318"/>
      <c r="AJ1699" s="344"/>
      <c r="AK1699" s="345"/>
      <c r="AL1699" s="340"/>
      <c r="AM1699" s="386" t="s">
        <v>1762</v>
      </c>
      <c r="AN1699" s="373"/>
      <c r="AO1699" s="373"/>
      <c r="AP1699" s="373"/>
      <c r="AQ1699" s="373"/>
      <c r="AR1699" s="373"/>
      <c r="AS1699" s="373"/>
      <c r="AT1699" s="373"/>
      <c r="AU1699" s="373"/>
      <c r="AV1699" s="373"/>
      <c r="AW1699" s="373"/>
      <c r="AX1699" s="373"/>
      <c r="AY1699" s="373"/>
      <c r="AZ1699" s="373"/>
      <c r="BA1699" s="373"/>
      <c r="BB1699" s="373"/>
      <c r="BC1699" s="373"/>
      <c r="BD1699" s="373"/>
      <c r="BE1699" s="389"/>
      <c r="BF1699" s="389"/>
      <c r="BG1699" s="1318">
        <f>W1699</f>
        <v>0</v>
      </c>
      <c r="BH1699" s="1318"/>
      <c r="BI1699" s="1318"/>
      <c r="BJ1699" s="1318"/>
      <c r="BK1699" s="1318"/>
      <c r="BL1699" s="1318"/>
      <c r="BM1699" s="355"/>
      <c r="BN1699" s="1318">
        <f>AD1699</f>
        <v>0</v>
      </c>
      <c r="BO1699" s="1318"/>
      <c r="BP1699" s="1318"/>
      <c r="BQ1699" s="1318"/>
      <c r="BR1699" s="1318"/>
      <c r="BS1699" s="1318"/>
      <c r="BT1699" s="361"/>
      <c r="BU1699" s="362"/>
      <c r="BV1699" s="310"/>
      <c r="BW1699" s="310"/>
      <c r="BX1699" s="291">
        <f t="shared" si="125"/>
        <v>0</v>
      </c>
      <c r="BY1699" s="344"/>
      <c r="BZ1699" s="347"/>
      <c r="CA1699" s="347"/>
    </row>
    <row r="1700" spans="1:84" ht="15" hidden="1" customHeight="1" x14ac:dyDescent="0.25">
      <c r="A1700" s="313"/>
      <c r="B1700" s="340"/>
      <c r="C1700" s="386"/>
      <c r="D1700" s="373"/>
      <c r="E1700" s="373"/>
      <c r="F1700" s="373"/>
      <c r="G1700" s="373"/>
      <c r="H1700" s="373"/>
      <c r="I1700" s="373"/>
      <c r="J1700" s="373"/>
      <c r="K1700" s="373"/>
      <c r="L1700" s="373"/>
      <c r="M1700" s="373"/>
      <c r="N1700" s="373"/>
      <c r="O1700" s="373"/>
      <c r="P1700" s="373"/>
      <c r="Q1700" s="373"/>
      <c r="R1700" s="373"/>
      <c r="S1700" s="373"/>
      <c r="T1700" s="373"/>
      <c r="U1700" s="389"/>
      <c r="V1700" s="389"/>
      <c r="W1700" s="363"/>
      <c r="X1700" s="363"/>
      <c r="Y1700" s="363"/>
      <c r="Z1700" s="363"/>
      <c r="AA1700" s="363"/>
      <c r="AB1700" s="363"/>
      <c r="AC1700" s="355"/>
      <c r="AD1700" s="363"/>
      <c r="AE1700" s="363"/>
      <c r="AF1700" s="363"/>
      <c r="AG1700" s="363"/>
      <c r="AH1700" s="363"/>
      <c r="AI1700" s="363"/>
      <c r="AJ1700" s="344"/>
      <c r="AK1700" s="345"/>
      <c r="AL1700" s="340"/>
      <c r="AM1700" s="386"/>
      <c r="AN1700" s="373"/>
      <c r="AO1700" s="373"/>
      <c r="AP1700" s="373"/>
      <c r="AQ1700" s="373"/>
      <c r="AR1700" s="373"/>
      <c r="AS1700" s="373"/>
      <c r="AT1700" s="373"/>
      <c r="AU1700" s="373"/>
      <c r="AV1700" s="373"/>
      <c r="AW1700" s="373"/>
      <c r="AX1700" s="373"/>
      <c r="AY1700" s="373"/>
      <c r="AZ1700" s="373"/>
      <c r="BA1700" s="373"/>
      <c r="BB1700" s="373"/>
      <c r="BC1700" s="373"/>
      <c r="BD1700" s="373"/>
      <c r="BE1700" s="389"/>
      <c r="BF1700" s="389"/>
      <c r="BG1700" s="363"/>
      <c r="BH1700" s="363"/>
      <c r="BI1700" s="363"/>
      <c r="BJ1700" s="363"/>
      <c r="BK1700" s="363"/>
      <c r="BL1700" s="363"/>
      <c r="BM1700" s="355"/>
      <c r="BN1700" s="363"/>
      <c r="BO1700" s="363"/>
      <c r="BP1700" s="363"/>
      <c r="BQ1700" s="363"/>
      <c r="BR1700" s="363"/>
      <c r="BS1700" s="363"/>
      <c r="BT1700" s="361"/>
      <c r="BU1700" s="362"/>
      <c r="BV1700" s="310"/>
      <c r="BW1700" s="310"/>
      <c r="BX1700" s="291">
        <f t="shared" si="125"/>
        <v>0</v>
      </c>
      <c r="BY1700" s="344"/>
      <c r="BZ1700" s="347"/>
      <c r="CA1700" s="347"/>
    </row>
    <row r="1701" spans="1:84" ht="15" hidden="1" customHeight="1" thickBot="1" x14ac:dyDescent="0.3">
      <c r="A1701" s="313"/>
      <c r="B1701" s="340"/>
      <c r="C1701" s="360" t="s">
        <v>752</v>
      </c>
      <c r="D1701" s="373"/>
      <c r="E1701" s="373"/>
      <c r="F1701" s="373"/>
      <c r="G1701" s="373"/>
      <c r="H1701" s="373"/>
      <c r="I1701" s="373"/>
      <c r="J1701" s="373"/>
      <c r="K1701" s="373"/>
      <c r="L1701" s="373"/>
      <c r="M1701" s="373"/>
      <c r="N1701" s="373"/>
      <c r="O1701" s="373"/>
      <c r="P1701" s="373"/>
      <c r="Q1701" s="373"/>
      <c r="R1701" s="373"/>
      <c r="S1701" s="373"/>
      <c r="T1701" s="373"/>
      <c r="U1701" s="389"/>
      <c r="V1701" s="389"/>
      <c r="W1701" s="1359">
        <f>SUBTOTAL(109,W1695:AB1699)</f>
        <v>0</v>
      </c>
      <c r="X1701" s="1359"/>
      <c r="Y1701" s="1359"/>
      <c r="Z1701" s="1359"/>
      <c r="AA1701" s="1359"/>
      <c r="AB1701" s="1359"/>
      <c r="AC1701" s="355"/>
      <c r="AD1701" s="1359">
        <f>SUBTOTAL(109,AD1695:AI1699)</f>
        <v>0</v>
      </c>
      <c r="AE1701" s="1359"/>
      <c r="AF1701" s="1359"/>
      <c r="AG1701" s="1359"/>
      <c r="AH1701" s="1359"/>
      <c r="AI1701" s="1359"/>
      <c r="AJ1701" s="344"/>
      <c r="AK1701" s="345"/>
      <c r="AL1701" s="340"/>
      <c r="AM1701" s="360" t="s">
        <v>752</v>
      </c>
      <c r="AN1701" s="373"/>
      <c r="AO1701" s="373"/>
      <c r="AP1701" s="373"/>
      <c r="AQ1701" s="373"/>
      <c r="AR1701" s="373"/>
      <c r="AS1701" s="373"/>
      <c r="AT1701" s="373"/>
      <c r="AU1701" s="373"/>
      <c r="AV1701" s="373"/>
      <c r="AW1701" s="373"/>
      <c r="AX1701" s="373"/>
      <c r="AY1701" s="373"/>
      <c r="AZ1701" s="373"/>
      <c r="BA1701" s="373"/>
      <c r="BB1701" s="373"/>
      <c r="BC1701" s="373"/>
      <c r="BD1701" s="373"/>
      <c r="BE1701" s="389"/>
      <c r="BF1701" s="389"/>
      <c r="BG1701" s="1359">
        <f>SUBTOTAL(109,BG1695:BL1699)</f>
        <v>0</v>
      </c>
      <c r="BH1701" s="1359"/>
      <c r="BI1701" s="1359"/>
      <c r="BJ1701" s="1359"/>
      <c r="BK1701" s="1359"/>
      <c r="BL1701" s="1359"/>
      <c r="BM1701" s="355"/>
      <c r="BN1701" s="1359">
        <f>SUBTOTAL(109,BN1695:BS1699)</f>
        <v>0</v>
      </c>
      <c r="BO1701" s="1359"/>
      <c r="BP1701" s="1359"/>
      <c r="BQ1701" s="1359"/>
      <c r="BR1701" s="1359"/>
      <c r="BS1701" s="1359"/>
      <c r="BT1701" s="361"/>
      <c r="BU1701" s="362"/>
      <c r="BV1701" s="310">
        <f>W1701-KN_CT52</f>
        <v>0</v>
      </c>
      <c r="BW1701" s="310">
        <f>AD1701-KT_CT52</f>
        <v>0</v>
      </c>
      <c r="BX1701" s="291">
        <f t="shared" si="125"/>
        <v>0</v>
      </c>
      <c r="BY1701" s="344"/>
      <c r="BZ1701" s="347"/>
      <c r="CA1701" s="347"/>
    </row>
    <row r="1702" spans="1:84" ht="15" hidden="1" customHeight="1" thickTop="1" x14ac:dyDescent="0.25">
      <c r="A1702" s="313"/>
      <c r="B1702" s="340"/>
      <c r="C1702" s="386"/>
      <c r="D1702" s="373"/>
      <c r="E1702" s="373"/>
      <c r="F1702" s="373"/>
      <c r="G1702" s="373"/>
      <c r="H1702" s="373"/>
      <c r="I1702" s="373"/>
      <c r="J1702" s="373"/>
      <c r="K1702" s="373"/>
      <c r="L1702" s="373"/>
      <c r="M1702" s="373"/>
      <c r="N1702" s="373"/>
      <c r="O1702" s="373"/>
      <c r="P1702" s="373"/>
      <c r="Q1702" s="373"/>
      <c r="R1702" s="373"/>
      <c r="S1702" s="373"/>
      <c r="T1702" s="373"/>
      <c r="U1702" s="389"/>
      <c r="V1702" s="389"/>
      <c r="W1702" s="363"/>
      <c r="X1702" s="363"/>
      <c r="Y1702" s="363"/>
      <c r="Z1702" s="363"/>
      <c r="AA1702" s="363"/>
      <c r="AB1702" s="363"/>
      <c r="AC1702" s="355"/>
      <c r="AD1702" s="363"/>
      <c r="AE1702" s="363"/>
      <c r="AF1702" s="363"/>
      <c r="AG1702" s="363"/>
      <c r="AH1702" s="363"/>
      <c r="AI1702" s="363"/>
      <c r="AJ1702" s="344"/>
      <c r="AK1702" s="345"/>
      <c r="AL1702" s="340"/>
      <c r="AM1702" s="386"/>
      <c r="AN1702" s="373"/>
      <c r="AO1702" s="373"/>
      <c r="AP1702" s="373"/>
      <c r="AQ1702" s="373"/>
      <c r="AR1702" s="373"/>
      <c r="AS1702" s="373"/>
      <c r="AT1702" s="373"/>
      <c r="AU1702" s="373"/>
      <c r="AV1702" s="373"/>
      <c r="AW1702" s="373"/>
      <c r="AX1702" s="373"/>
      <c r="AY1702" s="373"/>
      <c r="AZ1702" s="373"/>
      <c r="BA1702" s="373"/>
      <c r="BB1702" s="373"/>
      <c r="BC1702" s="373"/>
      <c r="BD1702" s="373"/>
      <c r="BE1702" s="389"/>
      <c r="BF1702" s="389"/>
      <c r="BG1702" s="363"/>
      <c r="BH1702" s="363"/>
      <c r="BI1702" s="363"/>
      <c r="BJ1702" s="363"/>
      <c r="BK1702" s="363"/>
      <c r="BL1702" s="363"/>
      <c r="BM1702" s="355"/>
      <c r="BN1702" s="363"/>
      <c r="BO1702" s="363"/>
      <c r="BP1702" s="363"/>
      <c r="BQ1702" s="363"/>
      <c r="BR1702" s="363"/>
      <c r="BS1702" s="363"/>
      <c r="BT1702" s="361"/>
      <c r="BU1702" s="362"/>
      <c r="BV1702" s="310"/>
      <c r="BW1702" s="310"/>
      <c r="BX1702" s="291">
        <f t="shared" si="125"/>
        <v>0</v>
      </c>
      <c r="BY1702" s="344"/>
      <c r="BZ1702" s="347"/>
      <c r="CA1702" s="347"/>
    </row>
    <row r="1703" spans="1:84" ht="15" hidden="1" customHeight="1" x14ac:dyDescent="0.25">
      <c r="A1703" s="313"/>
      <c r="B1703" s="340"/>
      <c r="C1703" s="1374" t="s">
        <v>1076</v>
      </c>
      <c r="D1703" s="1374"/>
      <c r="E1703" s="1374"/>
      <c r="F1703" s="1374"/>
      <c r="G1703" s="1374"/>
      <c r="H1703" s="1374"/>
      <c r="I1703" s="1374"/>
      <c r="J1703" s="1374"/>
      <c r="K1703" s="1374"/>
      <c r="L1703" s="1374"/>
      <c r="M1703" s="1374"/>
      <c r="N1703" s="1374"/>
      <c r="O1703" s="1374"/>
      <c r="P1703" s="1374"/>
      <c r="Q1703" s="1374"/>
      <c r="R1703" s="1374"/>
      <c r="S1703" s="1374"/>
      <c r="T1703" s="1374"/>
      <c r="U1703" s="1374"/>
      <c r="V1703" s="1374"/>
      <c r="W1703" s="1374"/>
      <c r="X1703" s="1374"/>
      <c r="Y1703" s="1374"/>
      <c r="Z1703" s="1374"/>
      <c r="AA1703" s="1374"/>
      <c r="AB1703" s="1374"/>
      <c r="AC1703" s="1374"/>
      <c r="AD1703" s="1374"/>
      <c r="AE1703" s="1374"/>
      <c r="AF1703" s="1374"/>
      <c r="AG1703" s="1374"/>
      <c r="AH1703" s="1374"/>
      <c r="AI1703" s="1374"/>
      <c r="AJ1703" s="344"/>
      <c r="AK1703" s="345"/>
      <c r="AL1703" s="340"/>
      <c r="AM1703" s="1374" t="s">
        <v>1076</v>
      </c>
      <c r="AN1703" s="1374"/>
      <c r="AO1703" s="1374"/>
      <c r="AP1703" s="1374"/>
      <c r="AQ1703" s="1374"/>
      <c r="AR1703" s="1374"/>
      <c r="AS1703" s="1374"/>
      <c r="AT1703" s="1374"/>
      <c r="AU1703" s="1374"/>
      <c r="AV1703" s="1374"/>
      <c r="AW1703" s="1374"/>
      <c r="AX1703" s="1374"/>
      <c r="AY1703" s="1374"/>
      <c r="AZ1703" s="1374"/>
      <c r="BA1703" s="1374"/>
      <c r="BB1703" s="1374"/>
      <c r="BC1703" s="1374"/>
      <c r="BD1703" s="1374"/>
      <c r="BE1703" s="1374"/>
      <c r="BF1703" s="1374"/>
      <c r="BG1703" s="1374"/>
      <c r="BH1703" s="1374"/>
      <c r="BI1703" s="1374"/>
      <c r="BJ1703" s="1374"/>
      <c r="BK1703" s="1374"/>
      <c r="BL1703" s="1374"/>
      <c r="BM1703" s="1374"/>
      <c r="BN1703" s="1374"/>
      <c r="BO1703" s="1374"/>
      <c r="BP1703" s="1374"/>
      <c r="BQ1703" s="1374"/>
      <c r="BR1703" s="1374"/>
      <c r="BS1703" s="1374"/>
      <c r="BT1703" s="361"/>
      <c r="BU1703" s="362"/>
      <c r="BV1703" s="310"/>
      <c r="BW1703" s="310"/>
      <c r="BX1703" s="291">
        <f t="shared" si="125"/>
        <v>0</v>
      </c>
      <c r="BY1703" s="344"/>
      <c r="BZ1703" s="347"/>
      <c r="CA1703" s="347"/>
    </row>
    <row r="1704" spans="1:84" ht="2.1" hidden="1" customHeight="1" x14ac:dyDescent="0.25">
      <c r="A1704" s="313"/>
      <c r="B1704" s="340"/>
      <c r="C1704" s="388"/>
      <c r="D1704" s="373"/>
      <c r="E1704" s="373"/>
      <c r="F1704" s="373"/>
      <c r="G1704" s="373"/>
      <c r="H1704" s="373"/>
      <c r="I1704" s="373"/>
      <c r="J1704" s="373"/>
      <c r="K1704" s="373"/>
      <c r="L1704" s="373"/>
      <c r="M1704" s="373"/>
      <c r="N1704" s="373"/>
      <c r="O1704" s="373"/>
      <c r="P1704" s="373"/>
      <c r="Q1704" s="373"/>
      <c r="R1704" s="373"/>
      <c r="S1704" s="373"/>
      <c r="T1704" s="373"/>
      <c r="U1704" s="389"/>
      <c r="V1704" s="389"/>
      <c r="W1704" s="363"/>
      <c r="X1704" s="363"/>
      <c r="Y1704" s="363"/>
      <c r="Z1704" s="363"/>
      <c r="AA1704" s="363"/>
      <c r="AB1704" s="363"/>
      <c r="AC1704" s="355"/>
      <c r="AD1704" s="363"/>
      <c r="AE1704" s="363"/>
      <c r="AF1704" s="363"/>
      <c r="AG1704" s="363"/>
      <c r="AH1704" s="363"/>
      <c r="AI1704" s="363"/>
      <c r="AJ1704" s="344"/>
      <c r="AK1704" s="345"/>
      <c r="AL1704" s="340"/>
      <c r="AM1704" s="340"/>
      <c r="AN1704" s="340"/>
      <c r="AO1704" s="340"/>
      <c r="AP1704" s="340"/>
      <c r="AQ1704" s="340"/>
      <c r="AR1704" s="340"/>
      <c r="AS1704" s="340"/>
      <c r="AT1704" s="340"/>
      <c r="AU1704" s="340"/>
      <c r="AV1704" s="340"/>
      <c r="AW1704" s="340"/>
      <c r="AX1704" s="340"/>
      <c r="AY1704" s="340"/>
      <c r="AZ1704" s="340"/>
      <c r="BA1704" s="340"/>
      <c r="BB1704" s="340"/>
      <c r="BC1704" s="340"/>
      <c r="BD1704" s="340"/>
      <c r="BE1704" s="342"/>
      <c r="BF1704" s="342"/>
      <c r="BG1704" s="1330"/>
      <c r="BH1704" s="1330"/>
      <c r="BI1704" s="1330"/>
      <c r="BJ1704" s="1330"/>
      <c r="BK1704" s="1330"/>
      <c r="BL1704" s="1330"/>
      <c r="BM1704" s="355"/>
      <c r="BN1704" s="1330"/>
      <c r="BO1704" s="1330"/>
      <c r="BP1704" s="1330"/>
      <c r="BQ1704" s="1330"/>
      <c r="BR1704" s="1330"/>
      <c r="BS1704" s="1330"/>
      <c r="BT1704" s="361"/>
      <c r="BU1704" s="362"/>
      <c r="BV1704" s="310"/>
      <c r="BW1704" s="310"/>
      <c r="BX1704" s="291">
        <f t="shared" si="125"/>
        <v>0</v>
      </c>
      <c r="BY1704" s="344"/>
      <c r="BZ1704" s="347"/>
      <c r="CA1704" s="347"/>
    </row>
    <row r="1705" spans="1:84" ht="12.95" hidden="1" customHeight="1" x14ac:dyDescent="0.25">
      <c r="A1705" s="313"/>
      <c r="B1705" s="340"/>
      <c r="C1705" s="342"/>
      <c r="D1705" s="342"/>
      <c r="E1705" s="342"/>
      <c r="F1705" s="342"/>
      <c r="G1705" s="342"/>
      <c r="H1705" s="342"/>
      <c r="I1705" s="342"/>
      <c r="J1705" s="342"/>
      <c r="K1705" s="342"/>
      <c r="L1705" s="342"/>
      <c r="M1705" s="342"/>
      <c r="N1705" s="342"/>
      <c r="O1705" s="342"/>
      <c r="P1705" s="342"/>
      <c r="Q1705" s="342"/>
      <c r="R1705" s="342"/>
      <c r="S1705" s="342"/>
      <c r="T1705" s="342"/>
      <c r="U1705" s="342"/>
      <c r="V1705" s="342"/>
      <c r="W1705" s="343"/>
      <c r="X1705" s="343"/>
      <c r="Y1705" s="343"/>
      <c r="Z1705" s="343"/>
      <c r="AA1705" s="343"/>
      <c r="AB1705" s="343"/>
      <c r="AC1705" s="343"/>
      <c r="AD1705" s="343"/>
      <c r="AE1705" s="343"/>
      <c r="AF1705" s="343"/>
      <c r="AG1705" s="343"/>
      <c r="AH1705" s="343"/>
      <c r="AI1705" s="343"/>
      <c r="AJ1705" s="344"/>
      <c r="AK1705" s="345"/>
      <c r="AL1705" s="340"/>
      <c r="AM1705" s="342"/>
      <c r="AN1705" s="342"/>
      <c r="AO1705" s="342"/>
      <c r="AP1705" s="342"/>
      <c r="AQ1705" s="342"/>
      <c r="AR1705" s="342"/>
      <c r="AS1705" s="342"/>
      <c r="AT1705" s="342"/>
      <c r="AU1705" s="342"/>
      <c r="AV1705" s="342"/>
      <c r="AW1705" s="342"/>
      <c r="AX1705" s="342"/>
      <c r="AY1705" s="342"/>
      <c r="AZ1705" s="342"/>
      <c r="BA1705" s="342"/>
      <c r="BB1705" s="342"/>
      <c r="BC1705" s="342"/>
      <c r="BD1705" s="342"/>
      <c r="BE1705" s="342"/>
      <c r="BF1705" s="342"/>
      <c r="BG1705" s="389"/>
      <c r="BH1705" s="389"/>
      <c r="BI1705" s="389"/>
      <c r="BJ1705" s="389"/>
      <c r="BK1705" s="389"/>
      <c r="BL1705" s="389"/>
      <c r="BM1705" s="389"/>
      <c r="BN1705" s="356"/>
      <c r="BO1705" s="356"/>
      <c r="BP1705" s="356"/>
      <c r="BQ1705" s="356"/>
      <c r="BR1705" s="356"/>
      <c r="BS1705" s="356"/>
      <c r="BT1705" s="356"/>
      <c r="BU1705" s="357"/>
      <c r="BV1705" s="310"/>
      <c r="BW1705" s="310"/>
      <c r="BX1705" s="291">
        <f t="shared" si="125"/>
        <v>0</v>
      </c>
      <c r="BY1705" s="344"/>
      <c r="BZ1705" s="347"/>
      <c r="CA1705" s="347"/>
    </row>
    <row r="1706" spans="1:84" ht="15" customHeight="1" x14ac:dyDescent="0.25">
      <c r="A1706" s="313">
        <v>31</v>
      </c>
      <c r="B1706" s="340" t="s">
        <v>345</v>
      </c>
      <c r="C1706" s="1350" t="s">
        <v>1763</v>
      </c>
      <c r="D1706" s="1373"/>
      <c r="E1706" s="1373"/>
      <c r="F1706" s="1373"/>
      <c r="G1706" s="1373"/>
      <c r="H1706" s="1373"/>
      <c r="I1706" s="1373"/>
      <c r="J1706" s="1373"/>
      <c r="K1706" s="1373"/>
      <c r="L1706" s="1373"/>
      <c r="M1706" s="1373"/>
      <c r="N1706" s="1373"/>
      <c r="O1706" s="1373"/>
      <c r="P1706" s="1373"/>
      <c r="Q1706" s="1373"/>
      <c r="R1706" s="1373"/>
      <c r="S1706" s="1373"/>
      <c r="T1706" s="1373"/>
      <c r="U1706" s="1373"/>
      <c r="V1706" s="1373"/>
      <c r="W1706" s="1373"/>
      <c r="X1706" s="1373"/>
      <c r="Y1706" s="1373"/>
      <c r="Z1706" s="1373"/>
      <c r="AA1706" s="1373"/>
      <c r="AB1706" s="1373"/>
      <c r="AC1706" s="1373"/>
      <c r="AD1706" s="1373"/>
      <c r="AE1706" s="1373"/>
      <c r="AF1706" s="1373"/>
      <c r="AG1706" s="1373"/>
      <c r="AH1706" s="1373"/>
      <c r="AI1706" s="1373"/>
      <c r="AJ1706" s="344"/>
      <c r="AK1706" s="345">
        <f>A1706</f>
        <v>31</v>
      </c>
      <c r="AL1706" s="340" t="s">
        <v>345</v>
      </c>
      <c r="AM1706" s="1350" t="s">
        <v>1764</v>
      </c>
      <c r="AN1706" s="1373"/>
      <c r="AO1706" s="1373"/>
      <c r="AP1706" s="1373"/>
      <c r="AQ1706" s="1373"/>
      <c r="AR1706" s="1373"/>
      <c r="AS1706" s="1373"/>
      <c r="AT1706" s="1373"/>
      <c r="AU1706" s="1373"/>
      <c r="AV1706" s="1373"/>
      <c r="AW1706" s="1373"/>
      <c r="AX1706" s="1373"/>
      <c r="AY1706" s="1373"/>
      <c r="AZ1706" s="1373"/>
      <c r="BA1706" s="1373"/>
      <c r="BB1706" s="1373"/>
      <c r="BC1706" s="1373"/>
      <c r="BD1706" s="1373"/>
      <c r="BE1706" s="1373"/>
      <c r="BF1706" s="1373"/>
      <c r="BG1706" s="1373"/>
      <c r="BH1706" s="1373"/>
      <c r="BI1706" s="1373"/>
      <c r="BJ1706" s="1373"/>
      <c r="BK1706" s="1373"/>
      <c r="BL1706" s="1373"/>
      <c r="BM1706" s="1373"/>
      <c r="BN1706" s="1373"/>
      <c r="BO1706" s="1373"/>
      <c r="BP1706" s="1373"/>
      <c r="BQ1706" s="1373"/>
      <c r="BR1706" s="1373"/>
      <c r="BS1706" s="1373"/>
      <c r="BT1706" s="342"/>
      <c r="BU1706" s="346">
        <f>SUBTOTAL(103,A1706)</f>
        <v>1</v>
      </c>
      <c r="BV1706" s="310"/>
      <c r="BW1706" s="310"/>
      <c r="BX1706" s="291">
        <f t="shared" si="125"/>
        <v>0</v>
      </c>
      <c r="BY1706" s="344"/>
      <c r="BZ1706" s="347"/>
      <c r="CA1706" s="347"/>
    </row>
    <row r="1707" spans="1:84" ht="15" customHeight="1" x14ac:dyDescent="0.25">
      <c r="A1707" s="313"/>
      <c r="B1707" s="340"/>
      <c r="C1707" s="574"/>
      <c r="D1707" s="760"/>
      <c r="E1707" s="760"/>
      <c r="F1707" s="760"/>
      <c r="G1707" s="760"/>
      <c r="H1707" s="760"/>
      <c r="I1707" s="760"/>
      <c r="J1707" s="760"/>
      <c r="K1707" s="760"/>
      <c r="L1707" s="760"/>
      <c r="M1707" s="760"/>
      <c r="N1707" s="760"/>
      <c r="O1707" s="760"/>
      <c r="P1707" s="760"/>
      <c r="Q1707" s="760"/>
      <c r="R1707" s="760"/>
      <c r="S1707" s="760"/>
      <c r="T1707" s="760"/>
      <c r="U1707" s="760"/>
      <c r="V1707" s="760"/>
      <c r="W1707" s="760"/>
      <c r="X1707" s="760"/>
      <c r="Y1707" s="760"/>
      <c r="Z1707" s="760"/>
      <c r="AA1707" s="760"/>
      <c r="AB1707" s="760"/>
      <c r="AC1707" s="760"/>
      <c r="AD1707" s="760"/>
      <c r="AE1707" s="760"/>
      <c r="AF1707" s="760"/>
      <c r="AG1707" s="760"/>
      <c r="AH1707" s="760"/>
      <c r="AI1707" s="760"/>
      <c r="AJ1707" s="344"/>
      <c r="AK1707" s="345"/>
      <c r="AL1707" s="340"/>
      <c r="AM1707" s="574"/>
      <c r="AN1707" s="760"/>
      <c r="AO1707" s="760"/>
      <c r="AP1707" s="760"/>
      <c r="AQ1707" s="760"/>
      <c r="AR1707" s="760"/>
      <c r="AS1707" s="760"/>
      <c r="AT1707" s="760"/>
      <c r="AU1707" s="760"/>
      <c r="AV1707" s="760"/>
      <c r="AW1707" s="760"/>
      <c r="AX1707" s="760"/>
      <c r="AY1707" s="760"/>
      <c r="AZ1707" s="760"/>
      <c r="BA1707" s="760"/>
      <c r="BB1707" s="760"/>
      <c r="BC1707" s="760"/>
      <c r="BD1707" s="760"/>
      <c r="BE1707" s="760"/>
      <c r="BF1707" s="760"/>
      <c r="BG1707" s="760"/>
      <c r="BH1707" s="760"/>
      <c r="BI1707" s="760"/>
      <c r="BJ1707" s="760"/>
      <c r="BK1707" s="760"/>
      <c r="BL1707" s="760"/>
      <c r="BM1707" s="760"/>
      <c r="BN1707" s="760"/>
      <c r="BO1707" s="760"/>
      <c r="BP1707" s="760"/>
      <c r="BQ1707" s="760"/>
      <c r="BR1707" s="760"/>
      <c r="BS1707" s="760"/>
      <c r="BT1707" s="342"/>
      <c r="BU1707" s="346"/>
      <c r="BV1707" s="310"/>
      <c r="BW1707" s="310"/>
      <c r="BX1707" s="291">
        <f t="shared" si="125"/>
        <v>0</v>
      </c>
      <c r="BY1707" s="344"/>
      <c r="BZ1707" s="347"/>
      <c r="CA1707" s="347"/>
    </row>
    <row r="1708" spans="1:84" ht="30" customHeight="1" x14ac:dyDescent="0.25">
      <c r="A1708" s="313"/>
      <c r="B1708" s="340"/>
      <c r="C1708" s="1345" t="str">
        <f>CONCATENATE("Việc tính toán lãi cơ bản trên cổ phiếu có thể phân phối cho các cổ đông sở hữu cổ phần phổ thông của "&amp;LoaiCT_V&amp;" được thực hiện dựa trên các số liệu sau:")</f>
        <v>Việc tính toán lãi cơ bản trên cổ phiếu có thể phân phối cho các cổ đông sở hữu cổ phần phổ thông của Công ty được thực hiện dựa trên các số liệu sau:</v>
      </c>
      <c r="D1708" s="1345"/>
      <c r="E1708" s="1345"/>
      <c r="F1708" s="1345"/>
      <c r="G1708" s="1345"/>
      <c r="H1708" s="1345"/>
      <c r="I1708" s="1345"/>
      <c r="J1708" s="1345"/>
      <c r="K1708" s="1345"/>
      <c r="L1708" s="1345"/>
      <c r="M1708" s="1345"/>
      <c r="N1708" s="1345"/>
      <c r="O1708" s="1345"/>
      <c r="P1708" s="1345"/>
      <c r="Q1708" s="1345"/>
      <c r="R1708" s="1345"/>
      <c r="S1708" s="1345"/>
      <c r="T1708" s="1345"/>
      <c r="U1708" s="1345"/>
      <c r="V1708" s="1345"/>
      <c r="W1708" s="1345"/>
      <c r="X1708" s="1345"/>
      <c r="Y1708" s="1345"/>
      <c r="Z1708" s="1345"/>
      <c r="AA1708" s="1345"/>
      <c r="AB1708" s="1345"/>
      <c r="AC1708" s="1345"/>
      <c r="AD1708" s="1345"/>
      <c r="AE1708" s="1345"/>
      <c r="AF1708" s="1345"/>
      <c r="AG1708" s="1345"/>
      <c r="AH1708" s="1345"/>
      <c r="AI1708" s="1345"/>
      <c r="AJ1708" s="344"/>
      <c r="AK1708" s="345"/>
      <c r="AL1708" s="340"/>
      <c r="AM1708" s="1345" t="str">
        <f>CONCATENATE("Basic earnings per share distributed to common shareholders of the ",LoaiCT_E," are calculated as follows:")</f>
        <v>Basic earnings per share distributed to common shareholders of the Corporation are calculated as follows:</v>
      </c>
      <c r="AN1708" s="1345"/>
      <c r="AO1708" s="1345"/>
      <c r="AP1708" s="1345"/>
      <c r="AQ1708" s="1345"/>
      <c r="AR1708" s="1345"/>
      <c r="AS1708" s="1345"/>
      <c r="AT1708" s="1345"/>
      <c r="AU1708" s="1345"/>
      <c r="AV1708" s="1345"/>
      <c r="AW1708" s="1345"/>
      <c r="AX1708" s="1345"/>
      <c r="AY1708" s="1345"/>
      <c r="AZ1708" s="1345"/>
      <c r="BA1708" s="1345"/>
      <c r="BB1708" s="1345"/>
      <c r="BC1708" s="1345"/>
      <c r="BD1708" s="1345"/>
      <c r="BE1708" s="1345"/>
      <c r="BF1708" s="1345"/>
      <c r="BG1708" s="1345"/>
      <c r="BH1708" s="1345"/>
      <c r="BI1708" s="1345"/>
      <c r="BJ1708" s="1345"/>
      <c r="BK1708" s="1345"/>
      <c r="BL1708" s="1345"/>
      <c r="BM1708" s="1345"/>
      <c r="BN1708" s="1345"/>
      <c r="BO1708" s="1345"/>
      <c r="BP1708" s="1345"/>
      <c r="BQ1708" s="1345"/>
      <c r="BR1708" s="1345"/>
      <c r="BS1708" s="1345"/>
      <c r="BT1708" s="342"/>
      <c r="BU1708" s="346"/>
      <c r="BV1708" s="310"/>
      <c r="BW1708" s="310"/>
      <c r="BX1708" s="291">
        <f t="shared" si="125"/>
        <v>0</v>
      </c>
      <c r="BY1708" s="344"/>
      <c r="BZ1708" s="347"/>
      <c r="CA1708" s="347"/>
    </row>
    <row r="1709" spans="1:84" s="733" customFormat="1" ht="15" customHeight="1" x14ac:dyDescent="0.25">
      <c r="A1709" s="725"/>
      <c r="B1709" s="728"/>
      <c r="C1709" s="690"/>
      <c r="D1709" s="690"/>
      <c r="E1709" s="690"/>
      <c r="F1709" s="690"/>
      <c r="G1709" s="690"/>
      <c r="H1709" s="690"/>
      <c r="I1709" s="690"/>
      <c r="J1709" s="690"/>
      <c r="K1709" s="690"/>
      <c r="L1709" s="690"/>
      <c r="M1709" s="690"/>
      <c r="N1709" s="690"/>
      <c r="O1709" s="690"/>
      <c r="P1709" s="690"/>
      <c r="Q1709" s="690"/>
      <c r="R1709" s="690"/>
      <c r="S1709" s="690"/>
      <c r="T1709" s="690"/>
      <c r="U1709" s="690"/>
      <c r="V1709" s="690"/>
      <c r="W1709" s="1324" t="str">
        <f>Ky_Nay2_V</f>
        <v>Năm 2017</v>
      </c>
      <c r="X1709" s="1324"/>
      <c r="Y1709" s="1324"/>
      <c r="Z1709" s="1324"/>
      <c r="AA1709" s="1324"/>
      <c r="AB1709" s="1324"/>
      <c r="AC1709" s="681"/>
      <c r="AD1709" s="1324" t="str">
        <f>Ky_Truoc2_V</f>
        <v>Năm 2016</v>
      </c>
      <c r="AE1709" s="1324"/>
      <c r="AF1709" s="1324"/>
      <c r="AG1709" s="1324"/>
      <c r="AH1709" s="1324"/>
      <c r="AI1709" s="1324"/>
      <c r="AJ1709" s="690"/>
      <c r="AK1709" s="727"/>
      <c r="AL1709" s="728"/>
      <c r="AM1709" s="690"/>
      <c r="AN1709" s="690"/>
      <c r="AO1709" s="690"/>
      <c r="AP1709" s="690"/>
      <c r="AQ1709" s="690"/>
      <c r="AR1709" s="690"/>
      <c r="AS1709" s="690"/>
      <c r="AT1709" s="690"/>
      <c r="AU1709" s="690"/>
      <c r="AV1709" s="690"/>
      <c r="AW1709" s="690"/>
      <c r="AX1709" s="690"/>
      <c r="AY1709" s="690"/>
      <c r="AZ1709" s="690"/>
      <c r="BA1709" s="690"/>
      <c r="BB1709" s="690"/>
      <c r="BC1709" s="690"/>
      <c r="BD1709" s="690"/>
      <c r="BE1709" s="690"/>
      <c r="BF1709" s="690"/>
      <c r="BG1709" s="1324" t="str">
        <f>Ky_Nay2_E</f>
        <v>Year 2016</v>
      </c>
      <c r="BH1709" s="1324"/>
      <c r="BI1709" s="1324"/>
      <c r="BJ1709" s="1324"/>
      <c r="BK1709" s="1324"/>
      <c r="BL1709" s="1324"/>
      <c r="BM1709" s="681"/>
      <c r="BN1709" s="1324" t="str">
        <f>Ky_Truoc2_E</f>
        <v>Year 2015</v>
      </c>
      <c r="BO1709" s="1324"/>
      <c r="BP1709" s="1324"/>
      <c r="BQ1709" s="1324"/>
      <c r="BR1709" s="1324"/>
      <c r="BS1709" s="1324"/>
      <c r="BT1709" s="742"/>
      <c r="BU1709" s="743"/>
      <c r="BV1709" s="310"/>
      <c r="BW1709" s="310"/>
      <c r="BX1709" s="300">
        <f t="shared" si="125"/>
        <v>0</v>
      </c>
      <c r="BY1709" s="690"/>
      <c r="BZ1709" s="731"/>
      <c r="CA1709" s="731"/>
      <c r="CB1709" s="732"/>
      <c r="CC1709" s="732"/>
      <c r="CD1709" s="732"/>
      <c r="CE1709" s="732"/>
      <c r="CF1709" s="732"/>
    </row>
    <row r="1710" spans="1:84" s="423" customFormat="1" ht="15" customHeight="1" x14ac:dyDescent="0.25">
      <c r="A1710" s="313"/>
      <c r="B1710" s="340"/>
      <c r="C1710" s="342"/>
      <c r="D1710" s="342"/>
      <c r="E1710" s="342"/>
      <c r="F1710" s="342"/>
      <c r="G1710" s="342"/>
      <c r="H1710" s="342"/>
      <c r="I1710" s="342"/>
      <c r="J1710" s="342"/>
      <c r="K1710" s="342"/>
      <c r="L1710" s="342"/>
      <c r="M1710" s="342"/>
      <c r="N1710" s="342"/>
      <c r="O1710" s="342"/>
      <c r="P1710" s="342"/>
      <c r="Q1710" s="342"/>
      <c r="R1710" s="342"/>
      <c r="S1710" s="342"/>
      <c r="T1710" s="342"/>
      <c r="U1710" s="342"/>
      <c r="V1710" s="342"/>
      <c r="W1710" s="1327" t="str">
        <f>Don_Vi_Tinh_V</f>
        <v>VND</v>
      </c>
      <c r="X1710" s="1327"/>
      <c r="Y1710" s="1327"/>
      <c r="Z1710" s="1327"/>
      <c r="AA1710" s="1327"/>
      <c r="AB1710" s="1327"/>
      <c r="AC1710" s="351"/>
      <c r="AD1710" s="1327" t="str">
        <f>Don_Vi_Tinh_V</f>
        <v>VND</v>
      </c>
      <c r="AE1710" s="1327"/>
      <c r="AF1710" s="1327"/>
      <c r="AG1710" s="1327"/>
      <c r="AH1710" s="1327"/>
      <c r="AI1710" s="1327"/>
      <c r="AJ1710" s="342"/>
      <c r="AK1710" s="345"/>
      <c r="AL1710" s="340"/>
      <c r="AM1710" s="342"/>
      <c r="AN1710" s="342"/>
      <c r="AO1710" s="342"/>
      <c r="AP1710" s="342"/>
      <c r="AQ1710" s="342"/>
      <c r="AR1710" s="342"/>
      <c r="AS1710" s="342"/>
      <c r="AT1710" s="342"/>
      <c r="AU1710" s="342"/>
      <c r="AV1710" s="342"/>
      <c r="AW1710" s="342"/>
      <c r="AX1710" s="342"/>
      <c r="AY1710" s="342"/>
      <c r="AZ1710" s="342"/>
      <c r="BA1710" s="342"/>
      <c r="BB1710" s="342"/>
      <c r="BC1710" s="342"/>
      <c r="BD1710" s="342"/>
      <c r="BE1710" s="342"/>
      <c r="BF1710" s="342"/>
      <c r="BG1710" s="1327" t="str">
        <f>Don_Vi_Tinh_E</f>
        <v>VND</v>
      </c>
      <c r="BH1710" s="1327"/>
      <c r="BI1710" s="1327"/>
      <c r="BJ1710" s="1327"/>
      <c r="BK1710" s="1327"/>
      <c r="BL1710" s="1327"/>
      <c r="BM1710" s="351"/>
      <c r="BN1710" s="1327" t="str">
        <f>Don_Vi_Tinh_E</f>
        <v>VND</v>
      </c>
      <c r="BO1710" s="1327"/>
      <c r="BP1710" s="1327"/>
      <c r="BQ1710" s="1327"/>
      <c r="BR1710" s="1327"/>
      <c r="BS1710" s="1327"/>
      <c r="BT1710" s="714"/>
      <c r="BU1710" s="370"/>
      <c r="BV1710" s="310"/>
      <c r="BW1710" s="310"/>
      <c r="BX1710" s="300">
        <f t="shared" si="125"/>
        <v>0</v>
      </c>
      <c r="BY1710" s="342"/>
      <c r="BZ1710" s="438"/>
      <c r="CA1710" s="438"/>
      <c r="CB1710" s="439"/>
      <c r="CC1710" s="439"/>
      <c r="CD1710" s="439"/>
      <c r="CE1710" s="439"/>
      <c r="CF1710" s="439"/>
    </row>
    <row r="1711" spans="1:84" ht="14.1" customHeight="1" x14ac:dyDescent="0.25">
      <c r="A1711" s="313"/>
      <c r="B1711" s="340"/>
      <c r="C1711" s="342"/>
      <c r="D1711" s="342"/>
      <c r="E1711" s="342"/>
      <c r="F1711" s="342"/>
      <c r="G1711" s="342"/>
      <c r="H1711" s="342"/>
      <c r="I1711" s="342"/>
      <c r="J1711" s="342"/>
      <c r="K1711" s="342"/>
      <c r="L1711" s="342"/>
      <c r="M1711" s="342"/>
      <c r="N1711" s="342"/>
      <c r="O1711" s="342"/>
      <c r="P1711" s="342"/>
      <c r="Q1711" s="342"/>
      <c r="R1711" s="342"/>
      <c r="S1711" s="342"/>
      <c r="T1711" s="342"/>
      <c r="U1711" s="342"/>
      <c r="V1711" s="342"/>
      <c r="W1711" s="660"/>
      <c r="X1711" s="660"/>
      <c r="Y1711" s="660"/>
      <c r="Z1711" s="660"/>
      <c r="AA1711" s="660"/>
      <c r="AB1711" s="660"/>
      <c r="AC1711" s="437"/>
      <c r="AD1711" s="660"/>
      <c r="AE1711" s="660"/>
      <c r="AF1711" s="660"/>
      <c r="AG1711" s="660"/>
      <c r="AH1711" s="660"/>
      <c r="AI1711" s="660"/>
      <c r="AJ1711" s="344"/>
      <c r="AK1711" s="345"/>
      <c r="AL1711" s="340"/>
      <c r="AM1711" s="342"/>
      <c r="AN1711" s="342"/>
      <c r="AO1711" s="342"/>
      <c r="AP1711" s="342"/>
      <c r="AQ1711" s="342"/>
      <c r="AR1711" s="342"/>
      <c r="AS1711" s="342"/>
      <c r="AT1711" s="342"/>
      <c r="AU1711" s="342"/>
      <c r="AV1711" s="342"/>
      <c r="AW1711" s="342"/>
      <c r="AX1711" s="342"/>
      <c r="AY1711" s="342"/>
      <c r="AZ1711" s="342"/>
      <c r="BA1711" s="342"/>
      <c r="BB1711" s="342"/>
      <c r="BC1711" s="342"/>
      <c r="BD1711" s="342"/>
      <c r="BE1711" s="342"/>
      <c r="BF1711" s="342"/>
      <c r="BG1711" s="660"/>
      <c r="BH1711" s="660"/>
      <c r="BI1711" s="660"/>
      <c r="BJ1711" s="660"/>
      <c r="BK1711" s="660"/>
      <c r="BL1711" s="660"/>
      <c r="BM1711" s="437"/>
      <c r="BN1711" s="660"/>
      <c r="BO1711" s="660"/>
      <c r="BP1711" s="660"/>
      <c r="BQ1711" s="660"/>
      <c r="BR1711" s="660"/>
      <c r="BS1711" s="660"/>
      <c r="BT1711" s="714"/>
      <c r="BU1711" s="370"/>
      <c r="BV1711" s="310"/>
      <c r="BW1711" s="310"/>
      <c r="BX1711" s="291">
        <f t="shared" si="125"/>
        <v>0</v>
      </c>
      <c r="BY1711" s="344"/>
      <c r="BZ1711" s="347"/>
      <c r="CA1711" s="347"/>
    </row>
    <row r="1712" spans="1:84" ht="15" customHeight="1" x14ac:dyDescent="0.25">
      <c r="A1712" s="313"/>
      <c r="B1712" s="340"/>
      <c r="C1712" s="342" t="s">
        <v>1765</v>
      </c>
      <c r="D1712" s="342"/>
      <c r="E1712" s="342"/>
      <c r="F1712" s="342"/>
      <c r="G1712" s="342"/>
      <c r="H1712" s="342"/>
      <c r="I1712" s="342"/>
      <c r="J1712" s="342"/>
      <c r="K1712" s="342"/>
      <c r="L1712" s="342"/>
      <c r="M1712" s="342"/>
      <c r="N1712" s="342"/>
      <c r="O1712" s="342"/>
      <c r="P1712" s="342"/>
      <c r="Q1712" s="342"/>
      <c r="R1712" s="342"/>
      <c r="S1712" s="342"/>
      <c r="T1712" s="342"/>
      <c r="U1712" s="342"/>
      <c r="V1712" s="342"/>
      <c r="W1712" s="1318">
        <f>KN_CT60</f>
        <v>2205590858</v>
      </c>
      <c r="X1712" s="1318"/>
      <c r="Y1712" s="1318"/>
      <c r="Z1712" s="1318"/>
      <c r="AA1712" s="1318"/>
      <c r="AB1712" s="1318"/>
      <c r="AC1712" s="355"/>
      <c r="AD1712" s="1318">
        <f>KT_CT60</f>
        <v>723422867</v>
      </c>
      <c r="AE1712" s="1318"/>
      <c r="AF1712" s="1318"/>
      <c r="AG1712" s="1318"/>
      <c r="AH1712" s="1318"/>
      <c r="AI1712" s="1318"/>
      <c r="AJ1712" s="344"/>
      <c r="AK1712" s="345"/>
      <c r="AL1712" s="340"/>
      <c r="AM1712" s="342" t="s">
        <v>1766</v>
      </c>
      <c r="AN1712" s="342"/>
      <c r="AO1712" s="342"/>
      <c r="AP1712" s="342"/>
      <c r="AQ1712" s="342"/>
      <c r="AR1712" s="342"/>
      <c r="AS1712" s="342"/>
      <c r="AT1712" s="342"/>
      <c r="AU1712" s="342"/>
      <c r="AV1712" s="342"/>
      <c r="AW1712" s="342"/>
      <c r="AX1712" s="342"/>
      <c r="AY1712" s="342"/>
      <c r="AZ1712" s="342"/>
      <c r="BA1712" s="342"/>
      <c r="BB1712" s="342"/>
      <c r="BC1712" s="342"/>
      <c r="BD1712" s="342"/>
      <c r="BE1712" s="342"/>
      <c r="BF1712" s="342"/>
      <c r="BG1712" s="1318">
        <f t="shared" ref="BG1712:BG1718" si="126">W1712</f>
        <v>2205590858</v>
      </c>
      <c r="BH1712" s="1318"/>
      <c r="BI1712" s="1318"/>
      <c r="BJ1712" s="1318"/>
      <c r="BK1712" s="1318"/>
      <c r="BL1712" s="1318"/>
      <c r="BM1712" s="355"/>
      <c r="BN1712" s="1318">
        <f t="shared" ref="BN1712:BN1718" si="127">AD1712</f>
        <v>723422867</v>
      </c>
      <c r="BO1712" s="1318"/>
      <c r="BP1712" s="1318"/>
      <c r="BQ1712" s="1318"/>
      <c r="BR1712" s="1318"/>
      <c r="BS1712" s="1318"/>
      <c r="BT1712" s="356"/>
      <c r="BU1712" s="357"/>
      <c r="BV1712" s="310"/>
      <c r="BW1712" s="310"/>
      <c r="BX1712" s="291">
        <f t="shared" si="125"/>
        <v>0</v>
      </c>
      <c r="BY1712" s="344"/>
      <c r="BZ1712" s="347"/>
      <c r="CA1712" s="347"/>
    </row>
    <row r="1713" spans="1:84" ht="15" hidden="1" customHeight="1" x14ac:dyDescent="0.25">
      <c r="A1713" s="313"/>
      <c r="B1713" s="340"/>
      <c r="C1713" s="1347" t="s">
        <v>1767</v>
      </c>
      <c r="D1713" s="1347"/>
      <c r="E1713" s="1347"/>
      <c r="F1713" s="1347"/>
      <c r="G1713" s="1347"/>
      <c r="H1713" s="1347"/>
      <c r="I1713" s="1347"/>
      <c r="J1713" s="1347"/>
      <c r="K1713" s="1347"/>
      <c r="L1713" s="1347"/>
      <c r="M1713" s="1347"/>
      <c r="N1713" s="1347"/>
      <c r="O1713" s="1347"/>
      <c r="P1713" s="1347"/>
      <c r="Q1713" s="1347"/>
      <c r="R1713" s="1347"/>
      <c r="S1713" s="1347"/>
      <c r="T1713" s="1347"/>
      <c r="U1713" s="1347"/>
      <c r="V1713" s="1347"/>
      <c r="W1713" s="1318">
        <f>SUBTOTAL(109,W1714:AB1716)</f>
        <v>0</v>
      </c>
      <c r="X1713" s="1318"/>
      <c r="Y1713" s="1318"/>
      <c r="Z1713" s="1318"/>
      <c r="AA1713" s="1318"/>
      <c r="AB1713" s="1318"/>
      <c r="AC1713" s="355"/>
      <c r="AD1713" s="1318">
        <f>SUBTOTAL(109,AD1714:AI1716)</f>
        <v>0</v>
      </c>
      <c r="AE1713" s="1318"/>
      <c r="AF1713" s="1318"/>
      <c r="AG1713" s="1318"/>
      <c r="AH1713" s="1318"/>
      <c r="AI1713" s="1318"/>
      <c r="AJ1713" s="344"/>
      <c r="AK1713" s="345"/>
      <c r="AL1713" s="340"/>
      <c r="AM1713" s="1347" t="s">
        <v>1768</v>
      </c>
      <c r="AN1713" s="1347"/>
      <c r="AO1713" s="1347"/>
      <c r="AP1713" s="1347"/>
      <c r="AQ1713" s="1347"/>
      <c r="AR1713" s="1347"/>
      <c r="AS1713" s="1347"/>
      <c r="AT1713" s="1347"/>
      <c r="AU1713" s="1347"/>
      <c r="AV1713" s="1347"/>
      <c r="AW1713" s="1347"/>
      <c r="AX1713" s="1347"/>
      <c r="AY1713" s="1347"/>
      <c r="AZ1713" s="1347"/>
      <c r="BA1713" s="1347"/>
      <c r="BB1713" s="1347"/>
      <c r="BC1713" s="1347"/>
      <c r="BD1713" s="1347"/>
      <c r="BE1713" s="1347"/>
      <c r="BF1713" s="1347"/>
      <c r="BG1713" s="1318">
        <f t="shared" si="126"/>
        <v>0</v>
      </c>
      <c r="BH1713" s="1318"/>
      <c r="BI1713" s="1318"/>
      <c r="BJ1713" s="1318"/>
      <c r="BK1713" s="1318"/>
      <c r="BL1713" s="1318"/>
      <c r="BM1713" s="355"/>
      <c r="BN1713" s="1318">
        <f t="shared" si="127"/>
        <v>0</v>
      </c>
      <c r="BO1713" s="1318"/>
      <c r="BP1713" s="1318"/>
      <c r="BQ1713" s="1318"/>
      <c r="BR1713" s="1318"/>
      <c r="BS1713" s="1318"/>
      <c r="BT1713" s="359"/>
      <c r="BU1713" s="346"/>
      <c r="BV1713" s="310"/>
      <c r="BW1713" s="310"/>
      <c r="BX1713" s="291">
        <f t="shared" si="125"/>
        <v>0</v>
      </c>
      <c r="BY1713" s="344"/>
      <c r="BZ1713" s="347"/>
      <c r="CA1713" s="347"/>
    </row>
    <row r="1714" spans="1:84" ht="15" hidden="1" customHeight="1" x14ac:dyDescent="0.25">
      <c r="A1714" s="313"/>
      <c r="B1714" s="340"/>
      <c r="C1714" s="667" t="s">
        <v>1769</v>
      </c>
      <c r="D1714" s="429"/>
      <c r="E1714" s="429"/>
      <c r="F1714" s="429"/>
      <c r="G1714" s="429"/>
      <c r="H1714" s="429"/>
      <c r="I1714" s="429"/>
      <c r="J1714" s="429"/>
      <c r="K1714" s="429"/>
      <c r="L1714" s="429"/>
      <c r="M1714" s="429"/>
      <c r="N1714" s="429"/>
      <c r="O1714" s="429"/>
      <c r="P1714" s="429"/>
      <c r="Q1714" s="429"/>
      <c r="R1714" s="429"/>
      <c r="S1714" s="429"/>
      <c r="T1714" s="429"/>
      <c r="U1714" s="429"/>
      <c r="V1714" s="429"/>
      <c r="W1714" s="1369">
        <v>0</v>
      </c>
      <c r="X1714" s="1369"/>
      <c r="Y1714" s="1369"/>
      <c r="Z1714" s="1369"/>
      <c r="AA1714" s="1369"/>
      <c r="AB1714" s="1369"/>
      <c r="AC1714" s="665"/>
      <c r="AD1714" s="1369">
        <v>0</v>
      </c>
      <c r="AE1714" s="1369"/>
      <c r="AF1714" s="1369"/>
      <c r="AG1714" s="1369"/>
      <c r="AH1714" s="1369"/>
      <c r="AI1714" s="1369"/>
      <c r="AJ1714" s="677"/>
      <c r="AK1714" s="678"/>
      <c r="AL1714" s="679"/>
      <c r="AM1714" s="429" t="s">
        <v>1770</v>
      </c>
      <c r="AN1714" s="429"/>
      <c r="AO1714" s="429"/>
      <c r="AP1714" s="429"/>
      <c r="AQ1714" s="429"/>
      <c r="AR1714" s="429"/>
      <c r="AS1714" s="429"/>
      <c r="AT1714" s="429"/>
      <c r="AU1714" s="429"/>
      <c r="AV1714" s="429"/>
      <c r="AW1714" s="429"/>
      <c r="AX1714" s="429"/>
      <c r="AY1714" s="429"/>
      <c r="AZ1714" s="429"/>
      <c r="BA1714" s="429"/>
      <c r="BB1714" s="429"/>
      <c r="BC1714" s="429"/>
      <c r="BD1714" s="429"/>
      <c r="BE1714" s="429"/>
      <c r="BF1714" s="429"/>
      <c r="BG1714" s="1369">
        <f t="shared" si="126"/>
        <v>0</v>
      </c>
      <c r="BH1714" s="1369"/>
      <c r="BI1714" s="1369"/>
      <c r="BJ1714" s="1369"/>
      <c r="BK1714" s="1369"/>
      <c r="BL1714" s="1369"/>
      <c r="BM1714" s="665"/>
      <c r="BN1714" s="1369">
        <f t="shared" si="127"/>
        <v>0</v>
      </c>
      <c r="BO1714" s="1369"/>
      <c r="BP1714" s="1369"/>
      <c r="BQ1714" s="1369"/>
      <c r="BR1714" s="1369"/>
      <c r="BS1714" s="1369"/>
      <c r="BT1714" s="675"/>
      <c r="BU1714" s="676"/>
      <c r="BV1714" s="310"/>
      <c r="BW1714" s="310"/>
      <c r="BX1714" s="291">
        <f t="shared" si="125"/>
        <v>0</v>
      </c>
      <c r="BY1714" s="344"/>
      <c r="BZ1714" s="347"/>
      <c r="CA1714" s="347"/>
    </row>
    <row r="1715" spans="1:84" ht="15" hidden="1" customHeight="1" x14ac:dyDescent="0.25">
      <c r="A1715" s="313"/>
      <c r="B1715" s="340"/>
      <c r="C1715" s="667" t="s">
        <v>1771</v>
      </c>
      <c r="D1715" s="429"/>
      <c r="E1715" s="429"/>
      <c r="F1715" s="429"/>
      <c r="G1715" s="429"/>
      <c r="H1715" s="429"/>
      <c r="I1715" s="429"/>
      <c r="J1715" s="429"/>
      <c r="K1715" s="429"/>
      <c r="L1715" s="429"/>
      <c r="M1715" s="429"/>
      <c r="N1715" s="429"/>
      <c r="O1715" s="429"/>
      <c r="P1715" s="429"/>
      <c r="Q1715" s="429"/>
      <c r="R1715" s="429"/>
      <c r="S1715" s="429"/>
      <c r="T1715" s="429"/>
      <c r="U1715" s="429"/>
      <c r="V1715" s="429"/>
      <c r="W1715" s="1369">
        <v>0</v>
      </c>
      <c r="X1715" s="1369"/>
      <c r="Y1715" s="1369"/>
      <c r="Z1715" s="1369"/>
      <c r="AA1715" s="1369"/>
      <c r="AB1715" s="1369"/>
      <c r="AC1715" s="665"/>
      <c r="AD1715" s="1369">
        <v>0</v>
      </c>
      <c r="AE1715" s="1369"/>
      <c r="AF1715" s="1369"/>
      <c r="AG1715" s="1369"/>
      <c r="AH1715" s="1369"/>
      <c r="AI1715" s="1369"/>
      <c r="AJ1715" s="677"/>
      <c r="AK1715" s="678"/>
      <c r="AL1715" s="679"/>
      <c r="AM1715" s="429" t="s">
        <v>1772</v>
      </c>
      <c r="AN1715" s="429"/>
      <c r="AO1715" s="429"/>
      <c r="AP1715" s="429"/>
      <c r="AQ1715" s="429"/>
      <c r="AR1715" s="429"/>
      <c r="AS1715" s="429"/>
      <c r="AT1715" s="429"/>
      <c r="AU1715" s="429"/>
      <c r="AV1715" s="429"/>
      <c r="AW1715" s="429"/>
      <c r="AX1715" s="429"/>
      <c r="AY1715" s="429"/>
      <c r="AZ1715" s="429"/>
      <c r="BA1715" s="429"/>
      <c r="BB1715" s="429"/>
      <c r="BC1715" s="429"/>
      <c r="BD1715" s="429"/>
      <c r="BE1715" s="429"/>
      <c r="BF1715" s="429"/>
      <c r="BG1715" s="1369">
        <f>W1715</f>
        <v>0</v>
      </c>
      <c r="BH1715" s="1369"/>
      <c r="BI1715" s="1369"/>
      <c r="BJ1715" s="1369"/>
      <c r="BK1715" s="1369"/>
      <c r="BL1715" s="1369"/>
      <c r="BM1715" s="665"/>
      <c r="BN1715" s="1369">
        <f>AD1715</f>
        <v>0</v>
      </c>
      <c r="BO1715" s="1369"/>
      <c r="BP1715" s="1369"/>
      <c r="BQ1715" s="1369"/>
      <c r="BR1715" s="1369"/>
      <c r="BS1715" s="1369"/>
      <c r="BT1715" s="675"/>
      <c r="BU1715" s="676"/>
      <c r="BV1715" s="310"/>
      <c r="BW1715" s="310"/>
      <c r="BX1715" s="291">
        <f>IF(ISNONTEXT($C1715),0,SUM(D1715:AI1715)-SUM(AN1715:BS1715))</f>
        <v>0</v>
      </c>
      <c r="BY1715" s="344"/>
      <c r="BZ1715" s="347"/>
      <c r="CA1715" s="347"/>
    </row>
    <row r="1716" spans="1:84" ht="15" hidden="1" customHeight="1" x14ac:dyDescent="0.25">
      <c r="A1716" s="313"/>
      <c r="B1716" s="340"/>
      <c r="C1716" s="667" t="s">
        <v>1687</v>
      </c>
      <c r="D1716" s="429"/>
      <c r="E1716" s="429"/>
      <c r="F1716" s="429"/>
      <c r="G1716" s="429"/>
      <c r="H1716" s="429"/>
      <c r="I1716" s="429"/>
      <c r="J1716" s="429"/>
      <c r="K1716" s="429"/>
      <c r="L1716" s="429"/>
      <c r="M1716" s="429"/>
      <c r="N1716" s="429"/>
      <c r="O1716" s="429"/>
      <c r="P1716" s="429"/>
      <c r="Q1716" s="429"/>
      <c r="R1716" s="429"/>
      <c r="S1716" s="429"/>
      <c r="T1716" s="429"/>
      <c r="U1716" s="429"/>
      <c r="V1716" s="429"/>
      <c r="W1716" s="1369">
        <v>0</v>
      </c>
      <c r="X1716" s="1369"/>
      <c r="Y1716" s="1369"/>
      <c r="Z1716" s="1369"/>
      <c r="AA1716" s="1369"/>
      <c r="AB1716" s="1369"/>
      <c r="AC1716" s="665"/>
      <c r="AD1716" s="1369">
        <v>0</v>
      </c>
      <c r="AE1716" s="1369"/>
      <c r="AF1716" s="1369"/>
      <c r="AG1716" s="1369"/>
      <c r="AH1716" s="1369"/>
      <c r="AI1716" s="1369"/>
      <c r="AJ1716" s="677"/>
      <c r="AK1716" s="678"/>
      <c r="AL1716" s="679"/>
      <c r="AM1716" s="429" t="s">
        <v>1773</v>
      </c>
      <c r="AN1716" s="429"/>
      <c r="AO1716" s="429"/>
      <c r="AP1716" s="429"/>
      <c r="AQ1716" s="429"/>
      <c r="AR1716" s="429"/>
      <c r="AS1716" s="429"/>
      <c r="AT1716" s="429"/>
      <c r="AU1716" s="429"/>
      <c r="AV1716" s="429"/>
      <c r="AW1716" s="429"/>
      <c r="AX1716" s="429"/>
      <c r="AY1716" s="429"/>
      <c r="AZ1716" s="429"/>
      <c r="BA1716" s="429"/>
      <c r="BB1716" s="429"/>
      <c r="BC1716" s="429"/>
      <c r="BD1716" s="429"/>
      <c r="BE1716" s="429"/>
      <c r="BF1716" s="429"/>
      <c r="BG1716" s="1369">
        <f t="shared" si="126"/>
        <v>0</v>
      </c>
      <c r="BH1716" s="1369"/>
      <c r="BI1716" s="1369"/>
      <c r="BJ1716" s="1369"/>
      <c r="BK1716" s="1369"/>
      <c r="BL1716" s="1369"/>
      <c r="BM1716" s="665"/>
      <c r="BN1716" s="1369">
        <f t="shared" si="127"/>
        <v>0</v>
      </c>
      <c r="BO1716" s="1369"/>
      <c r="BP1716" s="1369"/>
      <c r="BQ1716" s="1369"/>
      <c r="BR1716" s="1369"/>
      <c r="BS1716" s="1369"/>
      <c r="BT1716" s="356"/>
      <c r="BU1716" s="357"/>
      <c r="BV1716" s="310"/>
      <c r="BW1716" s="310"/>
      <c r="BX1716" s="291">
        <f t="shared" si="125"/>
        <v>0</v>
      </c>
      <c r="BY1716" s="344"/>
      <c r="BZ1716" s="347"/>
      <c r="CA1716" s="347"/>
    </row>
    <row r="1717" spans="1:84" ht="15" customHeight="1" x14ac:dyDescent="0.25">
      <c r="A1717" s="313"/>
      <c r="B1717" s="340"/>
      <c r="C1717" s="342" t="s">
        <v>1774</v>
      </c>
      <c r="D1717" s="342"/>
      <c r="E1717" s="342"/>
      <c r="F1717" s="342"/>
      <c r="G1717" s="342"/>
      <c r="H1717" s="342"/>
      <c r="I1717" s="342"/>
      <c r="J1717" s="342"/>
      <c r="K1717" s="342"/>
      <c r="L1717" s="342"/>
      <c r="M1717" s="342"/>
      <c r="N1717" s="342"/>
      <c r="O1717" s="342"/>
      <c r="P1717" s="342"/>
      <c r="Q1717" s="342"/>
      <c r="R1717" s="342"/>
      <c r="S1717" s="342"/>
      <c r="T1717" s="342"/>
      <c r="U1717" s="342"/>
      <c r="V1717" s="342"/>
      <c r="W1717" s="1318">
        <f>W1712+W1713</f>
        <v>2205590858</v>
      </c>
      <c r="X1717" s="1318"/>
      <c r="Y1717" s="1318"/>
      <c r="Z1717" s="1318"/>
      <c r="AA1717" s="1318"/>
      <c r="AB1717" s="1318"/>
      <c r="AC1717" s="355"/>
      <c r="AD1717" s="1318">
        <f>AD1712+AD1713</f>
        <v>723422867</v>
      </c>
      <c r="AE1717" s="1318"/>
      <c r="AF1717" s="1318"/>
      <c r="AG1717" s="1318"/>
      <c r="AH1717" s="1318"/>
      <c r="AI1717" s="1318"/>
      <c r="AJ1717" s="344"/>
      <c r="AK1717" s="345"/>
      <c r="AL1717" s="340"/>
      <c r="AM1717" s="342" t="s">
        <v>1775</v>
      </c>
      <c r="AN1717" s="342"/>
      <c r="AO1717" s="342"/>
      <c r="AP1717" s="342"/>
      <c r="AQ1717" s="342"/>
      <c r="AR1717" s="342"/>
      <c r="AS1717" s="342"/>
      <c r="AT1717" s="342"/>
      <c r="AU1717" s="342"/>
      <c r="AV1717" s="342"/>
      <c r="AW1717" s="342"/>
      <c r="AX1717" s="342"/>
      <c r="AY1717" s="342"/>
      <c r="AZ1717" s="342"/>
      <c r="BA1717" s="342"/>
      <c r="BB1717" s="342"/>
      <c r="BC1717" s="342"/>
      <c r="BD1717" s="342"/>
      <c r="BE1717" s="342"/>
      <c r="BF1717" s="342"/>
      <c r="BG1717" s="1318">
        <f t="shared" si="126"/>
        <v>2205590858</v>
      </c>
      <c r="BH1717" s="1318"/>
      <c r="BI1717" s="1318"/>
      <c r="BJ1717" s="1318"/>
      <c r="BK1717" s="1318"/>
      <c r="BL1717" s="1318"/>
      <c r="BM1717" s="355"/>
      <c r="BN1717" s="1318">
        <f t="shared" si="127"/>
        <v>723422867</v>
      </c>
      <c r="BO1717" s="1318"/>
      <c r="BP1717" s="1318"/>
      <c r="BQ1717" s="1318"/>
      <c r="BR1717" s="1318"/>
      <c r="BS1717" s="1318"/>
      <c r="BT1717" s="359"/>
      <c r="BU1717" s="346"/>
      <c r="BV1717" s="310"/>
      <c r="BW1717" s="310"/>
      <c r="BX1717" s="291">
        <f t="shared" si="125"/>
        <v>0</v>
      </c>
      <c r="BY1717" s="344"/>
      <c r="BZ1717" s="347"/>
      <c r="CA1717" s="347"/>
    </row>
    <row r="1718" spans="1:84" ht="15" customHeight="1" x14ac:dyDescent="0.25">
      <c r="A1718" s="313"/>
      <c r="B1718" s="340"/>
      <c r="C1718" s="342" t="s">
        <v>1776</v>
      </c>
      <c r="D1718" s="342"/>
      <c r="E1718" s="342"/>
      <c r="F1718" s="342"/>
      <c r="G1718" s="342"/>
      <c r="H1718" s="342"/>
      <c r="I1718" s="342"/>
      <c r="J1718" s="342"/>
      <c r="K1718" s="342"/>
      <c r="L1718" s="342"/>
      <c r="M1718" s="342"/>
      <c r="N1718" s="342"/>
      <c r="O1718" s="342"/>
      <c r="P1718" s="342"/>
      <c r="Q1718" s="342"/>
      <c r="R1718" s="342"/>
      <c r="S1718" s="342"/>
      <c r="T1718" s="342"/>
      <c r="U1718" s="342"/>
      <c r="V1718" s="342"/>
      <c r="W1718" s="1318">
        <f>CPBQ_KN</f>
        <v>2000000</v>
      </c>
      <c r="X1718" s="1318"/>
      <c r="Y1718" s="1318"/>
      <c r="Z1718" s="1318"/>
      <c r="AA1718" s="1318"/>
      <c r="AB1718" s="1318"/>
      <c r="AC1718" s="355"/>
      <c r="AD1718" s="1318">
        <f>CPBQ_KT</f>
        <v>2000000</v>
      </c>
      <c r="AE1718" s="1318"/>
      <c r="AF1718" s="1318"/>
      <c r="AG1718" s="1318"/>
      <c r="AH1718" s="1318"/>
      <c r="AI1718" s="1318"/>
      <c r="AJ1718" s="344"/>
      <c r="AK1718" s="345"/>
      <c r="AL1718" s="340"/>
      <c r="AM1718" s="342" t="s">
        <v>1777</v>
      </c>
      <c r="AN1718" s="342"/>
      <c r="AO1718" s="342"/>
      <c r="AP1718" s="342"/>
      <c r="AQ1718" s="342"/>
      <c r="AR1718" s="342"/>
      <c r="AS1718" s="342"/>
      <c r="AT1718" s="342"/>
      <c r="AU1718" s="342"/>
      <c r="AV1718" s="342"/>
      <c r="AW1718" s="342"/>
      <c r="AX1718" s="342"/>
      <c r="AY1718" s="342"/>
      <c r="AZ1718" s="342"/>
      <c r="BA1718" s="342"/>
      <c r="BB1718" s="342"/>
      <c r="BC1718" s="342"/>
      <c r="BD1718" s="342"/>
      <c r="BE1718" s="342"/>
      <c r="BF1718" s="342"/>
      <c r="BG1718" s="1318">
        <f t="shared" si="126"/>
        <v>2000000</v>
      </c>
      <c r="BH1718" s="1318"/>
      <c r="BI1718" s="1318"/>
      <c r="BJ1718" s="1318"/>
      <c r="BK1718" s="1318"/>
      <c r="BL1718" s="1318"/>
      <c r="BM1718" s="355"/>
      <c r="BN1718" s="1318">
        <f t="shared" si="127"/>
        <v>2000000</v>
      </c>
      <c r="BO1718" s="1318"/>
      <c r="BP1718" s="1318"/>
      <c r="BQ1718" s="1318"/>
      <c r="BR1718" s="1318"/>
      <c r="BS1718" s="1318"/>
      <c r="BT1718" s="675"/>
      <c r="BU1718" s="676"/>
      <c r="BV1718" s="310"/>
      <c r="BW1718" s="310"/>
      <c r="BX1718" s="291">
        <f t="shared" si="125"/>
        <v>0</v>
      </c>
      <c r="BY1718" s="344"/>
      <c r="BZ1718" s="347"/>
      <c r="CA1718" s="347"/>
    </row>
    <row r="1719" spans="1:84" ht="14.1" customHeight="1" x14ac:dyDescent="0.25">
      <c r="A1719" s="313"/>
      <c r="B1719" s="340"/>
      <c r="C1719" s="342"/>
      <c r="D1719" s="342"/>
      <c r="E1719" s="342"/>
      <c r="F1719" s="342"/>
      <c r="G1719" s="342"/>
      <c r="H1719" s="342"/>
      <c r="I1719" s="342"/>
      <c r="J1719" s="342"/>
      <c r="K1719" s="342"/>
      <c r="L1719" s="342"/>
      <c r="M1719" s="342"/>
      <c r="N1719" s="342"/>
      <c r="O1719" s="342"/>
      <c r="P1719" s="342"/>
      <c r="Q1719" s="342"/>
      <c r="R1719" s="342"/>
      <c r="S1719" s="342"/>
      <c r="T1719" s="342"/>
      <c r="U1719" s="342"/>
      <c r="V1719" s="342"/>
      <c r="W1719" s="355"/>
      <c r="X1719" s="355"/>
      <c r="Y1719" s="355"/>
      <c r="Z1719" s="355"/>
      <c r="AA1719" s="355"/>
      <c r="AB1719" s="355"/>
      <c r="AC1719" s="355"/>
      <c r="AD1719" s="355"/>
      <c r="AE1719" s="355"/>
      <c r="AF1719" s="355"/>
      <c r="AG1719" s="355"/>
      <c r="AH1719" s="355"/>
      <c r="AI1719" s="355"/>
      <c r="AJ1719" s="344"/>
      <c r="AK1719" s="345"/>
      <c r="AL1719" s="340"/>
      <c r="AM1719" s="342"/>
      <c r="AN1719" s="342"/>
      <c r="AO1719" s="342"/>
      <c r="AP1719" s="342"/>
      <c r="AQ1719" s="342"/>
      <c r="AR1719" s="342"/>
      <c r="AS1719" s="342"/>
      <c r="AT1719" s="342"/>
      <c r="AU1719" s="342"/>
      <c r="AV1719" s="342"/>
      <c r="AW1719" s="342"/>
      <c r="AX1719" s="342"/>
      <c r="AY1719" s="342"/>
      <c r="AZ1719" s="342"/>
      <c r="BA1719" s="342"/>
      <c r="BB1719" s="342"/>
      <c r="BC1719" s="342"/>
      <c r="BD1719" s="342"/>
      <c r="BE1719" s="342"/>
      <c r="BF1719" s="342"/>
      <c r="BG1719" s="355"/>
      <c r="BH1719" s="355"/>
      <c r="BI1719" s="355"/>
      <c r="BJ1719" s="355"/>
      <c r="BK1719" s="355"/>
      <c r="BL1719" s="355"/>
      <c r="BM1719" s="355"/>
      <c r="BN1719" s="355"/>
      <c r="BO1719" s="355"/>
      <c r="BP1719" s="355"/>
      <c r="BQ1719" s="355"/>
      <c r="BR1719" s="355"/>
      <c r="BS1719" s="355"/>
      <c r="BT1719" s="675"/>
      <c r="BU1719" s="676"/>
      <c r="BV1719" s="310"/>
      <c r="BW1719" s="310"/>
      <c r="BX1719" s="291">
        <f t="shared" si="125"/>
        <v>0</v>
      </c>
      <c r="BY1719" s="344"/>
      <c r="BZ1719" s="347"/>
      <c r="CA1719" s="347"/>
    </row>
    <row r="1720" spans="1:84" ht="15" customHeight="1" thickBot="1" x14ac:dyDescent="0.3">
      <c r="A1720" s="313"/>
      <c r="B1720" s="340"/>
      <c r="C1720" s="341" t="s">
        <v>1778</v>
      </c>
      <c r="D1720" s="342"/>
      <c r="E1720" s="342"/>
      <c r="F1720" s="342"/>
      <c r="G1720" s="342"/>
      <c r="H1720" s="342"/>
      <c r="I1720" s="342"/>
      <c r="J1720" s="342"/>
      <c r="K1720" s="342"/>
      <c r="L1720" s="342"/>
      <c r="M1720" s="342"/>
      <c r="N1720" s="342"/>
      <c r="O1720" s="342"/>
      <c r="P1720" s="342"/>
      <c r="Q1720" s="342"/>
      <c r="R1720" s="342"/>
      <c r="S1720" s="342"/>
      <c r="T1720" s="342"/>
      <c r="U1720" s="342"/>
      <c r="V1720" s="342"/>
      <c r="W1720" s="1359">
        <f>IF(W1718&lt;&gt;0,ROUND(W1717/W1718,0),0)</f>
        <v>1103</v>
      </c>
      <c r="X1720" s="1359"/>
      <c r="Y1720" s="1359"/>
      <c r="Z1720" s="1359"/>
      <c r="AA1720" s="1359"/>
      <c r="AB1720" s="1359"/>
      <c r="AC1720" s="355"/>
      <c r="AD1720" s="1359">
        <f>IF(AD1718&lt;&gt;0,ROUND(AD1717/AD1718,0),0)</f>
        <v>362</v>
      </c>
      <c r="AE1720" s="1359"/>
      <c r="AF1720" s="1359"/>
      <c r="AG1720" s="1359"/>
      <c r="AH1720" s="1359"/>
      <c r="AI1720" s="1359"/>
      <c r="AJ1720" s="374"/>
      <c r="AK1720" s="345"/>
      <c r="AL1720" s="340"/>
      <c r="AM1720" s="341" t="s">
        <v>1779</v>
      </c>
      <c r="AN1720" s="342"/>
      <c r="AO1720" s="342"/>
      <c r="AP1720" s="342"/>
      <c r="AQ1720" s="342"/>
      <c r="AR1720" s="342"/>
      <c r="AS1720" s="342"/>
      <c r="AT1720" s="342"/>
      <c r="AU1720" s="342"/>
      <c r="AV1720" s="342"/>
      <c r="AW1720" s="342"/>
      <c r="AX1720" s="342"/>
      <c r="AY1720" s="342"/>
      <c r="AZ1720" s="342"/>
      <c r="BA1720" s="342"/>
      <c r="BB1720" s="342"/>
      <c r="BC1720" s="342"/>
      <c r="BD1720" s="342"/>
      <c r="BE1720" s="342"/>
      <c r="BF1720" s="342"/>
      <c r="BG1720" s="1359">
        <f>IF(BG1718&lt;&gt;0,ROUND(BG1717/BG1718,0),0)</f>
        <v>1103</v>
      </c>
      <c r="BH1720" s="1359"/>
      <c r="BI1720" s="1359"/>
      <c r="BJ1720" s="1359"/>
      <c r="BK1720" s="1359"/>
      <c r="BL1720" s="1359"/>
      <c r="BM1720" s="355"/>
      <c r="BN1720" s="1359">
        <f>IF(BN1718&lt;&gt;0,ROUND(BN1717/BN1718,0),0)</f>
        <v>362</v>
      </c>
      <c r="BO1720" s="1359"/>
      <c r="BP1720" s="1359"/>
      <c r="BQ1720" s="1359"/>
      <c r="BR1720" s="1359"/>
      <c r="BS1720" s="1359"/>
      <c r="BT1720" s="342"/>
      <c r="BU1720" s="346"/>
      <c r="BV1720" s="310">
        <f>W1720-LCBTCP_NN</f>
        <v>0</v>
      </c>
      <c r="BW1720" s="310">
        <f>AD1720-LCBTCP_NT</f>
        <v>0</v>
      </c>
      <c r="BX1720" s="291">
        <f t="shared" si="125"/>
        <v>0</v>
      </c>
      <c r="BY1720" s="344"/>
      <c r="BZ1720" s="347"/>
      <c r="CA1720" s="347"/>
    </row>
    <row r="1721" spans="1:84" ht="15" customHeight="1" thickTop="1" x14ac:dyDescent="0.25">
      <c r="A1721" s="313"/>
      <c r="B1721" s="454"/>
      <c r="C1721" s="342"/>
      <c r="D1721" s="429"/>
      <c r="E1721" s="342"/>
      <c r="F1721" s="342"/>
      <c r="G1721" s="342"/>
      <c r="H1721" s="342"/>
      <c r="I1721" s="342"/>
      <c r="J1721" s="342"/>
      <c r="K1721" s="342"/>
      <c r="L1721" s="342"/>
      <c r="M1721" s="342"/>
      <c r="N1721" s="342"/>
      <c r="O1721" s="342"/>
      <c r="P1721" s="342"/>
      <c r="Q1721" s="342"/>
      <c r="R1721" s="342"/>
      <c r="S1721" s="342"/>
      <c r="T1721" s="342"/>
      <c r="U1721" s="342"/>
      <c r="V1721" s="342"/>
      <c r="W1721" s="1370"/>
      <c r="X1721" s="1370"/>
      <c r="Y1721" s="1370"/>
      <c r="Z1721" s="1370"/>
      <c r="AA1721" s="1370"/>
      <c r="AB1721" s="1370"/>
      <c r="AC1721" s="343"/>
      <c r="AD1721" s="1370"/>
      <c r="AE1721" s="1370"/>
      <c r="AF1721" s="1370"/>
      <c r="AG1721" s="1370"/>
      <c r="AH1721" s="1370"/>
      <c r="AI1721" s="1370"/>
      <c r="AJ1721" s="344"/>
      <c r="AK1721" s="345"/>
      <c r="AL1721" s="340"/>
      <c r="AM1721" s="342"/>
      <c r="AN1721" s="429"/>
      <c r="AO1721" s="342"/>
      <c r="AP1721" s="342"/>
      <c r="AQ1721" s="342"/>
      <c r="AR1721" s="342"/>
      <c r="AS1721" s="342"/>
      <c r="AT1721" s="342"/>
      <c r="AU1721" s="342"/>
      <c r="AV1721" s="342"/>
      <c r="AW1721" s="342"/>
      <c r="AX1721" s="342"/>
      <c r="AY1721" s="342"/>
      <c r="AZ1721" s="342"/>
      <c r="BA1721" s="342"/>
      <c r="BB1721" s="342"/>
      <c r="BC1721" s="342"/>
      <c r="BD1721" s="342"/>
      <c r="BE1721" s="342"/>
      <c r="BF1721" s="342"/>
      <c r="BG1721" s="1370"/>
      <c r="BH1721" s="1370"/>
      <c r="BI1721" s="1370"/>
      <c r="BJ1721" s="1370"/>
      <c r="BK1721" s="1370"/>
      <c r="BL1721" s="1370"/>
      <c r="BM1721" s="343"/>
      <c r="BN1721" s="1370"/>
      <c r="BO1721" s="1370"/>
      <c r="BP1721" s="1370"/>
      <c r="BQ1721" s="1370"/>
      <c r="BR1721" s="1370"/>
      <c r="BS1721" s="1370"/>
      <c r="BT1721" s="429"/>
      <c r="BU1721" s="676"/>
      <c r="BV1721" s="310"/>
      <c r="BW1721" s="310"/>
      <c r="BX1721" s="291">
        <f t="shared" si="125"/>
        <v>0</v>
      </c>
      <c r="BY1721" s="344"/>
      <c r="BZ1721" s="347"/>
      <c r="CA1721" s="347"/>
    </row>
    <row r="1722" spans="1:84" ht="27.95" hidden="1" customHeight="1" x14ac:dyDescent="0.25">
      <c r="A1722" s="313"/>
      <c r="B1722" s="454"/>
      <c r="C1722" s="1358" t="s">
        <v>1780</v>
      </c>
      <c r="D1722" s="1342"/>
      <c r="E1722" s="1342"/>
      <c r="F1722" s="1342"/>
      <c r="G1722" s="1342"/>
      <c r="H1722" s="1342"/>
      <c r="I1722" s="1342"/>
      <c r="J1722" s="1342"/>
      <c r="K1722" s="1342"/>
      <c r="L1722" s="1342"/>
      <c r="M1722" s="1342"/>
      <c r="N1722" s="1342"/>
      <c r="O1722" s="1342"/>
      <c r="P1722" s="1342"/>
      <c r="Q1722" s="1342"/>
      <c r="R1722" s="1342"/>
      <c r="S1722" s="1342"/>
      <c r="T1722" s="1342"/>
      <c r="U1722" s="1342"/>
      <c r="V1722" s="1342"/>
      <c r="W1722" s="1342"/>
      <c r="X1722" s="1342"/>
      <c r="Y1722" s="1342"/>
      <c r="Z1722" s="1342"/>
      <c r="AA1722" s="1342"/>
      <c r="AB1722" s="1342"/>
      <c r="AC1722" s="1342"/>
      <c r="AD1722" s="1342"/>
      <c r="AE1722" s="1342"/>
      <c r="AF1722" s="1342"/>
      <c r="AG1722" s="1342"/>
      <c r="AH1722" s="1342"/>
      <c r="AI1722" s="1342"/>
      <c r="AJ1722" s="344"/>
      <c r="AK1722" s="345"/>
      <c r="AL1722" s="340"/>
      <c r="AM1722" s="1358" t="s">
        <v>1780</v>
      </c>
      <c r="AN1722" s="1342"/>
      <c r="AO1722" s="1342"/>
      <c r="AP1722" s="1342"/>
      <c r="AQ1722" s="1342"/>
      <c r="AR1722" s="1342"/>
      <c r="AS1722" s="1342"/>
      <c r="AT1722" s="1342"/>
      <c r="AU1722" s="1342"/>
      <c r="AV1722" s="1342"/>
      <c r="AW1722" s="1342"/>
      <c r="AX1722" s="1342"/>
      <c r="AY1722" s="1342"/>
      <c r="AZ1722" s="1342"/>
      <c r="BA1722" s="1342"/>
      <c r="BB1722" s="1342"/>
      <c r="BC1722" s="1342"/>
      <c r="BD1722" s="1342"/>
      <c r="BE1722" s="1342"/>
      <c r="BF1722" s="1342"/>
      <c r="BG1722" s="1342"/>
      <c r="BH1722" s="1342"/>
      <c r="BI1722" s="1342"/>
      <c r="BJ1722" s="1342"/>
      <c r="BK1722" s="1342"/>
      <c r="BL1722" s="1342"/>
      <c r="BM1722" s="1342"/>
      <c r="BN1722" s="1342"/>
      <c r="BO1722" s="1342"/>
      <c r="BP1722" s="1342"/>
      <c r="BQ1722" s="1342"/>
      <c r="BR1722" s="1342"/>
      <c r="BS1722" s="1342"/>
      <c r="BT1722" s="429"/>
      <c r="BU1722" s="676"/>
      <c r="BV1722" s="310"/>
      <c r="BW1722" s="310"/>
      <c r="BX1722" s="291"/>
      <c r="BY1722" s="344"/>
      <c r="BZ1722" s="347"/>
      <c r="CA1722" s="347"/>
    </row>
    <row r="1723" spans="1:84" ht="27.95" hidden="1" customHeight="1" x14ac:dyDescent="0.25">
      <c r="A1723" s="313"/>
      <c r="B1723" s="454"/>
      <c r="C1723" s="1358" t="s">
        <v>1781</v>
      </c>
      <c r="D1723" s="1342"/>
      <c r="E1723" s="1342"/>
      <c r="F1723" s="1342"/>
      <c r="G1723" s="1342"/>
      <c r="H1723" s="1342"/>
      <c r="I1723" s="1342"/>
      <c r="J1723" s="1342"/>
      <c r="K1723" s="1342"/>
      <c r="L1723" s="1342"/>
      <c r="M1723" s="1342"/>
      <c r="N1723" s="1342"/>
      <c r="O1723" s="1342"/>
      <c r="P1723" s="1342"/>
      <c r="Q1723" s="1342"/>
      <c r="R1723" s="1342"/>
      <c r="S1723" s="1342"/>
      <c r="T1723" s="1342"/>
      <c r="U1723" s="1342"/>
      <c r="V1723" s="1342"/>
      <c r="W1723" s="1342"/>
      <c r="X1723" s="1342"/>
      <c r="Y1723" s="1342"/>
      <c r="Z1723" s="1342"/>
      <c r="AA1723" s="1342"/>
      <c r="AB1723" s="1342"/>
      <c r="AC1723" s="1342"/>
      <c r="AD1723" s="1342"/>
      <c r="AE1723" s="1342"/>
      <c r="AF1723" s="1342"/>
      <c r="AG1723" s="1342"/>
      <c r="AH1723" s="1342"/>
      <c r="AI1723" s="1342"/>
      <c r="AJ1723" s="344"/>
      <c r="AK1723" s="345"/>
      <c r="AL1723" s="340"/>
      <c r="AM1723" s="1358" t="s">
        <v>1781</v>
      </c>
      <c r="AN1723" s="1342"/>
      <c r="AO1723" s="1342"/>
      <c r="AP1723" s="1342"/>
      <c r="AQ1723" s="1342"/>
      <c r="AR1723" s="1342"/>
      <c r="AS1723" s="1342"/>
      <c r="AT1723" s="1342"/>
      <c r="AU1723" s="1342"/>
      <c r="AV1723" s="1342"/>
      <c r="AW1723" s="1342"/>
      <c r="AX1723" s="1342"/>
      <c r="AY1723" s="1342"/>
      <c r="AZ1723" s="1342"/>
      <c r="BA1723" s="1342"/>
      <c r="BB1723" s="1342"/>
      <c r="BC1723" s="1342"/>
      <c r="BD1723" s="1342"/>
      <c r="BE1723" s="1342"/>
      <c r="BF1723" s="1342"/>
      <c r="BG1723" s="1342"/>
      <c r="BH1723" s="1342"/>
      <c r="BI1723" s="1342"/>
      <c r="BJ1723" s="1342"/>
      <c r="BK1723" s="1342"/>
      <c r="BL1723" s="1342"/>
      <c r="BM1723" s="1342"/>
      <c r="BN1723" s="1342"/>
      <c r="BO1723" s="1342"/>
      <c r="BP1723" s="1342"/>
      <c r="BQ1723" s="1342"/>
      <c r="BR1723" s="1342"/>
      <c r="BS1723" s="1342"/>
      <c r="BT1723" s="429"/>
      <c r="BU1723" s="676"/>
      <c r="BV1723" s="310"/>
      <c r="BW1723" s="310"/>
      <c r="BX1723" s="291">
        <f>IF(ISNONTEXT($C1723),0,SUM(D1723:AI1723)-SUM(AN1723:BS1723))</f>
        <v>0</v>
      </c>
      <c r="BY1723" s="344"/>
      <c r="BZ1723" s="347"/>
      <c r="CA1723" s="347"/>
    </row>
    <row r="1724" spans="1:84" ht="27.95" customHeight="1" x14ac:dyDescent="0.25">
      <c r="A1724" s="313"/>
      <c r="B1724" s="454"/>
      <c r="C1724" s="1337" t="str">
        <f>CONCATENATE(LoaiCT_V," chưa có dự tính trích Quỹ khen thưởng, phúc lợi trên Lợi nhuận sau thuế cho ",Ky_ke_toan_V,".")</f>
        <v>Công ty chưa có dự tính trích Quỹ khen thưởng, phúc lợi trên Lợi nhuận sau thuế cho năm tài chính kết thúc ngày 31/12/2017.</v>
      </c>
      <c r="D1724" s="1337"/>
      <c r="E1724" s="1337"/>
      <c r="F1724" s="1337"/>
      <c r="G1724" s="1337"/>
      <c r="H1724" s="1337"/>
      <c r="I1724" s="1337"/>
      <c r="J1724" s="1337"/>
      <c r="K1724" s="1337"/>
      <c r="L1724" s="1337"/>
      <c r="M1724" s="1337"/>
      <c r="N1724" s="1337"/>
      <c r="O1724" s="1337"/>
      <c r="P1724" s="1337"/>
      <c r="Q1724" s="1337"/>
      <c r="R1724" s="1337"/>
      <c r="S1724" s="1337"/>
      <c r="T1724" s="1337"/>
      <c r="U1724" s="1337"/>
      <c r="V1724" s="1337"/>
      <c r="W1724" s="1337"/>
      <c r="X1724" s="1337"/>
      <c r="Y1724" s="1337"/>
      <c r="Z1724" s="1337"/>
      <c r="AA1724" s="1337"/>
      <c r="AB1724" s="1337"/>
      <c r="AC1724" s="1337"/>
      <c r="AD1724" s="1337"/>
      <c r="AE1724" s="1337"/>
      <c r="AF1724" s="1337"/>
      <c r="AG1724" s="1337"/>
      <c r="AH1724" s="1337"/>
      <c r="AI1724" s="1337"/>
      <c r="AJ1724" s="344"/>
      <c r="AK1724" s="345"/>
      <c r="AL1724" s="340"/>
      <c r="AM1724" s="1337" t="str">
        <f>CONCATENATE("The ",LoaiCT_E," has not planned to deduct Bonus and welfare from the profit after tax for the fiscal year ended as at ",Ky_Nay1_E,".")</f>
        <v>The Corporation has not planned to deduct Bonus and welfare from the profit after tax for the fiscal year ended as at 31/12/2017.</v>
      </c>
      <c r="AN1724" s="1337"/>
      <c r="AO1724" s="1337"/>
      <c r="AP1724" s="1337"/>
      <c r="AQ1724" s="1337"/>
      <c r="AR1724" s="1337"/>
      <c r="AS1724" s="1337"/>
      <c r="AT1724" s="1337"/>
      <c r="AU1724" s="1337"/>
      <c r="AV1724" s="1337"/>
      <c r="AW1724" s="1337"/>
      <c r="AX1724" s="1337"/>
      <c r="AY1724" s="1337"/>
      <c r="AZ1724" s="1337"/>
      <c r="BA1724" s="1337"/>
      <c r="BB1724" s="1337"/>
      <c r="BC1724" s="1337"/>
      <c r="BD1724" s="1337"/>
      <c r="BE1724" s="1337"/>
      <c r="BF1724" s="1337"/>
      <c r="BG1724" s="1337"/>
      <c r="BH1724" s="1337"/>
      <c r="BI1724" s="1337"/>
      <c r="BJ1724" s="1337"/>
      <c r="BK1724" s="1337"/>
      <c r="BL1724" s="1337"/>
      <c r="BM1724" s="1337"/>
      <c r="BN1724" s="1337"/>
      <c r="BO1724" s="1337"/>
      <c r="BP1724" s="1337"/>
      <c r="BQ1724" s="1337"/>
      <c r="BR1724" s="1337"/>
      <c r="BS1724" s="1337"/>
      <c r="BT1724" s="429"/>
      <c r="BU1724" s="676"/>
      <c r="BV1724" s="310"/>
      <c r="BW1724" s="310"/>
      <c r="BX1724" s="291">
        <f>IF(ISNONTEXT($C1724),0,SUM(D1724:AI1724)-SUM(AN1724:BS1724))</f>
        <v>0</v>
      </c>
      <c r="BY1724" s="344"/>
      <c r="BZ1724" s="347"/>
      <c r="CA1724" s="347"/>
    </row>
    <row r="1725" spans="1:84" ht="15" hidden="1" customHeight="1" x14ac:dyDescent="0.25">
      <c r="A1725" s="313"/>
      <c r="B1725" s="454"/>
      <c r="C1725" s="761"/>
      <c r="D1725" s="429"/>
      <c r="E1725" s="342"/>
      <c r="F1725" s="342"/>
      <c r="G1725" s="342"/>
      <c r="H1725" s="342"/>
      <c r="I1725" s="342"/>
      <c r="J1725" s="342"/>
      <c r="K1725" s="342"/>
      <c r="L1725" s="342"/>
      <c r="M1725" s="342"/>
      <c r="N1725" s="342"/>
      <c r="O1725" s="342"/>
      <c r="P1725" s="342"/>
      <c r="Q1725" s="342"/>
      <c r="R1725" s="342"/>
      <c r="S1725" s="342"/>
      <c r="T1725" s="342"/>
      <c r="U1725" s="342"/>
      <c r="V1725" s="342"/>
      <c r="W1725" s="1370"/>
      <c r="X1725" s="1370"/>
      <c r="Y1725" s="1370"/>
      <c r="Z1725" s="1370"/>
      <c r="AA1725" s="1370"/>
      <c r="AB1725" s="1370"/>
      <c r="AC1725" s="343"/>
      <c r="AD1725" s="1370"/>
      <c r="AE1725" s="1370"/>
      <c r="AF1725" s="1370"/>
      <c r="AG1725" s="1370"/>
      <c r="AH1725" s="1370"/>
      <c r="AI1725" s="1370"/>
      <c r="AJ1725" s="344"/>
      <c r="AK1725" s="345"/>
      <c r="AL1725" s="340"/>
      <c r="AM1725" s="342"/>
      <c r="AN1725" s="429"/>
      <c r="AO1725" s="342"/>
      <c r="AP1725" s="342"/>
      <c r="AQ1725" s="342"/>
      <c r="AR1725" s="342"/>
      <c r="AS1725" s="342"/>
      <c r="AT1725" s="342"/>
      <c r="AU1725" s="342"/>
      <c r="AV1725" s="342"/>
      <c r="AW1725" s="342"/>
      <c r="AX1725" s="342"/>
      <c r="AY1725" s="342"/>
      <c r="AZ1725" s="342"/>
      <c r="BA1725" s="342"/>
      <c r="BB1725" s="342"/>
      <c r="BC1725" s="342"/>
      <c r="BD1725" s="342"/>
      <c r="BE1725" s="342"/>
      <c r="BF1725" s="342"/>
      <c r="BG1725" s="1370"/>
      <c r="BH1725" s="1370"/>
      <c r="BI1725" s="1370"/>
      <c r="BJ1725" s="1370"/>
      <c r="BK1725" s="1370"/>
      <c r="BL1725" s="1370"/>
      <c r="BM1725" s="343"/>
      <c r="BN1725" s="1370"/>
      <c r="BO1725" s="1370"/>
      <c r="BP1725" s="1370"/>
      <c r="BQ1725" s="1370"/>
      <c r="BR1725" s="1370"/>
      <c r="BS1725" s="1370"/>
      <c r="BT1725" s="429"/>
      <c r="BU1725" s="676"/>
      <c r="BV1725" s="310"/>
      <c r="BW1725" s="310"/>
      <c r="BX1725" s="291">
        <f>IF(ISNONTEXT($C1725),0,SUM(D1725:AI1725)-SUM(AN1725:BS1725))</f>
        <v>0</v>
      </c>
      <c r="BY1725" s="344"/>
      <c r="BZ1725" s="347"/>
      <c r="CA1725" s="347"/>
    </row>
    <row r="1726" spans="1:84" ht="111.95" hidden="1" customHeight="1" x14ac:dyDescent="0.25">
      <c r="A1726" s="313"/>
      <c r="B1726" s="454"/>
      <c r="C1726" s="1342" t="s">
        <v>1782</v>
      </c>
      <c r="D1726" s="1342"/>
      <c r="E1726" s="1342"/>
      <c r="F1726" s="1342"/>
      <c r="G1726" s="1342"/>
      <c r="H1726" s="1342"/>
      <c r="I1726" s="1342"/>
      <c r="J1726" s="1342"/>
      <c r="K1726" s="1342"/>
      <c r="L1726" s="1342"/>
      <c r="M1726" s="1342"/>
      <c r="N1726" s="1342"/>
      <c r="O1726" s="1342"/>
      <c r="P1726" s="1342"/>
      <c r="Q1726" s="1342"/>
      <c r="R1726" s="1342"/>
      <c r="S1726" s="1342"/>
      <c r="T1726" s="1342"/>
      <c r="U1726" s="1342"/>
      <c r="V1726" s="1342"/>
      <c r="W1726" s="1342"/>
      <c r="X1726" s="1342"/>
      <c r="Y1726" s="1342"/>
      <c r="Z1726" s="1342"/>
      <c r="AA1726" s="1342"/>
      <c r="AB1726" s="1342"/>
      <c r="AC1726" s="1342"/>
      <c r="AD1726" s="1342"/>
      <c r="AE1726" s="1342"/>
      <c r="AF1726" s="1342"/>
      <c r="AG1726" s="1342"/>
      <c r="AH1726" s="1342"/>
      <c r="AI1726" s="1342"/>
      <c r="AJ1726" s="344"/>
      <c r="AK1726" s="345"/>
      <c r="AL1726" s="340"/>
      <c r="AM1726" s="1342" t="s">
        <v>1782</v>
      </c>
      <c r="AN1726" s="1342"/>
      <c r="AO1726" s="1342"/>
      <c r="AP1726" s="1342"/>
      <c r="AQ1726" s="1342"/>
      <c r="AR1726" s="1342"/>
      <c r="AS1726" s="1342"/>
      <c r="AT1726" s="1342"/>
      <c r="AU1726" s="1342"/>
      <c r="AV1726" s="1342"/>
      <c r="AW1726" s="1342"/>
      <c r="AX1726" s="1342"/>
      <c r="AY1726" s="1342"/>
      <c r="AZ1726" s="1342"/>
      <c r="BA1726" s="1342"/>
      <c r="BB1726" s="1342"/>
      <c r="BC1726" s="1342"/>
      <c r="BD1726" s="1342"/>
      <c r="BE1726" s="1342"/>
      <c r="BF1726" s="1342"/>
      <c r="BG1726" s="1342"/>
      <c r="BH1726" s="1342"/>
      <c r="BI1726" s="1342"/>
      <c r="BJ1726" s="1342"/>
      <c r="BK1726" s="1342"/>
      <c r="BL1726" s="1342"/>
      <c r="BM1726" s="1342"/>
      <c r="BN1726" s="1342"/>
      <c r="BO1726" s="1342"/>
      <c r="BP1726" s="1342"/>
      <c r="BQ1726" s="1342"/>
      <c r="BR1726" s="1342"/>
      <c r="BS1726" s="1342"/>
      <c r="BT1726" s="429"/>
      <c r="BU1726" s="676"/>
      <c r="BV1726" s="310"/>
      <c r="BW1726" s="310"/>
      <c r="BX1726" s="291">
        <f t="shared" si="125"/>
        <v>0</v>
      </c>
      <c r="BY1726" s="344"/>
      <c r="BZ1726" s="347"/>
      <c r="CA1726" s="347"/>
    </row>
    <row r="1727" spans="1:84" ht="15" hidden="1" customHeight="1" x14ac:dyDescent="0.25">
      <c r="A1727" s="313"/>
      <c r="B1727" s="454"/>
      <c r="C1727" s="1342" t="s">
        <v>1783</v>
      </c>
      <c r="D1727" s="1342"/>
      <c r="E1727" s="1342"/>
      <c r="F1727" s="1342"/>
      <c r="G1727" s="1342"/>
      <c r="H1727" s="1342"/>
      <c r="I1727" s="1342"/>
      <c r="J1727" s="1342"/>
      <c r="K1727" s="1342"/>
      <c r="L1727" s="1342"/>
      <c r="M1727" s="1342"/>
      <c r="N1727" s="1342"/>
      <c r="O1727" s="1342"/>
      <c r="P1727" s="1342"/>
      <c r="Q1727" s="1342"/>
      <c r="R1727" s="1342"/>
      <c r="S1727" s="1342"/>
      <c r="T1727" s="1342"/>
      <c r="U1727" s="1342"/>
      <c r="V1727" s="1342"/>
      <c r="W1727" s="1342"/>
      <c r="X1727" s="1342"/>
      <c r="Y1727" s="1342"/>
      <c r="Z1727" s="1342"/>
      <c r="AA1727" s="1342"/>
      <c r="AB1727" s="1342"/>
      <c r="AC1727" s="1342"/>
      <c r="AD1727" s="1342"/>
      <c r="AE1727" s="1342"/>
      <c r="AF1727" s="1342"/>
      <c r="AG1727" s="1342"/>
      <c r="AH1727" s="1342"/>
      <c r="AI1727" s="1342"/>
      <c r="AJ1727" s="344"/>
      <c r="AK1727" s="345"/>
      <c r="AL1727" s="340"/>
      <c r="AM1727" s="1342" t="s">
        <v>1783</v>
      </c>
      <c r="AN1727" s="1342"/>
      <c r="AO1727" s="1342"/>
      <c r="AP1727" s="1342"/>
      <c r="AQ1727" s="1342"/>
      <c r="AR1727" s="1342"/>
      <c r="AS1727" s="1342"/>
      <c r="AT1727" s="1342"/>
      <c r="AU1727" s="1342"/>
      <c r="AV1727" s="1342"/>
      <c r="AW1727" s="1342"/>
      <c r="AX1727" s="1342"/>
      <c r="AY1727" s="1342"/>
      <c r="AZ1727" s="1342"/>
      <c r="BA1727" s="1342"/>
      <c r="BB1727" s="1342"/>
      <c r="BC1727" s="1342"/>
      <c r="BD1727" s="1342"/>
      <c r="BE1727" s="1342"/>
      <c r="BF1727" s="1342"/>
      <c r="BG1727" s="1342"/>
      <c r="BH1727" s="1342"/>
      <c r="BI1727" s="1342"/>
      <c r="BJ1727" s="1342"/>
      <c r="BK1727" s="1342"/>
      <c r="BL1727" s="1342"/>
      <c r="BM1727" s="1342"/>
      <c r="BN1727" s="1342"/>
      <c r="BO1727" s="1342"/>
      <c r="BP1727" s="1342"/>
      <c r="BQ1727" s="1342"/>
      <c r="BR1727" s="1342"/>
      <c r="BS1727" s="1342"/>
      <c r="BT1727" s="429"/>
      <c r="BU1727" s="676"/>
      <c r="BV1727" s="310"/>
      <c r="BW1727" s="310"/>
      <c r="BX1727" s="291">
        <f t="shared" si="125"/>
        <v>0</v>
      </c>
      <c r="BY1727" s="344"/>
      <c r="BZ1727" s="347"/>
      <c r="CA1727" s="347"/>
    </row>
    <row r="1728" spans="1:84" s="423" customFormat="1" ht="27.95" hidden="1" customHeight="1" x14ac:dyDescent="0.25">
      <c r="A1728" s="313"/>
      <c r="B1728" s="454"/>
      <c r="C1728" s="1337" t="s">
        <v>1784</v>
      </c>
      <c r="D1728" s="1337"/>
      <c r="E1728" s="1337"/>
      <c r="F1728" s="1337"/>
      <c r="G1728" s="1337"/>
      <c r="H1728" s="1337"/>
      <c r="I1728" s="1337"/>
      <c r="J1728" s="1337"/>
      <c r="K1728" s="1337"/>
      <c r="L1728" s="1337"/>
      <c r="M1728" s="1337"/>
      <c r="N1728" s="1337"/>
      <c r="O1728" s="1337"/>
      <c r="P1728" s="1337"/>
      <c r="Q1728" s="1337"/>
      <c r="R1728" s="1337"/>
      <c r="S1728" s="1337"/>
      <c r="T1728" s="1337"/>
      <c r="U1728" s="1337"/>
      <c r="V1728" s="1337"/>
      <c r="W1728" s="1337"/>
      <c r="X1728" s="1337"/>
      <c r="Y1728" s="1337"/>
      <c r="Z1728" s="1337"/>
      <c r="AA1728" s="1337"/>
      <c r="AB1728" s="1337"/>
      <c r="AC1728" s="1337"/>
      <c r="AD1728" s="1337"/>
      <c r="AE1728" s="1337"/>
      <c r="AF1728" s="1337"/>
      <c r="AG1728" s="1337"/>
      <c r="AH1728" s="1337"/>
      <c r="AI1728" s="1337"/>
      <c r="AJ1728" s="342"/>
      <c r="AK1728" s="345"/>
      <c r="AL1728" s="340"/>
      <c r="AM1728" s="1337" t="s">
        <v>1785</v>
      </c>
      <c r="AN1728" s="1337"/>
      <c r="AO1728" s="1337"/>
      <c r="AP1728" s="1337"/>
      <c r="AQ1728" s="1337"/>
      <c r="AR1728" s="1337"/>
      <c r="AS1728" s="1337"/>
      <c r="AT1728" s="1337"/>
      <c r="AU1728" s="1337"/>
      <c r="AV1728" s="1337"/>
      <c r="AW1728" s="1337"/>
      <c r="AX1728" s="1337"/>
      <c r="AY1728" s="1337"/>
      <c r="AZ1728" s="1337"/>
      <c r="BA1728" s="1337"/>
      <c r="BB1728" s="1337"/>
      <c r="BC1728" s="1337"/>
      <c r="BD1728" s="1337"/>
      <c r="BE1728" s="1337"/>
      <c r="BF1728" s="1337"/>
      <c r="BG1728" s="1337"/>
      <c r="BH1728" s="1337"/>
      <c r="BI1728" s="1337"/>
      <c r="BJ1728" s="1337"/>
      <c r="BK1728" s="1337"/>
      <c r="BL1728" s="1337"/>
      <c r="BM1728" s="1337"/>
      <c r="BN1728" s="1337"/>
      <c r="BO1728" s="1337"/>
      <c r="BP1728" s="1337"/>
      <c r="BQ1728" s="1337"/>
      <c r="BR1728" s="1337"/>
      <c r="BS1728" s="1337"/>
      <c r="BT1728" s="429"/>
      <c r="BU1728" s="676"/>
      <c r="BV1728" s="299"/>
      <c r="BW1728" s="299"/>
      <c r="BX1728" s="300">
        <f t="shared" si="125"/>
        <v>0</v>
      </c>
      <c r="BY1728" s="342"/>
      <c r="BZ1728" s="438"/>
      <c r="CA1728" s="438"/>
      <c r="CB1728" s="439"/>
      <c r="CC1728" s="439"/>
      <c r="CD1728" s="439"/>
      <c r="CE1728" s="439"/>
      <c r="CF1728" s="439"/>
    </row>
    <row r="1729" spans="1:84" ht="2.1" hidden="1" customHeight="1" x14ac:dyDescent="0.25">
      <c r="A1729" s="313"/>
      <c r="B1729" s="454"/>
      <c r="C1729" s="342"/>
      <c r="D1729" s="429"/>
      <c r="E1729" s="342"/>
      <c r="F1729" s="342"/>
      <c r="G1729" s="342"/>
      <c r="H1729" s="342"/>
      <c r="I1729" s="342"/>
      <c r="J1729" s="342"/>
      <c r="K1729" s="342"/>
      <c r="L1729" s="342"/>
      <c r="M1729" s="342"/>
      <c r="N1729" s="342"/>
      <c r="O1729" s="342"/>
      <c r="P1729" s="342"/>
      <c r="Q1729" s="342"/>
      <c r="R1729" s="342"/>
      <c r="S1729" s="342"/>
      <c r="T1729" s="342"/>
      <c r="U1729" s="342"/>
      <c r="V1729" s="342"/>
      <c r="W1729" s="1370"/>
      <c r="X1729" s="1370"/>
      <c r="Y1729" s="1370"/>
      <c r="Z1729" s="1370"/>
      <c r="AA1729" s="1370"/>
      <c r="AB1729" s="1370"/>
      <c r="AC1729" s="343"/>
      <c r="AD1729" s="1370"/>
      <c r="AE1729" s="1370"/>
      <c r="AF1729" s="1370"/>
      <c r="AG1729" s="1370"/>
      <c r="AH1729" s="1370"/>
      <c r="AI1729" s="1370"/>
      <c r="AJ1729" s="344"/>
      <c r="AK1729" s="345"/>
      <c r="AL1729" s="340"/>
      <c r="AM1729" s="342"/>
      <c r="AN1729" s="429"/>
      <c r="AO1729" s="342"/>
      <c r="AP1729" s="342"/>
      <c r="AQ1729" s="342"/>
      <c r="AR1729" s="342"/>
      <c r="AS1729" s="342"/>
      <c r="AT1729" s="342"/>
      <c r="AU1729" s="342"/>
      <c r="AV1729" s="342"/>
      <c r="AW1729" s="342"/>
      <c r="AX1729" s="342"/>
      <c r="AY1729" s="342"/>
      <c r="AZ1729" s="342"/>
      <c r="BA1729" s="342"/>
      <c r="BB1729" s="342"/>
      <c r="BC1729" s="342"/>
      <c r="BD1729" s="342"/>
      <c r="BE1729" s="342"/>
      <c r="BF1729" s="342"/>
      <c r="BG1729" s="1371"/>
      <c r="BH1729" s="1371"/>
      <c r="BI1729" s="1371"/>
      <c r="BJ1729" s="1371"/>
      <c r="BK1729" s="1371"/>
      <c r="BL1729" s="1371"/>
      <c r="BM1729" s="342"/>
      <c r="BN1729" s="1371"/>
      <c r="BO1729" s="1371"/>
      <c r="BP1729" s="1371"/>
      <c r="BQ1729" s="1371"/>
      <c r="BR1729" s="1371"/>
      <c r="BS1729" s="1371"/>
      <c r="BT1729" s="429"/>
      <c r="BU1729" s="676"/>
      <c r="BV1729" s="310"/>
      <c r="BW1729" s="310"/>
      <c r="BX1729" s="291">
        <f t="shared" si="125"/>
        <v>0</v>
      </c>
      <c r="BY1729" s="344"/>
      <c r="BZ1729" s="347"/>
      <c r="CA1729" s="347"/>
    </row>
    <row r="1730" spans="1:84" ht="12.95" hidden="1" customHeight="1" x14ac:dyDescent="0.25">
      <c r="A1730" s="313"/>
      <c r="B1730" s="340"/>
      <c r="C1730" s="342"/>
      <c r="D1730" s="342"/>
      <c r="E1730" s="342"/>
      <c r="F1730" s="342"/>
      <c r="G1730" s="342"/>
      <c r="H1730" s="342"/>
      <c r="I1730" s="342"/>
      <c r="J1730" s="342"/>
      <c r="K1730" s="342"/>
      <c r="L1730" s="342"/>
      <c r="M1730" s="342"/>
      <c r="N1730" s="342"/>
      <c r="O1730" s="342"/>
      <c r="P1730" s="342"/>
      <c r="Q1730" s="342"/>
      <c r="R1730" s="342"/>
      <c r="S1730" s="342"/>
      <c r="T1730" s="342"/>
      <c r="U1730" s="342"/>
      <c r="V1730" s="342"/>
      <c r="W1730" s="343"/>
      <c r="X1730" s="343"/>
      <c r="Y1730" s="343"/>
      <c r="Z1730" s="343"/>
      <c r="AA1730" s="343"/>
      <c r="AB1730" s="343"/>
      <c r="AC1730" s="343"/>
      <c r="AD1730" s="343"/>
      <c r="AE1730" s="343"/>
      <c r="AF1730" s="343"/>
      <c r="AG1730" s="343"/>
      <c r="AH1730" s="343"/>
      <c r="AI1730" s="343"/>
      <c r="AJ1730" s="344"/>
      <c r="AK1730" s="345"/>
      <c r="AL1730" s="340"/>
      <c r="AM1730" s="342"/>
      <c r="AN1730" s="342"/>
      <c r="AO1730" s="342"/>
      <c r="AP1730" s="342"/>
      <c r="AQ1730" s="342"/>
      <c r="AR1730" s="342"/>
      <c r="AS1730" s="342"/>
      <c r="AT1730" s="342"/>
      <c r="AU1730" s="342"/>
      <c r="AV1730" s="342"/>
      <c r="AW1730" s="342"/>
      <c r="AX1730" s="342"/>
      <c r="AY1730" s="342"/>
      <c r="AZ1730" s="342"/>
      <c r="BA1730" s="342"/>
      <c r="BB1730" s="342"/>
      <c r="BC1730" s="342"/>
      <c r="BD1730" s="342"/>
      <c r="BE1730" s="342"/>
      <c r="BF1730" s="342"/>
      <c r="BG1730" s="389"/>
      <c r="BH1730" s="389"/>
      <c r="BI1730" s="389"/>
      <c r="BJ1730" s="389"/>
      <c r="BK1730" s="389"/>
      <c r="BL1730" s="389"/>
      <c r="BM1730" s="342"/>
      <c r="BN1730" s="389"/>
      <c r="BO1730" s="389"/>
      <c r="BP1730" s="389"/>
      <c r="BQ1730" s="389"/>
      <c r="BR1730" s="389"/>
      <c r="BS1730" s="389"/>
      <c r="BT1730" s="389"/>
      <c r="BU1730" s="357"/>
      <c r="BV1730" s="310"/>
      <c r="BW1730" s="310"/>
      <c r="BX1730" s="291">
        <f t="shared" si="125"/>
        <v>0</v>
      </c>
      <c r="BY1730" s="344"/>
      <c r="BZ1730" s="347"/>
      <c r="CA1730" s="347"/>
    </row>
    <row r="1731" spans="1:84" ht="15" hidden="1" customHeight="1" x14ac:dyDescent="0.25">
      <c r="A1731" s="313">
        <f>STT</f>
        <v>32</v>
      </c>
      <c r="B1731" s="340" t="s">
        <v>345</v>
      </c>
      <c r="C1731" s="1350" t="s">
        <v>1786</v>
      </c>
      <c r="D1731" s="1372"/>
      <c r="E1731" s="1372"/>
      <c r="F1731" s="1372"/>
      <c r="G1731" s="1372"/>
      <c r="H1731" s="1372"/>
      <c r="I1731" s="1372"/>
      <c r="J1731" s="1372"/>
      <c r="K1731" s="1372"/>
      <c r="L1731" s="1372"/>
      <c r="M1731" s="1372"/>
      <c r="N1731" s="1372"/>
      <c r="O1731" s="1372"/>
      <c r="P1731" s="1372"/>
      <c r="Q1731" s="1372"/>
      <c r="R1731" s="1372"/>
      <c r="S1731" s="1372"/>
      <c r="T1731" s="1372"/>
      <c r="U1731" s="1372"/>
      <c r="V1731" s="1372"/>
      <c r="W1731" s="1372"/>
      <c r="X1731" s="1372"/>
      <c r="Y1731" s="1372"/>
      <c r="Z1731" s="1372"/>
      <c r="AA1731" s="1372"/>
      <c r="AB1731" s="1372"/>
      <c r="AC1731" s="1372"/>
      <c r="AD1731" s="1372"/>
      <c r="AE1731" s="1372"/>
      <c r="AF1731" s="1372"/>
      <c r="AG1731" s="1372"/>
      <c r="AH1731" s="1372"/>
      <c r="AI1731" s="1372"/>
      <c r="AJ1731" s="344"/>
      <c r="AK1731" s="345">
        <f>A1731</f>
        <v>32</v>
      </c>
      <c r="AL1731" s="340" t="s">
        <v>345</v>
      </c>
      <c r="AM1731" s="471" t="s">
        <v>1787</v>
      </c>
      <c r="AN1731" s="392"/>
      <c r="AO1731" s="392"/>
      <c r="AP1731" s="392"/>
      <c r="AQ1731" s="392"/>
      <c r="AR1731" s="392"/>
      <c r="AS1731" s="392"/>
      <c r="AT1731" s="392"/>
      <c r="AU1731" s="392"/>
      <c r="AV1731" s="392"/>
      <c r="AW1731" s="392"/>
      <c r="AX1731" s="392"/>
      <c r="AY1731" s="392"/>
      <c r="AZ1731" s="392"/>
      <c r="BA1731" s="392"/>
      <c r="BB1731" s="392"/>
      <c r="BC1731" s="392"/>
      <c r="BD1731" s="392"/>
      <c r="BE1731" s="392"/>
      <c r="BF1731" s="392"/>
      <c r="BG1731" s="392"/>
      <c r="BH1731" s="392"/>
      <c r="BI1731" s="392"/>
      <c r="BJ1731" s="392"/>
      <c r="BK1731" s="392"/>
      <c r="BL1731" s="392"/>
      <c r="BM1731" s="342"/>
      <c r="BN1731" s="356"/>
      <c r="BO1731" s="356"/>
      <c r="BP1731" s="356"/>
      <c r="BQ1731" s="356"/>
      <c r="BR1731" s="356"/>
      <c r="BS1731" s="356"/>
      <c r="BT1731" s="356"/>
      <c r="BU1731" s="346">
        <f>SUBTOTAL(103,A1731)</f>
        <v>0</v>
      </c>
      <c r="BV1731" s="310"/>
      <c r="BW1731" s="310"/>
      <c r="BX1731" s="291">
        <f t="shared" si="125"/>
        <v>0</v>
      </c>
      <c r="BY1731" s="344"/>
      <c r="BZ1731" s="347"/>
      <c r="CA1731" s="347"/>
    </row>
    <row r="1732" spans="1:84" ht="15" hidden="1" customHeight="1" x14ac:dyDescent="0.25">
      <c r="A1732" s="313"/>
      <c r="B1732" s="340"/>
      <c r="C1732" s="574"/>
      <c r="D1732" s="762"/>
      <c r="E1732" s="762"/>
      <c r="F1732" s="762"/>
      <c r="G1732" s="762"/>
      <c r="H1732" s="762"/>
      <c r="I1732" s="762"/>
      <c r="J1732" s="762"/>
      <c r="K1732" s="762"/>
      <c r="L1732" s="762"/>
      <c r="M1732" s="762"/>
      <c r="N1732" s="762"/>
      <c r="O1732" s="762"/>
      <c r="P1732" s="762"/>
      <c r="Q1732" s="762"/>
      <c r="R1732" s="762"/>
      <c r="S1732" s="762"/>
      <c r="T1732" s="762"/>
      <c r="U1732" s="762"/>
      <c r="V1732" s="762"/>
      <c r="W1732" s="762"/>
      <c r="X1732" s="762"/>
      <c r="Y1732" s="762"/>
      <c r="Z1732" s="762"/>
      <c r="AA1732" s="762"/>
      <c r="AB1732" s="762"/>
      <c r="AC1732" s="762"/>
      <c r="AD1732" s="762"/>
      <c r="AE1732" s="762"/>
      <c r="AF1732" s="762"/>
      <c r="AG1732" s="762"/>
      <c r="AH1732" s="762"/>
      <c r="AI1732" s="762"/>
      <c r="AJ1732" s="344"/>
      <c r="AK1732" s="345"/>
      <c r="AL1732" s="340"/>
      <c r="AM1732" s="471"/>
      <c r="AN1732" s="392"/>
      <c r="AO1732" s="392"/>
      <c r="AP1732" s="392"/>
      <c r="AQ1732" s="392"/>
      <c r="AR1732" s="392"/>
      <c r="AS1732" s="392"/>
      <c r="AT1732" s="392"/>
      <c r="AU1732" s="392"/>
      <c r="AV1732" s="392"/>
      <c r="AW1732" s="392"/>
      <c r="AX1732" s="392"/>
      <c r="AY1732" s="392"/>
      <c r="AZ1732" s="392"/>
      <c r="BA1732" s="392"/>
      <c r="BB1732" s="392"/>
      <c r="BC1732" s="392"/>
      <c r="BD1732" s="392"/>
      <c r="BE1732" s="392"/>
      <c r="BF1732" s="392"/>
      <c r="BG1732" s="392"/>
      <c r="BH1732" s="392"/>
      <c r="BI1732" s="392"/>
      <c r="BJ1732" s="392"/>
      <c r="BK1732" s="392"/>
      <c r="BL1732" s="392"/>
      <c r="BM1732" s="342"/>
      <c r="BN1732" s="356"/>
      <c r="BO1732" s="356"/>
      <c r="BP1732" s="356"/>
      <c r="BQ1732" s="356"/>
      <c r="BR1732" s="356"/>
      <c r="BS1732" s="356"/>
      <c r="BT1732" s="356"/>
      <c r="BU1732" s="346">
        <f>SUBTOTAL(103,A1732)</f>
        <v>0</v>
      </c>
      <c r="BV1732" s="310"/>
      <c r="BW1732" s="310"/>
      <c r="BX1732" s="291">
        <f>IF(ISNONTEXT($C1732),0,SUM(D1732:AI1732)-SUM(AN1732:BS1732))</f>
        <v>0</v>
      </c>
      <c r="BY1732" s="344"/>
      <c r="BZ1732" s="347"/>
      <c r="CA1732" s="347"/>
    </row>
    <row r="1733" spans="1:84" ht="27.95" hidden="1" customHeight="1" x14ac:dyDescent="0.25">
      <c r="A1733" s="313"/>
      <c r="B1733" s="340"/>
      <c r="C1733" s="1303" t="str">
        <f>CONCATENATE("Việc tính toán lãi suy giảm trên cổ phiếu có thể phân phối cho các cổ đông sở hữu cổ phần phổ thông của ",LoaiCT_V," được thực hiện dựa trên các số liệu sau:")</f>
        <v>Việc tính toán lãi suy giảm trên cổ phiếu có thể phân phối cho các cổ đông sở hữu cổ phần phổ thông của Công ty được thực hiện dựa trên các số liệu sau:</v>
      </c>
      <c r="D1733" s="1303"/>
      <c r="E1733" s="1303"/>
      <c r="F1733" s="1303"/>
      <c r="G1733" s="1303"/>
      <c r="H1733" s="1303"/>
      <c r="I1733" s="1303"/>
      <c r="J1733" s="1303"/>
      <c r="K1733" s="1303"/>
      <c r="L1733" s="1303"/>
      <c r="M1733" s="1303"/>
      <c r="N1733" s="1303"/>
      <c r="O1733" s="1303"/>
      <c r="P1733" s="1303"/>
      <c r="Q1733" s="1303"/>
      <c r="R1733" s="1303"/>
      <c r="S1733" s="1303"/>
      <c r="T1733" s="1303"/>
      <c r="U1733" s="1303"/>
      <c r="V1733" s="1303"/>
      <c r="W1733" s="1303"/>
      <c r="X1733" s="1303"/>
      <c r="Y1733" s="1303"/>
      <c r="Z1733" s="1303"/>
      <c r="AA1733" s="1303"/>
      <c r="AB1733" s="1303"/>
      <c r="AC1733" s="1303"/>
      <c r="AD1733" s="1303"/>
      <c r="AE1733" s="1303"/>
      <c r="AF1733" s="1303"/>
      <c r="AG1733" s="1303"/>
      <c r="AH1733" s="1303"/>
      <c r="AI1733" s="1303"/>
      <c r="AJ1733" s="344"/>
      <c r="AK1733" s="345"/>
      <c r="AL1733" s="340"/>
      <c r="AM1733" s="392" t="str">
        <f>CONCATENATE("Diluted earnings per share distributed to common shareholders of the ",LoaiCT_E," are:")</f>
        <v>Diluted earnings per share distributed to common shareholders of the Corporation are:</v>
      </c>
      <c r="AN1733" s="392"/>
      <c r="AO1733" s="392"/>
      <c r="AP1733" s="392"/>
      <c r="AQ1733" s="392"/>
      <c r="AR1733" s="392"/>
      <c r="AS1733" s="392"/>
      <c r="AT1733" s="392"/>
      <c r="AU1733" s="392"/>
      <c r="AV1733" s="392"/>
      <c r="AW1733" s="392"/>
      <c r="AX1733" s="392"/>
      <c r="AY1733" s="392"/>
      <c r="AZ1733" s="392"/>
      <c r="BA1733" s="392"/>
      <c r="BB1733" s="392"/>
      <c r="BC1733" s="392"/>
      <c r="BD1733" s="392"/>
      <c r="BE1733" s="392"/>
      <c r="BF1733" s="392"/>
      <c r="BG1733" s="392"/>
      <c r="BH1733" s="392"/>
      <c r="BI1733" s="392"/>
      <c r="BJ1733" s="392"/>
      <c r="BK1733" s="392"/>
      <c r="BL1733" s="392"/>
      <c r="BM1733" s="342"/>
      <c r="BN1733" s="356"/>
      <c r="BO1733" s="356"/>
      <c r="BP1733" s="356"/>
      <c r="BQ1733" s="356"/>
      <c r="BR1733" s="356"/>
      <c r="BS1733" s="356"/>
      <c r="BT1733" s="356"/>
      <c r="BU1733" s="346">
        <f>SUBTOTAL(103,A1733)</f>
        <v>0</v>
      </c>
      <c r="BV1733" s="310"/>
      <c r="BW1733" s="310"/>
      <c r="BX1733" s="291">
        <f>IF(ISNONTEXT($C1733),0,SUM(D1733:AI1733)-SUM(AN1733:BS1733))</f>
        <v>0</v>
      </c>
      <c r="BY1733" s="344"/>
      <c r="BZ1733" s="347"/>
      <c r="CA1733" s="347"/>
    </row>
    <row r="1734" spans="1:84" s="746" customFormat="1" ht="15" hidden="1" customHeight="1" x14ac:dyDescent="0.25">
      <c r="A1734" s="725"/>
      <c r="B1734" s="756"/>
      <c r="C1734" s="574"/>
      <c r="D1734" s="690"/>
      <c r="E1734" s="690"/>
      <c r="F1734" s="690"/>
      <c r="G1734" s="690"/>
      <c r="H1734" s="690"/>
      <c r="I1734" s="690"/>
      <c r="J1734" s="690"/>
      <c r="K1734" s="690"/>
      <c r="L1734" s="690"/>
      <c r="M1734" s="690"/>
      <c r="N1734" s="690"/>
      <c r="O1734" s="690"/>
      <c r="P1734" s="690"/>
      <c r="Q1734" s="690"/>
      <c r="R1734" s="690"/>
      <c r="S1734" s="690"/>
      <c r="T1734" s="690"/>
      <c r="U1734" s="690"/>
      <c r="V1734" s="690"/>
      <c r="W1734" s="1324" t="str">
        <f>Ky_Nay2_V</f>
        <v>Năm 2017</v>
      </c>
      <c r="X1734" s="1324"/>
      <c r="Y1734" s="1324"/>
      <c r="Z1734" s="1324"/>
      <c r="AA1734" s="1324"/>
      <c r="AB1734" s="1324"/>
      <c r="AC1734" s="681"/>
      <c r="AD1734" s="1324" t="str">
        <f>Ky_Truoc2_V</f>
        <v>Năm 2016</v>
      </c>
      <c r="AE1734" s="1324"/>
      <c r="AF1734" s="1324"/>
      <c r="AG1734" s="1324"/>
      <c r="AH1734" s="1324"/>
      <c r="AI1734" s="1324"/>
      <c r="AJ1734" s="741"/>
      <c r="AK1734" s="727"/>
      <c r="AL1734" s="728"/>
      <c r="AM1734" s="574"/>
      <c r="AN1734" s="690"/>
      <c r="AO1734" s="690"/>
      <c r="AP1734" s="690"/>
      <c r="AQ1734" s="690"/>
      <c r="AR1734" s="690"/>
      <c r="AS1734" s="690"/>
      <c r="AT1734" s="690"/>
      <c r="AU1734" s="690"/>
      <c r="AV1734" s="690"/>
      <c r="AW1734" s="690"/>
      <c r="AX1734" s="690"/>
      <c r="AY1734" s="690"/>
      <c r="AZ1734" s="690"/>
      <c r="BA1734" s="690"/>
      <c r="BB1734" s="690"/>
      <c r="BC1734" s="690"/>
      <c r="BD1734" s="690"/>
      <c r="BE1734" s="690"/>
      <c r="BF1734" s="690"/>
      <c r="BG1734" s="1324" t="str">
        <f>Ky_Nay2_E</f>
        <v>Year 2016</v>
      </c>
      <c r="BH1734" s="1324"/>
      <c r="BI1734" s="1324"/>
      <c r="BJ1734" s="1324"/>
      <c r="BK1734" s="1324"/>
      <c r="BL1734" s="1324"/>
      <c r="BM1734" s="681"/>
      <c r="BN1734" s="1324" t="str">
        <f>Ky_Truoc2_E</f>
        <v>Year 2015</v>
      </c>
      <c r="BO1734" s="1324"/>
      <c r="BP1734" s="1324"/>
      <c r="BQ1734" s="1324"/>
      <c r="BR1734" s="1324"/>
      <c r="BS1734" s="1324"/>
      <c r="BT1734" s="738"/>
      <c r="BU1734" s="739"/>
      <c r="BV1734" s="310"/>
      <c r="BW1734" s="310"/>
      <c r="BX1734" s="291">
        <f t="shared" si="125"/>
        <v>0</v>
      </c>
      <c r="BY1734" s="741"/>
      <c r="BZ1734" s="744"/>
      <c r="CA1734" s="744"/>
      <c r="CB1734" s="745"/>
      <c r="CC1734" s="745"/>
      <c r="CD1734" s="745"/>
      <c r="CE1734" s="745"/>
      <c r="CF1734" s="745"/>
    </row>
    <row r="1735" spans="1:84" ht="15" hidden="1" customHeight="1" x14ac:dyDescent="0.25">
      <c r="A1735" s="313"/>
      <c r="B1735" s="373"/>
      <c r="C1735" s="341"/>
      <c r="D1735" s="342"/>
      <c r="E1735" s="342"/>
      <c r="F1735" s="342"/>
      <c r="G1735" s="342"/>
      <c r="H1735" s="342"/>
      <c r="I1735" s="342"/>
      <c r="J1735" s="342"/>
      <c r="K1735" s="342"/>
      <c r="L1735" s="342"/>
      <c r="M1735" s="342"/>
      <c r="N1735" s="342"/>
      <c r="O1735" s="342"/>
      <c r="P1735" s="342"/>
      <c r="Q1735" s="342"/>
      <c r="R1735" s="342"/>
      <c r="S1735" s="342"/>
      <c r="T1735" s="342"/>
      <c r="U1735" s="342"/>
      <c r="V1735" s="342"/>
      <c r="W1735" s="1327" t="str">
        <f>Don_Vi_Tinh_V</f>
        <v>VND</v>
      </c>
      <c r="X1735" s="1327"/>
      <c r="Y1735" s="1327"/>
      <c r="Z1735" s="1327"/>
      <c r="AA1735" s="1327"/>
      <c r="AB1735" s="1327"/>
      <c r="AC1735" s="351"/>
      <c r="AD1735" s="1327" t="str">
        <f>Don_Vi_Tinh_V</f>
        <v>VND</v>
      </c>
      <c r="AE1735" s="1327"/>
      <c r="AF1735" s="1327"/>
      <c r="AG1735" s="1327"/>
      <c r="AH1735" s="1327"/>
      <c r="AI1735" s="1327"/>
      <c r="AJ1735" s="344"/>
      <c r="AK1735" s="345"/>
      <c r="AL1735" s="340"/>
      <c r="AM1735" s="341"/>
      <c r="AN1735" s="342"/>
      <c r="AO1735" s="342"/>
      <c r="AP1735" s="342"/>
      <c r="AQ1735" s="342"/>
      <c r="AR1735" s="342"/>
      <c r="AS1735" s="342"/>
      <c r="AT1735" s="342"/>
      <c r="AU1735" s="342"/>
      <c r="AV1735" s="342"/>
      <c r="AW1735" s="342"/>
      <c r="AX1735" s="342"/>
      <c r="AY1735" s="342"/>
      <c r="AZ1735" s="342"/>
      <c r="BA1735" s="342"/>
      <c r="BB1735" s="342"/>
      <c r="BC1735" s="342"/>
      <c r="BD1735" s="342"/>
      <c r="BE1735" s="342"/>
      <c r="BF1735" s="342"/>
      <c r="BG1735" s="1327" t="str">
        <f>Don_Vi_Tinh_E</f>
        <v>VND</v>
      </c>
      <c r="BH1735" s="1327"/>
      <c r="BI1735" s="1327"/>
      <c r="BJ1735" s="1327"/>
      <c r="BK1735" s="1327"/>
      <c r="BL1735" s="1327"/>
      <c r="BM1735" s="351"/>
      <c r="BN1735" s="1327" t="str">
        <f>Don_Vi_Tinh_E</f>
        <v>VND</v>
      </c>
      <c r="BO1735" s="1327"/>
      <c r="BP1735" s="1327"/>
      <c r="BQ1735" s="1327"/>
      <c r="BR1735" s="1327"/>
      <c r="BS1735" s="1327"/>
      <c r="BT1735" s="352"/>
      <c r="BU1735" s="353"/>
      <c r="BV1735" s="310"/>
      <c r="BW1735" s="310"/>
      <c r="BX1735" s="291">
        <f t="shared" si="125"/>
        <v>0</v>
      </c>
      <c r="BY1735" s="344"/>
      <c r="BZ1735" s="347"/>
      <c r="CA1735" s="347"/>
    </row>
    <row r="1736" spans="1:84" ht="15" hidden="1" customHeight="1" x14ac:dyDescent="0.25">
      <c r="A1736" s="313"/>
      <c r="B1736" s="373"/>
      <c r="C1736" s="341"/>
      <c r="D1736" s="342"/>
      <c r="E1736" s="342"/>
      <c r="F1736" s="342"/>
      <c r="G1736" s="342"/>
      <c r="H1736" s="342"/>
      <c r="I1736" s="342"/>
      <c r="J1736" s="342"/>
      <c r="K1736" s="342"/>
      <c r="L1736" s="342"/>
      <c r="M1736" s="342"/>
      <c r="N1736" s="342"/>
      <c r="O1736" s="342"/>
      <c r="P1736" s="342"/>
      <c r="Q1736" s="342"/>
      <c r="R1736" s="342"/>
      <c r="S1736" s="342"/>
      <c r="T1736" s="342"/>
      <c r="U1736" s="342"/>
      <c r="V1736" s="342"/>
      <c r="W1736" s="363"/>
      <c r="X1736" s="363"/>
      <c r="Y1736" s="363"/>
      <c r="Z1736" s="363"/>
      <c r="AA1736" s="363"/>
      <c r="AB1736" s="363"/>
      <c r="AC1736" s="355"/>
      <c r="AD1736" s="363"/>
      <c r="AE1736" s="363"/>
      <c r="AF1736" s="363"/>
      <c r="AG1736" s="363"/>
      <c r="AH1736" s="363"/>
      <c r="AI1736" s="363"/>
      <c r="AJ1736" s="344"/>
      <c r="AK1736" s="345"/>
      <c r="AL1736" s="340"/>
      <c r="AM1736" s="341"/>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63"/>
      <c r="BH1736" s="363"/>
      <c r="BI1736" s="363"/>
      <c r="BJ1736" s="363"/>
      <c r="BK1736" s="363"/>
      <c r="BL1736" s="363"/>
      <c r="BM1736" s="355"/>
      <c r="BN1736" s="363"/>
      <c r="BO1736" s="363"/>
      <c r="BP1736" s="363"/>
      <c r="BQ1736" s="363"/>
      <c r="BR1736" s="363"/>
      <c r="BS1736" s="363"/>
      <c r="BT1736" s="352"/>
      <c r="BU1736" s="353"/>
      <c r="BV1736" s="310"/>
      <c r="BW1736" s="310"/>
      <c r="BX1736" s="291">
        <f t="shared" si="125"/>
        <v>0</v>
      </c>
      <c r="BY1736" s="344"/>
      <c r="BZ1736" s="347"/>
      <c r="CA1736" s="347"/>
    </row>
    <row r="1737" spans="1:84" ht="15" hidden="1" customHeight="1" x14ac:dyDescent="0.25">
      <c r="A1737" s="313"/>
      <c r="B1737" s="373"/>
      <c r="C1737" s="342" t="s">
        <v>1765</v>
      </c>
      <c r="D1737" s="342"/>
      <c r="E1737" s="342"/>
      <c r="F1737" s="342"/>
      <c r="G1737" s="342"/>
      <c r="H1737" s="342"/>
      <c r="I1737" s="342"/>
      <c r="J1737" s="342"/>
      <c r="K1737" s="342"/>
      <c r="L1737" s="342"/>
      <c r="M1737" s="342"/>
      <c r="N1737" s="342"/>
      <c r="O1737" s="342"/>
      <c r="P1737" s="342"/>
      <c r="Q1737" s="342"/>
      <c r="R1737" s="342"/>
      <c r="S1737" s="342"/>
      <c r="T1737" s="342"/>
      <c r="U1737" s="342"/>
      <c r="V1737" s="342"/>
      <c r="W1737" s="1318">
        <f>KN_CT60</f>
        <v>2205590858</v>
      </c>
      <c r="X1737" s="1318"/>
      <c r="Y1737" s="1318"/>
      <c r="Z1737" s="1318"/>
      <c r="AA1737" s="1318"/>
      <c r="AB1737" s="1318"/>
      <c r="AC1737" s="355"/>
      <c r="AD1737" s="1318">
        <f>KT_CT60</f>
        <v>723422867</v>
      </c>
      <c r="AE1737" s="1318"/>
      <c r="AF1737" s="1318"/>
      <c r="AG1737" s="1318"/>
      <c r="AH1737" s="1318"/>
      <c r="AI1737" s="1318"/>
      <c r="AJ1737" s="344"/>
      <c r="AK1737" s="345"/>
      <c r="AL1737" s="340"/>
      <c r="AM1737" s="342" t="s">
        <v>1766</v>
      </c>
      <c r="AN1737" s="342"/>
      <c r="AO1737" s="342"/>
      <c r="AP1737" s="342"/>
      <c r="AQ1737" s="342"/>
      <c r="AR1737" s="342"/>
      <c r="AS1737" s="342"/>
      <c r="AT1737" s="342"/>
      <c r="AU1737" s="342"/>
      <c r="AV1737" s="342"/>
      <c r="AW1737" s="342"/>
      <c r="AX1737" s="342"/>
      <c r="AY1737" s="342"/>
      <c r="AZ1737" s="342"/>
      <c r="BA1737" s="342"/>
      <c r="BB1737" s="342"/>
      <c r="BC1737" s="342"/>
      <c r="BD1737" s="342"/>
      <c r="BE1737" s="342"/>
      <c r="BF1737" s="342"/>
      <c r="BG1737" s="1318">
        <f t="shared" ref="BG1737:BG1742" si="128">W1737</f>
        <v>2205590858</v>
      </c>
      <c r="BH1737" s="1318"/>
      <c r="BI1737" s="1318"/>
      <c r="BJ1737" s="1318"/>
      <c r="BK1737" s="1318"/>
      <c r="BL1737" s="1318"/>
      <c r="BM1737" s="355"/>
      <c r="BN1737" s="1318">
        <f t="shared" ref="BN1737:BN1742" si="129">AD1737</f>
        <v>723422867</v>
      </c>
      <c r="BO1737" s="1318"/>
      <c r="BP1737" s="1318"/>
      <c r="BQ1737" s="1318"/>
      <c r="BR1737" s="1318"/>
      <c r="BS1737" s="1318"/>
      <c r="BT1737" s="352"/>
      <c r="BU1737" s="353"/>
      <c r="BV1737" s="310"/>
      <c r="BW1737" s="310"/>
      <c r="BX1737" s="291">
        <f t="shared" si="125"/>
        <v>0</v>
      </c>
      <c r="BY1737" s="344"/>
      <c r="BZ1737" s="347"/>
      <c r="CA1737" s="347"/>
    </row>
    <row r="1738" spans="1:84" ht="15" hidden="1" customHeight="1" x14ac:dyDescent="0.25">
      <c r="A1738" s="313"/>
      <c r="B1738" s="373"/>
      <c r="C1738" s="1347" t="s">
        <v>1767</v>
      </c>
      <c r="D1738" s="1347"/>
      <c r="E1738" s="1347"/>
      <c r="F1738" s="1347"/>
      <c r="G1738" s="1347"/>
      <c r="H1738" s="1347"/>
      <c r="I1738" s="1347"/>
      <c r="J1738" s="1347"/>
      <c r="K1738" s="1347"/>
      <c r="L1738" s="1347"/>
      <c r="M1738" s="1347"/>
      <c r="N1738" s="1347"/>
      <c r="O1738" s="1347"/>
      <c r="P1738" s="1347"/>
      <c r="Q1738" s="1347"/>
      <c r="R1738" s="1347"/>
      <c r="S1738" s="1347"/>
      <c r="T1738" s="1347"/>
      <c r="U1738" s="1347"/>
      <c r="V1738" s="1347"/>
      <c r="W1738" s="1318">
        <f>SUBTOTAL(109,W1739:AB1741)</f>
        <v>0</v>
      </c>
      <c r="X1738" s="1318"/>
      <c r="Y1738" s="1318"/>
      <c r="Z1738" s="1318"/>
      <c r="AA1738" s="1318"/>
      <c r="AB1738" s="1318"/>
      <c r="AC1738" s="355"/>
      <c r="AD1738" s="1318">
        <f>SUBTOTAL(109,AD1739:AI1741)</f>
        <v>0</v>
      </c>
      <c r="AE1738" s="1318"/>
      <c r="AF1738" s="1318"/>
      <c r="AG1738" s="1318"/>
      <c r="AH1738" s="1318"/>
      <c r="AI1738" s="1318"/>
      <c r="AJ1738" s="344"/>
      <c r="AK1738" s="345"/>
      <c r="AL1738" s="340"/>
      <c r="AM1738" s="1347" t="s">
        <v>1768</v>
      </c>
      <c r="AN1738" s="1347"/>
      <c r="AO1738" s="1347"/>
      <c r="AP1738" s="1347"/>
      <c r="AQ1738" s="1347"/>
      <c r="AR1738" s="1347"/>
      <c r="AS1738" s="1347"/>
      <c r="AT1738" s="1347"/>
      <c r="AU1738" s="1347"/>
      <c r="AV1738" s="1347"/>
      <c r="AW1738" s="1347"/>
      <c r="AX1738" s="1347"/>
      <c r="AY1738" s="1347"/>
      <c r="AZ1738" s="1347"/>
      <c r="BA1738" s="1347"/>
      <c r="BB1738" s="1347"/>
      <c r="BC1738" s="1347"/>
      <c r="BD1738" s="1347"/>
      <c r="BE1738" s="1347"/>
      <c r="BF1738" s="1347"/>
      <c r="BG1738" s="1318">
        <f t="shared" si="128"/>
        <v>0</v>
      </c>
      <c r="BH1738" s="1318"/>
      <c r="BI1738" s="1318"/>
      <c r="BJ1738" s="1318"/>
      <c r="BK1738" s="1318"/>
      <c r="BL1738" s="1318"/>
      <c r="BM1738" s="355"/>
      <c r="BN1738" s="1318">
        <f t="shared" si="129"/>
        <v>0</v>
      </c>
      <c r="BO1738" s="1318"/>
      <c r="BP1738" s="1318"/>
      <c r="BQ1738" s="1318"/>
      <c r="BR1738" s="1318"/>
      <c r="BS1738" s="1318"/>
      <c r="BT1738" s="352"/>
      <c r="BU1738" s="353"/>
      <c r="BV1738" s="310"/>
      <c r="BW1738" s="310"/>
      <c r="BX1738" s="291">
        <f t="shared" si="125"/>
        <v>0</v>
      </c>
      <c r="BY1738" s="344"/>
      <c r="BZ1738" s="347"/>
      <c r="CA1738" s="347"/>
    </row>
    <row r="1739" spans="1:84" ht="15" hidden="1" customHeight="1" x14ac:dyDescent="0.25">
      <c r="A1739" s="313"/>
      <c r="B1739" s="373"/>
      <c r="C1739" s="667" t="s">
        <v>1769</v>
      </c>
      <c r="D1739" s="429"/>
      <c r="E1739" s="429"/>
      <c r="F1739" s="429"/>
      <c r="G1739" s="429"/>
      <c r="H1739" s="429"/>
      <c r="I1739" s="429"/>
      <c r="J1739" s="429"/>
      <c r="K1739" s="429"/>
      <c r="L1739" s="429"/>
      <c r="M1739" s="429"/>
      <c r="N1739" s="429"/>
      <c r="O1739" s="429"/>
      <c r="P1739" s="429"/>
      <c r="Q1739" s="429"/>
      <c r="R1739" s="429"/>
      <c r="S1739" s="429"/>
      <c r="T1739" s="429"/>
      <c r="U1739" s="429"/>
      <c r="V1739" s="429"/>
      <c r="W1739" s="1369">
        <v>0</v>
      </c>
      <c r="X1739" s="1369"/>
      <c r="Y1739" s="1369"/>
      <c r="Z1739" s="1369"/>
      <c r="AA1739" s="1369"/>
      <c r="AB1739" s="1369"/>
      <c r="AC1739" s="665"/>
      <c r="AD1739" s="1369">
        <v>0</v>
      </c>
      <c r="AE1739" s="1369"/>
      <c r="AF1739" s="1369"/>
      <c r="AG1739" s="1369"/>
      <c r="AH1739" s="1369"/>
      <c r="AI1739" s="1369"/>
      <c r="AJ1739" s="344"/>
      <c r="AK1739" s="345"/>
      <c r="AL1739" s="340"/>
      <c r="AM1739" s="429" t="s">
        <v>1788</v>
      </c>
      <c r="AN1739" s="429"/>
      <c r="AO1739" s="429"/>
      <c r="AP1739" s="429"/>
      <c r="AQ1739" s="429"/>
      <c r="AR1739" s="429"/>
      <c r="AS1739" s="429"/>
      <c r="AT1739" s="429"/>
      <c r="AU1739" s="429"/>
      <c r="AV1739" s="429"/>
      <c r="AW1739" s="429"/>
      <c r="AX1739" s="429"/>
      <c r="AY1739" s="429"/>
      <c r="AZ1739" s="429"/>
      <c r="BA1739" s="429"/>
      <c r="BB1739" s="429"/>
      <c r="BC1739" s="429"/>
      <c r="BD1739" s="429"/>
      <c r="BE1739" s="429"/>
      <c r="BF1739" s="429"/>
      <c r="BG1739" s="1369">
        <f t="shared" si="128"/>
        <v>0</v>
      </c>
      <c r="BH1739" s="1369"/>
      <c r="BI1739" s="1369"/>
      <c r="BJ1739" s="1369"/>
      <c r="BK1739" s="1369"/>
      <c r="BL1739" s="1369"/>
      <c r="BM1739" s="665"/>
      <c r="BN1739" s="1369">
        <f t="shared" si="129"/>
        <v>0</v>
      </c>
      <c r="BO1739" s="1369"/>
      <c r="BP1739" s="1369"/>
      <c r="BQ1739" s="1369"/>
      <c r="BR1739" s="1369"/>
      <c r="BS1739" s="1369"/>
      <c r="BT1739" s="352"/>
      <c r="BU1739" s="353"/>
      <c r="BV1739" s="310"/>
      <c r="BW1739" s="310"/>
      <c r="BX1739" s="291">
        <f t="shared" si="125"/>
        <v>0</v>
      </c>
      <c r="BY1739" s="344"/>
      <c r="BZ1739" s="347"/>
      <c r="CA1739" s="347"/>
    </row>
    <row r="1740" spans="1:84" s="423" customFormat="1" ht="15" hidden="1" customHeight="1" x14ac:dyDescent="0.25">
      <c r="A1740" s="313"/>
      <c r="B1740" s="373"/>
      <c r="C1740" s="667" t="s">
        <v>1771</v>
      </c>
      <c r="D1740" s="429"/>
      <c r="E1740" s="429"/>
      <c r="F1740" s="429"/>
      <c r="G1740" s="429"/>
      <c r="H1740" s="429"/>
      <c r="I1740" s="429"/>
      <c r="J1740" s="429"/>
      <c r="K1740" s="429"/>
      <c r="L1740" s="429"/>
      <c r="M1740" s="429"/>
      <c r="N1740" s="429"/>
      <c r="O1740" s="429"/>
      <c r="P1740" s="429"/>
      <c r="Q1740" s="429"/>
      <c r="R1740" s="429"/>
      <c r="S1740" s="429"/>
      <c r="T1740" s="429"/>
      <c r="U1740" s="429"/>
      <c r="V1740" s="429"/>
      <c r="W1740" s="1369">
        <v>0</v>
      </c>
      <c r="X1740" s="1369"/>
      <c r="Y1740" s="1369"/>
      <c r="Z1740" s="1369"/>
      <c r="AA1740" s="1369"/>
      <c r="AB1740" s="1369"/>
      <c r="AC1740" s="665"/>
      <c r="AD1740" s="1369">
        <v>0</v>
      </c>
      <c r="AE1740" s="1369"/>
      <c r="AF1740" s="1369"/>
      <c r="AG1740" s="1369"/>
      <c r="AH1740" s="1369"/>
      <c r="AI1740" s="1369"/>
      <c r="AJ1740" s="342"/>
      <c r="AK1740" s="345"/>
      <c r="AL1740" s="340"/>
      <c r="AM1740" s="429" t="s">
        <v>1772</v>
      </c>
      <c r="AN1740" s="429"/>
      <c r="AO1740" s="429"/>
      <c r="AP1740" s="429"/>
      <c r="AQ1740" s="429"/>
      <c r="AR1740" s="429"/>
      <c r="AS1740" s="429"/>
      <c r="AT1740" s="429"/>
      <c r="AU1740" s="429"/>
      <c r="AV1740" s="429"/>
      <c r="AW1740" s="429"/>
      <c r="AX1740" s="429"/>
      <c r="AY1740" s="429"/>
      <c r="AZ1740" s="429"/>
      <c r="BA1740" s="429"/>
      <c r="BB1740" s="429"/>
      <c r="BC1740" s="429"/>
      <c r="BD1740" s="429"/>
      <c r="BE1740" s="429"/>
      <c r="BF1740" s="429"/>
      <c r="BG1740" s="1369">
        <f t="shared" si="128"/>
        <v>0</v>
      </c>
      <c r="BH1740" s="1369"/>
      <c r="BI1740" s="1369"/>
      <c r="BJ1740" s="1369"/>
      <c r="BK1740" s="1369"/>
      <c r="BL1740" s="1369"/>
      <c r="BM1740" s="665"/>
      <c r="BN1740" s="1369">
        <f t="shared" si="129"/>
        <v>0</v>
      </c>
      <c r="BO1740" s="1369"/>
      <c r="BP1740" s="1369"/>
      <c r="BQ1740" s="1369"/>
      <c r="BR1740" s="1369"/>
      <c r="BS1740" s="1369"/>
      <c r="BT1740" s="352"/>
      <c r="BU1740" s="353"/>
      <c r="BV1740" s="310"/>
      <c r="BW1740" s="310"/>
      <c r="BX1740" s="300">
        <f t="shared" si="125"/>
        <v>0</v>
      </c>
      <c r="BY1740" s="342"/>
      <c r="BZ1740" s="438"/>
      <c r="CA1740" s="438"/>
      <c r="CB1740" s="439"/>
      <c r="CC1740" s="439"/>
      <c r="CD1740" s="439"/>
      <c r="CE1740" s="439"/>
      <c r="CF1740" s="439"/>
    </row>
    <row r="1741" spans="1:84" s="423" customFormat="1" ht="15" hidden="1" customHeight="1" x14ac:dyDescent="0.25">
      <c r="A1741" s="313"/>
      <c r="B1741" s="373"/>
      <c r="C1741" s="667" t="s">
        <v>1687</v>
      </c>
      <c r="D1741" s="429"/>
      <c r="E1741" s="429"/>
      <c r="F1741" s="429"/>
      <c r="G1741" s="429"/>
      <c r="H1741" s="429"/>
      <c r="I1741" s="429"/>
      <c r="J1741" s="429"/>
      <c r="K1741" s="429"/>
      <c r="L1741" s="429"/>
      <c r="M1741" s="429"/>
      <c r="N1741" s="429"/>
      <c r="O1741" s="429"/>
      <c r="P1741" s="429"/>
      <c r="Q1741" s="429"/>
      <c r="R1741" s="429"/>
      <c r="S1741" s="429"/>
      <c r="T1741" s="429"/>
      <c r="U1741" s="429"/>
      <c r="V1741" s="429"/>
      <c r="W1741" s="1369">
        <v>0</v>
      </c>
      <c r="X1741" s="1369"/>
      <c r="Y1741" s="1369"/>
      <c r="Z1741" s="1369"/>
      <c r="AA1741" s="1369"/>
      <c r="AB1741" s="1369"/>
      <c r="AC1741" s="665"/>
      <c r="AD1741" s="1369">
        <v>0</v>
      </c>
      <c r="AE1741" s="1369"/>
      <c r="AF1741" s="1369"/>
      <c r="AG1741" s="1369"/>
      <c r="AH1741" s="1369"/>
      <c r="AI1741" s="1369"/>
      <c r="AJ1741" s="342"/>
      <c r="AK1741" s="345"/>
      <c r="AL1741" s="340"/>
      <c r="AM1741" s="429" t="s">
        <v>1773</v>
      </c>
      <c r="AN1741" s="429"/>
      <c r="AO1741" s="429"/>
      <c r="AP1741" s="429"/>
      <c r="AQ1741" s="429"/>
      <c r="AR1741" s="429"/>
      <c r="AS1741" s="429"/>
      <c r="AT1741" s="429"/>
      <c r="AU1741" s="429"/>
      <c r="AV1741" s="429"/>
      <c r="AW1741" s="429"/>
      <c r="AX1741" s="429"/>
      <c r="AY1741" s="429"/>
      <c r="AZ1741" s="429"/>
      <c r="BA1741" s="429"/>
      <c r="BB1741" s="429"/>
      <c r="BC1741" s="429"/>
      <c r="BD1741" s="429"/>
      <c r="BE1741" s="429"/>
      <c r="BF1741" s="429"/>
      <c r="BG1741" s="1369">
        <f t="shared" si="128"/>
        <v>0</v>
      </c>
      <c r="BH1741" s="1369"/>
      <c r="BI1741" s="1369"/>
      <c r="BJ1741" s="1369"/>
      <c r="BK1741" s="1369"/>
      <c r="BL1741" s="1369"/>
      <c r="BM1741" s="665"/>
      <c r="BN1741" s="1369">
        <f t="shared" si="129"/>
        <v>0</v>
      </c>
      <c r="BO1741" s="1369"/>
      <c r="BP1741" s="1369"/>
      <c r="BQ1741" s="1369"/>
      <c r="BR1741" s="1369"/>
      <c r="BS1741" s="1369"/>
      <c r="BT1741" s="352"/>
      <c r="BU1741" s="353"/>
      <c r="BV1741" s="310"/>
      <c r="BW1741" s="310"/>
      <c r="BX1741" s="300">
        <f>IF(ISNONTEXT($C1741),0,SUM(D1741:AI1741)-SUM(AN1741:BS1741))</f>
        <v>0</v>
      </c>
      <c r="BY1741" s="342"/>
      <c r="BZ1741" s="438"/>
      <c r="CA1741" s="438"/>
      <c r="CB1741" s="439"/>
      <c r="CC1741" s="439"/>
      <c r="CD1741" s="439"/>
      <c r="CE1741" s="439"/>
      <c r="CF1741" s="439"/>
    </row>
    <row r="1742" spans="1:84" ht="15" hidden="1" customHeight="1" x14ac:dyDescent="0.25">
      <c r="A1742" s="313"/>
      <c r="B1742" s="373"/>
      <c r="C1742" s="342" t="s">
        <v>1774</v>
      </c>
      <c r="D1742" s="342"/>
      <c r="E1742" s="342"/>
      <c r="F1742" s="342"/>
      <c r="G1742" s="342"/>
      <c r="H1742" s="342"/>
      <c r="I1742" s="342"/>
      <c r="J1742" s="342"/>
      <c r="K1742" s="342"/>
      <c r="L1742" s="342"/>
      <c r="M1742" s="342"/>
      <c r="N1742" s="342"/>
      <c r="O1742" s="342"/>
      <c r="P1742" s="342"/>
      <c r="Q1742" s="342"/>
      <c r="R1742" s="342"/>
      <c r="S1742" s="342"/>
      <c r="T1742" s="342"/>
      <c r="U1742" s="342"/>
      <c r="V1742" s="342"/>
      <c r="W1742" s="1318">
        <f>W1737+W1738</f>
        <v>2205590858</v>
      </c>
      <c r="X1742" s="1318"/>
      <c r="Y1742" s="1318"/>
      <c r="Z1742" s="1318"/>
      <c r="AA1742" s="1318"/>
      <c r="AB1742" s="1318"/>
      <c r="AC1742" s="355"/>
      <c r="AD1742" s="1318">
        <f>AD1737+AD1738</f>
        <v>723422867</v>
      </c>
      <c r="AE1742" s="1318"/>
      <c r="AF1742" s="1318"/>
      <c r="AG1742" s="1318"/>
      <c r="AH1742" s="1318"/>
      <c r="AI1742" s="1318"/>
      <c r="AJ1742" s="344"/>
      <c r="AK1742" s="345"/>
      <c r="AL1742" s="340"/>
      <c r="AM1742" s="342" t="s">
        <v>1775</v>
      </c>
      <c r="AN1742" s="342"/>
      <c r="AO1742" s="342"/>
      <c r="AP1742" s="342"/>
      <c r="AQ1742" s="342"/>
      <c r="AR1742" s="342"/>
      <c r="AS1742" s="342"/>
      <c r="AT1742" s="342"/>
      <c r="AU1742" s="342"/>
      <c r="AV1742" s="342"/>
      <c r="AW1742" s="342"/>
      <c r="AX1742" s="342"/>
      <c r="AY1742" s="342"/>
      <c r="AZ1742" s="342"/>
      <c r="BA1742" s="342"/>
      <c r="BB1742" s="342"/>
      <c r="BC1742" s="342"/>
      <c r="BD1742" s="342"/>
      <c r="BE1742" s="342"/>
      <c r="BF1742" s="342"/>
      <c r="BG1742" s="1318">
        <f t="shared" si="128"/>
        <v>2205590858</v>
      </c>
      <c r="BH1742" s="1318"/>
      <c r="BI1742" s="1318"/>
      <c r="BJ1742" s="1318"/>
      <c r="BK1742" s="1318"/>
      <c r="BL1742" s="1318"/>
      <c r="BM1742" s="355"/>
      <c r="BN1742" s="1318">
        <f t="shared" si="129"/>
        <v>723422867</v>
      </c>
      <c r="BO1742" s="1318"/>
      <c r="BP1742" s="1318"/>
      <c r="BQ1742" s="1318"/>
      <c r="BR1742" s="1318"/>
      <c r="BS1742" s="1318"/>
      <c r="BT1742" s="352"/>
      <c r="BU1742" s="353"/>
      <c r="BV1742" s="310"/>
      <c r="BW1742" s="310"/>
      <c r="BX1742" s="291">
        <f t="shared" si="125"/>
        <v>0</v>
      </c>
      <c r="BY1742" s="344"/>
      <c r="BZ1742" s="347"/>
      <c r="CA1742" s="347"/>
    </row>
    <row r="1743" spans="1:84" ht="15" hidden="1" customHeight="1" x14ac:dyDescent="0.25">
      <c r="A1743" s="313"/>
      <c r="B1743" s="373"/>
      <c r="C1743" s="434" t="s">
        <v>1776</v>
      </c>
      <c r="D1743" s="342"/>
      <c r="E1743" s="342"/>
      <c r="F1743" s="342"/>
      <c r="G1743" s="342"/>
      <c r="H1743" s="342"/>
      <c r="I1743" s="342"/>
      <c r="J1743" s="342"/>
      <c r="K1743" s="342"/>
      <c r="L1743" s="342"/>
      <c r="M1743" s="342"/>
      <c r="N1743" s="342"/>
      <c r="O1743" s="342"/>
      <c r="P1743" s="342"/>
      <c r="Q1743" s="342"/>
      <c r="R1743" s="342"/>
      <c r="S1743" s="342"/>
      <c r="T1743" s="342"/>
      <c r="U1743" s="342"/>
      <c r="V1743" s="342"/>
      <c r="W1743" s="1318">
        <f>CPBQ_KN</f>
        <v>2000000</v>
      </c>
      <c r="X1743" s="1318"/>
      <c r="Y1743" s="1318"/>
      <c r="Z1743" s="1318"/>
      <c r="AA1743" s="1318"/>
      <c r="AB1743" s="1318"/>
      <c r="AC1743" s="355"/>
      <c r="AD1743" s="1318">
        <f>CPBQ_KT</f>
        <v>2000000</v>
      </c>
      <c r="AE1743" s="1318"/>
      <c r="AF1743" s="1318"/>
      <c r="AG1743" s="1318"/>
      <c r="AH1743" s="1318"/>
      <c r="AI1743" s="1318"/>
      <c r="AJ1743" s="344"/>
      <c r="AK1743" s="345"/>
      <c r="AL1743" s="340"/>
      <c r="AM1743" s="434" t="s">
        <v>1789</v>
      </c>
      <c r="AN1743" s="342"/>
      <c r="AO1743" s="342"/>
      <c r="AP1743" s="342"/>
      <c r="AQ1743" s="342"/>
      <c r="AR1743" s="342"/>
      <c r="AS1743" s="342"/>
      <c r="AT1743" s="342"/>
      <c r="AU1743" s="342"/>
      <c r="AV1743" s="342"/>
      <c r="AW1743" s="342"/>
      <c r="AX1743" s="342"/>
      <c r="AY1743" s="342"/>
      <c r="AZ1743" s="342"/>
      <c r="BA1743" s="342"/>
      <c r="BB1743" s="342"/>
      <c r="BC1743" s="342"/>
      <c r="BD1743" s="342"/>
      <c r="BE1743" s="342"/>
      <c r="BF1743" s="342"/>
      <c r="BG1743" s="1318">
        <f>W1743</f>
        <v>2000000</v>
      </c>
      <c r="BH1743" s="1318"/>
      <c r="BI1743" s="1318"/>
      <c r="BJ1743" s="1318"/>
      <c r="BK1743" s="1318"/>
      <c r="BL1743" s="1318"/>
      <c r="BM1743" s="355"/>
      <c r="BN1743" s="1318">
        <f>AD1743</f>
        <v>2000000</v>
      </c>
      <c r="BO1743" s="1318"/>
      <c r="BP1743" s="1318"/>
      <c r="BQ1743" s="1318"/>
      <c r="BR1743" s="1318"/>
      <c r="BS1743" s="1318"/>
      <c r="BT1743" s="356"/>
      <c r="BU1743" s="357"/>
      <c r="BV1743" s="310"/>
      <c r="BW1743" s="310"/>
      <c r="BX1743" s="291">
        <f t="shared" si="125"/>
        <v>0</v>
      </c>
      <c r="BY1743" s="344"/>
      <c r="BZ1743" s="347"/>
      <c r="CA1743" s="347"/>
    </row>
    <row r="1744" spans="1:84" ht="15" hidden="1" customHeight="1" x14ac:dyDescent="0.25">
      <c r="A1744" s="313"/>
      <c r="B1744" s="373"/>
      <c r="C1744" s="434" t="s">
        <v>1790</v>
      </c>
      <c r="D1744" s="342"/>
      <c r="E1744" s="342"/>
      <c r="F1744" s="342"/>
      <c r="G1744" s="342"/>
      <c r="H1744" s="342"/>
      <c r="I1744" s="342"/>
      <c r="J1744" s="342"/>
      <c r="K1744" s="342"/>
      <c r="L1744" s="342"/>
      <c r="M1744" s="342"/>
      <c r="N1744" s="342"/>
      <c r="O1744" s="342"/>
      <c r="P1744" s="342"/>
      <c r="Q1744" s="342"/>
      <c r="R1744" s="342"/>
      <c r="S1744" s="342"/>
      <c r="T1744" s="342"/>
      <c r="U1744" s="342"/>
      <c r="V1744" s="342"/>
      <c r="W1744" s="1318">
        <f>CPDKPH_KN</f>
        <v>2</v>
      </c>
      <c r="X1744" s="1318"/>
      <c r="Y1744" s="1318"/>
      <c r="Z1744" s="1318"/>
      <c r="AA1744" s="1318"/>
      <c r="AB1744" s="1318"/>
      <c r="AC1744" s="355"/>
      <c r="AD1744" s="1318">
        <f>CPDKPH_KT</f>
        <v>2</v>
      </c>
      <c r="AE1744" s="1318"/>
      <c r="AF1744" s="1318"/>
      <c r="AG1744" s="1318"/>
      <c r="AH1744" s="1318"/>
      <c r="AI1744" s="1318"/>
      <c r="AJ1744" s="344"/>
      <c r="AK1744" s="345"/>
      <c r="AL1744" s="340"/>
      <c r="AM1744" s="434" t="s">
        <v>1791</v>
      </c>
      <c r="AN1744" s="342"/>
      <c r="AO1744" s="342"/>
      <c r="AP1744" s="342"/>
      <c r="AQ1744" s="342"/>
      <c r="AR1744" s="342"/>
      <c r="AS1744" s="342"/>
      <c r="AT1744" s="342"/>
      <c r="AU1744" s="342"/>
      <c r="AV1744" s="342"/>
      <c r="AW1744" s="342"/>
      <c r="AX1744" s="342"/>
      <c r="AY1744" s="342"/>
      <c r="AZ1744" s="342"/>
      <c r="BA1744" s="342"/>
      <c r="BB1744" s="342"/>
      <c r="BC1744" s="342"/>
      <c r="BD1744" s="342"/>
      <c r="BE1744" s="342"/>
      <c r="BF1744" s="342"/>
      <c r="BG1744" s="1318">
        <f>W1744</f>
        <v>2</v>
      </c>
      <c r="BH1744" s="1318"/>
      <c r="BI1744" s="1318"/>
      <c r="BJ1744" s="1318"/>
      <c r="BK1744" s="1318"/>
      <c r="BL1744" s="1318"/>
      <c r="BM1744" s="355"/>
      <c r="BN1744" s="1318">
        <f>AD1744</f>
        <v>2</v>
      </c>
      <c r="BO1744" s="1318"/>
      <c r="BP1744" s="1318"/>
      <c r="BQ1744" s="1318"/>
      <c r="BR1744" s="1318"/>
      <c r="BS1744" s="1318"/>
      <c r="BT1744" s="359"/>
      <c r="BU1744" s="346"/>
      <c r="BV1744" s="310"/>
      <c r="BW1744" s="310"/>
      <c r="BX1744" s="291">
        <f t="shared" si="125"/>
        <v>0</v>
      </c>
      <c r="BY1744" s="344"/>
      <c r="BZ1744" s="347"/>
      <c r="CA1744" s="347"/>
    </row>
    <row r="1745" spans="1:84" ht="15" hidden="1" customHeight="1" x14ac:dyDescent="0.25">
      <c r="A1745" s="313"/>
      <c r="B1745" s="373"/>
      <c r="C1745" s="342"/>
      <c r="D1745" s="342"/>
      <c r="E1745" s="342"/>
      <c r="F1745" s="342"/>
      <c r="G1745" s="342"/>
      <c r="H1745" s="342"/>
      <c r="I1745" s="342"/>
      <c r="J1745" s="342"/>
      <c r="K1745" s="342"/>
      <c r="L1745" s="342"/>
      <c r="M1745" s="342"/>
      <c r="N1745" s="342"/>
      <c r="O1745" s="342"/>
      <c r="P1745" s="342"/>
      <c r="Q1745" s="342"/>
      <c r="R1745" s="342"/>
      <c r="S1745" s="342"/>
      <c r="T1745" s="342"/>
      <c r="U1745" s="342"/>
      <c r="V1745" s="342"/>
      <c r="W1745" s="355"/>
      <c r="X1745" s="355"/>
      <c r="Y1745" s="355"/>
      <c r="Z1745" s="355"/>
      <c r="AA1745" s="355"/>
      <c r="AB1745" s="355"/>
      <c r="AC1745" s="355"/>
      <c r="AD1745" s="355"/>
      <c r="AE1745" s="355"/>
      <c r="AF1745" s="355"/>
      <c r="AG1745" s="355"/>
      <c r="AH1745" s="355"/>
      <c r="AI1745" s="355"/>
      <c r="AJ1745" s="344"/>
      <c r="AK1745" s="345"/>
      <c r="AL1745" s="340"/>
      <c r="AM1745" s="342"/>
      <c r="AN1745" s="342"/>
      <c r="AO1745" s="342"/>
      <c r="AP1745" s="342"/>
      <c r="AQ1745" s="342"/>
      <c r="AR1745" s="342"/>
      <c r="AS1745" s="342"/>
      <c r="AT1745" s="342"/>
      <c r="AU1745" s="342"/>
      <c r="AV1745" s="342"/>
      <c r="AW1745" s="342"/>
      <c r="AX1745" s="342"/>
      <c r="AY1745" s="342"/>
      <c r="AZ1745" s="342"/>
      <c r="BA1745" s="342"/>
      <c r="BB1745" s="342"/>
      <c r="BC1745" s="342"/>
      <c r="BD1745" s="342"/>
      <c r="BE1745" s="342"/>
      <c r="BF1745" s="342"/>
      <c r="BG1745" s="355"/>
      <c r="BH1745" s="355"/>
      <c r="BI1745" s="355"/>
      <c r="BJ1745" s="355"/>
      <c r="BK1745" s="355"/>
      <c r="BL1745" s="355"/>
      <c r="BM1745" s="355"/>
      <c r="BN1745" s="355"/>
      <c r="BO1745" s="355"/>
      <c r="BP1745" s="355"/>
      <c r="BQ1745" s="355"/>
      <c r="BR1745" s="355"/>
      <c r="BS1745" s="355"/>
      <c r="BT1745" s="359"/>
      <c r="BU1745" s="346"/>
      <c r="BV1745" s="310"/>
      <c r="BW1745" s="310"/>
      <c r="BX1745" s="291">
        <f t="shared" si="125"/>
        <v>0</v>
      </c>
      <c r="BY1745" s="344"/>
      <c r="BZ1745" s="347"/>
      <c r="CA1745" s="347"/>
    </row>
    <row r="1746" spans="1:84" s="423" customFormat="1" ht="15" hidden="1" customHeight="1" thickBot="1" x14ac:dyDescent="0.3">
      <c r="A1746" s="313"/>
      <c r="B1746" s="373"/>
      <c r="C1746" s="341" t="s">
        <v>1792</v>
      </c>
      <c r="D1746" s="342"/>
      <c r="E1746" s="342"/>
      <c r="F1746" s="342"/>
      <c r="G1746" s="342"/>
      <c r="H1746" s="342"/>
      <c r="I1746" s="342"/>
      <c r="J1746" s="342"/>
      <c r="K1746" s="342"/>
      <c r="L1746" s="342"/>
      <c r="M1746" s="342"/>
      <c r="N1746" s="342"/>
      <c r="O1746" s="342"/>
      <c r="P1746" s="342"/>
      <c r="Q1746" s="342"/>
      <c r="R1746" s="342"/>
      <c r="S1746" s="342"/>
      <c r="T1746" s="342"/>
      <c r="U1746" s="342"/>
      <c r="V1746" s="342"/>
      <c r="W1746" s="1359">
        <f>IF(W1743&lt;&gt;0,ROUND(W1742/(W1743+W1744),0),0)</f>
        <v>1103</v>
      </c>
      <c r="X1746" s="1359"/>
      <c r="Y1746" s="1359"/>
      <c r="Z1746" s="1359"/>
      <c r="AA1746" s="1359"/>
      <c r="AB1746" s="1359"/>
      <c r="AC1746" s="355"/>
      <c r="AD1746" s="1359">
        <f>IF(AD1743&lt;&gt;0,ROUND(AD1742/(AD1743+AD1744),0),0)</f>
        <v>362</v>
      </c>
      <c r="AE1746" s="1359"/>
      <c r="AF1746" s="1359"/>
      <c r="AG1746" s="1359"/>
      <c r="AH1746" s="1359"/>
      <c r="AI1746" s="1359"/>
      <c r="AJ1746" s="342"/>
      <c r="AK1746" s="345"/>
      <c r="AL1746" s="340"/>
      <c r="AM1746" s="341" t="s">
        <v>1793</v>
      </c>
      <c r="AN1746" s="342"/>
      <c r="AO1746" s="342"/>
      <c r="AP1746" s="342"/>
      <c r="AQ1746" s="342"/>
      <c r="AR1746" s="342"/>
      <c r="AS1746" s="342"/>
      <c r="AT1746" s="342"/>
      <c r="AU1746" s="342"/>
      <c r="AV1746" s="342"/>
      <c r="AW1746" s="342"/>
      <c r="AX1746" s="342"/>
      <c r="AY1746" s="342"/>
      <c r="AZ1746" s="342"/>
      <c r="BA1746" s="342"/>
      <c r="BB1746" s="342"/>
      <c r="BC1746" s="342"/>
      <c r="BD1746" s="342"/>
      <c r="BE1746" s="342"/>
      <c r="BF1746" s="342"/>
      <c r="BG1746" s="1359">
        <f>IF(BG1743&lt;&gt;0,ROUND(BG1742/(BG1743+BG1744),0),0)</f>
        <v>1103</v>
      </c>
      <c r="BH1746" s="1359"/>
      <c r="BI1746" s="1359"/>
      <c r="BJ1746" s="1359"/>
      <c r="BK1746" s="1359"/>
      <c r="BL1746" s="1359"/>
      <c r="BM1746" s="355"/>
      <c r="BN1746" s="1359">
        <f>IF(BN1743&lt;&gt;0,ROUND(BN1742/(BN1743+BN1744),0),0)</f>
        <v>362</v>
      </c>
      <c r="BO1746" s="1359"/>
      <c r="BP1746" s="1359"/>
      <c r="BQ1746" s="1359"/>
      <c r="BR1746" s="1359"/>
      <c r="BS1746" s="1359"/>
      <c r="BT1746" s="359"/>
      <c r="BU1746" s="346"/>
      <c r="BV1746" s="310">
        <f>W1746-LSGTCP_KN</f>
        <v>0</v>
      </c>
      <c r="BW1746" s="310">
        <f>AD1746-LSGTCP_KT</f>
        <v>0</v>
      </c>
      <c r="BX1746" s="300">
        <f t="shared" si="125"/>
        <v>0</v>
      </c>
      <c r="BY1746" s="342"/>
      <c r="BZ1746" s="438"/>
      <c r="CA1746" s="438"/>
      <c r="CB1746" s="439"/>
      <c r="CC1746" s="439"/>
      <c r="CD1746" s="439"/>
      <c r="CE1746" s="439"/>
      <c r="CF1746" s="439"/>
    </row>
    <row r="1747" spans="1:84" s="423" customFormat="1" ht="15" hidden="1" customHeight="1" thickTop="1" x14ac:dyDescent="0.25">
      <c r="A1747" s="313"/>
      <c r="B1747" s="373"/>
      <c r="C1747" s="341"/>
      <c r="D1747" s="342"/>
      <c r="E1747" s="342"/>
      <c r="F1747" s="342"/>
      <c r="G1747" s="342"/>
      <c r="H1747" s="342"/>
      <c r="I1747" s="342"/>
      <c r="J1747" s="342"/>
      <c r="K1747" s="342"/>
      <c r="L1747" s="342"/>
      <c r="M1747" s="342"/>
      <c r="N1747" s="342"/>
      <c r="O1747" s="342"/>
      <c r="P1747" s="342"/>
      <c r="Q1747" s="342"/>
      <c r="R1747" s="342"/>
      <c r="S1747" s="342"/>
      <c r="T1747" s="342"/>
      <c r="U1747" s="342"/>
      <c r="V1747" s="342"/>
      <c r="W1747" s="363"/>
      <c r="X1747" s="363"/>
      <c r="Y1747" s="363"/>
      <c r="Z1747" s="363"/>
      <c r="AA1747" s="363"/>
      <c r="AB1747" s="363"/>
      <c r="AC1747" s="355"/>
      <c r="AD1747" s="363"/>
      <c r="AE1747" s="363"/>
      <c r="AF1747" s="363"/>
      <c r="AG1747" s="363"/>
      <c r="AH1747" s="363"/>
      <c r="AI1747" s="363"/>
      <c r="AJ1747" s="342"/>
      <c r="AK1747" s="345"/>
      <c r="AL1747" s="340"/>
      <c r="AM1747" s="341"/>
      <c r="AN1747" s="342"/>
      <c r="AO1747" s="342"/>
      <c r="AP1747" s="342"/>
      <c r="AQ1747" s="342"/>
      <c r="AR1747" s="342"/>
      <c r="AS1747" s="342"/>
      <c r="AT1747" s="342"/>
      <c r="AU1747" s="342"/>
      <c r="AV1747" s="342"/>
      <c r="AW1747" s="342"/>
      <c r="AX1747" s="342"/>
      <c r="AY1747" s="342"/>
      <c r="AZ1747" s="342"/>
      <c r="BA1747" s="342"/>
      <c r="BB1747" s="342"/>
      <c r="BC1747" s="342"/>
      <c r="BD1747" s="342"/>
      <c r="BE1747" s="342"/>
      <c r="BF1747" s="342"/>
      <c r="BG1747" s="363"/>
      <c r="BH1747" s="363"/>
      <c r="BI1747" s="363"/>
      <c r="BJ1747" s="363"/>
      <c r="BK1747" s="363"/>
      <c r="BL1747" s="363"/>
      <c r="BM1747" s="355"/>
      <c r="BN1747" s="363"/>
      <c r="BO1747" s="363"/>
      <c r="BP1747" s="363"/>
      <c r="BQ1747" s="363"/>
      <c r="BR1747" s="363"/>
      <c r="BS1747" s="363"/>
      <c r="BT1747" s="359"/>
      <c r="BU1747" s="346"/>
      <c r="BV1747" s="310"/>
      <c r="BW1747" s="310"/>
      <c r="BX1747" s="300"/>
      <c r="BY1747" s="342"/>
      <c r="BZ1747" s="438"/>
      <c r="CA1747" s="438"/>
      <c r="CB1747" s="439"/>
      <c r="CC1747" s="439"/>
      <c r="CD1747" s="439"/>
      <c r="CE1747" s="439"/>
      <c r="CF1747" s="439"/>
    </row>
    <row r="1748" spans="1:84" ht="165.75" hidden="1" customHeight="1" x14ac:dyDescent="0.25">
      <c r="A1748" s="313"/>
      <c r="B1748" s="454"/>
      <c r="C1748" s="1358" t="s">
        <v>1794</v>
      </c>
      <c r="D1748" s="1342"/>
      <c r="E1748" s="1342"/>
      <c r="F1748" s="1342"/>
      <c r="G1748" s="1342"/>
      <c r="H1748" s="1342"/>
      <c r="I1748" s="1342"/>
      <c r="J1748" s="1342"/>
      <c r="K1748" s="1342"/>
      <c r="L1748" s="1342"/>
      <c r="M1748" s="1342"/>
      <c r="N1748" s="1342"/>
      <c r="O1748" s="1342"/>
      <c r="P1748" s="1342"/>
      <c r="Q1748" s="1342"/>
      <c r="R1748" s="1342"/>
      <c r="S1748" s="1342"/>
      <c r="T1748" s="1342"/>
      <c r="U1748" s="1342"/>
      <c r="V1748" s="1342"/>
      <c r="W1748" s="1342"/>
      <c r="X1748" s="1342"/>
      <c r="Y1748" s="1342"/>
      <c r="Z1748" s="1342"/>
      <c r="AA1748" s="1342"/>
      <c r="AB1748" s="1342"/>
      <c r="AC1748" s="1342"/>
      <c r="AD1748" s="1342"/>
      <c r="AE1748" s="1342"/>
      <c r="AF1748" s="1342"/>
      <c r="AG1748" s="1342"/>
      <c r="AH1748" s="1342"/>
      <c r="AI1748" s="1342"/>
      <c r="AJ1748" s="344"/>
      <c r="AK1748" s="345"/>
      <c r="AL1748" s="340"/>
      <c r="AM1748" s="1358" t="s">
        <v>1795</v>
      </c>
      <c r="AN1748" s="1342"/>
      <c r="AO1748" s="1342"/>
      <c r="AP1748" s="1342"/>
      <c r="AQ1748" s="1342"/>
      <c r="AR1748" s="1342"/>
      <c r="AS1748" s="1342"/>
      <c r="AT1748" s="1342"/>
      <c r="AU1748" s="1342"/>
      <c r="AV1748" s="1342"/>
      <c r="AW1748" s="1342"/>
      <c r="AX1748" s="1342"/>
      <c r="AY1748" s="1342"/>
      <c r="AZ1748" s="1342"/>
      <c r="BA1748" s="1342"/>
      <c r="BB1748" s="1342"/>
      <c r="BC1748" s="1342"/>
      <c r="BD1748" s="1342"/>
      <c r="BE1748" s="1342"/>
      <c r="BF1748" s="1342"/>
      <c r="BG1748" s="1342"/>
      <c r="BH1748" s="1342"/>
      <c r="BI1748" s="1342"/>
      <c r="BJ1748" s="1342"/>
      <c r="BK1748" s="1342"/>
      <c r="BL1748" s="1342"/>
      <c r="BM1748" s="1342"/>
      <c r="BN1748" s="1342"/>
      <c r="BO1748" s="1342"/>
      <c r="BP1748" s="1342"/>
      <c r="BQ1748" s="1342"/>
      <c r="BR1748" s="1342"/>
      <c r="BS1748" s="1342"/>
      <c r="BT1748" s="429"/>
      <c r="BU1748" s="676"/>
      <c r="BV1748" s="310"/>
      <c r="BW1748" s="310"/>
      <c r="BX1748" s="291">
        <f>IF(ISNONTEXT($C1748),0,SUM(D1748:AI1748)-SUM(AN1748:BS1748))</f>
        <v>0</v>
      </c>
      <c r="BY1748" s="344"/>
      <c r="BZ1748" s="347"/>
      <c r="CA1748" s="347"/>
    </row>
    <row r="1749" spans="1:84" ht="2.1" hidden="1" customHeight="1" x14ac:dyDescent="0.25">
      <c r="A1749" s="313"/>
      <c r="B1749" s="340"/>
      <c r="C1749" s="341"/>
      <c r="D1749" s="342"/>
      <c r="E1749" s="342"/>
      <c r="F1749" s="342"/>
      <c r="G1749" s="342"/>
      <c r="H1749" s="342"/>
      <c r="I1749" s="342"/>
      <c r="J1749" s="342"/>
      <c r="K1749" s="342"/>
      <c r="L1749" s="342"/>
      <c r="M1749" s="342"/>
      <c r="N1749" s="342"/>
      <c r="O1749" s="342"/>
      <c r="P1749" s="342"/>
      <c r="Q1749" s="342"/>
      <c r="R1749" s="342"/>
      <c r="S1749" s="342"/>
      <c r="T1749" s="342"/>
      <c r="U1749" s="342"/>
      <c r="V1749" s="342"/>
      <c r="W1749" s="343"/>
      <c r="X1749" s="343"/>
      <c r="Y1749" s="343"/>
      <c r="Z1749" s="343"/>
      <c r="AA1749" s="343"/>
      <c r="AB1749" s="343"/>
      <c r="AC1749" s="343"/>
      <c r="AD1749" s="343"/>
      <c r="AE1749" s="343"/>
      <c r="AF1749" s="343"/>
      <c r="AG1749" s="343"/>
      <c r="AH1749" s="343"/>
      <c r="AI1749" s="343"/>
      <c r="AJ1749" s="344"/>
      <c r="AK1749" s="345"/>
      <c r="AL1749" s="340" t="s">
        <v>345</v>
      </c>
      <c r="AM1749" s="341"/>
      <c r="AN1749" s="342"/>
      <c r="AO1749" s="342"/>
      <c r="AP1749" s="342"/>
      <c r="AQ1749" s="342"/>
      <c r="AR1749" s="342"/>
      <c r="AS1749" s="342"/>
      <c r="AT1749" s="342"/>
      <c r="AU1749" s="342"/>
      <c r="AV1749" s="342"/>
      <c r="AW1749" s="342"/>
      <c r="AX1749" s="342"/>
      <c r="AY1749" s="342"/>
      <c r="AZ1749" s="342"/>
      <c r="BA1749" s="342"/>
      <c r="BB1749" s="342"/>
      <c r="BC1749" s="342"/>
      <c r="BD1749" s="342"/>
      <c r="BE1749" s="342"/>
      <c r="BF1749" s="342"/>
      <c r="BG1749" s="342"/>
      <c r="BH1749" s="342"/>
      <c r="BI1749" s="342"/>
      <c r="BJ1749" s="342"/>
      <c r="BK1749" s="342"/>
      <c r="BL1749" s="342"/>
      <c r="BM1749" s="342"/>
      <c r="BN1749" s="342"/>
      <c r="BO1749" s="342"/>
      <c r="BP1749" s="342"/>
      <c r="BQ1749" s="342"/>
      <c r="BR1749" s="342"/>
      <c r="BS1749" s="342"/>
      <c r="BT1749" s="342"/>
      <c r="BU1749" s="346"/>
      <c r="BV1749" s="310"/>
      <c r="BW1749" s="310"/>
      <c r="BX1749" s="291">
        <f t="shared" si="125"/>
        <v>0</v>
      </c>
      <c r="BY1749" s="344"/>
      <c r="BZ1749" s="347"/>
      <c r="CA1749" s="347"/>
    </row>
    <row r="1750" spans="1:84" ht="12.95" customHeight="1" x14ac:dyDescent="0.25">
      <c r="A1750" s="313"/>
      <c r="B1750" s="340"/>
      <c r="C1750" s="341"/>
      <c r="D1750" s="342"/>
      <c r="E1750" s="342"/>
      <c r="F1750" s="342"/>
      <c r="G1750" s="342"/>
      <c r="H1750" s="342"/>
      <c r="I1750" s="342"/>
      <c r="J1750" s="342"/>
      <c r="K1750" s="342"/>
      <c r="L1750" s="342"/>
      <c r="M1750" s="342"/>
      <c r="N1750" s="342"/>
      <c r="O1750" s="342"/>
      <c r="P1750" s="342"/>
      <c r="Q1750" s="342"/>
      <c r="R1750" s="342"/>
      <c r="S1750" s="342"/>
      <c r="T1750" s="342"/>
      <c r="U1750" s="342"/>
      <c r="V1750" s="342"/>
      <c r="W1750" s="343"/>
      <c r="X1750" s="343"/>
      <c r="Y1750" s="343"/>
      <c r="Z1750" s="343"/>
      <c r="AA1750" s="343"/>
      <c r="AB1750" s="343"/>
      <c r="AC1750" s="343"/>
      <c r="AD1750" s="343"/>
      <c r="AE1750" s="343"/>
      <c r="AF1750" s="343"/>
      <c r="AG1750" s="343"/>
      <c r="AH1750" s="343"/>
      <c r="AI1750" s="343"/>
      <c r="AJ1750" s="344"/>
      <c r="AK1750" s="345"/>
      <c r="AL1750" s="340"/>
      <c r="AM1750" s="341"/>
      <c r="AN1750" s="342"/>
      <c r="AO1750" s="342"/>
      <c r="AP1750" s="342"/>
      <c r="AQ1750" s="342"/>
      <c r="AR1750" s="342"/>
      <c r="AS1750" s="342"/>
      <c r="AT1750" s="342"/>
      <c r="AU1750" s="342"/>
      <c r="AV1750" s="342"/>
      <c r="AW1750" s="342"/>
      <c r="AX1750" s="342"/>
      <c r="AY1750" s="342"/>
      <c r="AZ1750" s="342"/>
      <c r="BA1750" s="342"/>
      <c r="BB1750" s="342"/>
      <c r="BC1750" s="342"/>
      <c r="BD1750" s="342"/>
      <c r="BE1750" s="342"/>
      <c r="BF1750" s="342"/>
      <c r="BG1750" s="342"/>
      <c r="BH1750" s="342"/>
      <c r="BI1750" s="342"/>
      <c r="BJ1750" s="342"/>
      <c r="BK1750" s="342"/>
      <c r="BL1750" s="342"/>
      <c r="BM1750" s="342"/>
      <c r="BN1750" s="342"/>
      <c r="BO1750" s="342"/>
      <c r="BP1750" s="342"/>
      <c r="BQ1750" s="342"/>
      <c r="BR1750" s="342"/>
      <c r="BS1750" s="342"/>
      <c r="BT1750" s="342"/>
      <c r="BU1750" s="346"/>
      <c r="BV1750" s="310"/>
      <c r="BW1750" s="310"/>
      <c r="BX1750" s="291">
        <f t="shared" si="125"/>
        <v>0</v>
      </c>
      <c r="BY1750" s="344"/>
      <c r="BZ1750" s="347"/>
      <c r="CA1750" s="347"/>
    </row>
    <row r="1751" spans="1:84" ht="15" customHeight="1" x14ac:dyDescent="0.25">
      <c r="A1751" s="313">
        <v>32</v>
      </c>
      <c r="B1751" s="340" t="s">
        <v>345</v>
      </c>
      <c r="C1751" s="341" t="s">
        <v>1796</v>
      </c>
      <c r="D1751" s="342"/>
      <c r="E1751" s="342"/>
      <c r="F1751" s="342"/>
      <c r="G1751" s="342"/>
      <c r="H1751" s="342"/>
      <c r="I1751" s="342"/>
      <c r="J1751" s="342"/>
      <c r="K1751" s="342"/>
      <c r="L1751" s="342"/>
      <c r="M1751" s="342"/>
      <c r="N1751" s="342"/>
      <c r="O1751" s="342"/>
      <c r="P1751" s="342"/>
      <c r="Q1751" s="342"/>
      <c r="R1751" s="342"/>
      <c r="S1751" s="342"/>
      <c r="T1751" s="342"/>
      <c r="U1751" s="342"/>
      <c r="V1751" s="342"/>
      <c r="W1751" s="343"/>
      <c r="X1751" s="343"/>
      <c r="Y1751" s="343"/>
      <c r="Z1751" s="343"/>
      <c r="AA1751" s="343"/>
      <c r="AB1751" s="343"/>
      <c r="AC1751" s="343"/>
      <c r="AD1751" s="343"/>
      <c r="AE1751" s="343"/>
      <c r="AF1751" s="343"/>
      <c r="AG1751" s="343"/>
      <c r="AH1751" s="343"/>
      <c r="AI1751" s="343"/>
      <c r="AJ1751" s="344"/>
      <c r="AK1751" s="345">
        <f>A1751</f>
        <v>32</v>
      </c>
      <c r="AL1751" s="340" t="s">
        <v>345</v>
      </c>
      <c r="AM1751" s="341" t="s">
        <v>1797</v>
      </c>
      <c r="AN1751" s="342"/>
      <c r="AO1751" s="342"/>
      <c r="AP1751" s="342"/>
      <c r="AQ1751" s="342"/>
      <c r="AR1751" s="342"/>
      <c r="AS1751" s="342"/>
      <c r="AT1751" s="342"/>
      <c r="AU1751" s="342"/>
      <c r="AV1751" s="342"/>
      <c r="AW1751" s="342"/>
      <c r="AX1751" s="342"/>
      <c r="AY1751" s="342"/>
      <c r="AZ1751" s="342"/>
      <c r="BA1751" s="342"/>
      <c r="BB1751" s="342"/>
      <c r="BC1751" s="342"/>
      <c r="BD1751" s="342"/>
      <c r="BE1751" s="342"/>
      <c r="BF1751" s="342"/>
      <c r="BG1751" s="342"/>
      <c r="BH1751" s="342"/>
      <c r="BI1751" s="342"/>
      <c r="BJ1751" s="342"/>
      <c r="BK1751" s="342"/>
      <c r="BL1751" s="342"/>
      <c r="BM1751" s="342"/>
      <c r="BN1751" s="342"/>
      <c r="BO1751" s="342"/>
      <c r="BP1751" s="342"/>
      <c r="BQ1751" s="342"/>
      <c r="BR1751" s="342"/>
      <c r="BS1751" s="342"/>
      <c r="BT1751" s="342"/>
      <c r="BU1751" s="346">
        <f>SUBTOTAL(103,A1751)</f>
        <v>1</v>
      </c>
      <c r="BV1751" s="310"/>
      <c r="BW1751" s="310"/>
      <c r="BX1751" s="291">
        <f t="shared" si="125"/>
        <v>0</v>
      </c>
      <c r="BY1751" s="344"/>
      <c r="BZ1751" s="347"/>
      <c r="CA1751" s="347"/>
    </row>
    <row r="1752" spans="1:84" s="746" customFormat="1" ht="15" customHeight="1" x14ac:dyDescent="0.25">
      <c r="A1752" s="725"/>
      <c r="B1752" s="728"/>
      <c r="C1752" s="736"/>
      <c r="D1752" s="728"/>
      <c r="E1752" s="728"/>
      <c r="F1752" s="728"/>
      <c r="G1752" s="728"/>
      <c r="H1752" s="728"/>
      <c r="I1752" s="728"/>
      <c r="J1752" s="728"/>
      <c r="K1752" s="728"/>
      <c r="L1752" s="728"/>
      <c r="M1752" s="728"/>
      <c r="N1752" s="728"/>
      <c r="O1752" s="728"/>
      <c r="P1752" s="728"/>
      <c r="Q1752" s="728"/>
      <c r="R1752" s="728"/>
      <c r="S1752" s="728"/>
      <c r="T1752" s="728"/>
      <c r="U1752" s="690"/>
      <c r="V1752" s="690"/>
      <c r="W1752" s="1324" t="str">
        <f>Ky_Nay2_V</f>
        <v>Năm 2017</v>
      </c>
      <c r="X1752" s="1324"/>
      <c r="Y1752" s="1324"/>
      <c r="Z1752" s="1324"/>
      <c r="AA1752" s="1324"/>
      <c r="AB1752" s="1324"/>
      <c r="AC1752" s="379"/>
      <c r="AD1752" s="1324" t="str">
        <f>Ky_Truoc2_V</f>
        <v>Năm 2016</v>
      </c>
      <c r="AE1752" s="1324"/>
      <c r="AF1752" s="1324"/>
      <c r="AG1752" s="1324"/>
      <c r="AH1752" s="1324"/>
      <c r="AI1752" s="1324"/>
      <c r="AJ1752" s="741"/>
      <c r="AK1752" s="727"/>
      <c r="AL1752" s="728"/>
      <c r="AM1752" s="736"/>
      <c r="AN1752" s="728"/>
      <c r="AO1752" s="728"/>
      <c r="AP1752" s="728"/>
      <c r="AQ1752" s="728"/>
      <c r="AR1752" s="728"/>
      <c r="AS1752" s="728"/>
      <c r="AT1752" s="728"/>
      <c r="AU1752" s="728"/>
      <c r="AV1752" s="728"/>
      <c r="AW1752" s="728"/>
      <c r="AX1752" s="728"/>
      <c r="AY1752" s="728"/>
      <c r="AZ1752" s="728"/>
      <c r="BA1752" s="728"/>
      <c r="BB1752" s="728"/>
      <c r="BC1752" s="728"/>
      <c r="BD1752" s="728"/>
      <c r="BE1752" s="690"/>
      <c r="BF1752" s="690"/>
      <c r="BG1752" s="1324" t="str">
        <f>Ky_Nay2_E</f>
        <v>Year 2016</v>
      </c>
      <c r="BH1752" s="1324"/>
      <c r="BI1752" s="1324"/>
      <c r="BJ1752" s="1324"/>
      <c r="BK1752" s="1324"/>
      <c r="BL1752" s="1324"/>
      <c r="BM1752" s="379"/>
      <c r="BN1752" s="1324" t="str">
        <f>Ky_Truoc2_E</f>
        <v>Year 2015</v>
      </c>
      <c r="BO1752" s="1324"/>
      <c r="BP1752" s="1324"/>
      <c r="BQ1752" s="1324"/>
      <c r="BR1752" s="1324"/>
      <c r="BS1752" s="1324"/>
      <c r="BT1752" s="690"/>
      <c r="BU1752" s="414"/>
      <c r="BV1752" s="310"/>
      <c r="BW1752" s="310"/>
      <c r="BX1752" s="291">
        <f t="shared" si="125"/>
        <v>0</v>
      </c>
      <c r="BY1752" s="741"/>
      <c r="BZ1752" s="744"/>
      <c r="CA1752" s="744"/>
      <c r="CB1752" s="745"/>
      <c r="CC1752" s="745"/>
      <c r="CD1752" s="745"/>
      <c r="CE1752" s="745"/>
      <c r="CF1752" s="745"/>
    </row>
    <row r="1753" spans="1:84" ht="15" customHeight="1" x14ac:dyDescent="0.25">
      <c r="A1753" s="313"/>
      <c r="B1753" s="340"/>
      <c r="C1753" s="340"/>
      <c r="D1753" s="340"/>
      <c r="E1753" s="340"/>
      <c r="F1753" s="340"/>
      <c r="G1753" s="340"/>
      <c r="H1753" s="340"/>
      <c r="I1753" s="340"/>
      <c r="J1753" s="340"/>
      <c r="K1753" s="340"/>
      <c r="L1753" s="340"/>
      <c r="M1753" s="340"/>
      <c r="N1753" s="340"/>
      <c r="O1753" s="340"/>
      <c r="P1753" s="340"/>
      <c r="Q1753" s="340"/>
      <c r="R1753" s="340"/>
      <c r="S1753" s="340"/>
      <c r="T1753" s="340"/>
      <c r="U1753" s="342"/>
      <c r="V1753" s="342"/>
      <c r="W1753" s="1327" t="str">
        <f>Don_Vi_Tinh_V</f>
        <v>VND</v>
      </c>
      <c r="X1753" s="1327"/>
      <c r="Y1753" s="1327"/>
      <c r="Z1753" s="1327"/>
      <c r="AA1753" s="1327"/>
      <c r="AB1753" s="1327"/>
      <c r="AC1753" s="355"/>
      <c r="AD1753" s="1327" t="str">
        <f>Don_Vi_Tinh_V</f>
        <v>VND</v>
      </c>
      <c r="AE1753" s="1327"/>
      <c r="AF1753" s="1327"/>
      <c r="AG1753" s="1327"/>
      <c r="AH1753" s="1327"/>
      <c r="AI1753" s="1327"/>
      <c r="AJ1753" s="344"/>
      <c r="AK1753" s="345"/>
      <c r="AL1753" s="340"/>
      <c r="AM1753" s="340"/>
      <c r="AN1753" s="340"/>
      <c r="AO1753" s="340"/>
      <c r="AP1753" s="340"/>
      <c r="AQ1753" s="340"/>
      <c r="AR1753" s="340"/>
      <c r="AS1753" s="340"/>
      <c r="AT1753" s="340"/>
      <c r="AU1753" s="340"/>
      <c r="AV1753" s="340"/>
      <c r="AW1753" s="340"/>
      <c r="AX1753" s="340"/>
      <c r="AY1753" s="340"/>
      <c r="AZ1753" s="340"/>
      <c r="BA1753" s="340"/>
      <c r="BB1753" s="340"/>
      <c r="BC1753" s="340"/>
      <c r="BD1753" s="340"/>
      <c r="BE1753" s="342"/>
      <c r="BF1753" s="342"/>
      <c r="BG1753" s="1327" t="str">
        <f>Don_Vi_Tinh_E</f>
        <v>VND</v>
      </c>
      <c r="BH1753" s="1327"/>
      <c r="BI1753" s="1327"/>
      <c r="BJ1753" s="1327"/>
      <c r="BK1753" s="1327"/>
      <c r="BL1753" s="1327"/>
      <c r="BM1753" s="355"/>
      <c r="BN1753" s="1327" t="str">
        <f>Don_Vi_Tinh_E</f>
        <v>VND</v>
      </c>
      <c r="BO1753" s="1327"/>
      <c r="BP1753" s="1327"/>
      <c r="BQ1753" s="1327"/>
      <c r="BR1753" s="1327"/>
      <c r="BS1753" s="1327"/>
      <c r="BT1753" s="342"/>
      <c r="BU1753" s="346"/>
      <c r="BV1753" s="310"/>
      <c r="BW1753" s="310"/>
      <c r="BX1753" s="291">
        <f t="shared" si="125"/>
        <v>0</v>
      </c>
      <c r="BY1753" s="344"/>
      <c r="BZ1753" s="347"/>
      <c r="CA1753" s="347"/>
    </row>
    <row r="1754" spans="1:84" ht="14.1" customHeight="1" x14ac:dyDescent="0.25">
      <c r="A1754" s="313"/>
      <c r="B1754" s="340"/>
      <c r="C1754" s="340"/>
      <c r="D1754" s="340"/>
      <c r="E1754" s="340"/>
      <c r="F1754" s="340"/>
      <c r="G1754" s="340"/>
      <c r="H1754" s="340"/>
      <c r="I1754" s="340"/>
      <c r="J1754" s="340"/>
      <c r="K1754" s="340"/>
      <c r="L1754" s="340"/>
      <c r="M1754" s="340"/>
      <c r="N1754" s="340"/>
      <c r="O1754" s="340"/>
      <c r="P1754" s="340"/>
      <c r="Q1754" s="340"/>
      <c r="R1754" s="340"/>
      <c r="S1754" s="340"/>
      <c r="T1754" s="340"/>
      <c r="U1754" s="342"/>
      <c r="V1754" s="342"/>
      <c r="W1754" s="372"/>
      <c r="X1754" s="372"/>
      <c r="Y1754" s="372"/>
      <c r="Z1754" s="372"/>
      <c r="AA1754" s="372"/>
      <c r="AB1754" s="372"/>
      <c r="AC1754" s="355"/>
      <c r="AD1754" s="372"/>
      <c r="AE1754" s="372"/>
      <c r="AF1754" s="372"/>
      <c r="AG1754" s="372"/>
      <c r="AH1754" s="372"/>
      <c r="AI1754" s="372"/>
      <c r="AJ1754" s="344"/>
      <c r="AK1754" s="345"/>
      <c r="AL1754" s="340"/>
      <c r="AM1754" s="340"/>
      <c r="AN1754" s="340"/>
      <c r="AO1754" s="340"/>
      <c r="AP1754" s="340"/>
      <c r="AQ1754" s="340"/>
      <c r="AR1754" s="340"/>
      <c r="AS1754" s="340"/>
      <c r="AT1754" s="340"/>
      <c r="AU1754" s="340"/>
      <c r="AV1754" s="340"/>
      <c r="AW1754" s="340"/>
      <c r="AX1754" s="340"/>
      <c r="AY1754" s="340"/>
      <c r="AZ1754" s="340"/>
      <c r="BA1754" s="340"/>
      <c r="BB1754" s="340"/>
      <c r="BC1754" s="340"/>
      <c r="BD1754" s="340"/>
      <c r="BE1754" s="342"/>
      <c r="BF1754" s="342"/>
      <c r="BG1754" s="372"/>
      <c r="BH1754" s="372"/>
      <c r="BI1754" s="372"/>
      <c r="BJ1754" s="372"/>
      <c r="BK1754" s="372"/>
      <c r="BL1754" s="372"/>
      <c r="BM1754" s="355"/>
      <c r="BN1754" s="372"/>
      <c r="BO1754" s="372"/>
      <c r="BP1754" s="372"/>
      <c r="BQ1754" s="372"/>
      <c r="BR1754" s="372"/>
      <c r="BS1754" s="372"/>
      <c r="BT1754" s="342"/>
      <c r="BU1754" s="346"/>
      <c r="BV1754" s="310"/>
      <c r="BW1754" s="310"/>
      <c r="BX1754" s="291">
        <f t="shared" si="125"/>
        <v>0</v>
      </c>
      <c r="BY1754" s="344"/>
      <c r="BZ1754" s="347" t="s">
        <v>1798</v>
      </c>
      <c r="CA1754" s="347">
        <f>-W1603</f>
        <v>-54585667</v>
      </c>
    </row>
    <row r="1755" spans="1:84" ht="15" customHeight="1" x14ac:dyDescent="0.25">
      <c r="A1755" s="313"/>
      <c r="B1755" s="340"/>
      <c r="C1755" s="354" t="s">
        <v>1628</v>
      </c>
      <c r="D1755" s="340"/>
      <c r="E1755" s="340"/>
      <c r="F1755" s="340"/>
      <c r="G1755" s="340"/>
      <c r="H1755" s="340"/>
      <c r="I1755" s="340"/>
      <c r="J1755" s="340"/>
      <c r="K1755" s="340"/>
      <c r="L1755" s="340"/>
      <c r="M1755" s="340"/>
      <c r="N1755" s="340"/>
      <c r="O1755" s="340"/>
      <c r="P1755" s="340"/>
      <c r="Q1755" s="340"/>
      <c r="R1755" s="340"/>
      <c r="S1755" s="340"/>
      <c r="T1755" s="340"/>
      <c r="U1755" s="342"/>
      <c r="V1755" s="342"/>
      <c r="W1755" s="1318">
        <v>20341416036</v>
      </c>
      <c r="X1755" s="1318"/>
      <c r="Y1755" s="1318"/>
      <c r="Z1755" s="1318"/>
      <c r="AA1755" s="1318"/>
      <c r="AB1755" s="1318"/>
      <c r="AC1755" s="355"/>
      <c r="AD1755" s="1318">
        <v>21691795284</v>
      </c>
      <c r="AE1755" s="1318"/>
      <c r="AF1755" s="1318"/>
      <c r="AG1755" s="1318"/>
      <c r="AH1755" s="1318"/>
      <c r="AI1755" s="1318"/>
      <c r="AJ1755" s="344"/>
      <c r="AK1755" s="345"/>
      <c r="AL1755" s="340"/>
      <c r="AM1755" s="342" t="s">
        <v>929</v>
      </c>
      <c r="AN1755" s="340"/>
      <c r="AO1755" s="340"/>
      <c r="AP1755" s="340"/>
      <c r="AQ1755" s="340"/>
      <c r="AR1755" s="340"/>
      <c r="AS1755" s="340"/>
      <c r="AT1755" s="340"/>
      <c r="AU1755" s="340"/>
      <c r="AV1755" s="340"/>
      <c r="AW1755" s="340"/>
      <c r="AX1755" s="340"/>
      <c r="AY1755" s="340"/>
      <c r="AZ1755" s="340"/>
      <c r="BA1755" s="340"/>
      <c r="BB1755" s="340"/>
      <c r="BC1755" s="340"/>
      <c r="BD1755" s="340"/>
      <c r="BE1755" s="342"/>
      <c r="BF1755" s="342"/>
      <c r="BG1755" s="1318">
        <f t="shared" ref="BG1755:BG1760" si="130">W1755</f>
        <v>20341416036</v>
      </c>
      <c r="BH1755" s="1318"/>
      <c r="BI1755" s="1318"/>
      <c r="BJ1755" s="1318"/>
      <c r="BK1755" s="1318"/>
      <c r="BL1755" s="1318"/>
      <c r="BM1755" s="355"/>
      <c r="BN1755" s="1318">
        <f t="shared" ref="BN1755:BN1760" si="131">AD1755</f>
        <v>21691795284</v>
      </c>
      <c r="BO1755" s="1318"/>
      <c r="BP1755" s="1318"/>
      <c r="BQ1755" s="1318"/>
      <c r="BR1755" s="1318"/>
      <c r="BS1755" s="1318"/>
      <c r="BT1755" s="342"/>
      <c r="BU1755" s="346"/>
      <c r="BV1755" s="310"/>
      <c r="BW1755" s="310"/>
      <c r="BX1755" s="291">
        <f t="shared" si="125"/>
        <v>0</v>
      </c>
      <c r="BY1755" s="344"/>
      <c r="BZ1755" s="347" t="s">
        <v>1799</v>
      </c>
      <c r="CA1755" s="347">
        <f>[1]CDKT!AD65-[1]CDKT!V65</f>
        <v>29499996</v>
      </c>
      <c r="CB1755" s="347">
        <v>20341416036</v>
      </c>
    </row>
    <row r="1756" spans="1:84" ht="15" customHeight="1" x14ac:dyDescent="0.25">
      <c r="A1756" s="313"/>
      <c r="B1756" s="340"/>
      <c r="C1756" s="354" t="s">
        <v>1629</v>
      </c>
      <c r="D1756" s="340"/>
      <c r="E1756" s="340"/>
      <c r="F1756" s="340"/>
      <c r="G1756" s="340"/>
      <c r="H1756" s="340"/>
      <c r="I1756" s="340"/>
      <c r="J1756" s="340"/>
      <c r="K1756" s="340"/>
      <c r="L1756" s="340"/>
      <c r="M1756" s="340"/>
      <c r="N1756" s="340"/>
      <c r="O1756" s="340"/>
      <c r="P1756" s="340"/>
      <c r="Q1756" s="340"/>
      <c r="R1756" s="340"/>
      <c r="S1756" s="340"/>
      <c r="T1756" s="340"/>
      <c r="U1756" s="342"/>
      <c r="V1756" s="342"/>
      <c r="W1756" s="1318">
        <v>15830257906</v>
      </c>
      <c r="X1756" s="1318"/>
      <c r="Y1756" s="1318"/>
      <c r="Z1756" s="1318"/>
      <c r="AA1756" s="1318"/>
      <c r="AB1756" s="1318"/>
      <c r="AC1756" s="355"/>
      <c r="AD1756" s="1318">
        <v>18798079956</v>
      </c>
      <c r="AE1756" s="1318"/>
      <c r="AF1756" s="1318"/>
      <c r="AG1756" s="1318"/>
      <c r="AH1756" s="1318"/>
      <c r="AI1756" s="1318"/>
      <c r="AJ1756" s="344"/>
      <c r="AK1756" s="345"/>
      <c r="AL1756" s="340"/>
      <c r="AM1756" s="342" t="s">
        <v>1630</v>
      </c>
      <c r="AN1756" s="340"/>
      <c r="AO1756" s="340"/>
      <c r="AP1756" s="340"/>
      <c r="AQ1756" s="340"/>
      <c r="AR1756" s="340"/>
      <c r="AS1756" s="340"/>
      <c r="AT1756" s="340"/>
      <c r="AU1756" s="340"/>
      <c r="AV1756" s="340"/>
      <c r="AW1756" s="340"/>
      <c r="AX1756" s="340"/>
      <c r="AY1756" s="340"/>
      <c r="AZ1756" s="340"/>
      <c r="BA1756" s="340"/>
      <c r="BB1756" s="340"/>
      <c r="BC1756" s="340"/>
      <c r="BD1756" s="340"/>
      <c r="BE1756" s="342"/>
      <c r="BF1756" s="342"/>
      <c r="BG1756" s="1318">
        <f t="shared" si="130"/>
        <v>15830257906</v>
      </c>
      <c r="BH1756" s="1318"/>
      <c r="BI1756" s="1318"/>
      <c r="BJ1756" s="1318"/>
      <c r="BK1756" s="1318"/>
      <c r="BL1756" s="1318"/>
      <c r="BM1756" s="355"/>
      <c r="BN1756" s="1318">
        <f t="shared" si="131"/>
        <v>18798079956</v>
      </c>
      <c r="BO1756" s="1318"/>
      <c r="BP1756" s="1318"/>
      <c r="BQ1756" s="1318"/>
      <c r="BR1756" s="1318"/>
      <c r="BS1756" s="1318"/>
      <c r="BT1756" s="342"/>
      <c r="BU1756" s="346"/>
      <c r="BV1756" s="310"/>
      <c r="BW1756" s="310"/>
      <c r="BX1756" s="291">
        <f t="shared" si="125"/>
        <v>0</v>
      </c>
      <c r="BY1756" s="344"/>
      <c r="BZ1756" s="347" t="s">
        <v>907</v>
      </c>
      <c r="CA1756" s="347">
        <f>CA1754+CA1755</f>
        <v>-25085671</v>
      </c>
      <c r="CB1756" s="347">
        <v>15830257906</v>
      </c>
    </row>
    <row r="1757" spans="1:84" ht="15" customHeight="1" x14ac:dyDescent="0.25">
      <c r="A1757" s="313"/>
      <c r="B1757" s="340"/>
      <c r="C1757" s="354" t="s">
        <v>1631</v>
      </c>
      <c r="D1757" s="340"/>
      <c r="E1757" s="340"/>
      <c r="F1757" s="340"/>
      <c r="G1757" s="340"/>
      <c r="H1757" s="340"/>
      <c r="I1757" s="340"/>
      <c r="J1757" s="340"/>
      <c r="K1757" s="340"/>
      <c r="L1757" s="340"/>
      <c r="M1757" s="340"/>
      <c r="N1757" s="340"/>
      <c r="O1757" s="340"/>
      <c r="P1757" s="340"/>
      <c r="Q1757" s="340"/>
      <c r="R1757" s="340"/>
      <c r="S1757" s="340"/>
      <c r="T1757" s="340"/>
      <c r="U1757" s="342"/>
      <c r="V1757" s="342"/>
      <c r="W1757" s="1318">
        <v>2662351303</v>
      </c>
      <c r="X1757" s="1318"/>
      <c r="Y1757" s="1318"/>
      <c r="Z1757" s="1318"/>
      <c r="AA1757" s="1318"/>
      <c r="AB1757" s="1318"/>
      <c r="AC1757" s="355"/>
      <c r="AD1757" s="1318">
        <v>2726040857</v>
      </c>
      <c r="AE1757" s="1318"/>
      <c r="AF1757" s="1318"/>
      <c r="AG1757" s="1318"/>
      <c r="AH1757" s="1318"/>
      <c r="AI1757" s="1318"/>
      <c r="AJ1757" s="344"/>
      <c r="AK1757" s="345"/>
      <c r="AL1757" s="340"/>
      <c r="AM1757" s="342" t="s">
        <v>1632</v>
      </c>
      <c r="AN1757" s="340"/>
      <c r="AO1757" s="340"/>
      <c r="AP1757" s="340"/>
      <c r="AQ1757" s="340"/>
      <c r="AR1757" s="340"/>
      <c r="AS1757" s="340"/>
      <c r="AT1757" s="340"/>
      <c r="AU1757" s="340"/>
      <c r="AV1757" s="340"/>
      <c r="AW1757" s="340"/>
      <c r="AX1757" s="340"/>
      <c r="AY1757" s="340"/>
      <c r="AZ1757" s="340"/>
      <c r="BA1757" s="340"/>
      <c r="BB1757" s="340"/>
      <c r="BC1757" s="340"/>
      <c r="BD1757" s="340"/>
      <c r="BE1757" s="342"/>
      <c r="BF1757" s="342"/>
      <c r="BG1757" s="1318">
        <f t="shared" si="130"/>
        <v>2662351303</v>
      </c>
      <c r="BH1757" s="1318"/>
      <c r="BI1757" s="1318"/>
      <c r="BJ1757" s="1318"/>
      <c r="BK1757" s="1318"/>
      <c r="BL1757" s="1318"/>
      <c r="BM1757" s="355"/>
      <c r="BN1757" s="1318">
        <f t="shared" si="131"/>
        <v>2726040857</v>
      </c>
      <c r="BO1757" s="1318"/>
      <c r="BP1757" s="1318"/>
      <c r="BQ1757" s="1318"/>
      <c r="BR1757" s="1318"/>
      <c r="BS1757" s="1318"/>
      <c r="BT1757" s="342"/>
      <c r="BU1757" s="346"/>
      <c r="BV1757" s="310">
        <f>KHTSHH+([1]CDKT!AD65-[1]CDKT!V65)</f>
        <v>2716936970</v>
      </c>
      <c r="BW1757" s="310">
        <f>BV1757-W1757</f>
        <v>54585667</v>
      </c>
      <c r="BX1757" s="291">
        <f t="shared" si="125"/>
        <v>0</v>
      </c>
      <c r="BY1757" s="344"/>
      <c r="BZ1757" s="310">
        <f>KHTSHH</f>
        <v>2687436974</v>
      </c>
      <c r="CA1757" s="347">
        <f>BZ1757-W1757</f>
        <v>25085671</v>
      </c>
      <c r="CB1757" s="347">
        <v>2656732191</v>
      </c>
    </row>
    <row r="1758" spans="1:84" ht="15" customHeight="1" x14ac:dyDescent="0.25">
      <c r="A1758" s="313"/>
      <c r="B1758" s="340"/>
      <c r="C1758" s="354" t="s">
        <v>1800</v>
      </c>
      <c r="D1758" s="340"/>
      <c r="E1758" s="340"/>
      <c r="F1758" s="340"/>
      <c r="G1758" s="340"/>
      <c r="H1758" s="340"/>
      <c r="I1758" s="340"/>
      <c r="J1758" s="340"/>
      <c r="K1758" s="340"/>
      <c r="L1758" s="340"/>
      <c r="M1758" s="340"/>
      <c r="N1758" s="340"/>
      <c r="O1758" s="340"/>
      <c r="P1758" s="340"/>
      <c r="Q1758" s="340"/>
      <c r="R1758" s="340"/>
      <c r="S1758" s="340"/>
      <c r="T1758" s="340"/>
      <c r="U1758" s="342"/>
      <c r="V1758" s="342"/>
      <c r="W1758" s="1318">
        <v>1493808115</v>
      </c>
      <c r="X1758" s="1318"/>
      <c r="Y1758" s="1318"/>
      <c r="Z1758" s="1318"/>
      <c r="AA1758" s="1318"/>
      <c r="AB1758" s="1318"/>
      <c r="AC1758" s="355"/>
      <c r="AD1758" s="1318">
        <v>1543964029</v>
      </c>
      <c r="AE1758" s="1318"/>
      <c r="AF1758" s="1318"/>
      <c r="AG1758" s="1318"/>
      <c r="AH1758" s="1318"/>
      <c r="AI1758" s="1318"/>
      <c r="AJ1758" s="344"/>
      <c r="AK1758" s="345"/>
      <c r="AL1758" s="340"/>
      <c r="AM1758" s="342" t="s">
        <v>1632</v>
      </c>
      <c r="AN1758" s="340"/>
      <c r="AO1758" s="340"/>
      <c r="AP1758" s="340"/>
      <c r="AQ1758" s="340"/>
      <c r="AR1758" s="340"/>
      <c r="AS1758" s="340"/>
      <c r="AT1758" s="340"/>
      <c r="AU1758" s="340"/>
      <c r="AV1758" s="340"/>
      <c r="AW1758" s="340"/>
      <c r="AX1758" s="340"/>
      <c r="AY1758" s="340"/>
      <c r="AZ1758" s="340"/>
      <c r="BA1758" s="340"/>
      <c r="BB1758" s="340"/>
      <c r="BC1758" s="340"/>
      <c r="BD1758" s="340"/>
      <c r="BE1758" s="342"/>
      <c r="BF1758" s="342"/>
      <c r="BG1758" s="1318">
        <f t="shared" si="130"/>
        <v>1493808115</v>
      </c>
      <c r="BH1758" s="1318"/>
      <c r="BI1758" s="1318"/>
      <c r="BJ1758" s="1318"/>
      <c r="BK1758" s="1318"/>
      <c r="BL1758" s="1318"/>
      <c r="BM1758" s="355"/>
      <c r="BN1758" s="1318">
        <f t="shared" si="131"/>
        <v>1543964029</v>
      </c>
      <c r="BO1758" s="1318"/>
      <c r="BP1758" s="1318"/>
      <c r="BQ1758" s="1318"/>
      <c r="BR1758" s="1318"/>
      <c r="BS1758" s="1318"/>
      <c r="BT1758" s="342"/>
      <c r="BU1758" s="346"/>
      <c r="BV1758" s="310">
        <f>W1578+[1]CDKT!AD36-[1]CDKT!V36</f>
        <v>1493808115</v>
      </c>
      <c r="BW1758" s="310">
        <f>BV1758-W1758</f>
        <v>0</v>
      </c>
      <c r="BX1758" s="291">
        <f>IF(ISNONTEXT($C1758),0,SUM(D1758:AI1758)-SUM(AN1758:BS1758))</f>
        <v>0</v>
      </c>
      <c r="BY1758" s="344"/>
      <c r="BZ1758" s="347" t="s">
        <v>1801</v>
      </c>
      <c r="CA1758" s="347">
        <f>-CA1754</f>
        <v>54585667</v>
      </c>
      <c r="CB1758" s="347">
        <v>1429330035</v>
      </c>
    </row>
    <row r="1759" spans="1:84" ht="15" customHeight="1" x14ac:dyDescent="0.25">
      <c r="A1759" s="313"/>
      <c r="B1759" s="340"/>
      <c r="C1759" s="354" t="s">
        <v>1633</v>
      </c>
      <c r="D1759" s="340"/>
      <c r="E1759" s="340"/>
      <c r="F1759" s="340"/>
      <c r="G1759" s="340"/>
      <c r="H1759" s="340"/>
      <c r="I1759" s="340"/>
      <c r="J1759" s="340"/>
      <c r="K1759" s="340"/>
      <c r="L1759" s="340"/>
      <c r="M1759" s="340"/>
      <c r="N1759" s="340"/>
      <c r="O1759" s="340"/>
      <c r="P1759" s="340"/>
      <c r="Q1759" s="340"/>
      <c r="R1759" s="340"/>
      <c r="S1759" s="340"/>
      <c r="T1759" s="340"/>
      <c r="U1759" s="342"/>
      <c r="V1759" s="342"/>
      <c r="W1759" s="1318">
        <v>4611350566</v>
      </c>
      <c r="X1759" s="1318"/>
      <c r="Y1759" s="1318"/>
      <c r="Z1759" s="1318"/>
      <c r="AA1759" s="1318"/>
      <c r="AB1759" s="1318"/>
      <c r="AC1759" s="355"/>
      <c r="AD1759" s="1318">
        <v>3774223683</v>
      </c>
      <c r="AE1759" s="1318"/>
      <c r="AF1759" s="1318"/>
      <c r="AG1759" s="1318"/>
      <c r="AH1759" s="1318"/>
      <c r="AI1759" s="1318"/>
      <c r="AJ1759" s="344"/>
      <c r="AK1759" s="345"/>
      <c r="AL1759" s="340"/>
      <c r="AM1759" s="354" t="s">
        <v>1634</v>
      </c>
      <c r="AN1759" s="340"/>
      <c r="AO1759" s="340"/>
      <c r="AP1759" s="340"/>
      <c r="AQ1759" s="340"/>
      <c r="AR1759" s="340"/>
      <c r="AS1759" s="340"/>
      <c r="AT1759" s="340"/>
      <c r="AU1759" s="340"/>
      <c r="AV1759" s="340"/>
      <c r="AW1759" s="340"/>
      <c r="AX1759" s="340"/>
      <c r="AY1759" s="340"/>
      <c r="AZ1759" s="340"/>
      <c r="BA1759" s="340"/>
      <c r="BB1759" s="340"/>
      <c r="BC1759" s="340"/>
      <c r="BD1759" s="340"/>
      <c r="BE1759" s="342"/>
      <c r="BF1759" s="342"/>
      <c r="BG1759" s="1318">
        <f t="shared" si="130"/>
        <v>4611350566</v>
      </c>
      <c r="BH1759" s="1318"/>
      <c r="BI1759" s="1318"/>
      <c r="BJ1759" s="1318"/>
      <c r="BK1759" s="1318"/>
      <c r="BL1759" s="1318"/>
      <c r="BM1759" s="355"/>
      <c r="BN1759" s="1318">
        <f t="shared" si="131"/>
        <v>3774223683</v>
      </c>
      <c r="BO1759" s="1318"/>
      <c r="BP1759" s="1318"/>
      <c r="BQ1759" s="1318"/>
      <c r="BR1759" s="1318"/>
      <c r="BS1759" s="1318"/>
      <c r="BT1759" s="342"/>
      <c r="BU1759" s="346"/>
      <c r="BV1759" s="310"/>
      <c r="BW1759" s="310"/>
      <c r="BX1759" s="291">
        <f t="shared" si="125"/>
        <v>0</v>
      </c>
      <c r="BY1759" s="344"/>
      <c r="BZ1759" s="347" t="s">
        <v>1802</v>
      </c>
      <c r="CA1759" s="347">
        <f>W1605</f>
        <v>122454535</v>
      </c>
      <c r="CB1759" s="347">
        <v>4589350566</v>
      </c>
    </row>
    <row r="1760" spans="1:84" ht="15" customHeight="1" x14ac:dyDescent="0.25">
      <c r="A1760" s="313"/>
      <c r="B1760" s="340"/>
      <c r="C1760" s="354" t="s">
        <v>1635</v>
      </c>
      <c r="D1760" s="340"/>
      <c r="E1760" s="340"/>
      <c r="F1760" s="340"/>
      <c r="G1760" s="340"/>
      <c r="H1760" s="340"/>
      <c r="I1760" s="340"/>
      <c r="J1760" s="340"/>
      <c r="K1760" s="340"/>
      <c r="L1760" s="340"/>
      <c r="M1760" s="340"/>
      <c r="N1760" s="340"/>
      <c r="O1760" s="340"/>
      <c r="P1760" s="340"/>
      <c r="Q1760" s="340"/>
      <c r="R1760" s="340"/>
      <c r="S1760" s="340"/>
      <c r="T1760" s="340"/>
      <c r="U1760" s="342"/>
      <c r="V1760" s="342"/>
      <c r="W1760" s="1318">
        <v>5423087389</v>
      </c>
      <c r="X1760" s="1318"/>
      <c r="Y1760" s="1318"/>
      <c r="Z1760" s="1318"/>
      <c r="AA1760" s="1318"/>
      <c r="AB1760" s="1318"/>
      <c r="AC1760" s="355"/>
      <c r="AD1760" s="1318">
        <v>5443461847</v>
      </c>
      <c r="AE1760" s="1318"/>
      <c r="AF1760" s="1318"/>
      <c r="AG1760" s="1318"/>
      <c r="AH1760" s="1318"/>
      <c r="AI1760" s="1318"/>
      <c r="AJ1760" s="344"/>
      <c r="AK1760" s="345"/>
      <c r="AL1760" s="340"/>
      <c r="AM1760" s="354" t="s">
        <v>1636</v>
      </c>
      <c r="AN1760" s="340"/>
      <c r="AO1760" s="340"/>
      <c r="AP1760" s="340"/>
      <c r="AQ1760" s="340"/>
      <c r="AR1760" s="340"/>
      <c r="AS1760" s="340"/>
      <c r="AT1760" s="340"/>
      <c r="AU1760" s="340"/>
      <c r="AV1760" s="340"/>
      <c r="AW1760" s="340"/>
      <c r="AX1760" s="340"/>
      <c r="AY1760" s="340"/>
      <c r="AZ1760" s="340"/>
      <c r="BA1760" s="340"/>
      <c r="BB1760" s="340"/>
      <c r="BC1760" s="340"/>
      <c r="BD1760" s="340"/>
      <c r="BE1760" s="342"/>
      <c r="BF1760" s="342"/>
      <c r="BG1760" s="1318">
        <f t="shared" si="130"/>
        <v>5423087389</v>
      </c>
      <c r="BH1760" s="1318"/>
      <c r="BI1760" s="1318"/>
      <c r="BJ1760" s="1318"/>
      <c r="BK1760" s="1318"/>
      <c r="BL1760" s="1318"/>
      <c r="BM1760" s="355"/>
      <c r="BN1760" s="1318">
        <f t="shared" si="131"/>
        <v>5443461847</v>
      </c>
      <c r="BO1760" s="1318"/>
      <c r="BP1760" s="1318"/>
      <c r="BQ1760" s="1318"/>
      <c r="BR1760" s="1318"/>
      <c r="BS1760" s="1318"/>
      <c r="BT1760" s="342"/>
      <c r="BU1760" s="346"/>
      <c r="BV1760" s="310"/>
      <c r="BW1760" s="310"/>
      <c r="BX1760" s="291">
        <f t="shared" si="125"/>
        <v>0</v>
      </c>
      <c r="BY1760" s="344"/>
      <c r="BZ1760" s="347" t="s">
        <v>1803</v>
      </c>
      <c r="CA1760" s="347">
        <f>-'[1]Test_LCTT-GT'!H86</f>
        <v>-18490972</v>
      </c>
      <c r="CB1760" s="347">
        <v>5360430822</v>
      </c>
    </row>
    <row r="1761" spans="1:84" ht="14.1" customHeight="1" x14ac:dyDescent="0.25">
      <c r="A1761" s="313"/>
      <c r="B1761" s="340"/>
      <c r="C1761" s="340"/>
      <c r="D1761" s="340"/>
      <c r="E1761" s="340"/>
      <c r="F1761" s="340"/>
      <c r="G1761" s="340"/>
      <c r="H1761" s="340"/>
      <c r="I1761" s="340"/>
      <c r="J1761" s="340"/>
      <c r="K1761" s="340"/>
      <c r="L1761" s="340"/>
      <c r="M1761" s="340"/>
      <c r="N1761" s="340"/>
      <c r="O1761" s="340"/>
      <c r="P1761" s="340"/>
      <c r="Q1761" s="340"/>
      <c r="R1761" s="340"/>
      <c r="S1761" s="340"/>
      <c r="T1761" s="340"/>
      <c r="U1761" s="342"/>
      <c r="V1761" s="342"/>
      <c r="W1761" s="372"/>
      <c r="X1761" s="372"/>
      <c r="Y1761" s="372"/>
      <c r="Z1761" s="372"/>
      <c r="AA1761" s="372"/>
      <c r="AB1761" s="372"/>
      <c r="AC1761" s="355"/>
      <c r="AD1761" s="372"/>
      <c r="AE1761" s="372"/>
      <c r="AF1761" s="372"/>
      <c r="AG1761" s="372"/>
      <c r="AH1761" s="372"/>
      <c r="AI1761" s="372"/>
      <c r="AJ1761" s="344"/>
      <c r="AK1761" s="345"/>
      <c r="AL1761" s="340"/>
      <c r="AM1761" s="340"/>
      <c r="AN1761" s="340"/>
      <c r="AO1761" s="340"/>
      <c r="AP1761" s="340"/>
      <c r="AQ1761" s="340"/>
      <c r="AR1761" s="340"/>
      <c r="AS1761" s="340"/>
      <c r="AT1761" s="340"/>
      <c r="AU1761" s="340"/>
      <c r="AV1761" s="340"/>
      <c r="AW1761" s="340"/>
      <c r="AX1761" s="340"/>
      <c r="AY1761" s="340"/>
      <c r="AZ1761" s="340"/>
      <c r="BA1761" s="340"/>
      <c r="BB1761" s="340"/>
      <c r="BC1761" s="340"/>
      <c r="BD1761" s="340"/>
      <c r="BE1761" s="342"/>
      <c r="BF1761" s="342"/>
      <c r="BG1761" s="372"/>
      <c r="BH1761" s="372"/>
      <c r="BI1761" s="372"/>
      <c r="BJ1761" s="372"/>
      <c r="BK1761" s="372"/>
      <c r="BL1761" s="372"/>
      <c r="BM1761" s="355"/>
      <c r="BN1761" s="372"/>
      <c r="BO1761" s="372"/>
      <c r="BP1761" s="372"/>
      <c r="BQ1761" s="372"/>
      <c r="BR1761" s="372"/>
      <c r="BS1761" s="372"/>
      <c r="BT1761" s="342"/>
      <c r="BU1761" s="346"/>
      <c r="BV1761" s="310"/>
      <c r="BW1761" s="310"/>
      <c r="BX1761" s="291">
        <f t="shared" si="125"/>
        <v>0</v>
      </c>
      <c r="BY1761" s="344"/>
      <c r="BZ1761" s="347"/>
      <c r="CA1761" s="347"/>
      <c r="CB1761" s="347"/>
    </row>
    <row r="1762" spans="1:84" ht="15" customHeight="1" thickBot="1" x14ac:dyDescent="0.3">
      <c r="A1762" s="313"/>
      <c r="B1762" s="340"/>
      <c r="C1762" s="360" t="s">
        <v>752</v>
      </c>
      <c r="D1762" s="340"/>
      <c r="E1762" s="340"/>
      <c r="F1762" s="340"/>
      <c r="G1762" s="340"/>
      <c r="H1762" s="340"/>
      <c r="I1762" s="340"/>
      <c r="J1762" s="340"/>
      <c r="K1762" s="340"/>
      <c r="L1762" s="340"/>
      <c r="M1762" s="340"/>
      <c r="N1762" s="340"/>
      <c r="O1762" s="340"/>
      <c r="P1762" s="340"/>
      <c r="Q1762" s="340"/>
      <c r="R1762" s="340"/>
      <c r="S1762" s="340"/>
      <c r="T1762" s="340"/>
      <c r="U1762" s="342"/>
      <c r="V1762" s="342"/>
      <c r="W1762" s="1359">
        <f>SUBTOTAL(109,W1755:AB1761)</f>
        <v>50362271315</v>
      </c>
      <c r="X1762" s="1359"/>
      <c r="Y1762" s="1359"/>
      <c r="Z1762" s="1359"/>
      <c r="AA1762" s="1359"/>
      <c r="AB1762" s="1359"/>
      <c r="AC1762" s="355"/>
      <c r="AD1762" s="1359">
        <f>SUBTOTAL(109,AD1755:AI1761)</f>
        <v>53977565656</v>
      </c>
      <c r="AE1762" s="1359"/>
      <c r="AF1762" s="1359"/>
      <c r="AG1762" s="1359"/>
      <c r="AH1762" s="1359"/>
      <c r="AI1762" s="1359"/>
      <c r="AJ1762" s="344"/>
      <c r="AK1762" s="345"/>
      <c r="AL1762" s="340"/>
      <c r="AM1762" s="360" t="s">
        <v>752</v>
      </c>
      <c r="AN1762" s="340"/>
      <c r="AO1762" s="340"/>
      <c r="AP1762" s="340"/>
      <c r="AQ1762" s="340"/>
      <c r="AR1762" s="340"/>
      <c r="AS1762" s="340"/>
      <c r="AT1762" s="340"/>
      <c r="AU1762" s="340"/>
      <c r="AV1762" s="340"/>
      <c r="AW1762" s="340"/>
      <c r="AX1762" s="340"/>
      <c r="AY1762" s="340"/>
      <c r="AZ1762" s="340"/>
      <c r="BA1762" s="340"/>
      <c r="BB1762" s="340"/>
      <c r="BC1762" s="340"/>
      <c r="BD1762" s="340"/>
      <c r="BE1762" s="342"/>
      <c r="BF1762" s="342"/>
      <c r="BG1762" s="1359">
        <f>SUBTOTAL(109,BG1755:BL1761)</f>
        <v>50362271315</v>
      </c>
      <c r="BH1762" s="1359"/>
      <c r="BI1762" s="1359"/>
      <c r="BJ1762" s="1359"/>
      <c r="BK1762" s="1359"/>
      <c r="BL1762" s="1359"/>
      <c r="BM1762" s="355"/>
      <c r="BN1762" s="1359">
        <f>SUBTOTAL(109,BN1755:BS1761)</f>
        <v>53977565656</v>
      </c>
      <c r="BO1762" s="1359"/>
      <c r="BP1762" s="1359"/>
      <c r="BQ1762" s="1359"/>
      <c r="BR1762" s="1359"/>
      <c r="BS1762" s="1359"/>
      <c r="BT1762" s="342"/>
      <c r="BU1762" s="346"/>
      <c r="BV1762" s="310">
        <f>[1]KQKD!V19+Thuyet_minh!K705-Thuyet_minh!X705+Thuyet_minh!K706-Thuyet_minh!X706+[1]KQKD!V26+[1]KQKD!V27</f>
        <v>50387758399</v>
      </c>
      <c r="BW1762" s="310">
        <f>[1]KQKD!V19+[1]KQKD!V26+[1]KQKD!V27+Thuyet_minh!K705-Thuyet_minh!X705+K706-X706</f>
        <v>50387758399</v>
      </c>
      <c r="BX1762" s="291">
        <f t="shared" ref="BX1762:BX1828" si="132">IF(ISNONTEXT($C1762),0,SUM(D1762:AI1762)-SUM(AN1762:BS1762))</f>
        <v>0</v>
      </c>
      <c r="BY1762" s="344"/>
      <c r="BZ1762" s="347"/>
      <c r="CA1762" s="347">
        <f>CA1759+BV1766</f>
        <v>122454535</v>
      </c>
    </row>
    <row r="1763" spans="1:84" ht="15" hidden="1" customHeight="1" thickTop="1" x14ac:dyDescent="0.25">
      <c r="A1763" s="313"/>
      <c r="B1763" s="340"/>
      <c r="C1763" s="341"/>
      <c r="D1763" s="342"/>
      <c r="E1763" s="342"/>
      <c r="F1763" s="342"/>
      <c r="G1763" s="342"/>
      <c r="H1763" s="342"/>
      <c r="I1763" s="342"/>
      <c r="J1763" s="342"/>
      <c r="K1763" s="342"/>
      <c r="L1763" s="342"/>
      <c r="M1763" s="342"/>
      <c r="N1763" s="342"/>
      <c r="O1763" s="342"/>
      <c r="P1763" s="342"/>
      <c r="Q1763" s="342"/>
      <c r="R1763" s="342"/>
      <c r="S1763" s="342"/>
      <c r="T1763" s="342"/>
      <c r="U1763" s="342"/>
      <c r="V1763" s="342"/>
      <c r="W1763" s="343"/>
      <c r="X1763" s="343"/>
      <c r="Y1763" s="343"/>
      <c r="Z1763" s="343"/>
      <c r="AA1763" s="343"/>
      <c r="AB1763" s="343"/>
      <c r="AC1763" s="343"/>
      <c r="AD1763" s="343"/>
      <c r="AE1763" s="343"/>
      <c r="AF1763" s="343"/>
      <c r="AG1763" s="343"/>
      <c r="AH1763" s="343"/>
      <c r="AI1763" s="343"/>
      <c r="AJ1763" s="344"/>
      <c r="AK1763" s="345"/>
      <c r="AL1763" s="340"/>
      <c r="AM1763" s="341"/>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3"/>
      <c r="BH1763" s="343"/>
      <c r="BI1763" s="343"/>
      <c r="BJ1763" s="343"/>
      <c r="BK1763" s="343"/>
      <c r="BL1763" s="343"/>
      <c r="BM1763" s="343"/>
      <c r="BN1763" s="343"/>
      <c r="BO1763" s="343"/>
      <c r="BP1763" s="343"/>
      <c r="BQ1763" s="343"/>
      <c r="BR1763" s="343"/>
      <c r="BS1763" s="343"/>
      <c r="BT1763" s="342"/>
      <c r="BU1763" s="346"/>
      <c r="BV1763" s="310"/>
      <c r="BW1763" s="310"/>
      <c r="BX1763" s="291">
        <f t="shared" si="132"/>
        <v>0</v>
      </c>
      <c r="BY1763" s="344"/>
      <c r="BZ1763" s="347"/>
      <c r="CA1763" s="347"/>
    </row>
    <row r="1764" spans="1:84" ht="84" hidden="1" customHeight="1" x14ac:dyDescent="0.25">
      <c r="A1764" s="313"/>
      <c r="B1764" s="340"/>
      <c r="C1764" s="1358" t="s">
        <v>1804</v>
      </c>
      <c r="D1764" s="1342"/>
      <c r="E1764" s="1342"/>
      <c r="F1764" s="1342"/>
      <c r="G1764" s="1342"/>
      <c r="H1764" s="1342"/>
      <c r="I1764" s="1342"/>
      <c r="J1764" s="1342"/>
      <c r="K1764" s="1342"/>
      <c r="L1764" s="1342"/>
      <c r="M1764" s="1342"/>
      <c r="N1764" s="1342"/>
      <c r="O1764" s="1342"/>
      <c r="P1764" s="1342"/>
      <c r="Q1764" s="1342"/>
      <c r="R1764" s="1342"/>
      <c r="S1764" s="1342"/>
      <c r="T1764" s="1342"/>
      <c r="U1764" s="1342"/>
      <c r="V1764" s="1342"/>
      <c r="W1764" s="1342"/>
      <c r="X1764" s="1342"/>
      <c r="Y1764" s="1342"/>
      <c r="Z1764" s="1342"/>
      <c r="AA1764" s="1342"/>
      <c r="AB1764" s="1342"/>
      <c r="AC1764" s="1342"/>
      <c r="AD1764" s="1342"/>
      <c r="AE1764" s="1342"/>
      <c r="AF1764" s="1342"/>
      <c r="AG1764" s="1342"/>
      <c r="AH1764" s="1342"/>
      <c r="AI1764" s="1342"/>
      <c r="AJ1764" s="344"/>
      <c r="AK1764" s="345"/>
      <c r="AL1764" s="340"/>
      <c r="AM1764" s="1358" t="s">
        <v>1804</v>
      </c>
      <c r="AN1764" s="1342"/>
      <c r="AO1764" s="1342"/>
      <c r="AP1764" s="1342"/>
      <c r="AQ1764" s="1342"/>
      <c r="AR1764" s="1342"/>
      <c r="AS1764" s="1342"/>
      <c r="AT1764" s="1342"/>
      <c r="AU1764" s="1342"/>
      <c r="AV1764" s="1342"/>
      <c r="AW1764" s="1342"/>
      <c r="AX1764" s="1342"/>
      <c r="AY1764" s="1342"/>
      <c r="AZ1764" s="1342"/>
      <c r="BA1764" s="1342"/>
      <c r="BB1764" s="1342"/>
      <c r="BC1764" s="1342"/>
      <c r="BD1764" s="1342"/>
      <c r="BE1764" s="1342"/>
      <c r="BF1764" s="1342"/>
      <c r="BG1764" s="1342"/>
      <c r="BH1764" s="1342"/>
      <c r="BI1764" s="1342"/>
      <c r="BJ1764" s="1342"/>
      <c r="BK1764" s="1342"/>
      <c r="BL1764" s="1342"/>
      <c r="BM1764" s="1342"/>
      <c r="BN1764" s="1342"/>
      <c r="BO1764" s="1342"/>
      <c r="BP1764" s="1342"/>
      <c r="BQ1764" s="1342"/>
      <c r="BR1764" s="1342"/>
      <c r="BS1764" s="1342"/>
      <c r="BT1764" s="342"/>
      <c r="BU1764" s="346"/>
      <c r="BV1764" s="310"/>
      <c r="BW1764" s="310"/>
      <c r="BX1764" s="291">
        <f t="shared" si="132"/>
        <v>0</v>
      </c>
      <c r="BY1764" s="344"/>
      <c r="BZ1764" s="347"/>
      <c r="CA1764" s="347"/>
    </row>
    <row r="1765" spans="1:84" ht="2.1" hidden="1" customHeight="1" x14ac:dyDescent="0.25">
      <c r="A1765" s="313"/>
      <c r="B1765" s="340"/>
      <c r="C1765" s="341"/>
      <c r="D1765" s="342"/>
      <c r="E1765" s="342"/>
      <c r="F1765" s="342"/>
      <c r="G1765" s="342"/>
      <c r="H1765" s="342"/>
      <c r="I1765" s="342"/>
      <c r="J1765" s="342"/>
      <c r="K1765" s="342"/>
      <c r="L1765" s="342"/>
      <c r="M1765" s="342"/>
      <c r="N1765" s="342"/>
      <c r="O1765" s="342"/>
      <c r="P1765" s="342"/>
      <c r="Q1765" s="342"/>
      <c r="R1765" s="342"/>
      <c r="S1765" s="342"/>
      <c r="T1765" s="342"/>
      <c r="U1765" s="342"/>
      <c r="V1765" s="342"/>
      <c r="W1765" s="343"/>
      <c r="X1765" s="343"/>
      <c r="Y1765" s="343"/>
      <c r="Z1765" s="343"/>
      <c r="AA1765" s="343"/>
      <c r="AB1765" s="343"/>
      <c r="AC1765" s="343"/>
      <c r="AD1765" s="343"/>
      <c r="AE1765" s="343"/>
      <c r="AF1765" s="343"/>
      <c r="AG1765" s="343"/>
      <c r="AH1765" s="343"/>
      <c r="AI1765" s="343"/>
      <c r="AJ1765" s="344"/>
      <c r="AK1765" s="345"/>
      <c r="AL1765" s="340"/>
      <c r="AM1765" s="341"/>
      <c r="AN1765" s="342"/>
      <c r="AO1765" s="342"/>
      <c r="AP1765" s="342"/>
      <c r="AQ1765" s="342"/>
      <c r="AR1765" s="342"/>
      <c r="AS1765" s="342"/>
      <c r="AT1765" s="342"/>
      <c r="AU1765" s="342"/>
      <c r="AV1765" s="342"/>
      <c r="AW1765" s="342"/>
      <c r="AX1765" s="342"/>
      <c r="AY1765" s="342"/>
      <c r="AZ1765" s="342"/>
      <c r="BA1765" s="342"/>
      <c r="BB1765" s="342"/>
      <c r="BC1765" s="342"/>
      <c r="BD1765" s="342"/>
      <c r="BE1765" s="342"/>
      <c r="BF1765" s="342"/>
      <c r="BG1765" s="342"/>
      <c r="BH1765" s="342"/>
      <c r="BI1765" s="342"/>
      <c r="BJ1765" s="342"/>
      <c r="BK1765" s="342"/>
      <c r="BL1765" s="342"/>
      <c r="BM1765" s="342"/>
      <c r="BN1765" s="342"/>
      <c r="BO1765" s="342"/>
      <c r="BP1765" s="342"/>
      <c r="BQ1765" s="342"/>
      <c r="BR1765" s="342"/>
      <c r="BS1765" s="342"/>
      <c r="BT1765" s="342"/>
      <c r="BU1765" s="346"/>
      <c r="BV1765" s="310"/>
      <c r="BW1765" s="310"/>
      <c r="BX1765" s="291">
        <f t="shared" si="132"/>
        <v>0</v>
      </c>
      <c r="BY1765" s="344"/>
      <c r="BZ1765" s="347"/>
      <c r="CA1765" s="347"/>
    </row>
    <row r="1766" spans="1:84" ht="12.95" customHeight="1" thickTop="1" x14ac:dyDescent="0.25">
      <c r="A1766" s="313"/>
      <c r="B1766" s="340"/>
      <c r="C1766" s="342"/>
      <c r="D1766" s="342"/>
      <c r="E1766" s="342"/>
      <c r="F1766" s="342"/>
      <c r="G1766" s="342"/>
      <c r="H1766" s="342"/>
      <c r="I1766" s="342"/>
      <c r="J1766" s="342"/>
      <c r="K1766" s="342"/>
      <c r="L1766" s="342"/>
      <c r="M1766" s="342"/>
      <c r="N1766" s="342"/>
      <c r="O1766" s="342"/>
      <c r="P1766" s="342"/>
      <c r="Q1766" s="342"/>
      <c r="R1766" s="342"/>
      <c r="S1766" s="342"/>
      <c r="T1766" s="342"/>
      <c r="U1766" s="342"/>
      <c r="V1766" s="342"/>
      <c r="W1766" s="343"/>
      <c r="X1766" s="343"/>
      <c r="Y1766" s="343"/>
      <c r="Z1766" s="343"/>
      <c r="AA1766" s="343"/>
      <c r="AB1766" s="343"/>
      <c r="AC1766" s="343"/>
      <c r="AD1766" s="343"/>
      <c r="AE1766" s="343"/>
      <c r="AF1766" s="343"/>
      <c r="AG1766" s="343"/>
      <c r="AH1766" s="343"/>
      <c r="AI1766" s="343"/>
      <c r="AJ1766" s="344"/>
      <c r="AK1766" s="345"/>
      <c r="AL1766" s="340"/>
      <c r="AM1766" s="342"/>
      <c r="AN1766" s="342"/>
      <c r="AO1766" s="342"/>
      <c r="AP1766" s="342"/>
      <c r="AQ1766" s="342"/>
      <c r="AR1766" s="342"/>
      <c r="AS1766" s="342"/>
      <c r="AT1766" s="342"/>
      <c r="AU1766" s="342"/>
      <c r="AV1766" s="342"/>
      <c r="AW1766" s="342"/>
      <c r="AX1766" s="342"/>
      <c r="AY1766" s="342"/>
      <c r="AZ1766" s="342"/>
      <c r="BA1766" s="342"/>
      <c r="BB1766" s="342"/>
      <c r="BC1766" s="342"/>
      <c r="BD1766" s="342"/>
      <c r="BE1766" s="342"/>
      <c r="BF1766" s="342"/>
      <c r="BG1766" s="389"/>
      <c r="BH1766" s="389"/>
      <c r="BI1766" s="389"/>
      <c r="BJ1766" s="389"/>
      <c r="BK1766" s="389"/>
      <c r="BL1766" s="389"/>
      <c r="BM1766" s="342"/>
      <c r="BN1766" s="389"/>
      <c r="BO1766" s="389"/>
      <c r="BP1766" s="389"/>
      <c r="BQ1766" s="389"/>
      <c r="BR1766" s="389"/>
      <c r="BS1766" s="389"/>
      <c r="BT1766" s="389"/>
      <c r="BU1766" s="357"/>
      <c r="BV1766" s="310"/>
      <c r="BW1766" s="310"/>
      <c r="BX1766" s="291">
        <f t="shared" si="132"/>
        <v>0</v>
      </c>
      <c r="BY1766" s="344"/>
      <c r="BZ1766" s="347"/>
      <c r="CA1766" s="347"/>
    </row>
    <row r="1767" spans="1:84" ht="15" customHeight="1" x14ac:dyDescent="0.25">
      <c r="A1767" s="313">
        <v>33</v>
      </c>
      <c r="B1767" s="340" t="s">
        <v>345</v>
      </c>
      <c r="C1767" s="471" t="s">
        <v>1805</v>
      </c>
      <c r="D1767" s="392"/>
      <c r="E1767" s="392"/>
      <c r="F1767" s="392"/>
      <c r="G1767" s="392"/>
      <c r="H1767" s="392"/>
      <c r="I1767" s="392"/>
      <c r="J1767" s="392"/>
      <c r="K1767" s="392"/>
      <c r="L1767" s="392"/>
      <c r="M1767" s="392"/>
      <c r="N1767" s="392"/>
      <c r="O1767" s="392"/>
      <c r="P1767" s="392"/>
      <c r="Q1767" s="392"/>
      <c r="R1767" s="392"/>
      <c r="S1767" s="392"/>
      <c r="T1767" s="392"/>
      <c r="U1767" s="392"/>
      <c r="V1767" s="392"/>
      <c r="W1767" s="393"/>
      <c r="X1767" s="393"/>
      <c r="Y1767" s="393"/>
      <c r="Z1767" s="393"/>
      <c r="AA1767" s="393"/>
      <c r="AB1767" s="393"/>
      <c r="AC1767" s="343"/>
      <c r="AD1767" s="343"/>
      <c r="AE1767" s="343"/>
      <c r="AF1767" s="343"/>
      <c r="AG1767" s="343"/>
      <c r="AH1767" s="343"/>
      <c r="AI1767" s="343"/>
      <c r="AJ1767" s="344"/>
      <c r="AK1767" s="345">
        <f>A1767</f>
        <v>33</v>
      </c>
      <c r="AL1767" s="340" t="s">
        <v>345</v>
      </c>
      <c r="AM1767" s="471" t="s">
        <v>1806</v>
      </c>
      <c r="AN1767" s="392"/>
      <c r="AO1767" s="392"/>
      <c r="AP1767" s="392"/>
      <c r="AQ1767" s="392"/>
      <c r="AR1767" s="392"/>
      <c r="AS1767" s="392"/>
      <c r="AT1767" s="392"/>
      <c r="AU1767" s="392"/>
      <c r="AV1767" s="392"/>
      <c r="AW1767" s="392"/>
      <c r="AX1767" s="392"/>
      <c r="AY1767" s="392"/>
      <c r="AZ1767" s="392"/>
      <c r="BA1767" s="392"/>
      <c r="BB1767" s="392"/>
      <c r="BC1767" s="392"/>
      <c r="BD1767" s="392"/>
      <c r="BE1767" s="392"/>
      <c r="BF1767" s="392"/>
      <c r="BG1767" s="392"/>
      <c r="BH1767" s="392"/>
      <c r="BI1767" s="392"/>
      <c r="BJ1767" s="392"/>
      <c r="BK1767" s="392"/>
      <c r="BL1767" s="392"/>
      <c r="BM1767" s="342"/>
      <c r="BN1767" s="356"/>
      <c r="BO1767" s="356"/>
      <c r="BP1767" s="356"/>
      <c r="BQ1767" s="356"/>
      <c r="BR1767" s="356"/>
      <c r="BS1767" s="356"/>
      <c r="BT1767" s="356"/>
      <c r="BU1767" s="346">
        <f>SUBTOTAL(103,A1767)</f>
        <v>1</v>
      </c>
      <c r="BV1767" s="310"/>
      <c r="BW1767" s="310"/>
      <c r="BX1767" s="291">
        <f t="shared" si="132"/>
        <v>0</v>
      </c>
      <c r="BY1767" s="344"/>
      <c r="BZ1767" s="347"/>
      <c r="CA1767" s="347"/>
    </row>
    <row r="1768" spans="1:84" ht="15" customHeight="1" x14ac:dyDescent="0.25">
      <c r="A1768" s="313"/>
      <c r="B1768" s="340"/>
      <c r="C1768" s="471"/>
      <c r="D1768" s="392"/>
      <c r="E1768" s="392"/>
      <c r="F1768" s="392"/>
      <c r="G1768" s="392"/>
      <c r="H1768" s="392"/>
      <c r="I1768" s="392"/>
      <c r="J1768" s="392"/>
      <c r="K1768" s="392"/>
      <c r="L1768" s="392"/>
      <c r="M1768" s="392"/>
      <c r="N1768" s="392"/>
      <c r="O1768" s="392"/>
      <c r="P1768" s="392"/>
      <c r="Q1768" s="392"/>
      <c r="R1768" s="392"/>
      <c r="S1768" s="392"/>
      <c r="T1768" s="392"/>
      <c r="U1768" s="392"/>
      <c r="V1768" s="392"/>
      <c r="W1768" s="393"/>
      <c r="X1768" s="393"/>
      <c r="Y1768" s="393"/>
      <c r="Z1768" s="393"/>
      <c r="AA1768" s="393"/>
      <c r="AB1768" s="393"/>
      <c r="AC1768" s="343"/>
      <c r="AD1768" s="343"/>
      <c r="AE1768" s="343"/>
      <c r="AF1768" s="343"/>
      <c r="AG1768" s="343"/>
      <c r="AH1768" s="343"/>
      <c r="AI1768" s="343"/>
      <c r="AJ1768" s="344"/>
      <c r="AK1768" s="345"/>
      <c r="AL1768" s="340"/>
      <c r="AM1768" s="471"/>
      <c r="AN1768" s="392"/>
      <c r="AO1768" s="392"/>
      <c r="AP1768" s="392"/>
      <c r="AQ1768" s="392"/>
      <c r="AR1768" s="392"/>
      <c r="AS1768" s="392"/>
      <c r="AT1768" s="392"/>
      <c r="AU1768" s="392"/>
      <c r="AV1768" s="392"/>
      <c r="AW1768" s="392"/>
      <c r="AX1768" s="392"/>
      <c r="AY1768" s="392"/>
      <c r="AZ1768" s="392"/>
      <c r="BA1768" s="392"/>
      <c r="BB1768" s="392"/>
      <c r="BC1768" s="392"/>
      <c r="BD1768" s="392"/>
      <c r="BE1768" s="392"/>
      <c r="BF1768" s="392"/>
      <c r="BG1768" s="392"/>
      <c r="BH1768" s="392"/>
      <c r="BI1768" s="392"/>
      <c r="BJ1768" s="392"/>
      <c r="BK1768" s="392"/>
      <c r="BL1768" s="392"/>
      <c r="BM1768" s="342"/>
      <c r="BN1768" s="356"/>
      <c r="BO1768" s="356"/>
      <c r="BP1768" s="356"/>
      <c r="BQ1768" s="356"/>
      <c r="BR1768" s="356"/>
      <c r="BS1768" s="356"/>
      <c r="BT1768" s="356"/>
      <c r="BU1768" s="346"/>
      <c r="BV1768" s="310"/>
      <c r="BW1768" s="310"/>
      <c r="BX1768" s="291">
        <f t="shared" si="132"/>
        <v>0</v>
      </c>
      <c r="BY1768" s="344"/>
      <c r="BZ1768" s="347"/>
      <c r="CA1768" s="347"/>
    </row>
    <row r="1769" spans="1:84" ht="15" customHeight="1" x14ac:dyDescent="0.25">
      <c r="A1769" s="313"/>
      <c r="B1769" s="340"/>
      <c r="C1769" s="392" t="str">
        <f>CONCATENATE("Các loại công cụ tài chính của "&amp;LoaiCT_V," bao gồm:")</f>
        <v>Các loại công cụ tài chính của Công ty bao gồm:</v>
      </c>
      <c r="D1769" s="392"/>
      <c r="E1769" s="392"/>
      <c r="F1769" s="392"/>
      <c r="G1769" s="392"/>
      <c r="H1769" s="392"/>
      <c r="I1769" s="392"/>
      <c r="J1769" s="392"/>
      <c r="K1769" s="392"/>
      <c r="L1769" s="392"/>
      <c r="M1769" s="392"/>
      <c r="N1769" s="392"/>
      <c r="O1769" s="392"/>
      <c r="P1769" s="392"/>
      <c r="Q1769" s="392"/>
      <c r="R1769" s="392"/>
      <c r="S1769" s="392"/>
      <c r="T1769" s="392"/>
      <c r="U1769" s="392"/>
      <c r="V1769" s="392"/>
      <c r="W1769" s="349"/>
      <c r="X1769" s="349"/>
      <c r="Y1769" s="349"/>
      <c r="Z1769" s="349"/>
      <c r="AA1769" s="349"/>
      <c r="AB1769" s="349"/>
      <c r="AC1769" s="349"/>
      <c r="AD1769" s="349"/>
      <c r="AE1769" s="349"/>
      <c r="AF1769" s="349"/>
      <c r="AG1769" s="349"/>
      <c r="AH1769" s="349"/>
      <c r="AI1769" s="349"/>
      <c r="AJ1769" s="344"/>
      <c r="AK1769" s="345"/>
      <c r="AL1769" s="340"/>
      <c r="AM1769" s="392" t="str">
        <f>CONCATENATE("The types of financial instruments of the ",LoaiCT_E,":")</f>
        <v>The types of financial instruments of the Corporation:</v>
      </c>
      <c r="AN1769" s="392"/>
      <c r="AO1769" s="392"/>
      <c r="AP1769" s="392"/>
      <c r="AQ1769" s="392"/>
      <c r="AR1769" s="392"/>
      <c r="AS1769" s="392"/>
      <c r="AT1769" s="392"/>
      <c r="AU1769" s="392"/>
      <c r="AV1769" s="392"/>
      <c r="AW1769" s="392"/>
      <c r="AX1769" s="392"/>
      <c r="AY1769" s="392"/>
      <c r="AZ1769" s="392"/>
      <c r="BA1769" s="392"/>
      <c r="BB1769" s="392"/>
      <c r="BC1769" s="392"/>
      <c r="BD1769" s="392"/>
      <c r="BE1769" s="392"/>
      <c r="BF1769" s="392"/>
      <c r="BG1769" s="349"/>
      <c r="BH1769" s="349"/>
      <c r="BI1769" s="349"/>
      <c r="BJ1769" s="349"/>
      <c r="BK1769" s="349"/>
      <c r="BL1769" s="349"/>
      <c r="BM1769" s="349"/>
      <c r="BN1769" s="349"/>
      <c r="BO1769" s="349"/>
      <c r="BP1769" s="349"/>
      <c r="BQ1769" s="349"/>
      <c r="BR1769" s="349"/>
      <c r="BS1769" s="349"/>
      <c r="BT1769" s="352"/>
      <c r="BU1769" s="353"/>
      <c r="BV1769" s="310"/>
      <c r="BW1769" s="310"/>
      <c r="BX1769" s="291">
        <f t="shared" si="132"/>
        <v>0</v>
      </c>
      <c r="BY1769" s="344"/>
      <c r="BZ1769" s="347"/>
      <c r="CA1769" s="347"/>
    </row>
    <row r="1770" spans="1:84" ht="15" customHeight="1" x14ac:dyDescent="0.25">
      <c r="A1770" s="313"/>
      <c r="B1770" s="340"/>
      <c r="C1770" s="392"/>
      <c r="D1770" s="392"/>
      <c r="E1770" s="392"/>
      <c r="F1770" s="392"/>
      <c r="G1770" s="392"/>
      <c r="H1770" s="392"/>
      <c r="I1770" s="392"/>
      <c r="J1770" s="392"/>
      <c r="K1770" s="1367" t="s">
        <v>1807</v>
      </c>
      <c r="L1770" s="1367"/>
      <c r="M1770" s="1367"/>
      <c r="N1770" s="1367"/>
      <c r="O1770" s="1367"/>
      <c r="P1770" s="1367"/>
      <c r="Q1770" s="1367"/>
      <c r="R1770" s="1367"/>
      <c r="S1770" s="1367"/>
      <c r="T1770" s="1367"/>
      <c r="U1770" s="1367"/>
      <c r="V1770" s="1367"/>
      <c r="W1770" s="1367"/>
      <c r="X1770" s="1367"/>
      <c r="Y1770" s="1367"/>
      <c r="Z1770" s="1367"/>
      <c r="AA1770" s="1367"/>
      <c r="AB1770" s="1367"/>
      <c r="AC1770" s="1367"/>
      <c r="AD1770" s="1367"/>
      <c r="AE1770" s="1367"/>
      <c r="AF1770" s="1367"/>
      <c r="AG1770" s="1367"/>
      <c r="AH1770" s="1367"/>
      <c r="AI1770" s="1367"/>
      <c r="AJ1770" s="344"/>
      <c r="AK1770" s="345"/>
      <c r="AL1770" s="340"/>
      <c r="AM1770" s="392"/>
      <c r="AN1770" s="392"/>
      <c r="AO1770" s="392"/>
      <c r="AP1770" s="392"/>
      <c r="AQ1770" s="392"/>
      <c r="AR1770" s="392"/>
      <c r="AS1770" s="392"/>
      <c r="AT1770" s="392"/>
      <c r="AU1770" s="1367" t="s">
        <v>1808</v>
      </c>
      <c r="AV1770" s="1367"/>
      <c r="AW1770" s="1367"/>
      <c r="AX1770" s="1367"/>
      <c r="AY1770" s="1367"/>
      <c r="AZ1770" s="1367"/>
      <c r="BA1770" s="1367"/>
      <c r="BB1770" s="1367"/>
      <c r="BC1770" s="1367"/>
      <c r="BD1770" s="1367"/>
      <c r="BE1770" s="1367"/>
      <c r="BF1770" s="1367"/>
      <c r="BG1770" s="1367"/>
      <c r="BH1770" s="1367"/>
      <c r="BI1770" s="1367"/>
      <c r="BJ1770" s="1367"/>
      <c r="BK1770" s="1367"/>
      <c r="BL1770" s="1367"/>
      <c r="BM1770" s="1367"/>
      <c r="BN1770" s="1367"/>
      <c r="BO1770" s="1367"/>
      <c r="BP1770" s="1367"/>
      <c r="BQ1770" s="1367"/>
      <c r="BR1770" s="1367"/>
      <c r="BS1770" s="1367"/>
      <c r="BT1770" s="352"/>
      <c r="BU1770" s="353"/>
      <c r="BV1770" s="310"/>
      <c r="BW1770" s="310"/>
      <c r="BX1770" s="291">
        <f t="shared" si="132"/>
        <v>0</v>
      </c>
      <c r="BY1770" s="344"/>
      <c r="BZ1770" s="347"/>
      <c r="CA1770" s="347"/>
    </row>
    <row r="1771" spans="1:84" ht="15" customHeight="1" x14ac:dyDescent="0.25">
      <c r="A1771" s="313"/>
      <c r="B1771" s="340"/>
      <c r="C1771" s="392"/>
      <c r="D1771" s="392"/>
      <c r="E1771" s="392"/>
      <c r="F1771" s="392"/>
      <c r="G1771" s="392"/>
      <c r="H1771" s="392"/>
      <c r="I1771" s="392"/>
      <c r="J1771" s="392"/>
      <c r="K1771" s="1368" t="str">
        <f>Ky_Nay1_V</f>
        <v>31/12/2017</v>
      </c>
      <c r="L1771" s="1368"/>
      <c r="M1771" s="1368"/>
      <c r="N1771" s="1368"/>
      <c r="O1771" s="1368"/>
      <c r="P1771" s="1368"/>
      <c r="Q1771" s="1368"/>
      <c r="R1771" s="1368"/>
      <c r="S1771" s="1368"/>
      <c r="T1771" s="1368"/>
      <c r="U1771" s="1368"/>
      <c r="V1771" s="1368"/>
      <c r="W1771" s="418"/>
      <c r="X1771" s="1368" t="str">
        <f>Ky_Truoc1_V</f>
        <v>01/01/2017</v>
      </c>
      <c r="Y1771" s="1368"/>
      <c r="Z1771" s="1368"/>
      <c r="AA1771" s="1368"/>
      <c r="AB1771" s="1368"/>
      <c r="AC1771" s="1368"/>
      <c r="AD1771" s="1368"/>
      <c r="AE1771" s="1368"/>
      <c r="AF1771" s="1368"/>
      <c r="AG1771" s="1368"/>
      <c r="AH1771" s="1368"/>
      <c r="AI1771" s="1368"/>
      <c r="AJ1771" s="344"/>
      <c r="AK1771" s="345"/>
      <c r="AL1771" s="340"/>
      <c r="AM1771" s="392"/>
      <c r="AN1771" s="392"/>
      <c r="AO1771" s="392"/>
      <c r="AP1771" s="392"/>
      <c r="AQ1771" s="392"/>
      <c r="AR1771" s="392"/>
      <c r="AS1771" s="392"/>
      <c r="AT1771" s="392"/>
      <c r="AU1771" s="1368" t="str">
        <f>Ky_Nay1_E</f>
        <v>31/12/2017</v>
      </c>
      <c r="AV1771" s="1368"/>
      <c r="AW1771" s="1368"/>
      <c r="AX1771" s="1368"/>
      <c r="AY1771" s="1368"/>
      <c r="AZ1771" s="1368"/>
      <c r="BA1771" s="1368"/>
      <c r="BB1771" s="1368"/>
      <c r="BC1771" s="1368"/>
      <c r="BD1771" s="1368"/>
      <c r="BE1771" s="1368"/>
      <c r="BF1771" s="1368"/>
      <c r="BG1771" s="418"/>
      <c r="BH1771" s="1368" t="str">
        <f>Ky_Truoc1_E</f>
        <v>01/01/2017</v>
      </c>
      <c r="BI1771" s="1368"/>
      <c r="BJ1771" s="1368"/>
      <c r="BK1771" s="1368"/>
      <c r="BL1771" s="1368"/>
      <c r="BM1771" s="1368"/>
      <c r="BN1771" s="1368"/>
      <c r="BO1771" s="1368"/>
      <c r="BP1771" s="1368"/>
      <c r="BQ1771" s="1368"/>
      <c r="BR1771" s="1368"/>
      <c r="BS1771" s="1368"/>
      <c r="BT1771" s="352"/>
      <c r="BU1771" s="353"/>
      <c r="BV1771" s="310"/>
      <c r="BW1771" s="310"/>
      <c r="BX1771" s="291">
        <f t="shared" si="132"/>
        <v>0</v>
      </c>
      <c r="BY1771" s="344"/>
      <c r="BZ1771" s="347"/>
      <c r="CA1771" s="347"/>
    </row>
    <row r="1772" spans="1:84" ht="15" customHeight="1" x14ac:dyDescent="0.25">
      <c r="A1772" s="313"/>
      <c r="B1772" s="340"/>
      <c r="C1772" s="392"/>
      <c r="D1772" s="392"/>
      <c r="E1772" s="392"/>
      <c r="F1772" s="392"/>
      <c r="G1772" s="392"/>
      <c r="H1772" s="392"/>
      <c r="I1772" s="392"/>
      <c r="J1772" s="392"/>
      <c r="K1772" s="1365" t="s">
        <v>762</v>
      </c>
      <c r="L1772" s="1365"/>
      <c r="M1772" s="1365"/>
      <c r="N1772" s="1365"/>
      <c r="O1772" s="1365"/>
      <c r="P1772" s="1365"/>
      <c r="Q1772" s="763"/>
      <c r="R1772" s="1365" t="s">
        <v>782</v>
      </c>
      <c r="S1772" s="1365"/>
      <c r="T1772" s="1365"/>
      <c r="U1772" s="1365"/>
      <c r="V1772" s="1365"/>
      <c r="W1772" s="418"/>
      <c r="X1772" s="1365" t="s">
        <v>762</v>
      </c>
      <c r="Y1772" s="1365"/>
      <c r="Z1772" s="1365"/>
      <c r="AA1772" s="1365"/>
      <c r="AB1772" s="1365"/>
      <c r="AC1772" s="1365"/>
      <c r="AD1772" s="763"/>
      <c r="AE1772" s="1365" t="s">
        <v>782</v>
      </c>
      <c r="AF1772" s="1365"/>
      <c r="AG1772" s="1365"/>
      <c r="AH1772" s="1365"/>
      <c r="AI1772" s="1365"/>
      <c r="AJ1772" s="344"/>
      <c r="AK1772" s="345"/>
      <c r="AL1772" s="340"/>
      <c r="AM1772" s="392"/>
      <c r="AN1772" s="392"/>
      <c r="AO1772" s="392"/>
      <c r="AP1772" s="392"/>
      <c r="AQ1772" s="392"/>
      <c r="AR1772" s="392"/>
      <c r="AS1772" s="392"/>
      <c r="AT1772" s="392"/>
      <c r="AU1772" s="1365" t="s">
        <v>1809</v>
      </c>
      <c r="AV1772" s="1365"/>
      <c r="AW1772" s="1365"/>
      <c r="AX1772" s="1365"/>
      <c r="AY1772" s="1365"/>
      <c r="AZ1772" s="1365"/>
      <c r="BA1772" s="763"/>
      <c r="BB1772" s="1365" t="s">
        <v>842</v>
      </c>
      <c r="BC1772" s="1365"/>
      <c r="BD1772" s="1365"/>
      <c r="BE1772" s="1365"/>
      <c r="BF1772" s="1365"/>
      <c r="BG1772" s="418"/>
      <c r="BH1772" s="1365" t="s">
        <v>1809</v>
      </c>
      <c r="BI1772" s="1365"/>
      <c r="BJ1772" s="1365"/>
      <c r="BK1772" s="1365"/>
      <c r="BL1772" s="1365"/>
      <c r="BM1772" s="1365"/>
      <c r="BN1772" s="763"/>
      <c r="BO1772" s="1365" t="s">
        <v>842</v>
      </c>
      <c r="BP1772" s="1365"/>
      <c r="BQ1772" s="1365"/>
      <c r="BR1772" s="1365"/>
      <c r="BS1772" s="1365"/>
      <c r="BT1772" s="352"/>
      <c r="BU1772" s="353"/>
      <c r="BV1772" s="310"/>
      <c r="BW1772" s="310"/>
      <c r="BX1772" s="291">
        <f t="shared" si="132"/>
        <v>0</v>
      </c>
      <c r="BY1772" s="344"/>
      <c r="BZ1772" s="347"/>
      <c r="CA1772" s="347"/>
    </row>
    <row r="1773" spans="1:84" ht="15" customHeight="1" x14ac:dyDescent="0.25">
      <c r="A1773" s="313"/>
      <c r="B1773" s="340"/>
      <c r="C1773" s="354"/>
      <c r="D1773" s="340"/>
      <c r="E1773" s="340"/>
      <c r="F1773" s="340"/>
      <c r="G1773" s="340"/>
      <c r="H1773" s="340"/>
      <c r="I1773" s="340"/>
      <c r="J1773" s="340"/>
      <c r="K1773" s="1366" t="str">
        <f>Don_Vi_Tinh_V</f>
        <v>VND</v>
      </c>
      <c r="L1773" s="1366"/>
      <c r="M1773" s="1366"/>
      <c r="N1773" s="1366"/>
      <c r="O1773" s="1366"/>
      <c r="P1773" s="1366"/>
      <c r="Q1773" s="418"/>
      <c r="R1773" s="1366" t="str">
        <f>Don_Vi_Tinh_V</f>
        <v>VND</v>
      </c>
      <c r="S1773" s="1366"/>
      <c r="T1773" s="1366"/>
      <c r="U1773" s="1366"/>
      <c r="V1773" s="1366"/>
      <c r="W1773" s="418"/>
      <c r="X1773" s="1366" t="str">
        <f>Don_Vi_Tinh_V</f>
        <v>VND</v>
      </c>
      <c r="Y1773" s="1366"/>
      <c r="Z1773" s="1366"/>
      <c r="AA1773" s="1366"/>
      <c r="AB1773" s="1366"/>
      <c r="AC1773" s="1366"/>
      <c r="AD1773" s="418"/>
      <c r="AE1773" s="1366" t="str">
        <f>Don_Vi_Tinh_V</f>
        <v>VND</v>
      </c>
      <c r="AF1773" s="1366"/>
      <c r="AG1773" s="1366"/>
      <c r="AH1773" s="1366"/>
      <c r="AI1773" s="1366"/>
      <c r="AJ1773" s="344"/>
      <c r="AK1773" s="345"/>
      <c r="AL1773" s="340"/>
      <c r="AM1773" s="354"/>
      <c r="AN1773" s="340"/>
      <c r="AO1773" s="340"/>
      <c r="AP1773" s="340"/>
      <c r="AQ1773" s="340"/>
      <c r="AR1773" s="340"/>
      <c r="AS1773" s="340"/>
      <c r="AT1773" s="340"/>
      <c r="AU1773" s="1366" t="str">
        <f>Don_Vi_Tinh_E</f>
        <v>VND</v>
      </c>
      <c r="AV1773" s="1366"/>
      <c r="AW1773" s="1366"/>
      <c r="AX1773" s="1366"/>
      <c r="AY1773" s="1366"/>
      <c r="AZ1773" s="1366"/>
      <c r="BA1773" s="418"/>
      <c r="BB1773" s="1366" t="str">
        <f>Don_Vi_Tinh_E</f>
        <v>VND</v>
      </c>
      <c r="BC1773" s="1366"/>
      <c r="BD1773" s="1366"/>
      <c r="BE1773" s="1366"/>
      <c r="BF1773" s="1366"/>
      <c r="BG1773" s="418"/>
      <c r="BH1773" s="1366" t="str">
        <f>Don_Vi_Tinh_E</f>
        <v>VND</v>
      </c>
      <c r="BI1773" s="1366"/>
      <c r="BJ1773" s="1366"/>
      <c r="BK1773" s="1366"/>
      <c r="BL1773" s="1366"/>
      <c r="BM1773" s="1366"/>
      <c r="BN1773" s="418"/>
      <c r="BO1773" s="1366" t="str">
        <f>Don_Vi_Tinh_E</f>
        <v>VND</v>
      </c>
      <c r="BP1773" s="1366"/>
      <c r="BQ1773" s="1366"/>
      <c r="BR1773" s="1366"/>
      <c r="BS1773" s="1366"/>
      <c r="BT1773" s="356"/>
      <c r="BU1773" s="357"/>
      <c r="BV1773" s="310"/>
      <c r="BW1773" s="310"/>
      <c r="BX1773" s="291">
        <f t="shared" si="132"/>
        <v>0</v>
      </c>
      <c r="BY1773" s="344"/>
      <c r="BZ1773" s="347"/>
      <c r="CA1773" s="347"/>
    </row>
    <row r="1774" spans="1:84" ht="15" customHeight="1" x14ac:dyDescent="0.25">
      <c r="A1774" s="313"/>
      <c r="B1774" s="340"/>
      <c r="C1774" s="341" t="s">
        <v>398</v>
      </c>
      <c r="D1774" s="342"/>
      <c r="E1774" s="342"/>
      <c r="F1774" s="342"/>
      <c r="G1774" s="342"/>
      <c r="H1774" s="342"/>
      <c r="I1774" s="342"/>
      <c r="J1774" s="342"/>
      <c r="K1774" s="1363"/>
      <c r="L1774" s="1363"/>
      <c r="M1774" s="1363"/>
      <c r="N1774" s="1363"/>
      <c r="O1774" s="1363"/>
      <c r="P1774" s="1363"/>
      <c r="Q1774" s="358"/>
      <c r="R1774" s="1363"/>
      <c r="S1774" s="1363"/>
      <c r="T1774" s="1363"/>
      <c r="U1774" s="1363"/>
      <c r="V1774" s="1363"/>
      <c r="W1774" s="358"/>
      <c r="X1774" s="1318"/>
      <c r="Y1774" s="1318"/>
      <c r="Z1774" s="1318"/>
      <c r="AA1774" s="1318"/>
      <c r="AB1774" s="1318"/>
      <c r="AC1774" s="1318"/>
      <c r="AD1774" s="355"/>
      <c r="AE1774" s="1318"/>
      <c r="AF1774" s="1318"/>
      <c r="AG1774" s="1318"/>
      <c r="AH1774" s="1318"/>
      <c r="AI1774" s="1318"/>
      <c r="AJ1774" s="344"/>
      <c r="AK1774" s="345"/>
      <c r="AL1774" s="340"/>
      <c r="AM1774" s="341" t="s">
        <v>1810</v>
      </c>
      <c r="AN1774" s="342"/>
      <c r="AO1774" s="342"/>
      <c r="AP1774" s="342"/>
      <c r="AQ1774" s="342"/>
      <c r="AR1774" s="342"/>
      <c r="AS1774" s="342"/>
      <c r="AT1774" s="342"/>
      <c r="AU1774" s="1363"/>
      <c r="AV1774" s="1363"/>
      <c r="AW1774" s="1363"/>
      <c r="AX1774" s="1363"/>
      <c r="AY1774" s="1363"/>
      <c r="AZ1774" s="1363"/>
      <c r="BA1774" s="358"/>
      <c r="BB1774" s="1363"/>
      <c r="BC1774" s="1363"/>
      <c r="BD1774" s="1363"/>
      <c r="BE1774" s="1363"/>
      <c r="BF1774" s="1363"/>
      <c r="BG1774" s="358"/>
      <c r="BH1774" s="1318"/>
      <c r="BI1774" s="1318"/>
      <c r="BJ1774" s="1318"/>
      <c r="BK1774" s="1318"/>
      <c r="BL1774" s="1318"/>
      <c r="BM1774" s="1318"/>
      <c r="BN1774" s="355"/>
      <c r="BO1774" s="1318"/>
      <c r="BP1774" s="1318"/>
      <c r="BQ1774" s="1318"/>
      <c r="BR1774" s="1318"/>
      <c r="BS1774" s="1318"/>
      <c r="BT1774" s="359"/>
      <c r="BU1774" s="346"/>
      <c r="BV1774" s="310"/>
      <c r="BW1774" s="310"/>
      <c r="BX1774" s="291">
        <f t="shared" si="132"/>
        <v>0</v>
      </c>
      <c r="BY1774" s="344"/>
      <c r="BZ1774" s="347"/>
      <c r="CA1774" s="347"/>
    </row>
    <row r="1775" spans="1:84" s="423" customFormat="1" ht="27.95" customHeight="1" x14ac:dyDescent="0.25">
      <c r="A1775" s="313"/>
      <c r="B1775" s="340"/>
      <c r="C1775" s="1364" t="s">
        <v>420</v>
      </c>
      <c r="D1775" s="1364"/>
      <c r="E1775" s="1364"/>
      <c r="F1775" s="1364"/>
      <c r="G1775" s="1364"/>
      <c r="H1775" s="1364"/>
      <c r="I1775" s="1364"/>
      <c r="J1775" s="1364"/>
      <c r="K1775" s="1363">
        <f>KN_CT110</f>
        <v>3749707209</v>
      </c>
      <c r="L1775" s="1363"/>
      <c r="M1775" s="1363"/>
      <c r="N1775" s="1363"/>
      <c r="O1775" s="1363"/>
      <c r="P1775" s="1363"/>
      <c r="Q1775" s="358"/>
      <c r="R1775" s="1363">
        <v>0</v>
      </c>
      <c r="S1775" s="1363"/>
      <c r="T1775" s="1363"/>
      <c r="U1775" s="1363"/>
      <c r="V1775" s="1363"/>
      <c r="W1775" s="358"/>
      <c r="X1775" s="1363">
        <f>KT_CT110</f>
        <v>3971638435</v>
      </c>
      <c r="Y1775" s="1363"/>
      <c r="Z1775" s="1363"/>
      <c r="AA1775" s="1363"/>
      <c r="AB1775" s="1363"/>
      <c r="AC1775" s="1363"/>
      <c r="AD1775" s="355"/>
      <c r="AE1775" s="1318">
        <v>0</v>
      </c>
      <c r="AF1775" s="1318"/>
      <c r="AG1775" s="1318"/>
      <c r="AH1775" s="1318"/>
      <c r="AI1775" s="1318"/>
      <c r="AJ1775" s="342"/>
      <c r="AK1775" s="345"/>
      <c r="AL1775" s="340"/>
      <c r="AM1775" s="1364" t="s">
        <v>1811</v>
      </c>
      <c r="AN1775" s="1364"/>
      <c r="AO1775" s="1364"/>
      <c r="AP1775" s="1364"/>
      <c r="AQ1775" s="1364"/>
      <c r="AR1775" s="1364"/>
      <c r="AS1775" s="1364"/>
      <c r="AT1775" s="1364"/>
      <c r="AU1775" s="1363">
        <f>K1775</f>
        <v>3749707209</v>
      </c>
      <c r="AV1775" s="1363"/>
      <c r="AW1775" s="1363"/>
      <c r="AX1775" s="1363"/>
      <c r="AY1775" s="1363"/>
      <c r="AZ1775" s="1363"/>
      <c r="BA1775" s="358"/>
      <c r="BB1775" s="1363">
        <f>R1775</f>
        <v>0</v>
      </c>
      <c r="BC1775" s="1363"/>
      <c r="BD1775" s="1363"/>
      <c r="BE1775" s="1363"/>
      <c r="BF1775" s="1363"/>
      <c r="BG1775" s="358"/>
      <c r="BH1775" s="1363">
        <f>X1775</f>
        <v>3971638435</v>
      </c>
      <c r="BI1775" s="1363"/>
      <c r="BJ1775" s="1363"/>
      <c r="BK1775" s="1363"/>
      <c r="BL1775" s="1363"/>
      <c r="BM1775" s="1363"/>
      <c r="BN1775" s="355"/>
      <c r="BO1775" s="1318">
        <f>AE1775</f>
        <v>0</v>
      </c>
      <c r="BP1775" s="1318"/>
      <c r="BQ1775" s="1318"/>
      <c r="BR1775" s="1318"/>
      <c r="BS1775" s="1318"/>
      <c r="BT1775" s="359"/>
      <c r="BU1775" s="346"/>
      <c r="BV1775" s="310"/>
      <c r="BW1775" s="310"/>
      <c r="BX1775" s="300">
        <f t="shared" si="132"/>
        <v>0</v>
      </c>
      <c r="BY1775" s="342"/>
      <c r="BZ1775" s="438"/>
      <c r="CA1775" s="438"/>
      <c r="CB1775" s="439"/>
      <c r="CC1775" s="439"/>
      <c r="CD1775" s="439"/>
      <c r="CE1775" s="439"/>
      <c r="CF1775" s="439"/>
    </row>
    <row r="1776" spans="1:84" s="423" customFormat="1" ht="27.95" customHeight="1" x14ac:dyDescent="0.25">
      <c r="A1776" s="313"/>
      <c r="B1776" s="340"/>
      <c r="C1776" s="1364" t="s">
        <v>1812</v>
      </c>
      <c r="D1776" s="1364"/>
      <c r="E1776" s="1364"/>
      <c r="F1776" s="1364"/>
      <c r="G1776" s="1364"/>
      <c r="H1776" s="1364"/>
      <c r="I1776" s="1364"/>
      <c r="J1776" s="1364"/>
      <c r="K1776" s="1363">
        <f>KN_CT131+KN_CT136+KN_CT211+KN_CT216</f>
        <v>3526115463</v>
      </c>
      <c r="L1776" s="1363"/>
      <c r="M1776" s="1363"/>
      <c r="N1776" s="1363"/>
      <c r="O1776" s="1363"/>
      <c r="P1776" s="1363"/>
      <c r="Q1776" s="358"/>
      <c r="R1776" s="1363">
        <f>KN_CT137+KN_CT219</f>
        <v>-2314234450</v>
      </c>
      <c r="S1776" s="1363"/>
      <c r="T1776" s="1363"/>
      <c r="U1776" s="1363"/>
      <c r="V1776" s="1363"/>
      <c r="W1776" s="358"/>
      <c r="X1776" s="1363">
        <f>KT_CT131+KT_CT136+KT_CT211+KT_CT216</f>
        <v>5124634010</v>
      </c>
      <c r="Y1776" s="1363"/>
      <c r="Z1776" s="1363"/>
      <c r="AA1776" s="1363"/>
      <c r="AB1776" s="1363"/>
      <c r="AC1776" s="1363"/>
      <c r="AD1776" s="355"/>
      <c r="AE1776" s="1363">
        <f>KT_CT137+KT_CT219</f>
        <v>-3561928608</v>
      </c>
      <c r="AF1776" s="1363"/>
      <c r="AG1776" s="1363"/>
      <c r="AH1776" s="1363"/>
      <c r="AI1776" s="1363"/>
      <c r="AJ1776" s="342"/>
      <c r="AK1776" s="345"/>
      <c r="AL1776" s="340"/>
      <c r="AM1776" s="1364" t="s">
        <v>1813</v>
      </c>
      <c r="AN1776" s="1364"/>
      <c r="AO1776" s="1364"/>
      <c r="AP1776" s="1364"/>
      <c r="AQ1776" s="1364"/>
      <c r="AR1776" s="1364"/>
      <c r="AS1776" s="1364"/>
      <c r="AT1776" s="1364"/>
      <c r="AU1776" s="1363">
        <f>K1776</f>
        <v>3526115463</v>
      </c>
      <c r="AV1776" s="1363"/>
      <c r="AW1776" s="1363"/>
      <c r="AX1776" s="1363"/>
      <c r="AY1776" s="1363"/>
      <c r="AZ1776" s="1363"/>
      <c r="BA1776" s="358"/>
      <c r="BB1776" s="1363">
        <f>R1776</f>
        <v>-2314234450</v>
      </c>
      <c r="BC1776" s="1363"/>
      <c r="BD1776" s="1363"/>
      <c r="BE1776" s="1363"/>
      <c r="BF1776" s="1363"/>
      <c r="BG1776" s="358"/>
      <c r="BH1776" s="1363">
        <f>X1776</f>
        <v>5124634010</v>
      </c>
      <c r="BI1776" s="1363"/>
      <c r="BJ1776" s="1363"/>
      <c r="BK1776" s="1363"/>
      <c r="BL1776" s="1363"/>
      <c r="BM1776" s="1363"/>
      <c r="BN1776" s="355"/>
      <c r="BO1776" s="1318">
        <f>AE1776</f>
        <v>-3561928608</v>
      </c>
      <c r="BP1776" s="1318"/>
      <c r="BQ1776" s="1318"/>
      <c r="BR1776" s="1318"/>
      <c r="BS1776" s="1318"/>
      <c r="BT1776" s="359"/>
      <c r="BU1776" s="346"/>
      <c r="BV1776" s="310"/>
      <c r="BW1776" s="310"/>
      <c r="BX1776" s="300">
        <f t="shared" si="132"/>
        <v>0</v>
      </c>
      <c r="BY1776" s="342"/>
      <c r="BZ1776" s="438"/>
      <c r="CA1776" s="438"/>
      <c r="CB1776" s="439"/>
      <c r="CC1776" s="439"/>
      <c r="CD1776" s="439"/>
      <c r="CE1776" s="439"/>
      <c r="CF1776" s="439"/>
    </row>
    <row r="1777" spans="1:79" ht="15" customHeight="1" x14ac:dyDescent="0.25">
      <c r="A1777" s="313"/>
      <c r="B1777" s="340"/>
      <c r="C1777" s="342" t="s">
        <v>1814</v>
      </c>
      <c r="D1777" s="342"/>
      <c r="E1777" s="342"/>
      <c r="F1777" s="342"/>
      <c r="G1777" s="342"/>
      <c r="H1777" s="342"/>
      <c r="I1777" s="342"/>
      <c r="J1777" s="342"/>
      <c r="K1777" s="1363">
        <f>KN_CT135+KN_CT215</f>
        <v>961700000</v>
      </c>
      <c r="L1777" s="1363"/>
      <c r="M1777" s="1363"/>
      <c r="N1777" s="1363"/>
      <c r="O1777" s="1363"/>
      <c r="P1777" s="1363"/>
      <c r="Q1777" s="358"/>
      <c r="R1777" s="1363">
        <f>-(M680-S680)</f>
        <v>-96700000</v>
      </c>
      <c r="S1777" s="1363"/>
      <c r="T1777" s="1363"/>
      <c r="U1777" s="1363"/>
      <c r="V1777" s="1363"/>
      <c r="W1777" s="358"/>
      <c r="X1777" s="1363">
        <f>KT_CT135+KT_CT215</f>
        <v>541800000</v>
      </c>
      <c r="Y1777" s="1363"/>
      <c r="Z1777" s="1363"/>
      <c r="AA1777" s="1363"/>
      <c r="AB1777" s="1363"/>
      <c r="AC1777" s="1363"/>
      <c r="AD1777" s="355"/>
      <c r="AE1777" s="1363">
        <f>-(Y680-AE680)</f>
        <v>-193300000</v>
      </c>
      <c r="AF1777" s="1363"/>
      <c r="AG1777" s="1363"/>
      <c r="AH1777" s="1363"/>
      <c r="AI1777" s="1363"/>
      <c r="AJ1777" s="344"/>
      <c r="AK1777" s="345"/>
      <c r="AL1777" s="340"/>
      <c r="AM1777" s="342" t="s">
        <v>877</v>
      </c>
      <c r="AN1777" s="342"/>
      <c r="AO1777" s="342"/>
      <c r="AP1777" s="342"/>
      <c r="AQ1777" s="342"/>
      <c r="AR1777" s="342"/>
      <c r="AS1777" s="342"/>
      <c r="AT1777" s="342"/>
      <c r="AU1777" s="1363">
        <f>K1777</f>
        <v>961700000</v>
      </c>
      <c r="AV1777" s="1363"/>
      <c r="AW1777" s="1363"/>
      <c r="AX1777" s="1363"/>
      <c r="AY1777" s="1363"/>
      <c r="AZ1777" s="1363"/>
      <c r="BA1777" s="358"/>
      <c r="BB1777" s="1363">
        <f>R1777</f>
        <v>-96700000</v>
      </c>
      <c r="BC1777" s="1363"/>
      <c r="BD1777" s="1363"/>
      <c r="BE1777" s="1363"/>
      <c r="BF1777" s="1363"/>
      <c r="BG1777" s="358"/>
      <c r="BH1777" s="1363">
        <f>X1777</f>
        <v>541800000</v>
      </c>
      <c r="BI1777" s="1363"/>
      <c r="BJ1777" s="1363"/>
      <c r="BK1777" s="1363"/>
      <c r="BL1777" s="1363"/>
      <c r="BM1777" s="1363"/>
      <c r="BN1777" s="355"/>
      <c r="BO1777" s="1318">
        <f>AE1777</f>
        <v>-193300000</v>
      </c>
      <c r="BP1777" s="1318"/>
      <c r="BQ1777" s="1318"/>
      <c r="BR1777" s="1318"/>
      <c r="BS1777" s="1318"/>
      <c r="BT1777" s="359"/>
      <c r="BU1777" s="346"/>
      <c r="BV1777" s="310"/>
      <c r="BW1777" s="310"/>
      <c r="BX1777" s="291">
        <f t="shared" si="132"/>
        <v>0</v>
      </c>
      <c r="BY1777" s="344"/>
      <c r="BZ1777" s="347"/>
      <c r="CA1777" s="347"/>
    </row>
    <row r="1778" spans="1:79" ht="15" customHeight="1" x14ac:dyDescent="0.25">
      <c r="A1778" s="313"/>
      <c r="B1778" s="340"/>
      <c r="C1778" s="342" t="s">
        <v>766</v>
      </c>
      <c r="D1778" s="342"/>
      <c r="E1778" s="342"/>
      <c r="F1778" s="342"/>
      <c r="G1778" s="342"/>
      <c r="H1778" s="342"/>
      <c r="I1778" s="342"/>
      <c r="J1778" s="342"/>
      <c r="K1778" s="1363">
        <f>KN_CT121+KN_CT123</f>
        <v>25815802846</v>
      </c>
      <c r="L1778" s="1363"/>
      <c r="M1778" s="1363"/>
      <c r="N1778" s="1363"/>
      <c r="O1778" s="1363"/>
      <c r="P1778" s="1363"/>
      <c r="Q1778" s="358"/>
      <c r="R1778" s="1363">
        <f>KN_CT122</f>
        <v>0</v>
      </c>
      <c r="S1778" s="1363"/>
      <c r="T1778" s="1363"/>
      <c r="U1778" s="1363"/>
      <c r="V1778" s="1363"/>
      <c r="W1778" s="358"/>
      <c r="X1778" s="1363">
        <f>KT_CT121+KT_CT123</f>
        <v>20000000000</v>
      </c>
      <c r="Y1778" s="1363"/>
      <c r="Z1778" s="1363"/>
      <c r="AA1778" s="1363"/>
      <c r="AB1778" s="1363"/>
      <c r="AC1778" s="1363"/>
      <c r="AD1778" s="355"/>
      <c r="AE1778" s="1363">
        <f>KT_CT122</f>
        <v>0</v>
      </c>
      <c r="AF1778" s="1363"/>
      <c r="AG1778" s="1363"/>
      <c r="AH1778" s="1363"/>
      <c r="AI1778" s="1363"/>
      <c r="AJ1778" s="344"/>
      <c r="AK1778" s="345"/>
      <c r="AL1778" s="340"/>
      <c r="AM1778" s="342" t="s">
        <v>767</v>
      </c>
      <c r="AN1778" s="342"/>
      <c r="AO1778" s="342"/>
      <c r="AP1778" s="342"/>
      <c r="AQ1778" s="342"/>
      <c r="AR1778" s="342"/>
      <c r="AS1778" s="342"/>
      <c r="AT1778" s="342"/>
      <c r="AU1778" s="1363">
        <f>K1778</f>
        <v>25815802846</v>
      </c>
      <c r="AV1778" s="1363"/>
      <c r="AW1778" s="1363"/>
      <c r="AX1778" s="1363"/>
      <c r="AY1778" s="1363"/>
      <c r="AZ1778" s="1363"/>
      <c r="BA1778" s="358"/>
      <c r="BB1778" s="1363">
        <f>R1778</f>
        <v>0</v>
      </c>
      <c r="BC1778" s="1363"/>
      <c r="BD1778" s="1363"/>
      <c r="BE1778" s="1363"/>
      <c r="BF1778" s="1363"/>
      <c r="BG1778" s="358"/>
      <c r="BH1778" s="1363">
        <f>X1778</f>
        <v>20000000000</v>
      </c>
      <c r="BI1778" s="1363"/>
      <c r="BJ1778" s="1363"/>
      <c r="BK1778" s="1363"/>
      <c r="BL1778" s="1363"/>
      <c r="BM1778" s="1363"/>
      <c r="BN1778" s="355"/>
      <c r="BO1778" s="1318">
        <f>AE1778</f>
        <v>0</v>
      </c>
      <c r="BP1778" s="1318"/>
      <c r="BQ1778" s="1318"/>
      <c r="BR1778" s="1318"/>
      <c r="BS1778" s="1318"/>
      <c r="BT1778" s="359"/>
      <c r="BU1778" s="346"/>
      <c r="BV1778" s="310"/>
      <c r="BW1778" s="310"/>
      <c r="BX1778" s="291">
        <f t="shared" si="132"/>
        <v>0</v>
      </c>
      <c r="BY1778" s="344"/>
      <c r="BZ1778" s="347"/>
      <c r="CA1778" s="347"/>
    </row>
    <row r="1779" spans="1:79" ht="15" customHeight="1" x14ac:dyDescent="0.25">
      <c r="A1779" s="313"/>
      <c r="B1779" s="340"/>
      <c r="C1779" s="342" t="s">
        <v>774</v>
      </c>
      <c r="D1779" s="342"/>
      <c r="E1779" s="342"/>
      <c r="F1779" s="342"/>
      <c r="G1779" s="342"/>
      <c r="H1779" s="342"/>
      <c r="I1779" s="342"/>
      <c r="J1779" s="342"/>
      <c r="K1779" s="1363">
        <f>KN_CT253+KN_CT255-KN_1281d</f>
        <v>1300000000</v>
      </c>
      <c r="L1779" s="1363"/>
      <c r="M1779" s="1363"/>
      <c r="N1779" s="1363"/>
      <c r="O1779" s="1363"/>
      <c r="P1779" s="1363"/>
      <c r="Q1779" s="358"/>
      <c r="R1779" s="1363">
        <f>[1]CDKT!$V$79</f>
        <v>-847098046</v>
      </c>
      <c r="S1779" s="1363"/>
      <c r="T1779" s="1363"/>
      <c r="U1779" s="1363"/>
      <c r="V1779" s="1363"/>
      <c r="W1779" s="358"/>
      <c r="X1779" s="1363">
        <f>KT_CT253+KT_CT255-KT_1281d</f>
        <v>1300000000</v>
      </c>
      <c r="Y1779" s="1363"/>
      <c r="Z1779" s="1363"/>
      <c r="AA1779" s="1363"/>
      <c r="AB1779" s="1363"/>
      <c r="AC1779" s="1363"/>
      <c r="AD1779" s="355"/>
      <c r="AE1779" s="1363">
        <f>[1]CDKT!$AD$79</f>
        <v>-847893617</v>
      </c>
      <c r="AF1779" s="1363"/>
      <c r="AG1779" s="1363"/>
      <c r="AH1779" s="1363"/>
      <c r="AI1779" s="1363"/>
      <c r="AJ1779" s="344"/>
      <c r="AK1779" s="345"/>
      <c r="AL1779" s="340"/>
      <c r="AM1779" s="342" t="s">
        <v>775</v>
      </c>
      <c r="AN1779" s="342"/>
      <c r="AO1779" s="342"/>
      <c r="AP1779" s="342"/>
      <c r="AQ1779" s="342"/>
      <c r="AR1779" s="342"/>
      <c r="AS1779" s="342"/>
      <c r="AT1779" s="342"/>
      <c r="AU1779" s="1363">
        <f>K1779</f>
        <v>1300000000</v>
      </c>
      <c r="AV1779" s="1363"/>
      <c r="AW1779" s="1363"/>
      <c r="AX1779" s="1363"/>
      <c r="AY1779" s="1363"/>
      <c r="AZ1779" s="1363"/>
      <c r="BA1779" s="358"/>
      <c r="BB1779" s="1363">
        <f>R1779</f>
        <v>-847098046</v>
      </c>
      <c r="BC1779" s="1363"/>
      <c r="BD1779" s="1363"/>
      <c r="BE1779" s="1363"/>
      <c r="BF1779" s="1363"/>
      <c r="BG1779" s="358"/>
      <c r="BH1779" s="1363">
        <f>X1779</f>
        <v>1300000000</v>
      </c>
      <c r="BI1779" s="1363"/>
      <c r="BJ1779" s="1363"/>
      <c r="BK1779" s="1363"/>
      <c r="BL1779" s="1363"/>
      <c r="BM1779" s="1363"/>
      <c r="BN1779" s="355"/>
      <c r="BO1779" s="1318">
        <f>AE1779</f>
        <v>-847893617</v>
      </c>
      <c r="BP1779" s="1318"/>
      <c r="BQ1779" s="1318"/>
      <c r="BR1779" s="1318"/>
      <c r="BS1779" s="1318"/>
      <c r="BT1779" s="359"/>
      <c r="BU1779" s="346"/>
      <c r="BV1779" s="310"/>
      <c r="BW1779" s="310"/>
      <c r="BX1779" s="291">
        <f t="shared" si="132"/>
        <v>0</v>
      </c>
      <c r="BY1779" s="344"/>
      <c r="BZ1779" s="347"/>
      <c r="CA1779" s="347"/>
    </row>
    <row r="1780" spans="1:79" ht="15" customHeight="1" x14ac:dyDescent="0.25">
      <c r="A1780" s="313"/>
      <c r="B1780" s="340"/>
      <c r="C1780" s="341"/>
      <c r="D1780" s="342"/>
      <c r="E1780" s="342"/>
      <c r="F1780" s="342"/>
      <c r="G1780" s="342"/>
      <c r="H1780" s="342"/>
      <c r="I1780" s="342"/>
      <c r="J1780" s="342"/>
      <c r="K1780" s="1361"/>
      <c r="L1780" s="1361"/>
      <c r="M1780" s="1361"/>
      <c r="N1780" s="1361"/>
      <c r="O1780" s="1361"/>
      <c r="P1780" s="1361"/>
      <c r="Q1780" s="355"/>
      <c r="R1780" s="1361"/>
      <c r="S1780" s="1361"/>
      <c r="T1780" s="1361"/>
      <c r="U1780" s="1361"/>
      <c r="V1780" s="1361"/>
      <c r="W1780" s="355"/>
      <c r="X1780" s="1361"/>
      <c r="Y1780" s="1361"/>
      <c r="Z1780" s="1361"/>
      <c r="AA1780" s="1361"/>
      <c r="AB1780" s="1361"/>
      <c r="AC1780" s="1361"/>
      <c r="AD1780" s="355"/>
      <c r="AE1780" s="1361"/>
      <c r="AF1780" s="1361"/>
      <c r="AG1780" s="1361"/>
      <c r="AH1780" s="1361"/>
      <c r="AI1780" s="1361"/>
      <c r="AJ1780" s="344"/>
      <c r="AK1780" s="345"/>
      <c r="AL1780" s="340"/>
      <c r="AM1780" s="341"/>
      <c r="AN1780" s="342"/>
      <c r="AO1780" s="342"/>
      <c r="AP1780" s="342"/>
      <c r="AQ1780" s="342"/>
      <c r="AR1780" s="342"/>
      <c r="AS1780" s="342"/>
      <c r="AT1780" s="342"/>
      <c r="AU1780" s="1361"/>
      <c r="AV1780" s="1361"/>
      <c r="AW1780" s="1361"/>
      <c r="AX1780" s="1361"/>
      <c r="AY1780" s="1361"/>
      <c r="AZ1780" s="1361"/>
      <c r="BA1780" s="355"/>
      <c r="BB1780" s="1361"/>
      <c r="BC1780" s="1361"/>
      <c r="BD1780" s="1361"/>
      <c r="BE1780" s="1361"/>
      <c r="BF1780" s="1361"/>
      <c r="BG1780" s="355"/>
      <c r="BH1780" s="1361"/>
      <c r="BI1780" s="1361"/>
      <c r="BJ1780" s="1361"/>
      <c r="BK1780" s="1361"/>
      <c r="BL1780" s="1361"/>
      <c r="BM1780" s="1361"/>
      <c r="BN1780" s="355"/>
      <c r="BO1780" s="1361"/>
      <c r="BP1780" s="1361"/>
      <c r="BQ1780" s="1361"/>
      <c r="BR1780" s="1361"/>
      <c r="BS1780" s="1361"/>
      <c r="BT1780" s="359"/>
      <c r="BU1780" s="346"/>
      <c r="BV1780" s="310"/>
      <c r="BW1780" s="310"/>
      <c r="BX1780" s="291">
        <f t="shared" si="132"/>
        <v>0</v>
      </c>
      <c r="BY1780" s="344"/>
      <c r="BZ1780" s="347"/>
      <c r="CA1780" s="347"/>
    </row>
    <row r="1781" spans="1:79" ht="15" customHeight="1" thickBot="1" x14ac:dyDescent="0.3">
      <c r="A1781" s="313"/>
      <c r="B1781" s="340"/>
      <c r="C1781" s="360" t="s">
        <v>752</v>
      </c>
      <c r="D1781" s="340"/>
      <c r="E1781" s="340"/>
      <c r="F1781" s="340"/>
      <c r="G1781" s="340"/>
      <c r="H1781" s="340"/>
      <c r="I1781" s="340"/>
      <c r="J1781" s="340"/>
      <c r="K1781" s="1359">
        <f>SUBTOTAL(109,K1774:P1780)</f>
        <v>35353325518</v>
      </c>
      <c r="L1781" s="1359"/>
      <c r="M1781" s="1359"/>
      <c r="N1781" s="1359"/>
      <c r="O1781" s="1359"/>
      <c r="P1781" s="1359"/>
      <c r="Q1781" s="363"/>
      <c r="R1781" s="1362">
        <f>SUBTOTAL(109,R1774:V1780)</f>
        <v>-3258032496</v>
      </c>
      <c r="S1781" s="1362"/>
      <c r="T1781" s="1362"/>
      <c r="U1781" s="1362"/>
      <c r="V1781" s="1362"/>
      <c r="W1781" s="363"/>
      <c r="X1781" s="1359">
        <f>SUBTOTAL(109,X1774:AC1780)</f>
        <v>30938072445</v>
      </c>
      <c r="Y1781" s="1359"/>
      <c r="Z1781" s="1359"/>
      <c r="AA1781" s="1359"/>
      <c r="AB1781" s="1359"/>
      <c r="AC1781" s="1359"/>
      <c r="AD1781" s="363"/>
      <c r="AE1781" s="1362">
        <f>SUBTOTAL(109,AE1774:AI1780)</f>
        <v>-4603122225</v>
      </c>
      <c r="AF1781" s="1362"/>
      <c r="AG1781" s="1362"/>
      <c r="AH1781" s="1362"/>
      <c r="AI1781" s="1362"/>
      <c r="AJ1781" s="344"/>
      <c r="AK1781" s="345"/>
      <c r="AL1781" s="340"/>
      <c r="AM1781" s="360" t="s">
        <v>753</v>
      </c>
      <c r="AN1781" s="340"/>
      <c r="AO1781" s="340"/>
      <c r="AP1781" s="340"/>
      <c r="AQ1781" s="340"/>
      <c r="AR1781" s="340"/>
      <c r="AS1781" s="340"/>
      <c r="AT1781" s="340"/>
      <c r="AU1781" s="1359">
        <f>SUBTOTAL(109,AU1774:AZ1780)</f>
        <v>35353325518</v>
      </c>
      <c r="AV1781" s="1359"/>
      <c r="AW1781" s="1359"/>
      <c r="AX1781" s="1359"/>
      <c r="AY1781" s="1359"/>
      <c r="AZ1781" s="1359"/>
      <c r="BA1781" s="363"/>
      <c r="BB1781" s="1362">
        <f>SUBTOTAL(109,BB1774:BF1780)</f>
        <v>-3258032496</v>
      </c>
      <c r="BC1781" s="1362"/>
      <c r="BD1781" s="1362"/>
      <c r="BE1781" s="1362"/>
      <c r="BF1781" s="1362"/>
      <c r="BG1781" s="363"/>
      <c r="BH1781" s="1359">
        <f>SUBTOTAL(109,BH1774:BM1780)</f>
        <v>30938072445</v>
      </c>
      <c r="BI1781" s="1359"/>
      <c r="BJ1781" s="1359"/>
      <c r="BK1781" s="1359"/>
      <c r="BL1781" s="1359"/>
      <c r="BM1781" s="1359"/>
      <c r="BN1781" s="363"/>
      <c r="BO1781" s="1362">
        <f>SUBTOTAL(109,BO1774:BS1780)</f>
        <v>-4603122225</v>
      </c>
      <c r="BP1781" s="1362"/>
      <c r="BQ1781" s="1362"/>
      <c r="BR1781" s="1362"/>
      <c r="BS1781" s="1362"/>
      <c r="BT1781" s="361"/>
      <c r="BU1781" s="362"/>
      <c r="BV1781" s="310"/>
      <c r="BW1781" s="310"/>
      <c r="BX1781" s="291">
        <f t="shared" si="132"/>
        <v>0</v>
      </c>
      <c r="BY1781" s="344"/>
      <c r="BZ1781" s="347"/>
      <c r="CA1781" s="347"/>
    </row>
    <row r="1782" spans="1:79" ht="15" customHeight="1" thickTop="1" x14ac:dyDescent="0.25">
      <c r="A1782" s="313"/>
      <c r="B1782" s="340"/>
      <c r="C1782" s="340"/>
      <c r="D1782" s="340"/>
      <c r="E1782" s="340"/>
      <c r="F1782" s="340"/>
      <c r="G1782" s="340"/>
      <c r="H1782" s="340"/>
      <c r="I1782" s="340"/>
      <c r="J1782" s="340"/>
      <c r="K1782" s="340"/>
      <c r="L1782" s="340"/>
      <c r="M1782" s="340"/>
      <c r="N1782" s="340"/>
      <c r="O1782" s="340"/>
      <c r="P1782" s="340"/>
      <c r="Q1782" s="340"/>
      <c r="R1782" s="340"/>
      <c r="S1782" s="340"/>
      <c r="T1782" s="340"/>
      <c r="U1782" s="342"/>
      <c r="V1782" s="342"/>
      <c r="W1782" s="1330"/>
      <c r="X1782" s="1330"/>
      <c r="Y1782" s="1330"/>
      <c r="Z1782" s="1330"/>
      <c r="AA1782" s="1330"/>
      <c r="AB1782" s="1330"/>
      <c r="AC1782" s="355"/>
      <c r="AD1782" s="1330"/>
      <c r="AE1782" s="1330"/>
      <c r="AF1782" s="1330"/>
      <c r="AG1782" s="1330"/>
      <c r="AH1782" s="1330"/>
      <c r="AI1782" s="1330"/>
      <c r="AJ1782" s="344"/>
      <c r="AK1782" s="345"/>
      <c r="AL1782" s="340"/>
      <c r="AM1782" s="340"/>
      <c r="AN1782" s="340"/>
      <c r="AO1782" s="340"/>
      <c r="AP1782" s="340"/>
      <c r="AQ1782" s="340"/>
      <c r="AR1782" s="340"/>
      <c r="AS1782" s="340"/>
      <c r="AT1782" s="340"/>
      <c r="AU1782" s="340"/>
      <c r="AV1782" s="340"/>
      <c r="AW1782" s="340"/>
      <c r="AX1782" s="340"/>
      <c r="AY1782" s="340"/>
      <c r="AZ1782" s="340"/>
      <c r="BA1782" s="340"/>
      <c r="BB1782" s="340"/>
      <c r="BC1782" s="340"/>
      <c r="BD1782" s="340"/>
      <c r="BE1782" s="342"/>
      <c r="BF1782" s="342"/>
      <c r="BG1782" s="1330"/>
      <c r="BH1782" s="1330"/>
      <c r="BI1782" s="1330"/>
      <c r="BJ1782" s="1330"/>
      <c r="BK1782" s="1330"/>
      <c r="BL1782" s="1330"/>
      <c r="BM1782" s="355"/>
      <c r="BN1782" s="1330"/>
      <c r="BO1782" s="1330"/>
      <c r="BP1782" s="1330"/>
      <c r="BQ1782" s="1330"/>
      <c r="BR1782" s="1330"/>
      <c r="BS1782" s="1330"/>
      <c r="BT1782" s="361"/>
      <c r="BU1782" s="362"/>
      <c r="BV1782" s="310"/>
      <c r="BW1782" s="310"/>
      <c r="BX1782" s="291">
        <f t="shared" si="132"/>
        <v>0</v>
      </c>
      <c r="BY1782" s="344"/>
      <c r="BZ1782" s="347"/>
      <c r="CA1782" s="347"/>
    </row>
    <row r="1783" spans="1:79" ht="15" customHeight="1" x14ac:dyDescent="0.25">
      <c r="A1783" s="313"/>
      <c r="B1783" s="340"/>
      <c r="C1783" s="340"/>
      <c r="D1783" s="340"/>
      <c r="E1783" s="340"/>
      <c r="F1783" s="340"/>
      <c r="G1783" s="340"/>
      <c r="H1783" s="340"/>
      <c r="I1783" s="340"/>
      <c r="J1783" s="340"/>
      <c r="K1783" s="340"/>
      <c r="L1783" s="340"/>
      <c r="M1783" s="340"/>
      <c r="N1783" s="340"/>
      <c r="O1783" s="340"/>
      <c r="P1783" s="340"/>
      <c r="Q1783" s="340"/>
      <c r="R1783" s="340"/>
      <c r="S1783" s="340"/>
      <c r="T1783" s="340"/>
      <c r="U1783" s="342"/>
      <c r="V1783" s="342"/>
      <c r="W1783" s="1360" t="s">
        <v>1807</v>
      </c>
      <c r="X1783" s="1360"/>
      <c r="Y1783" s="1360"/>
      <c r="Z1783" s="1360"/>
      <c r="AA1783" s="1360"/>
      <c r="AB1783" s="1360"/>
      <c r="AC1783" s="1360"/>
      <c r="AD1783" s="1360"/>
      <c r="AE1783" s="1360"/>
      <c r="AF1783" s="1360"/>
      <c r="AG1783" s="1360"/>
      <c r="AH1783" s="1360"/>
      <c r="AI1783" s="1360"/>
      <c r="AJ1783" s="344"/>
      <c r="AK1783" s="345"/>
      <c r="AL1783" s="340"/>
      <c r="AM1783" s="340"/>
      <c r="AN1783" s="340"/>
      <c r="AO1783" s="340"/>
      <c r="AP1783" s="340"/>
      <c r="AQ1783" s="340"/>
      <c r="AR1783" s="340"/>
      <c r="AS1783" s="340"/>
      <c r="AT1783" s="340"/>
      <c r="AU1783" s="340"/>
      <c r="AV1783" s="340"/>
      <c r="AW1783" s="340"/>
      <c r="AX1783" s="340"/>
      <c r="AY1783" s="340"/>
      <c r="AZ1783" s="340"/>
      <c r="BA1783" s="340"/>
      <c r="BB1783" s="340"/>
      <c r="BC1783" s="340"/>
      <c r="BD1783" s="340"/>
      <c r="BE1783" s="342"/>
      <c r="BF1783" s="342"/>
      <c r="BG1783" s="1360" t="s">
        <v>1808</v>
      </c>
      <c r="BH1783" s="1360"/>
      <c r="BI1783" s="1360"/>
      <c r="BJ1783" s="1360"/>
      <c r="BK1783" s="1360"/>
      <c r="BL1783" s="1360"/>
      <c r="BM1783" s="1360"/>
      <c r="BN1783" s="1360"/>
      <c r="BO1783" s="1360"/>
      <c r="BP1783" s="1360"/>
      <c r="BQ1783" s="1360"/>
      <c r="BR1783" s="1360"/>
      <c r="BS1783" s="1360"/>
      <c r="BT1783" s="361"/>
      <c r="BU1783" s="362"/>
      <c r="BV1783" s="310"/>
      <c r="BW1783" s="310"/>
      <c r="BX1783" s="291">
        <f t="shared" si="132"/>
        <v>0</v>
      </c>
      <c r="BY1783" s="344"/>
      <c r="BZ1783" s="347"/>
      <c r="CA1783" s="347"/>
    </row>
    <row r="1784" spans="1:79" ht="15" customHeight="1" x14ac:dyDescent="0.25">
      <c r="A1784" s="313"/>
      <c r="B1784" s="340"/>
      <c r="C1784" s="392"/>
      <c r="D1784" s="392"/>
      <c r="E1784" s="392"/>
      <c r="F1784" s="392"/>
      <c r="G1784" s="392"/>
      <c r="H1784" s="392"/>
      <c r="I1784" s="392"/>
      <c r="J1784" s="392"/>
      <c r="K1784" s="392"/>
      <c r="L1784" s="392"/>
      <c r="M1784" s="392"/>
      <c r="N1784" s="392"/>
      <c r="O1784" s="392"/>
      <c r="P1784" s="392"/>
      <c r="Q1784" s="392"/>
      <c r="R1784" s="392"/>
      <c r="S1784" s="392"/>
      <c r="T1784" s="392"/>
      <c r="U1784" s="392"/>
      <c r="V1784" s="392"/>
      <c r="W1784" s="1325" t="str">
        <f>Ky_Nay1_V</f>
        <v>31/12/2017</v>
      </c>
      <c r="X1784" s="1325"/>
      <c r="Y1784" s="1325"/>
      <c r="Z1784" s="1325"/>
      <c r="AA1784" s="1325"/>
      <c r="AB1784" s="1325"/>
      <c r="AC1784" s="351"/>
      <c r="AD1784" s="1325" t="str">
        <f>Ky_Truoc1_V</f>
        <v>01/01/2017</v>
      </c>
      <c r="AE1784" s="1325"/>
      <c r="AF1784" s="1325"/>
      <c r="AG1784" s="1325"/>
      <c r="AH1784" s="1325"/>
      <c r="AI1784" s="1325"/>
      <c r="AJ1784" s="344"/>
      <c r="AK1784" s="345"/>
      <c r="AL1784" s="340"/>
      <c r="AM1784" s="392"/>
      <c r="AN1784" s="392"/>
      <c r="AO1784" s="392"/>
      <c r="AP1784" s="392"/>
      <c r="AQ1784" s="392"/>
      <c r="AR1784" s="392"/>
      <c r="AS1784" s="392"/>
      <c r="AT1784" s="392"/>
      <c r="AU1784" s="392"/>
      <c r="AV1784" s="392"/>
      <c r="AW1784" s="392"/>
      <c r="AX1784" s="392"/>
      <c r="AY1784" s="392"/>
      <c r="AZ1784" s="392"/>
      <c r="BA1784" s="392"/>
      <c r="BB1784" s="392"/>
      <c r="BC1784" s="392"/>
      <c r="BD1784" s="392"/>
      <c r="BE1784" s="392"/>
      <c r="BF1784" s="392"/>
      <c r="BG1784" s="1325" t="str">
        <f>Ky_Nay1_E</f>
        <v>31/12/2017</v>
      </c>
      <c r="BH1784" s="1325"/>
      <c r="BI1784" s="1325"/>
      <c r="BJ1784" s="1325"/>
      <c r="BK1784" s="1325"/>
      <c r="BL1784" s="1325"/>
      <c r="BM1784" s="351"/>
      <c r="BN1784" s="1325" t="str">
        <f>Ky_Truoc1_E</f>
        <v>01/01/2017</v>
      </c>
      <c r="BO1784" s="1325"/>
      <c r="BP1784" s="1325"/>
      <c r="BQ1784" s="1325"/>
      <c r="BR1784" s="1325"/>
      <c r="BS1784" s="1325"/>
      <c r="BT1784" s="352"/>
      <c r="BU1784" s="353"/>
      <c r="BV1784" s="310"/>
      <c r="BW1784" s="310"/>
      <c r="BX1784" s="291">
        <f t="shared" si="132"/>
        <v>0</v>
      </c>
      <c r="BY1784" s="344"/>
      <c r="BZ1784" s="347"/>
      <c r="CA1784" s="347"/>
    </row>
    <row r="1785" spans="1:79" ht="15" customHeight="1" x14ac:dyDescent="0.25">
      <c r="A1785" s="313"/>
      <c r="B1785" s="340"/>
      <c r="C1785" s="392"/>
      <c r="D1785" s="392"/>
      <c r="E1785" s="392"/>
      <c r="F1785" s="392"/>
      <c r="G1785" s="392"/>
      <c r="H1785" s="392"/>
      <c r="I1785" s="392"/>
      <c r="J1785" s="392"/>
      <c r="K1785" s="392"/>
      <c r="L1785" s="392"/>
      <c r="M1785" s="392"/>
      <c r="N1785" s="392"/>
      <c r="O1785" s="392"/>
      <c r="P1785" s="392"/>
      <c r="Q1785" s="392"/>
      <c r="R1785" s="392"/>
      <c r="S1785" s="392"/>
      <c r="T1785" s="392"/>
      <c r="U1785" s="392"/>
      <c r="V1785" s="392"/>
      <c r="W1785" s="1327" t="str">
        <f>Don_Vi_Tinh_V</f>
        <v>VND</v>
      </c>
      <c r="X1785" s="1327"/>
      <c r="Y1785" s="1327"/>
      <c r="Z1785" s="1327"/>
      <c r="AA1785" s="1327"/>
      <c r="AB1785" s="1327"/>
      <c r="AC1785" s="351"/>
      <c r="AD1785" s="1327" t="str">
        <f>Don_Vi_Tinh_V</f>
        <v>VND</v>
      </c>
      <c r="AE1785" s="1327"/>
      <c r="AF1785" s="1327"/>
      <c r="AG1785" s="1327"/>
      <c r="AH1785" s="1327"/>
      <c r="AI1785" s="1327"/>
      <c r="AJ1785" s="344"/>
      <c r="AK1785" s="345"/>
      <c r="AL1785" s="340"/>
      <c r="AM1785" s="392"/>
      <c r="AN1785" s="392"/>
      <c r="AO1785" s="392"/>
      <c r="AP1785" s="392"/>
      <c r="AQ1785" s="392"/>
      <c r="AR1785" s="392"/>
      <c r="AS1785" s="392"/>
      <c r="AT1785" s="392"/>
      <c r="AU1785" s="392"/>
      <c r="AV1785" s="392"/>
      <c r="AW1785" s="392"/>
      <c r="AX1785" s="392"/>
      <c r="AY1785" s="392"/>
      <c r="AZ1785" s="392"/>
      <c r="BA1785" s="392"/>
      <c r="BB1785" s="392"/>
      <c r="BC1785" s="392"/>
      <c r="BD1785" s="392"/>
      <c r="BE1785" s="392"/>
      <c r="BF1785" s="392"/>
      <c r="BG1785" s="1327" t="str">
        <f>Don_Vi_Tinh_E</f>
        <v>VND</v>
      </c>
      <c r="BH1785" s="1327"/>
      <c r="BI1785" s="1327"/>
      <c r="BJ1785" s="1327"/>
      <c r="BK1785" s="1327"/>
      <c r="BL1785" s="1327"/>
      <c r="BM1785" s="351"/>
      <c r="BN1785" s="1327" t="str">
        <f>Don_Vi_Tinh_E</f>
        <v>VND</v>
      </c>
      <c r="BO1785" s="1327"/>
      <c r="BP1785" s="1327"/>
      <c r="BQ1785" s="1327"/>
      <c r="BR1785" s="1327"/>
      <c r="BS1785" s="1327"/>
      <c r="BT1785" s="352"/>
      <c r="BU1785" s="353"/>
      <c r="BV1785" s="310"/>
      <c r="BW1785" s="310"/>
      <c r="BX1785" s="291">
        <f t="shared" si="132"/>
        <v>0</v>
      </c>
      <c r="BY1785" s="344"/>
      <c r="BZ1785" s="347"/>
      <c r="CA1785" s="347"/>
    </row>
    <row r="1786" spans="1:79" ht="15" customHeight="1" x14ac:dyDescent="0.25">
      <c r="A1786" s="313"/>
      <c r="B1786" s="340"/>
      <c r="C1786" s="471" t="s">
        <v>400</v>
      </c>
      <c r="D1786" s="392"/>
      <c r="E1786" s="392"/>
      <c r="F1786" s="392"/>
      <c r="G1786" s="392"/>
      <c r="H1786" s="392"/>
      <c r="I1786" s="392"/>
      <c r="J1786" s="392"/>
      <c r="K1786" s="392"/>
      <c r="L1786" s="392"/>
      <c r="M1786" s="392"/>
      <c r="N1786" s="392"/>
      <c r="O1786" s="392"/>
      <c r="P1786" s="392"/>
      <c r="Q1786" s="392"/>
      <c r="R1786" s="392"/>
      <c r="S1786" s="392"/>
      <c r="T1786" s="392"/>
      <c r="U1786" s="392"/>
      <c r="V1786" s="392"/>
      <c r="W1786" s="660"/>
      <c r="X1786" s="660"/>
      <c r="Y1786" s="660"/>
      <c r="Z1786" s="660"/>
      <c r="AA1786" s="660"/>
      <c r="AB1786" s="660"/>
      <c r="AC1786" s="437"/>
      <c r="AD1786" s="660"/>
      <c r="AE1786" s="660"/>
      <c r="AF1786" s="660"/>
      <c r="AG1786" s="660"/>
      <c r="AH1786" s="660"/>
      <c r="AI1786" s="660"/>
      <c r="AJ1786" s="344"/>
      <c r="AK1786" s="345"/>
      <c r="AL1786" s="340"/>
      <c r="AM1786" s="471" t="s">
        <v>1815</v>
      </c>
      <c r="AN1786" s="392"/>
      <c r="AO1786" s="392"/>
      <c r="AP1786" s="392"/>
      <c r="AQ1786" s="392"/>
      <c r="AR1786" s="392"/>
      <c r="AS1786" s="392"/>
      <c r="AT1786" s="392"/>
      <c r="AU1786" s="392"/>
      <c r="AV1786" s="392"/>
      <c r="AW1786" s="392"/>
      <c r="AX1786" s="392"/>
      <c r="AY1786" s="392"/>
      <c r="AZ1786" s="392"/>
      <c r="BA1786" s="392"/>
      <c r="BB1786" s="392"/>
      <c r="BC1786" s="392"/>
      <c r="BD1786" s="392"/>
      <c r="BE1786" s="392"/>
      <c r="BF1786" s="392"/>
      <c r="BG1786" s="660"/>
      <c r="BH1786" s="660"/>
      <c r="BI1786" s="660"/>
      <c r="BJ1786" s="660"/>
      <c r="BK1786" s="660"/>
      <c r="BL1786" s="660"/>
      <c r="BM1786" s="437"/>
      <c r="BN1786" s="660"/>
      <c r="BO1786" s="660"/>
      <c r="BP1786" s="660"/>
      <c r="BQ1786" s="660"/>
      <c r="BR1786" s="660"/>
      <c r="BS1786" s="660"/>
      <c r="BT1786" s="352"/>
      <c r="BU1786" s="353"/>
      <c r="BV1786" s="310"/>
      <c r="BW1786" s="310"/>
      <c r="BX1786" s="291">
        <f t="shared" si="132"/>
        <v>0</v>
      </c>
      <c r="BY1786" s="344"/>
      <c r="BZ1786" s="347"/>
      <c r="CA1786" s="347"/>
    </row>
    <row r="1787" spans="1:79" ht="15" customHeight="1" x14ac:dyDescent="0.25">
      <c r="A1787" s="313"/>
      <c r="B1787" s="340"/>
      <c r="C1787" s="354" t="s">
        <v>1816</v>
      </c>
      <c r="D1787" s="340"/>
      <c r="E1787" s="340"/>
      <c r="F1787" s="340"/>
      <c r="G1787" s="340"/>
      <c r="H1787" s="340"/>
      <c r="I1787" s="340"/>
      <c r="J1787" s="340"/>
      <c r="K1787" s="340"/>
      <c r="L1787" s="340"/>
      <c r="M1787" s="340"/>
      <c r="N1787" s="340"/>
      <c r="O1787" s="340"/>
      <c r="P1787" s="340"/>
      <c r="Q1787" s="340"/>
      <c r="R1787" s="340"/>
      <c r="S1787" s="340"/>
      <c r="T1787" s="340"/>
      <c r="U1787" s="342"/>
      <c r="V1787" s="342"/>
      <c r="W1787" s="1318">
        <f>KN_CT320+KN_CT338</f>
        <v>1074476402</v>
      </c>
      <c r="X1787" s="1318"/>
      <c r="Y1787" s="1318"/>
      <c r="Z1787" s="1318"/>
      <c r="AA1787" s="1318"/>
      <c r="AB1787" s="1318"/>
      <c r="AC1787" s="355"/>
      <c r="AD1787" s="1318">
        <f>KT_CT320+KT_CT338</f>
        <v>2627000000</v>
      </c>
      <c r="AE1787" s="1318"/>
      <c r="AF1787" s="1318"/>
      <c r="AG1787" s="1318"/>
      <c r="AH1787" s="1318"/>
      <c r="AI1787" s="1318"/>
      <c r="AJ1787" s="344"/>
      <c r="AK1787" s="345"/>
      <c r="AL1787" s="340"/>
      <c r="AM1787" s="354" t="s">
        <v>1817</v>
      </c>
      <c r="AN1787" s="340"/>
      <c r="AO1787" s="340"/>
      <c r="AP1787" s="340"/>
      <c r="AQ1787" s="340"/>
      <c r="AR1787" s="340"/>
      <c r="AS1787" s="340"/>
      <c r="AT1787" s="340"/>
      <c r="AU1787" s="340"/>
      <c r="AV1787" s="340"/>
      <c r="AW1787" s="340"/>
      <c r="AX1787" s="340"/>
      <c r="AY1787" s="340"/>
      <c r="AZ1787" s="340"/>
      <c r="BA1787" s="340"/>
      <c r="BB1787" s="340"/>
      <c r="BC1787" s="340"/>
      <c r="BD1787" s="340"/>
      <c r="BE1787" s="342"/>
      <c r="BF1787" s="342"/>
      <c r="BG1787" s="1318">
        <f>W1787</f>
        <v>1074476402</v>
      </c>
      <c r="BH1787" s="1318"/>
      <c r="BI1787" s="1318"/>
      <c r="BJ1787" s="1318"/>
      <c r="BK1787" s="1318"/>
      <c r="BL1787" s="1318"/>
      <c r="BM1787" s="355"/>
      <c r="BN1787" s="1318">
        <f>AD1787</f>
        <v>2627000000</v>
      </c>
      <c r="BO1787" s="1318"/>
      <c r="BP1787" s="1318"/>
      <c r="BQ1787" s="1318"/>
      <c r="BR1787" s="1318"/>
      <c r="BS1787" s="1318"/>
      <c r="BT1787" s="356"/>
      <c r="BU1787" s="357"/>
      <c r="BV1787" s="310"/>
      <c r="BW1787" s="310"/>
      <c r="BX1787" s="291">
        <f t="shared" si="132"/>
        <v>0</v>
      </c>
      <c r="BY1787" s="344"/>
      <c r="BZ1787" s="347"/>
      <c r="CA1787" s="347"/>
    </row>
    <row r="1788" spans="1:79" ht="15" customHeight="1" x14ac:dyDescent="0.25">
      <c r="A1788" s="313"/>
      <c r="B1788" s="340"/>
      <c r="C1788" s="342" t="s">
        <v>1818</v>
      </c>
      <c r="D1788" s="342"/>
      <c r="E1788" s="342"/>
      <c r="F1788" s="342"/>
      <c r="G1788" s="342"/>
      <c r="H1788" s="342"/>
      <c r="I1788" s="342"/>
      <c r="J1788" s="342"/>
      <c r="K1788" s="342"/>
      <c r="L1788" s="342"/>
      <c r="M1788" s="342"/>
      <c r="N1788" s="342"/>
      <c r="O1788" s="342"/>
      <c r="P1788" s="342"/>
      <c r="Q1788" s="342"/>
      <c r="R1788" s="342"/>
      <c r="S1788" s="342"/>
      <c r="T1788" s="342"/>
      <c r="U1788" s="342"/>
      <c r="V1788" s="342"/>
      <c r="W1788" s="1318">
        <f>KN_CT311+KN_CT319+KN_CT331+KN_CT337</f>
        <v>4469485959</v>
      </c>
      <c r="X1788" s="1318"/>
      <c r="Y1788" s="1318"/>
      <c r="Z1788" s="1318"/>
      <c r="AA1788" s="1318"/>
      <c r="AB1788" s="1318"/>
      <c r="AC1788" s="355"/>
      <c r="AD1788" s="1318">
        <f>KT_CT311+KT_CT319+KT_CT331+KT_CT337</f>
        <v>2438539993</v>
      </c>
      <c r="AE1788" s="1318"/>
      <c r="AF1788" s="1318"/>
      <c r="AG1788" s="1318"/>
      <c r="AH1788" s="1318"/>
      <c r="AI1788" s="1318"/>
      <c r="AJ1788" s="344"/>
      <c r="AK1788" s="345"/>
      <c r="AL1788" s="340"/>
      <c r="AM1788" s="342" t="s">
        <v>1819</v>
      </c>
      <c r="AN1788" s="342"/>
      <c r="AO1788" s="342"/>
      <c r="AP1788" s="342"/>
      <c r="AQ1788" s="342"/>
      <c r="AR1788" s="342"/>
      <c r="AS1788" s="342"/>
      <c r="AT1788" s="342"/>
      <c r="AU1788" s="342"/>
      <c r="AV1788" s="342"/>
      <c r="AW1788" s="342"/>
      <c r="AX1788" s="342"/>
      <c r="AY1788" s="342"/>
      <c r="AZ1788" s="342"/>
      <c r="BA1788" s="342"/>
      <c r="BB1788" s="342"/>
      <c r="BC1788" s="342"/>
      <c r="BD1788" s="342"/>
      <c r="BE1788" s="342"/>
      <c r="BF1788" s="342"/>
      <c r="BG1788" s="1318">
        <f>W1788</f>
        <v>4469485959</v>
      </c>
      <c r="BH1788" s="1318"/>
      <c r="BI1788" s="1318"/>
      <c r="BJ1788" s="1318"/>
      <c r="BK1788" s="1318"/>
      <c r="BL1788" s="1318"/>
      <c r="BM1788" s="355"/>
      <c r="BN1788" s="1318">
        <f>AD1788</f>
        <v>2438539993</v>
      </c>
      <c r="BO1788" s="1318"/>
      <c r="BP1788" s="1318"/>
      <c r="BQ1788" s="1318"/>
      <c r="BR1788" s="1318"/>
      <c r="BS1788" s="1318"/>
      <c r="BT1788" s="359"/>
      <c r="BU1788" s="346"/>
      <c r="BV1788" s="310"/>
      <c r="BW1788" s="310"/>
      <c r="BX1788" s="291">
        <f t="shared" si="132"/>
        <v>0</v>
      </c>
      <c r="BY1788" s="344"/>
      <c r="BZ1788" s="347"/>
      <c r="CA1788" s="347"/>
    </row>
    <row r="1789" spans="1:79" ht="15" customHeight="1" x14ac:dyDescent="0.25">
      <c r="A1789" s="313"/>
      <c r="B1789" s="340"/>
      <c r="C1789" s="342" t="s">
        <v>1820</v>
      </c>
      <c r="D1789" s="342"/>
      <c r="E1789" s="342"/>
      <c r="F1789" s="342"/>
      <c r="G1789" s="342"/>
      <c r="H1789" s="342"/>
      <c r="I1789" s="342"/>
      <c r="J1789" s="342"/>
      <c r="K1789" s="342"/>
      <c r="L1789" s="342"/>
      <c r="M1789" s="342"/>
      <c r="N1789" s="342"/>
      <c r="O1789" s="342"/>
      <c r="P1789" s="342"/>
      <c r="Q1789" s="342"/>
      <c r="R1789" s="342"/>
      <c r="S1789" s="342"/>
      <c r="T1789" s="342"/>
      <c r="U1789" s="342"/>
      <c r="V1789" s="342"/>
      <c r="W1789" s="1318">
        <f>KN_CT315+KN_CT333</f>
        <v>125537580</v>
      </c>
      <c r="X1789" s="1318"/>
      <c r="Y1789" s="1318"/>
      <c r="Z1789" s="1318"/>
      <c r="AA1789" s="1318"/>
      <c r="AB1789" s="1318"/>
      <c r="AC1789" s="355"/>
      <c r="AD1789" s="1318">
        <f>KT_CT315+KT_CT333</f>
        <v>93606333</v>
      </c>
      <c r="AE1789" s="1318"/>
      <c r="AF1789" s="1318"/>
      <c r="AG1789" s="1318"/>
      <c r="AH1789" s="1318"/>
      <c r="AI1789" s="1318"/>
      <c r="AJ1789" s="344"/>
      <c r="AK1789" s="345"/>
      <c r="AL1789" s="340"/>
      <c r="AM1789" s="342" t="s">
        <v>1821</v>
      </c>
      <c r="AN1789" s="342"/>
      <c r="AO1789" s="342"/>
      <c r="AP1789" s="342"/>
      <c r="AQ1789" s="342"/>
      <c r="AR1789" s="342"/>
      <c r="AS1789" s="342"/>
      <c r="AT1789" s="342"/>
      <c r="AU1789" s="342"/>
      <c r="AV1789" s="342"/>
      <c r="AW1789" s="342"/>
      <c r="AX1789" s="342"/>
      <c r="AY1789" s="342"/>
      <c r="AZ1789" s="342"/>
      <c r="BA1789" s="342"/>
      <c r="BB1789" s="342"/>
      <c r="BC1789" s="342"/>
      <c r="BD1789" s="342"/>
      <c r="BE1789" s="342"/>
      <c r="BF1789" s="342"/>
      <c r="BG1789" s="1318">
        <f>W1789</f>
        <v>125537580</v>
      </c>
      <c r="BH1789" s="1318"/>
      <c r="BI1789" s="1318"/>
      <c r="BJ1789" s="1318"/>
      <c r="BK1789" s="1318"/>
      <c r="BL1789" s="1318"/>
      <c r="BM1789" s="355"/>
      <c r="BN1789" s="1318">
        <f>AD1789</f>
        <v>93606333</v>
      </c>
      <c r="BO1789" s="1318"/>
      <c r="BP1789" s="1318"/>
      <c r="BQ1789" s="1318"/>
      <c r="BR1789" s="1318"/>
      <c r="BS1789" s="1318"/>
      <c r="BT1789" s="359"/>
      <c r="BU1789" s="346"/>
      <c r="BV1789" s="310"/>
      <c r="BW1789" s="310"/>
      <c r="BX1789" s="291">
        <f t="shared" si="132"/>
        <v>0</v>
      </c>
      <c r="BY1789" s="344"/>
      <c r="BZ1789" s="347"/>
      <c r="CA1789" s="347"/>
    </row>
    <row r="1790" spans="1:79" ht="14.1" customHeight="1" x14ac:dyDescent="0.25">
      <c r="A1790" s="313"/>
      <c r="B1790" s="340"/>
      <c r="C1790" s="342"/>
      <c r="D1790" s="342"/>
      <c r="E1790" s="342"/>
      <c r="F1790" s="342"/>
      <c r="G1790" s="342"/>
      <c r="H1790" s="342"/>
      <c r="I1790" s="342"/>
      <c r="J1790" s="342"/>
      <c r="K1790" s="342"/>
      <c r="L1790" s="342"/>
      <c r="M1790" s="342"/>
      <c r="N1790" s="342"/>
      <c r="O1790" s="342"/>
      <c r="P1790" s="342"/>
      <c r="Q1790" s="342"/>
      <c r="R1790" s="342"/>
      <c r="S1790" s="342"/>
      <c r="T1790" s="342"/>
      <c r="U1790" s="342"/>
      <c r="V1790" s="342"/>
      <c r="W1790" s="355"/>
      <c r="X1790" s="355"/>
      <c r="Y1790" s="355"/>
      <c r="Z1790" s="355"/>
      <c r="AA1790" s="355"/>
      <c r="AB1790" s="355"/>
      <c r="AC1790" s="355"/>
      <c r="AD1790" s="355"/>
      <c r="AE1790" s="355"/>
      <c r="AF1790" s="355"/>
      <c r="AG1790" s="355"/>
      <c r="AH1790" s="355"/>
      <c r="AI1790" s="355"/>
      <c r="AJ1790" s="344"/>
      <c r="AK1790" s="345"/>
      <c r="AL1790" s="340"/>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55"/>
      <c r="BH1790" s="355"/>
      <c r="BI1790" s="355"/>
      <c r="BJ1790" s="355"/>
      <c r="BK1790" s="355"/>
      <c r="BL1790" s="355"/>
      <c r="BM1790" s="355"/>
      <c r="BN1790" s="355"/>
      <c r="BO1790" s="355"/>
      <c r="BP1790" s="355"/>
      <c r="BQ1790" s="355"/>
      <c r="BR1790" s="355"/>
      <c r="BS1790" s="355"/>
      <c r="BT1790" s="359"/>
      <c r="BU1790" s="346"/>
      <c r="BV1790" s="310"/>
      <c r="BW1790" s="310"/>
      <c r="BX1790" s="291">
        <f t="shared" si="132"/>
        <v>0</v>
      </c>
      <c r="BY1790" s="344"/>
      <c r="BZ1790" s="347"/>
      <c r="CA1790" s="347"/>
    </row>
    <row r="1791" spans="1:79" ht="15" customHeight="1" thickBot="1" x14ac:dyDescent="0.3">
      <c r="A1791" s="313"/>
      <c r="B1791" s="340"/>
      <c r="C1791" s="360" t="s">
        <v>752</v>
      </c>
      <c r="D1791" s="340"/>
      <c r="E1791" s="340"/>
      <c r="F1791" s="340"/>
      <c r="G1791" s="340"/>
      <c r="H1791" s="340"/>
      <c r="I1791" s="340"/>
      <c r="J1791" s="340"/>
      <c r="K1791" s="340"/>
      <c r="L1791" s="340"/>
      <c r="M1791" s="340"/>
      <c r="N1791" s="340"/>
      <c r="O1791" s="340"/>
      <c r="P1791" s="340"/>
      <c r="Q1791" s="340"/>
      <c r="R1791" s="340"/>
      <c r="S1791" s="340"/>
      <c r="T1791" s="340"/>
      <c r="U1791" s="342"/>
      <c r="V1791" s="342"/>
      <c r="W1791" s="1359">
        <f>SUBTOTAL(109,W1787:AB1790)</f>
        <v>5669499941</v>
      </c>
      <c r="X1791" s="1359"/>
      <c r="Y1791" s="1359"/>
      <c r="Z1791" s="1359"/>
      <c r="AA1791" s="1359"/>
      <c r="AB1791" s="1359"/>
      <c r="AC1791" s="355"/>
      <c r="AD1791" s="1359">
        <f>SUBTOTAL(109,AD1787:AI1790)</f>
        <v>5159146326</v>
      </c>
      <c r="AE1791" s="1359"/>
      <c r="AF1791" s="1359"/>
      <c r="AG1791" s="1359"/>
      <c r="AH1791" s="1359"/>
      <c r="AI1791" s="1359"/>
      <c r="AJ1791" s="344"/>
      <c r="AK1791" s="345"/>
      <c r="AL1791" s="340"/>
      <c r="AM1791" s="360" t="s">
        <v>753</v>
      </c>
      <c r="AN1791" s="340"/>
      <c r="AO1791" s="340"/>
      <c r="AP1791" s="340"/>
      <c r="AQ1791" s="340"/>
      <c r="AR1791" s="340"/>
      <c r="AS1791" s="340"/>
      <c r="AT1791" s="340"/>
      <c r="AU1791" s="340"/>
      <c r="AV1791" s="340"/>
      <c r="AW1791" s="340"/>
      <c r="AX1791" s="340"/>
      <c r="AY1791" s="340"/>
      <c r="AZ1791" s="340"/>
      <c r="BA1791" s="340"/>
      <c r="BB1791" s="340"/>
      <c r="BC1791" s="340"/>
      <c r="BD1791" s="340"/>
      <c r="BE1791" s="342"/>
      <c r="BF1791" s="342"/>
      <c r="BG1791" s="1359">
        <f>SUBTOTAL(109,BG1787:BL1790)</f>
        <v>5669499941</v>
      </c>
      <c r="BH1791" s="1359"/>
      <c r="BI1791" s="1359"/>
      <c r="BJ1791" s="1359"/>
      <c r="BK1791" s="1359"/>
      <c r="BL1791" s="1359"/>
      <c r="BM1791" s="355"/>
      <c r="BN1791" s="1359">
        <f>SUBTOTAL(109,BN1787:BS1790)</f>
        <v>5159146326</v>
      </c>
      <c r="BO1791" s="1359"/>
      <c r="BP1791" s="1359"/>
      <c r="BQ1791" s="1359"/>
      <c r="BR1791" s="1359"/>
      <c r="BS1791" s="1359"/>
      <c r="BT1791" s="361"/>
      <c r="BU1791" s="362"/>
      <c r="BV1791" s="310"/>
      <c r="BW1791" s="310"/>
      <c r="BX1791" s="291">
        <f t="shared" si="132"/>
        <v>0</v>
      </c>
      <c r="BY1791" s="344"/>
      <c r="BZ1791" s="347"/>
      <c r="CA1791" s="347"/>
    </row>
    <row r="1792" spans="1:79" ht="14.1" customHeight="1" thickTop="1" x14ac:dyDescent="0.25">
      <c r="A1792" s="313"/>
      <c r="B1792" s="340"/>
      <c r="C1792" s="764"/>
      <c r="D1792" s="764"/>
      <c r="E1792" s="764"/>
      <c r="F1792" s="764"/>
      <c r="G1792" s="764"/>
      <c r="H1792" s="764"/>
      <c r="I1792" s="764"/>
      <c r="J1792" s="764"/>
      <c r="K1792" s="764"/>
      <c r="L1792" s="764"/>
      <c r="M1792" s="764"/>
      <c r="N1792" s="764"/>
      <c r="O1792" s="764"/>
      <c r="P1792" s="764"/>
      <c r="Q1792" s="764"/>
      <c r="R1792" s="764"/>
      <c r="S1792" s="764"/>
      <c r="T1792" s="764"/>
      <c r="U1792" s="764"/>
      <c r="V1792" s="764"/>
      <c r="W1792" s="764"/>
      <c r="X1792" s="764"/>
      <c r="Y1792" s="764"/>
      <c r="Z1792" s="764"/>
      <c r="AA1792" s="764"/>
      <c r="AB1792" s="764"/>
      <c r="AC1792" s="764"/>
      <c r="AD1792" s="764"/>
      <c r="AE1792" s="764"/>
      <c r="AF1792" s="764"/>
      <c r="AG1792" s="764"/>
      <c r="AH1792" s="764"/>
      <c r="AI1792" s="764"/>
      <c r="AJ1792" s="344"/>
      <c r="AK1792" s="345"/>
      <c r="AL1792" s="340"/>
      <c r="AM1792" s="1346"/>
      <c r="AN1792" s="1346"/>
      <c r="AO1792" s="1346"/>
      <c r="AP1792" s="1346"/>
      <c r="AQ1792" s="1346"/>
      <c r="AR1792" s="1346"/>
      <c r="AS1792" s="1346"/>
      <c r="AT1792" s="1346"/>
      <c r="AU1792" s="1346"/>
      <c r="AV1792" s="1346"/>
      <c r="AW1792" s="1346"/>
      <c r="AX1792" s="1346"/>
      <c r="AY1792" s="1346"/>
      <c r="AZ1792" s="1346"/>
      <c r="BA1792" s="1346"/>
      <c r="BB1792" s="1346"/>
      <c r="BC1792" s="1346"/>
      <c r="BD1792" s="1346"/>
      <c r="BE1792" s="1346"/>
      <c r="BF1792" s="1346"/>
      <c r="BG1792" s="1346"/>
      <c r="BH1792" s="1346"/>
      <c r="BI1792" s="1346"/>
      <c r="BJ1792" s="1346"/>
      <c r="BK1792" s="1346"/>
      <c r="BL1792" s="1346"/>
      <c r="BM1792" s="1346"/>
      <c r="BN1792" s="1346"/>
      <c r="BO1792" s="1346"/>
      <c r="BP1792" s="1346"/>
      <c r="BQ1792" s="1346"/>
      <c r="BR1792" s="1346"/>
      <c r="BS1792" s="1346"/>
      <c r="BT1792" s="342"/>
      <c r="BU1792" s="346"/>
      <c r="BV1792" s="310"/>
      <c r="BW1792" s="310"/>
      <c r="BX1792" s="291">
        <f t="shared" si="132"/>
        <v>0</v>
      </c>
      <c r="BY1792" s="344"/>
      <c r="BZ1792" s="347"/>
      <c r="CA1792" s="347"/>
    </row>
    <row r="1793" spans="1:79" ht="84" customHeight="1" x14ac:dyDescent="0.25">
      <c r="A1793" s="313"/>
      <c r="B1793" s="340"/>
      <c r="C1793" s="1345" t="s">
        <v>1822</v>
      </c>
      <c r="D1793" s="1357"/>
      <c r="E1793" s="1357"/>
      <c r="F1793" s="1357"/>
      <c r="G1793" s="1357"/>
      <c r="H1793" s="1357"/>
      <c r="I1793" s="1357"/>
      <c r="J1793" s="1357"/>
      <c r="K1793" s="1357"/>
      <c r="L1793" s="1357"/>
      <c r="M1793" s="1357"/>
      <c r="N1793" s="1357"/>
      <c r="O1793" s="1357"/>
      <c r="P1793" s="1357"/>
      <c r="Q1793" s="1357"/>
      <c r="R1793" s="1357"/>
      <c r="S1793" s="1357"/>
      <c r="T1793" s="1357"/>
      <c r="U1793" s="1357"/>
      <c r="V1793" s="1357"/>
      <c r="W1793" s="1357"/>
      <c r="X1793" s="1357"/>
      <c r="Y1793" s="1357"/>
      <c r="Z1793" s="1357"/>
      <c r="AA1793" s="1357"/>
      <c r="AB1793" s="1357"/>
      <c r="AC1793" s="1357"/>
      <c r="AD1793" s="1357"/>
      <c r="AE1793" s="1357"/>
      <c r="AF1793" s="1357"/>
      <c r="AG1793" s="1357"/>
      <c r="AH1793" s="1357"/>
      <c r="AI1793" s="1357"/>
      <c r="AJ1793" s="344"/>
      <c r="AK1793" s="345"/>
      <c r="AL1793" s="340"/>
      <c r="AM1793" s="1345" t="s">
        <v>1823</v>
      </c>
      <c r="AN1793" s="1357"/>
      <c r="AO1793" s="1357"/>
      <c r="AP1793" s="1357"/>
      <c r="AQ1793" s="1357"/>
      <c r="AR1793" s="1357"/>
      <c r="AS1793" s="1357"/>
      <c r="AT1793" s="1357"/>
      <c r="AU1793" s="1357"/>
      <c r="AV1793" s="1357"/>
      <c r="AW1793" s="1357"/>
      <c r="AX1793" s="1357"/>
      <c r="AY1793" s="1357"/>
      <c r="AZ1793" s="1357"/>
      <c r="BA1793" s="1357"/>
      <c r="BB1793" s="1357"/>
      <c r="BC1793" s="1357"/>
      <c r="BD1793" s="1357"/>
      <c r="BE1793" s="1357"/>
      <c r="BF1793" s="1357"/>
      <c r="BG1793" s="1357"/>
      <c r="BH1793" s="1357"/>
      <c r="BI1793" s="1357"/>
      <c r="BJ1793" s="1357"/>
      <c r="BK1793" s="1357"/>
      <c r="BL1793" s="1357"/>
      <c r="BM1793" s="1357"/>
      <c r="BN1793" s="1357"/>
      <c r="BO1793" s="1357"/>
      <c r="BP1793" s="1357"/>
      <c r="BQ1793" s="1357"/>
      <c r="BR1793" s="1357"/>
      <c r="BS1793" s="1357"/>
      <c r="BT1793" s="342"/>
      <c r="BU1793" s="346"/>
      <c r="BV1793" s="310"/>
      <c r="BW1793" s="310"/>
      <c r="BX1793" s="291">
        <f t="shared" si="132"/>
        <v>0</v>
      </c>
      <c r="BY1793" s="344"/>
      <c r="BZ1793" s="347"/>
      <c r="CA1793" s="347"/>
    </row>
    <row r="1794" spans="1:79" x14ac:dyDescent="0.25">
      <c r="A1794" s="313"/>
      <c r="B1794" s="340"/>
      <c r="C1794" s="765"/>
      <c r="D1794" s="766"/>
      <c r="E1794" s="766"/>
      <c r="F1794" s="766"/>
      <c r="G1794" s="766"/>
      <c r="H1794" s="766"/>
      <c r="I1794" s="766"/>
      <c r="J1794" s="766"/>
      <c r="K1794" s="766"/>
      <c r="L1794" s="766"/>
      <c r="M1794" s="766"/>
      <c r="N1794" s="766"/>
      <c r="O1794" s="766"/>
      <c r="P1794" s="766"/>
      <c r="Q1794" s="766"/>
      <c r="R1794" s="766"/>
      <c r="S1794" s="766"/>
      <c r="T1794" s="766"/>
      <c r="U1794" s="766"/>
      <c r="V1794" s="766"/>
      <c r="W1794" s="766"/>
      <c r="X1794" s="766"/>
      <c r="Y1794" s="766"/>
      <c r="Z1794" s="766"/>
      <c r="AA1794" s="766"/>
      <c r="AB1794" s="766"/>
      <c r="AC1794" s="766"/>
      <c r="AD1794" s="766"/>
      <c r="AE1794" s="766"/>
      <c r="AF1794" s="766"/>
      <c r="AG1794" s="766"/>
      <c r="AH1794" s="766"/>
      <c r="AI1794" s="766"/>
      <c r="AJ1794" s="344"/>
      <c r="AK1794" s="345"/>
      <c r="AL1794" s="340"/>
      <c r="AM1794" s="765"/>
      <c r="AN1794" s="766"/>
      <c r="AO1794" s="766"/>
      <c r="AP1794" s="766"/>
      <c r="AQ1794" s="766"/>
      <c r="AR1794" s="766"/>
      <c r="AS1794" s="766"/>
      <c r="AT1794" s="766"/>
      <c r="AU1794" s="766"/>
      <c r="AV1794" s="766"/>
      <c r="AW1794" s="766"/>
      <c r="AX1794" s="766"/>
      <c r="AY1794" s="766"/>
      <c r="AZ1794" s="766"/>
      <c r="BA1794" s="766"/>
      <c r="BB1794" s="766"/>
      <c r="BC1794" s="766"/>
      <c r="BD1794" s="766"/>
      <c r="BE1794" s="766"/>
      <c r="BF1794" s="766"/>
      <c r="BG1794" s="766"/>
      <c r="BH1794" s="766"/>
      <c r="BI1794" s="766"/>
      <c r="BJ1794" s="766"/>
      <c r="BK1794" s="766"/>
      <c r="BL1794" s="766"/>
      <c r="BM1794" s="766"/>
      <c r="BN1794" s="766"/>
      <c r="BO1794" s="766"/>
      <c r="BP1794" s="766"/>
      <c r="BQ1794" s="766"/>
      <c r="BR1794" s="766"/>
      <c r="BS1794" s="766"/>
      <c r="BT1794" s="342"/>
      <c r="BU1794" s="346"/>
      <c r="BV1794" s="310"/>
      <c r="BW1794" s="310"/>
      <c r="BX1794" s="291"/>
      <c r="BY1794" s="344"/>
      <c r="BZ1794" s="347"/>
      <c r="CA1794" s="347"/>
    </row>
    <row r="1795" spans="1:79" ht="232.5" hidden="1" customHeight="1" x14ac:dyDescent="0.25">
      <c r="A1795" s="313"/>
      <c r="B1795" s="340"/>
      <c r="C1795" s="1358" t="s">
        <v>1824</v>
      </c>
      <c r="D1795" s="1342"/>
      <c r="E1795" s="1342"/>
      <c r="F1795" s="1342"/>
      <c r="G1795" s="1342"/>
      <c r="H1795" s="1342"/>
      <c r="I1795" s="1342"/>
      <c r="J1795" s="1342"/>
      <c r="K1795" s="1342"/>
      <c r="L1795" s="1342"/>
      <c r="M1795" s="1342"/>
      <c r="N1795" s="1342"/>
      <c r="O1795" s="1342"/>
      <c r="P1795" s="1342"/>
      <c r="Q1795" s="1342"/>
      <c r="R1795" s="1342"/>
      <c r="S1795" s="1342"/>
      <c r="T1795" s="1342"/>
      <c r="U1795" s="1342"/>
      <c r="V1795" s="1342"/>
      <c r="W1795" s="1342"/>
      <c r="X1795" s="1342"/>
      <c r="Y1795" s="1342"/>
      <c r="Z1795" s="1342"/>
      <c r="AA1795" s="1342"/>
      <c r="AB1795" s="1342"/>
      <c r="AC1795" s="1342"/>
      <c r="AD1795" s="1342"/>
      <c r="AE1795" s="1342"/>
      <c r="AF1795" s="1342"/>
      <c r="AG1795" s="1342"/>
      <c r="AH1795" s="1342"/>
      <c r="AI1795" s="1342"/>
      <c r="AJ1795" s="344"/>
      <c r="AK1795" s="345"/>
      <c r="AL1795" s="340"/>
      <c r="AM1795" s="1358" t="s">
        <v>1825</v>
      </c>
      <c r="AN1795" s="1342"/>
      <c r="AO1795" s="1342"/>
      <c r="AP1795" s="1342"/>
      <c r="AQ1795" s="1342"/>
      <c r="AR1795" s="1342"/>
      <c r="AS1795" s="1342"/>
      <c r="AT1795" s="1342"/>
      <c r="AU1795" s="1342"/>
      <c r="AV1795" s="1342"/>
      <c r="AW1795" s="1342"/>
      <c r="AX1795" s="1342"/>
      <c r="AY1795" s="1342"/>
      <c r="AZ1795" s="1342"/>
      <c r="BA1795" s="1342"/>
      <c r="BB1795" s="1342"/>
      <c r="BC1795" s="1342"/>
      <c r="BD1795" s="1342"/>
      <c r="BE1795" s="1342"/>
      <c r="BF1795" s="1342"/>
      <c r="BG1795" s="1342"/>
      <c r="BH1795" s="1342"/>
      <c r="BI1795" s="1342"/>
      <c r="BJ1795" s="1342"/>
      <c r="BK1795" s="1342"/>
      <c r="BL1795" s="1342"/>
      <c r="BM1795" s="1342"/>
      <c r="BN1795" s="1342"/>
      <c r="BO1795" s="1342"/>
      <c r="BP1795" s="1342"/>
      <c r="BQ1795" s="1342"/>
      <c r="BR1795" s="1342"/>
      <c r="BS1795" s="1342"/>
      <c r="BT1795" s="342"/>
      <c r="BU1795" s="346"/>
      <c r="BV1795" s="310"/>
      <c r="BW1795" s="310"/>
      <c r="BX1795" s="291">
        <f>IF(ISNONTEXT($C1795),0,SUM(D1795:AI1795)-SUM(AN1795:BS1795))</f>
        <v>0</v>
      </c>
      <c r="BY1795" s="344"/>
      <c r="BZ1795" s="347"/>
      <c r="CA1795" s="347"/>
    </row>
    <row r="1796" spans="1:79" ht="15" hidden="1" customHeight="1" x14ac:dyDescent="0.25">
      <c r="A1796" s="313"/>
      <c r="B1796" s="340"/>
      <c r="C1796" s="767"/>
      <c r="D1796" s="767"/>
      <c r="E1796" s="767"/>
      <c r="F1796" s="767"/>
      <c r="G1796" s="767"/>
      <c r="H1796" s="767"/>
      <c r="I1796" s="767"/>
      <c r="J1796" s="767"/>
      <c r="K1796" s="767"/>
      <c r="L1796" s="767"/>
      <c r="M1796" s="767"/>
      <c r="N1796" s="767"/>
      <c r="O1796" s="767"/>
      <c r="P1796" s="767"/>
      <c r="Q1796" s="767"/>
      <c r="R1796" s="767"/>
      <c r="S1796" s="767"/>
      <c r="T1796" s="767"/>
      <c r="U1796" s="767"/>
      <c r="V1796" s="767"/>
      <c r="W1796" s="767"/>
      <c r="X1796" s="767"/>
      <c r="Y1796" s="767"/>
      <c r="Z1796" s="767"/>
      <c r="AA1796" s="767"/>
      <c r="AB1796" s="767"/>
      <c r="AC1796" s="767"/>
      <c r="AD1796" s="767"/>
      <c r="AE1796" s="767"/>
      <c r="AF1796" s="767"/>
      <c r="AG1796" s="767"/>
      <c r="AH1796" s="767"/>
      <c r="AI1796" s="767"/>
      <c r="AJ1796" s="344"/>
      <c r="AK1796" s="345"/>
      <c r="AL1796" s="340"/>
      <c r="AM1796" s="1345"/>
      <c r="AN1796" s="1345"/>
      <c r="AO1796" s="1345"/>
      <c r="AP1796" s="1345"/>
      <c r="AQ1796" s="1345"/>
      <c r="AR1796" s="1345"/>
      <c r="AS1796" s="1345"/>
      <c r="AT1796" s="1345"/>
      <c r="AU1796" s="1345"/>
      <c r="AV1796" s="1345"/>
      <c r="AW1796" s="1345"/>
      <c r="AX1796" s="1345"/>
      <c r="AY1796" s="1345"/>
      <c r="AZ1796" s="1345"/>
      <c r="BA1796" s="1345"/>
      <c r="BB1796" s="1345"/>
      <c r="BC1796" s="1345"/>
      <c r="BD1796" s="1345"/>
      <c r="BE1796" s="1345"/>
      <c r="BF1796" s="1345"/>
      <c r="BG1796" s="1345"/>
      <c r="BH1796" s="1345"/>
      <c r="BI1796" s="1345"/>
      <c r="BJ1796" s="1345"/>
      <c r="BK1796" s="1345"/>
      <c r="BL1796" s="1345"/>
      <c r="BM1796" s="1345"/>
      <c r="BN1796" s="1345"/>
      <c r="BO1796" s="1345"/>
      <c r="BP1796" s="1345"/>
      <c r="BQ1796" s="1345"/>
      <c r="BR1796" s="1345"/>
      <c r="BS1796" s="1345"/>
      <c r="BT1796" s="342"/>
      <c r="BU1796" s="346"/>
      <c r="BV1796" s="310"/>
      <c r="BW1796" s="310"/>
      <c r="BX1796" s="291">
        <f t="shared" si="132"/>
        <v>0</v>
      </c>
      <c r="BY1796" s="344"/>
      <c r="BZ1796" s="347"/>
      <c r="CA1796" s="347"/>
    </row>
    <row r="1797" spans="1:79" ht="15" customHeight="1" x14ac:dyDescent="0.25">
      <c r="A1797" s="313"/>
      <c r="B1797" s="340"/>
      <c r="C1797" s="1356" t="s">
        <v>1826</v>
      </c>
      <c r="D1797" s="1356"/>
      <c r="E1797" s="1356"/>
      <c r="F1797" s="1356"/>
      <c r="G1797" s="1356"/>
      <c r="H1797" s="1356"/>
      <c r="I1797" s="1356"/>
      <c r="J1797" s="1356"/>
      <c r="K1797" s="1356"/>
      <c r="L1797" s="1356"/>
      <c r="M1797" s="1356"/>
      <c r="N1797" s="1356"/>
      <c r="O1797" s="1356"/>
      <c r="P1797" s="1356"/>
      <c r="Q1797" s="1356"/>
      <c r="R1797" s="1356"/>
      <c r="S1797" s="1356"/>
      <c r="T1797" s="1356"/>
      <c r="U1797" s="1356"/>
      <c r="V1797" s="1356"/>
      <c r="W1797" s="1356"/>
      <c r="X1797" s="1356"/>
      <c r="Y1797" s="1356"/>
      <c r="Z1797" s="1356"/>
      <c r="AA1797" s="1356"/>
      <c r="AB1797" s="1356"/>
      <c r="AC1797" s="1356"/>
      <c r="AD1797" s="1356"/>
      <c r="AE1797" s="1356"/>
      <c r="AF1797" s="1356"/>
      <c r="AG1797" s="1356"/>
      <c r="AH1797" s="1356"/>
      <c r="AI1797" s="1356"/>
      <c r="AJ1797" s="344"/>
      <c r="AK1797" s="345"/>
      <c r="AL1797" s="340"/>
      <c r="AM1797" s="1356" t="s">
        <v>1827</v>
      </c>
      <c r="AN1797" s="1356"/>
      <c r="AO1797" s="1356"/>
      <c r="AP1797" s="1356"/>
      <c r="AQ1797" s="1356"/>
      <c r="AR1797" s="1356"/>
      <c r="AS1797" s="1356"/>
      <c r="AT1797" s="1356"/>
      <c r="AU1797" s="1356"/>
      <c r="AV1797" s="1356"/>
      <c r="AW1797" s="1356"/>
      <c r="AX1797" s="1356"/>
      <c r="AY1797" s="1356"/>
      <c r="AZ1797" s="1356"/>
      <c r="BA1797" s="1356"/>
      <c r="BB1797" s="1356"/>
      <c r="BC1797" s="1356"/>
      <c r="BD1797" s="1356"/>
      <c r="BE1797" s="1356"/>
      <c r="BF1797" s="1356"/>
      <c r="BG1797" s="1356"/>
      <c r="BH1797" s="1356"/>
      <c r="BI1797" s="1356"/>
      <c r="BJ1797" s="1356"/>
      <c r="BK1797" s="1356"/>
      <c r="BL1797" s="1356"/>
      <c r="BM1797" s="1356"/>
      <c r="BN1797" s="1356"/>
      <c r="BO1797" s="1356"/>
      <c r="BP1797" s="1356"/>
      <c r="BQ1797" s="1356"/>
      <c r="BR1797" s="1356"/>
      <c r="BS1797" s="1356"/>
      <c r="BT1797" s="342"/>
      <c r="BU1797" s="346"/>
      <c r="BV1797" s="310"/>
      <c r="BW1797" s="310"/>
      <c r="BX1797" s="291">
        <f t="shared" si="132"/>
        <v>0</v>
      </c>
      <c r="BY1797" s="344"/>
      <c r="BZ1797" s="347"/>
      <c r="CA1797" s="347"/>
    </row>
    <row r="1798" spans="1:79" ht="56.1" customHeight="1" x14ac:dyDescent="0.25">
      <c r="A1798" s="313"/>
      <c r="B1798" s="340"/>
      <c r="C1798" s="1345" t="str">
        <f>CONCATENATE("Rủi ro tài chính của ",LoaiCT_V," bao gồm rủi ro thị trường, rủi ro tín dụng và rủi ro thanh khoản. ",LoaiCT_V," đã xây dựng hệ thống kiểm soát nhằm đảm bảo sự cân bằng ở mức hợp lý giữa chi phí rủi ro phát sinh và chi phí quản lý rủi ro. Ban ",BOD_V," ",LoaiCT_V," có trách nhiệm theo dõi quy trình quản lý rủi ro để đảm bảo sự cân bằng hợp lý giữa rủi ro và kiểm soát rủi ro.")</f>
        <v>Rủi ro tài chính của Công ty bao gồm rủi ro thị trường, rủi ro tín dụng và rủi ro thanh khoản. Công ty đã xây dựng hệ thống kiểm soát nhằm đảm bảo sự cân bằng ở mức hợp lý giữa chi phí rủi ro phát sinh và chi phí quản lý rủi ro. Ban Giám đốc Công ty có trách nhiệm theo dõi quy trình quản lý rủi ro để đảm bảo sự cân bằng hợp lý giữa rủi ro và kiểm soát rủi ro.</v>
      </c>
      <c r="D1798" s="1345"/>
      <c r="E1798" s="1345"/>
      <c r="F1798" s="1345"/>
      <c r="G1798" s="1345"/>
      <c r="H1798" s="1345"/>
      <c r="I1798" s="1345"/>
      <c r="J1798" s="1345"/>
      <c r="K1798" s="1345"/>
      <c r="L1798" s="1345"/>
      <c r="M1798" s="1345"/>
      <c r="N1798" s="1345"/>
      <c r="O1798" s="1345"/>
      <c r="P1798" s="1345"/>
      <c r="Q1798" s="1345"/>
      <c r="R1798" s="1345"/>
      <c r="S1798" s="1345"/>
      <c r="T1798" s="1345"/>
      <c r="U1798" s="1345"/>
      <c r="V1798" s="1345"/>
      <c r="W1798" s="1345"/>
      <c r="X1798" s="1345"/>
      <c r="Y1798" s="1345"/>
      <c r="Z1798" s="1345"/>
      <c r="AA1798" s="1345"/>
      <c r="AB1798" s="1345"/>
      <c r="AC1798" s="1345"/>
      <c r="AD1798" s="1345"/>
      <c r="AE1798" s="1345"/>
      <c r="AF1798" s="1345"/>
      <c r="AG1798" s="1345"/>
      <c r="AH1798" s="1345"/>
      <c r="AI1798" s="1345"/>
      <c r="AJ1798" s="344"/>
      <c r="AK1798" s="345"/>
      <c r="AL1798" s="340"/>
      <c r="AM1798" s="1345" t="str">
        <f>CONCATENATE("The ",LoaiCT_E,"’s financial risks include market risk, credit risk and liquidity risk. The ",LoaiCT_E," has developed its control system to ensure the reasonable balance between cost of incurred risks and cost of risk management. The Board of Directors of the ",LoaiCT_E," is responsible for monitoring the risk management process to ensure the appropriate balance between risk and risk control.")</f>
        <v>The Corporation’s financial risks include market risk, credit risk and liquidity risk. The Corporation has developed its control system to ensure the reasonable balance between cost of incurred risks and cost of risk management. The Board of Directors of the Corporation is responsible for monitoring the risk management process to ensure the appropriate balance between risk and risk control.</v>
      </c>
      <c r="AN1798" s="1345"/>
      <c r="AO1798" s="1345"/>
      <c r="AP1798" s="1345"/>
      <c r="AQ1798" s="1345"/>
      <c r="AR1798" s="1345"/>
      <c r="AS1798" s="1345"/>
      <c r="AT1798" s="1345"/>
      <c r="AU1798" s="1345"/>
      <c r="AV1798" s="1345"/>
      <c r="AW1798" s="1345"/>
      <c r="AX1798" s="1345"/>
      <c r="AY1798" s="1345"/>
      <c r="AZ1798" s="1345"/>
      <c r="BA1798" s="1345"/>
      <c r="BB1798" s="1345"/>
      <c r="BC1798" s="1345"/>
      <c r="BD1798" s="1345"/>
      <c r="BE1798" s="1345"/>
      <c r="BF1798" s="1345"/>
      <c r="BG1798" s="1345"/>
      <c r="BH1798" s="1345"/>
      <c r="BI1798" s="1345"/>
      <c r="BJ1798" s="1345"/>
      <c r="BK1798" s="1345"/>
      <c r="BL1798" s="1345"/>
      <c r="BM1798" s="1345"/>
      <c r="BN1798" s="1345"/>
      <c r="BO1798" s="1345"/>
      <c r="BP1798" s="1345"/>
      <c r="BQ1798" s="1345"/>
      <c r="BR1798" s="1345"/>
      <c r="BS1798" s="1345"/>
      <c r="BT1798" s="342"/>
      <c r="BU1798" s="346"/>
      <c r="BV1798" s="310"/>
      <c r="BW1798" s="310"/>
      <c r="BX1798" s="291">
        <f t="shared" si="132"/>
        <v>0</v>
      </c>
      <c r="BY1798" s="344"/>
      <c r="BZ1798" s="347"/>
      <c r="CA1798" s="347"/>
    </row>
    <row r="1799" spans="1:79" ht="14.1" customHeight="1" x14ac:dyDescent="0.25">
      <c r="A1799" s="313"/>
      <c r="B1799" s="340"/>
      <c r="C1799" s="1345"/>
      <c r="D1799" s="1345"/>
      <c r="E1799" s="1345"/>
      <c r="F1799" s="1345"/>
      <c r="G1799" s="1345"/>
      <c r="H1799" s="1345"/>
      <c r="I1799" s="1345"/>
      <c r="J1799" s="1345"/>
      <c r="K1799" s="1345"/>
      <c r="L1799" s="1345"/>
      <c r="M1799" s="1345"/>
      <c r="N1799" s="1345"/>
      <c r="O1799" s="1345"/>
      <c r="P1799" s="1345"/>
      <c r="Q1799" s="1345"/>
      <c r="R1799" s="1345"/>
      <c r="S1799" s="1345"/>
      <c r="T1799" s="1345"/>
      <c r="U1799" s="1345"/>
      <c r="V1799" s="1345"/>
      <c r="W1799" s="1345"/>
      <c r="X1799" s="1345"/>
      <c r="Y1799" s="1345"/>
      <c r="Z1799" s="1345"/>
      <c r="AA1799" s="1345"/>
      <c r="AB1799" s="1345"/>
      <c r="AC1799" s="1345"/>
      <c r="AD1799" s="1345"/>
      <c r="AE1799" s="1345"/>
      <c r="AF1799" s="1345"/>
      <c r="AG1799" s="1345"/>
      <c r="AH1799" s="1345"/>
      <c r="AI1799" s="1345"/>
      <c r="AJ1799" s="344"/>
      <c r="AK1799" s="345"/>
      <c r="AL1799" s="340"/>
      <c r="AM1799" s="1345"/>
      <c r="AN1799" s="1345"/>
      <c r="AO1799" s="1345"/>
      <c r="AP1799" s="1345"/>
      <c r="AQ1799" s="1345"/>
      <c r="AR1799" s="1345"/>
      <c r="AS1799" s="1345"/>
      <c r="AT1799" s="1345"/>
      <c r="AU1799" s="1345"/>
      <c r="AV1799" s="1345"/>
      <c r="AW1799" s="1345"/>
      <c r="AX1799" s="1345"/>
      <c r="AY1799" s="1345"/>
      <c r="AZ1799" s="1345"/>
      <c r="BA1799" s="1345"/>
      <c r="BB1799" s="1345"/>
      <c r="BC1799" s="1345"/>
      <c r="BD1799" s="1345"/>
      <c r="BE1799" s="1345"/>
      <c r="BF1799" s="1345"/>
      <c r="BG1799" s="1345"/>
      <c r="BH1799" s="1345"/>
      <c r="BI1799" s="1345"/>
      <c r="BJ1799" s="1345"/>
      <c r="BK1799" s="1345"/>
      <c r="BL1799" s="1345"/>
      <c r="BM1799" s="1345"/>
      <c r="BN1799" s="1345"/>
      <c r="BO1799" s="1345"/>
      <c r="BP1799" s="1345"/>
      <c r="BQ1799" s="1345"/>
      <c r="BR1799" s="1345"/>
      <c r="BS1799" s="1345"/>
      <c r="BT1799" s="342"/>
      <c r="BU1799" s="346"/>
      <c r="BV1799" s="310"/>
      <c r="BW1799" s="310"/>
      <c r="BX1799" s="291">
        <f t="shared" si="132"/>
        <v>0</v>
      </c>
      <c r="BY1799" s="344"/>
      <c r="BZ1799" s="347"/>
      <c r="CA1799" s="347"/>
    </row>
    <row r="1800" spans="1:79" ht="15" customHeight="1" x14ac:dyDescent="0.25">
      <c r="A1800" s="313"/>
      <c r="B1800" s="340"/>
      <c r="C1800" s="1354" t="s">
        <v>1828</v>
      </c>
      <c r="D1800" s="1354"/>
      <c r="E1800" s="1354"/>
      <c r="F1800" s="1354"/>
      <c r="G1800" s="1354"/>
      <c r="H1800" s="1354"/>
      <c r="I1800" s="1354"/>
      <c r="J1800" s="1354"/>
      <c r="K1800" s="1354"/>
      <c r="L1800" s="1354"/>
      <c r="M1800" s="1354"/>
      <c r="N1800" s="1354"/>
      <c r="O1800" s="1354"/>
      <c r="P1800" s="1354"/>
      <c r="Q1800" s="1354"/>
      <c r="R1800" s="1354"/>
      <c r="S1800" s="1354"/>
      <c r="T1800" s="1354"/>
      <c r="U1800" s="1354"/>
      <c r="V1800" s="1354"/>
      <c r="W1800" s="1354"/>
      <c r="X1800" s="1354"/>
      <c r="Y1800" s="1354"/>
      <c r="Z1800" s="1354"/>
      <c r="AA1800" s="1354"/>
      <c r="AB1800" s="1354"/>
      <c r="AC1800" s="1354"/>
      <c r="AD1800" s="1354"/>
      <c r="AE1800" s="1354"/>
      <c r="AF1800" s="1354"/>
      <c r="AG1800" s="1354"/>
      <c r="AH1800" s="1354"/>
      <c r="AI1800" s="1354"/>
      <c r="AJ1800" s="344"/>
      <c r="AK1800" s="345"/>
      <c r="AL1800" s="340"/>
      <c r="AM1800" s="1354" t="s">
        <v>1829</v>
      </c>
      <c r="AN1800" s="1354"/>
      <c r="AO1800" s="1354"/>
      <c r="AP1800" s="1354"/>
      <c r="AQ1800" s="1354"/>
      <c r="AR1800" s="1354"/>
      <c r="AS1800" s="1354"/>
      <c r="AT1800" s="1354"/>
      <c r="AU1800" s="1354"/>
      <c r="AV1800" s="1354"/>
      <c r="AW1800" s="1354"/>
      <c r="AX1800" s="1354"/>
      <c r="AY1800" s="1354"/>
      <c r="AZ1800" s="1354"/>
      <c r="BA1800" s="1354"/>
      <c r="BB1800" s="1354"/>
      <c r="BC1800" s="1354"/>
      <c r="BD1800" s="1354"/>
      <c r="BE1800" s="1354"/>
      <c r="BF1800" s="1354"/>
      <c r="BG1800" s="1354"/>
      <c r="BH1800" s="1354"/>
      <c r="BI1800" s="1354"/>
      <c r="BJ1800" s="1354"/>
      <c r="BK1800" s="1354"/>
      <c r="BL1800" s="1354"/>
      <c r="BM1800" s="1354"/>
      <c r="BN1800" s="1354"/>
      <c r="BO1800" s="1354"/>
      <c r="BP1800" s="1354"/>
      <c r="BQ1800" s="1354"/>
      <c r="BR1800" s="1354"/>
      <c r="BS1800" s="1354"/>
      <c r="BT1800" s="342"/>
      <c r="BU1800" s="346"/>
      <c r="BV1800" s="310"/>
      <c r="BW1800" s="310"/>
      <c r="BX1800" s="291">
        <f t="shared" si="132"/>
        <v>0</v>
      </c>
      <c r="BY1800" s="344"/>
      <c r="BZ1800" s="347"/>
      <c r="CA1800" s="347"/>
    </row>
    <row r="1801" spans="1:79" ht="15" customHeight="1" x14ac:dyDescent="0.25">
      <c r="A1801" s="313"/>
      <c r="B1801" s="340"/>
      <c r="C1801" s="1345" t="str">
        <f>CONCATENATE("Hoạt động kinh doanh của ",LoaiCT_V," sẽ chủ yếu chịu rủi ro khi có sự thay đổi về giá, tỷ giá hối đoái và lãi suất.")</f>
        <v>Hoạt động kinh doanh của Công ty sẽ chủ yếu chịu rủi ro khi có sự thay đổi về giá, tỷ giá hối đoái và lãi suất.</v>
      </c>
      <c r="D1801" s="1345"/>
      <c r="E1801" s="1345"/>
      <c r="F1801" s="1345"/>
      <c r="G1801" s="1345"/>
      <c r="H1801" s="1345"/>
      <c r="I1801" s="1345"/>
      <c r="J1801" s="1345"/>
      <c r="K1801" s="1345"/>
      <c r="L1801" s="1345"/>
      <c r="M1801" s="1345"/>
      <c r="N1801" s="1345"/>
      <c r="O1801" s="1345"/>
      <c r="P1801" s="1345"/>
      <c r="Q1801" s="1345"/>
      <c r="R1801" s="1345"/>
      <c r="S1801" s="1345"/>
      <c r="T1801" s="1345"/>
      <c r="U1801" s="1345"/>
      <c r="V1801" s="1345"/>
      <c r="W1801" s="1345"/>
      <c r="X1801" s="1345"/>
      <c r="Y1801" s="1345"/>
      <c r="Z1801" s="1345"/>
      <c r="AA1801" s="1345"/>
      <c r="AB1801" s="1345"/>
      <c r="AC1801" s="1345"/>
      <c r="AD1801" s="1345"/>
      <c r="AE1801" s="1345"/>
      <c r="AF1801" s="1345"/>
      <c r="AG1801" s="1345"/>
      <c r="AH1801" s="1345"/>
      <c r="AI1801" s="1345"/>
      <c r="AJ1801" s="344"/>
      <c r="AK1801" s="345"/>
      <c r="AL1801" s="340"/>
      <c r="AM1801" s="1345" t="str">
        <f>CONCATENATE("The ",LoaiCT_E,"‘s business operations will bear the risks of changes on prices, exchange rates and interest rates.")</f>
        <v>The Corporation‘s business operations will bear the risks of changes on prices, exchange rates and interest rates.</v>
      </c>
      <c r="AN1801" s="1345"/>
      <c r="AO1801" s="1345"/>
      <c r="AP1801" s="1345"/>
      <c r="AQ1801" s="1345"/>
      <c r="AR1801" s="1345"/>
      <c r="AS1801" s="1345"/>
      <c r="AT1801" s="1345"/>
      <c r="AU1801" s="1345"/>
      <c r="AV1801" s="1345"/>
      <c r="AW1801" s="1345"/>
      <c r="AX1801" s="1345"/>
      <c r="AY1801" s="1345"/>
      <c r="AZ1801" s="1345"/>
      <c r="BA1801" s="1345"/>
      <c r="BB1801" s="1345"/>
      <c r="BC1801" s="1345"/>
      <c r="BD1801" s="1345"/>
      <c r="BE1801" s="1345"/>
      <c r="BF1801" s="1345"/>
      <c r="BG1801" s="1345"/>
      <c r="BH1801" s="1345"/>
      <c r="BI1801" s="1345"/>
      <c r="BJ1801" s="1345"/>
      <c r="BK1801" s="1345"/>
      <c r="BL1801" s="1345"/>
      <c r="BM1801" s="1345"/>
      <c r="BN1801" s="1345"/>
      <c r="BO1801" s="1345"/>
      <c r="BP1801" s="1345"/>
      <c r="BQ1801" s="1345"/>
      <c r="BR1801" s="1345"/>
      <c r="BS1801" s="1345"/>
      <c r="BT1801" s="342"/>
      <c r="BU1801" s="346"/>
      <c r="BV1801" s="310"/>
      <c r="BW1801" s="310"/>
      <c r="BX1801" s="291">
        <f t="shared" si="132"/>
        <v>0</v>
      </c>
      <c r="BY1801" s="344"/>
      <c r="BZ1801" s="347"/>
      <c r="CA1801" s="347"/>
    </row>
    <row r="1802" spans="1:79" ht="14.1" customHeight="1" x14ac:dyDescent="0.25">
      <c r="A1802" s="313"/>
      <c r="B1802" s="340"/>
      <c r="C1802" s="1345"/>
      <c r="D1802" s="1345"/>
      <c r="E1802" s="1345"/>
      <c r="F1802" s="1345"/>
      <c r="G1802" s="1345"/>
      <c r="H1802" s="1345"/>
      <c r="I1802" s="1345"/>
      <c r="J1802" s="1345"/>
      <c r="K1802" s="1345"/>
      <c r="L1802" s="1345"/>
      <c r="M1802" s="1345"/>
      <c r="N1802" s="1345"/>
      <c r="O1802" s="1345"/>
      <c r="P1802" s="1345"/>
      <c r="Q1802" s="1345"/>
      <c r="R1802" s="1345"/>
      <c r="S1802" s="1345"/>
      <c r="T1802" s="1345"/>
      <c r="U1802" s="1345"/>
      <c r="V1802" s="1345"/>
      <c r="W1802" s="1345"/>
      <c r="X1802" s="1345"/>
      <c r="Y1802" s="1345"/>
      <c r="Z1802" s="1345"/>
      <c r="AA1802" s="1345"/>
      <c r="AB1802" s="1345"/>
      <c r="AC1802" s="1345"/>
      <c r="AD1802" s="1345"/>
      <c r="AE1802" s="1345"/>
      <c r="AF1802" s="1345"/>
      <c r="AG1802" s="1345"/>
      <c r="AH1802" s="1345"/>
      <c r="AI1802" s="1345"/>
      <c r="AJ1802" s="344"/>
      <c r="AK1802" s="345"/>
      <c r="AL1802" s="340"/>
      <c r="AM1802" s="1345"/>
      <c r="AN1802" s="1345"/>
      <c r="AO1802" s="1345"/>
      <c r="AP1802" s="1345"/>
      <c r="AQ1802" s="1345"/>
      <c r="AR1802" s="1345"/>
      <c r="AS1802" s="1345"/>
      <c r="AT1802" s="1345"/>
      <c r="AU1802" s="1345"/>
      <c r="AV1802" s="1345"/>
      <c r="AW1802" s="1345"/>
      <c r="AX1802" s="1345"/>
      <c r="AY1802" s="1345"/>
      <c r="AZ1802" s="1345"/>
      <c r="BA1802" s="1345"/>
      <c r="BB1802" s="1345"/>
      <c r="BC1802" s="1345"/>
      <c r="BD1802" s="1345"/>
      <c r="BE1802" s="1345"/>
      <c r="BF1802" s="1345"/>
      <c r="BG1802" s="1345"/>
      <c r="BH1802" s="1345"/>
      <c r="BI1802" s="1345"/>
      <c r="BJ1802" s="1345"/>
      <c r="BK1802" s="1345"/>
      <c r="BL1802" s="1345"/>
      <c r="BM1802" s="1345"/>
      <c r="BN1802" s="1345"/>
      <c r="BO1802" s="1345"/>
      <c r="BP1802" s="1345"/>
      <c r="BQ1802" s="1345"/>
      <c r="BR1802" s="1345"/>
      <c r="BS1802" s="1345"/>
      <c r="BT1802" s="342"/>
      <c r="BU1802" s="346"/>
      <c r="BV1802" s="310"/>
      <c r="BW1802" s="310"/>
      <c r="BX1802" s="291">
        <f t="shared" si="132"/>
        <v>0</v>
      </c>
      <c r="BY1802" s="344"/>
      <c r="BZ1802" s="347"/>
      <c r="CA1802" s="347"/>
    </row>
    <row r="1803" spans="1:79" ht="15" customHeight="1" x14ac:dyDescent="0.25">
      <c r="A1803" s="313"/>
      <c r="B1803" s="340"/>
      <c r="C1803" s="1345" t="s">
        <v>1830</v>
      </c>
      <c r="D1803" s="1345"/>
      <c r="E1803" s="1345"/>
      <c r="F1803" s="1345"/>
      <c r="G1803" s="1345"/>
      <c r="H1803" s="1345"/>
      <c r="I1803" s="1345"/>
      <c r="J1803" s="1345"/>
      <c r="K1803" s="1345"/>
      <c r="L1803" s="1345"/>
      <c r="M1803" s="1345"/>
      <c r="N1803" s="1345"/>
      <c r="O1803" s="1345"/>
      <c r="P1803" s="1345"/>
      <c r="Q1803" s="1345"/>
      <c r="R1803" s="1345"/>
      <c r="S1803" s="1345"/>
      <c r="T1803" s="1345"/>
      <c r="U1803" s="1345"/>
      <c r="V1803" s="1345"/>
      <c r="W1803" s="1345"/>
      <c r="X1803" s="1345"/>
      <c r="Y1803" s="1345"/>
      <c r="Z1803" s="1345"/>
      <c r="AA1803" s="1345"/>
      <c r="AB1803" s="1345"/>
      <c r="AC1803" s="1345"/>
      <c r="AD1803" s="1345"/>
      <c r="AE1803" s="1345"/>
      <c r="AF1803" s="1345"/>
      <c r="AG1803" s="1345"/>
      <c r="AH1803" s="1345"/>
      <c r="AI1803" s="1345"/>
      <c r="AJ1803" s="344"/>
      <c r="AK1803" s="345"/>
      <c r="AL1803" s="340"/>
      <c r="AM1803" s="1345" t="s">
        <v>1831</v>
      </c>
      <c r="AN1803" s="1345"/>
      <c r="AO1803" s="1345"/>
      <c r="AP1803" s="1345"/>
      <c r="AQ1803" s="1345"/>
      <c r="AR1803" s="1345"/>
      <c r="AS1803" s="1345"/>
      <c r="AT1803" s="1345"/>
      <c r="AU1803" s="1345"/>
      <c r="AV1803" s="1345"/>
      <c r="AW1803" s="1345"/>
      <c r="AX1803" s="1345"/>
      <c r="AY1803" s="1345"/>
      <c r="AZ1803" s="1345"/>
      <c r="BA1803" s="1345"/>
      <c r="BB1803" s="1345"/>
      <c r="BC1803" s="1345"/>
      <c r="BD1803" s="1345"/>
      <c r="BE1803" s="1345"/>
      <c r="BF1803" s="1345"/>
      <c r="BG1803" s="1345"/>
      <c r="BH1803" s="1345"/>
      <c r="BI1803" s="1345"/>
      <c r="BJ1803" s="1345"/>
      <c r="BK1803" s="1345"/>
      <c r="BL1803" s="1345"/>
      <c r="BM1803" s="1345"/>
      <c r="BN1803" s="1345"/>
      <c r="BO1803" s="1345"/>
      <c r="BP1803" s="1345"/>
      <c r="BQ1803" s="1345"/>
      <c r="BR1803" s="1345"/>
      <c r="BS1803" s="1345"/>
      <c r="BT1803" s="342"/>
      <c r="BU1803" s="346"/>
      <c r="BV1803" s="310"/>
      <c r="BW1803" s="310"/>
      <c r="BX1803" s="291">
        <f t="shared" si="132"/>
        <v>0</v>
      </c>
      <c r="BY1803" s="344"/>
      <c r="BZ1803" s="347"/>
      <c r="CA1803" s="347"/>
    </row>
    <row r="1804" spans="1:79" ht="56.1" customHeight="1" x14ac:dyDescent="0.25">
      <c r="A1804" s="313"/>
      <c r="B1804" s="340"/>
      <c r="C1804" s="1345" t="str">
        <f>CONCATENATE(LoaiCT_V," chịu rủi ro về giá của các công cụ vốn phát sinh từ các khoản đầu tư cổ phiếu ngắn hạn và dài hạn do tính không chắc chắn về giá tương lai của cổ phiếu đầu tư."," Các khoản đầu tư cổ phiếu dài hạn được nắm giữ với mục đích chiến lược lâu dài, tại thời điểm kết thúc kỳ kế toán năm ",LoaiCT_V," chưa có kế hoạch bán các khoản đầu tư này.")</f>
        <v>Công ty chịu rủi ro về giá của các công cụ vốn phát sinh từ các khoản đầu tư cổ phiếu ngắn hạn và dài hạn do tính không chắc chắn về giá tương lai của cổ phiếu đầu tư. Các khoản đầu tư cổ phiếu dài hạn được nắm giữ với mục đích chiến lược lâu dài, tại thời điểm kết thúc kỳ kế toán năm Công ty chưa có kế hoạch bán các khoản đầu tư này.</v>
      </c>
      <c r="D1804" s="1345"/>
      <c r="E1804" s="1345"/>
      <c r="F1804" s="1345"/>
      <c r="G1804" s="1345"/>
      <c r="H1804" s="1345"/>
      <c r="I1804" s="1345"/>
      <c r="J1804" s="1345"/>
      <c r="K1804" s="1345"/>
      <c r="L1804" s="1345"/>
      <c r="M1804" s="1345"/>
      <c r="N1804" s="1345"/>
      <c r="O1804" s="1345"/>
      <c r="P1804" s="1345"/>
      <c r="Q1804" s="1345"/>
      <c r="R1804" s="1345"/>
      <c r="S1804" s="1345"/>
      <c r="T1804" s="1345"/>
      <c r="U1804" s="1345"/>
      <c r="V1804" s="1345"/>
      <c r="W1804" s="1345"/>
      <c r="X1804" s="1345"/>
      <c r="Y1804" s="1345"/>
      <c r="Z1804" s="1345"/>
      <c r="AA1804" s="1345"/>
      <c r="AB1804" s="1345"/>
      <c r="AC1804" s="1345"/>
      <c r="AD1804" s="1345"/>
      <c r="AE1804" s="1345"/>
      <c r="AF1804" s="1345"/>
      <c r="AG1804" s="1345"/>
      <c r="AH1804" s="1345"/>
      <c r="AI1804" s="1345"/>
      <c r="AJ1804" s="344"/>
      <c r="AK1804" s="345"/>
      <c r="AL1804" s="340"/>
      <c r="AM1804" s="1345" t="str">
        <f>CONCATENATE("The ",LoaiCT_E," bears price risk of equity instruments from short-term and long-term security investments due to uncertainty on future prices of the securities. Long-term securities are held for long-term strategies, at the end of the fiscal year, the ",LoaiCT_E," has no plans to sell these investments.")</f>
        <v>The Corporation bears price risk of equity instruments from short-term and long-term security investments due to uncertainty on future prices of the securities. Long-term securities are held for long-term strategies, at the end of the fiscal year, the Corporation has no plans to sell these investments.</v>
      </c>
      <c r="AN1804" s="1345"/>
      <c r="AO1804" s="1345"/>
      <c r="AP1804" s="1345"/>
      <c r="AQ1804" s="1345"/>
      <c r="AR1804" s="1345"/>
      <c r="AS1804" s="1345"/>
      <c r="AT1804" s="1345"/>
      <c r="AU1804" s="1345"/>
      <c r="AV1804" s="1345"/>
      <c r="AW1804" s="1345"/>
      <c r="AX1804" s="1345"/>
      <c r="AY1804" s="1345"/>
      <c r="AZ1804" s="1345"/>
      <c r="BA1804" s="1345"/>
      <c r="BB1804" s="1345"/>
      <c r="BC1804" s="1345"/>
      <c r="BD1804" s="1345"/>
      <c r="BE1804" s="1345"/>
      <c r="BF1804" s="1345"/>
      <c r="BG1804" s="1345"/>
      <c r="BH1804" s="1345"/>
      <c r="BI1804" s="1345"/>
      <c r="BJ1804" s="1345"/>
      <c r="BK1804" s="1345"/>
      <c r="BL1804" s="1345"/>
      <c r="BM1804" s="1345"/>
      <c r="BN1804" s="1345"/>
      <c r="BO1804" s="1345"/>
      <c r="BP1804" s="1345"/>
      <c r="BQ1804" s="1345"/>
      <c r="BR1804" s="1345"/>
      <c r="BS1804" s="1345"/>
      <c r="BT1804" s="342"/>
      <c r="BU1804" s="346"/>
      <c r="BV1804" s="310"/>
      <c r="BW1804" s="310"/>
      <c r="BX1804" s="291">
        <f t="shared" si="132"/>
        <v>0</v>
      </c>
      <c r="BY1804" s="344"/>
      <c r="BZ1804" s="347"/>
      <c r="CA1804" s="347"/>
    </row>
    <row r="1805" spans="1:79" ht="14.1" customHeight="1" x14ac:dyDescent="0.25">
      <c r="A1805" s="313"/>
      <c r="B1805" s="340"/>
      <c r="C1805" s="1345"/>
      <c r="D1805" s="1345"/>
      <c r="E1805" s="1345"/>
      <c r="F1805" s="1345"/>
      <c r="G1805" s="1345"/>
      <c r="H1805" s="1345"/>
      <c r="I1805" s="1345"/>
      <c r="J1805" s="1345"/>
      <c r="K1805" s="1345"/>
      <c r="L1805" s="1345"/>
      <c r="M1805" s="1345"/>
      <c r="N1805" s="1345"/>
      <c r="O1805" s="1345"/>
      <c r="P1805" s="1345"/>
      <c r="Q1805" s="1345"/>
      <c r="R1805" s="1345"/>
      <c r="S1805" s="1345"/>
      <c r="T1805" s="1345"/>
      <c r="U1805" s="1345"/>
      <c r="V1805" s="1345"/>
      <c r="W1805" s="1345"/>
      <c r="X1805" s="1345"/>
      <c r="Y1805" s="1345"/>
      <c r="Z1805" s="1345"/>
      <c r="AA1805" s="1345"/>
      <c r="AB1805" s="1345"/>
      <c r="AC1805" s="1345"/>
      <c r="AD1805" s="1345"/>
      <c r="AE1805" s="1345"/>
      <c r="AF1805" s="1345"/>
      <c r="AG1805" s="1345"/>
      <c r="AH1805" s="1345"/>
      <c r="AI1805" s="1345"/>
      <c r="AJ1805" s="344"/>
      <c r="AK1805" s="345"/>
      <c r="AL1805" s="340"/>
      <c r="AM1805" s="1345"/>
      <c r="AN1805" s="1345"/>
      <c r="AO1805" s="1345"/>
      <c r="AP1805" s="1345"/>
      <c r="AQ1805" s="1345"/>
      <c r="AR1805" s="1345"/>
      <c r="AS1805" s="1345"/>
      <c r="AT1805" s="1345"/>
      <c r="AU1805" s="1345"/>
      <c r="AV1805" s="1345"/>
      <c r="AW1805" s="1345"/>
      <c r="AX1805" s="1345"/>
      <c r="AY1805" s="1345"/>
      <c r="AZ1805" s="1345"/>
      <c r="BA1805" s="1345"/>
      <c r="BB1805" s="1345"/>
      <c r="BC1805" s="1345"/>
      <c r="BD1805" s="1345"/>
      <c r="BE1805" s="1345"/>
      <c r="BF1805" s="1345"/>
      <c r="BG1805" s="1345"/>
      <c r="BH1805" s="1345"/>
      <c r="BI1805" s="1345"/>
      <c r="BJ1805" s="1345"/>
      <c r="BK1805" s="1345"/>
      <c r="BL1805" s="1345"/>
      <c r="BM1805" s="1345"/>
      <c r="BN1805" s="1345"/>
      <c r="BO1805" s="1345"/>
      <c r="BP1805" s="1345"/>
      <c r="BQ1805" s="1345"/>
      <c r="BR1805" s="1345"/>
      <c r="BS1805" s="1345"/>
      <c r="BT1805" s="342"/>
      <c r="BU1805" s="346"/>
      <c r="BV1805" s="310"/>
      <c r="BW1805" s="310"/>
      <c r="BX1805" s="291">
        <f t="shared" si="132"/>
        <v>0</v>
      </c>
      <c r="BY1805" s="344"/>
      <c r="BZ1805" s="347"/>
      <c r="CA1805" s="347"/>
    </row>
    <row r="1806" spans="1:79" ht="15" customHeight="1" x14ac:dyDescent="0.25">
      <c r="A1806" s="313"/>
      <c r="B1806" s="340"/>
      <c r="C1806" s="1345" t="s">
        <v>1832</v>
      </c>
      <c r="D1806" s="1345"/>
      <c r="E1806" s="1345"/>
      <c r="F1806" s="1345"/>
      <c r="G1806" s="1345"/>
      <c r="H1806" s="1345"/>
      <c r="I1806" s="1345"/>
      <c r="J1806" s="1345"/>
      <c r="K1806" s="1345"/>
      <c r="L1806" s="1345"/>
      <c r="M1806" s="1345"/>
      <c r="N1806" s="1345"/>
      <c r="O1806" s="1345"/>
      <c r="P1806" s="1345"/>
      <c r="Q1806" s="1345"/>
      <c r="R1806" s="1345"/>
      <c r="S1806" s="1345"/>
      <c r="T1806" s="1345"/>
      <c r="U1806" s="1345"/>
      <c r="V1806" s="1345"/>
      <c r="W1806" s="1345"/>
      <c r="X1806" s="1345"/>
      <c r="Y1806" s="1345"/>
      <c r="Z1806" s="1345"/>
      <c r="AA1806" s="1345"/>
      <c r="AB1806" s="1345"/>
      <c r="AC1806" s="1345"/>
      <c r="AD1806" s="1345"/>
      <c r="AE1806" s="1345"/>
      <c r="AF1806" s="1345"/>
      <c r="AG1806" s="1345"/>
      <c r="AH1806" s="1345"/>
      <c r="AI1806" s="1345"/>
      <c r="AJ1806" s="344"/>
      <c r="AK1806" s="345"/>
      <c r="AL1806" s="340"/>
      <c r="AM1806" s="1345" t="s">
        <v>1833</v>
      </c>
      <c r="AN1806" s="1345"/>
      <c r="AO1806" s="1345"/>
      <c r="AP1806" s="1345"/>
      <c r="AQ1806" s="1345"/>
      <c r="AR1806" s="1345"/>
      <c r="AS1806" s="1345"/>
      <c r="AT1806" s="1345"/>
      <c r="AU1806" s="1345"/>
      <c r="AV1806" s="1345"/>
      <c r="AW1806" s="1345"/>
      <c r="AX1806" s="1345"/>
      <c r="AY1806" s="1345"/>
      <c r="AZ1806" s="1345"/>
      <c r="BA1806" s="1345"/>
      <c r="BB1806" s="1345"/>
      <c r="BC1806" s="1345"/>
      <c r="BD1806" s="1345"/>
      <c r="BE1806" s="1345"/>
      <c r="BF1806" s="1345"/>
      <c r="BG1806" s="1345"/>
      <c r="BH1806" s="1345"/>
      <c r="BI1806" s="1345"/>
      <c r="BJ1806" s="1345"/>
      <c r="BK1806" s="1345"/>
      <c r="BL1806" s="1345"/>
      <c r="BM1806" s="1345"/>
      <c r="BN1806" s="1345"/>
      <c r="BO1806" s="1345"/>
      <c r="BP1806" s="1345"/>
      <c r="BQ1806" s="1345"/>
      <c r="BR1806" s="1345"/>
      <c r="BS1806" s="1345"/>
      <c r="BT1806" s="342"/>
      <c r="BU1806" s="346"/>
      <c r="BV1806" s="310"/>
      <c r="BW1806" s="310"/>
      <c r="BX1806" s="291">
        <f t="shared" si="132"/>
        <v>0</v>
      </c>
      <c r="BY1806" s="344"/>
      <c r="BZ1806" s="347"/>
      <c r="CA1806" s="347"/>
    </row>
    <row r="1807" spans="1:79" ht="42" customHeight="1" x14ac:dyDescent="0.25">
      <c r="A1807" s="313"/>
      <c r="B1807" s="340"/>
      <c r="C1807" s="1345" t="str">
        <f>CONCATENATE(LoaiCT_V," chịu rủi ro về tỷ giá do giá trị hợp lý của các luồng tiền trong tương lai của một công cụ tài chính sẽ biến động theo những thay đổi của tỷ giá ngoại tệ khi các khoản vay, doanh thu và chi phí của ",LoaiCT_V," được thực hiện bằng đơn vị tiền tệ khác với đồng Việt Nam.")</f>
        <v>Công ty chịu rủi ro về tỷ giá do giá trị hợp lý của các luồng tiền trong tương lai của một công cụ tài chính sẽ biến động theo những thay đổi của tỷ giá ngoại tệ khi các khoản vay, doanh thu và chi phí của Công ty được thực hiện bằng đơn vị tiền tệ khác với đồng Việt Nam.</v>
      </c>
      <c r="D1807" s="1345"/>
      <c r="E1807" s="1345"/>
      <c r="F1807" s="1345"/>
      <c r="G1807" s="1345"/>
      <c r="H1807" s="1345"/>
      <c r="I1807" s="1345"/>
      <c r="J1807" s="1345"/>
      <c r="K1807" s="1345"/>
      <c r="L1807" s="1345"/>
      <c r="M1807" s="1345"/>
      <c r="N1807" s="1345"/>
      <c r="O1807" s="1345"/>
      <c r="P1807" s="1345"/>
      <c r="Q1807" s="1345"/>
      <c r="R1807" s="1345"/>
      <c r="S1807" s="1345"/>
      <c r="T1807" s="1345"/>
      <c r="U1807" s="1345"/>
      <c r="V1807" s="1345"/>
      <c r="W1807" s="1345"/>
      <c r="X1807" s="1345"/>
      <c r="Y1807" s="1345"/>
      <c r="Z1807" s="1345"/>
      <c r="AA1807" s="1345"/>
      <c r="AB1807" s="1345"/>
      <c r="AC1807" s="1345"/>
      <c r="AD1807" s="1345"/>
      <c r="AE1807" s="1345"/>
      <c r="AF1807" s="1345"/>
      <c r="AG1807" s="1345"/>
      <c r="AH1807" s="1345"/>
      <c r="AI1807" s="1345"/>
      <c r="AJ1807" s="344"/>
      <c r="AK1807" s="345"/>
      <c r="AL1807" s="340"/>
      <c r="AM1807" s="1345" t="str">
        <f>CONCATENATE("The ",LoaiCT_E," bears the risk of exchange rate due to fluctuation in fair value of future cash flows of a financial instrument according to changes in exchange rates if loans, revenues and expenses of the ",LoaiCT_E," are done in foreign currencies other than VND.")</f>
        <v>The Corporation bears the risk of exchange rate due to fluctuation in fair value of future cash flows of a financial instrument according to changes in exchange rates if loans, revenues and expenses of the Corporation are done in foreign currencies other than VND.</v>
      </c>
      <c r="AN1807" s="1345"/>
      <c r="AO1807" s="1345"/>
      <c r="AP1807" s="1345"/>
      <c r="AQ1807" s="1345"/>
      <c r="AR1807" s="1345"/>
      <c r="AS1807" s="1345"/>
      <c r="AT1807" s="1345"/>
      <c r="AU1807" s="1345"/>
      <c r="AV1807" s="1345"/>
      <c r="AW1807" s="1345"/>
      <c r="AX1807" s="1345"/>
      <c r="AY1807" s="1345"/>
      <c r="AZ1807" s="1345"/>
      <c r="BA1807" s="1345"/>
      <c r="BB1807" s="1345"/>
      <c r="BC1807" s="1345"/>
      <c r="BD1807" s="1345"/>
      <c r="BE1807" s="1345"/>
      <c r="BF1807" s="1345"/>
      <c r="BG1807" s="1345"/>
      <c r="BH1807" s="1345"/>
      <c r="BI1807" s="1345"/>
      <c r="BJ1807" s="1345"/>
      <c r="BK1807" s="1345"/>
      <c r="BL1807" s="1345"/>
      <c r="BM1807" s="1345"/>
      <c r="BN1807" s="1345"/>
      <c r="BO1807" s="1345"/>
      <c r="BP1807" s="1345"/>
      <c r="BQ1807" s="1345"/>
      <c r="BR1807" s="1345"/>
      <c r="BS1807" s="1345"/>
      <c r="BT1807" s="342"/>
      <c r="BU1807" s="346"/>
      <c r="BV1807" s="310"/>
      <c r="BW1807" s="310"/>
      <c r="BX1807" s="291">
        <f t="shared" si="132"/>
        <v>0</v>
      </c>
      <c r="BY1807" s="344"/>
      <c r="BZ1807" s="347"/>
      <c r="CA1807" s="347"/>
    </row>
    <row r="1808" spans="1:79" ht="14.1" customHeight="1" x14ac:dyDescent="0.25">
      <c r="A1808" s="313"/>
      <c r="B1808" s="340"/>
      <c r="C1808" s="1345"/>
      <c r="D1808" s="1345"/>
      <c r="E1808" s="1345"/>
      <c r="F1808" s="1345"/>
      <c r="G1808" s="1345"/>
      <c r="H1808" s="1345"/>
      <c r="I1808" s="1345"/>
      <c r="J1808" s="1345"/>
      <c r="K1808" s="1345"/>
      <c r="L1808" s="1345"/>
      <c r="M1808" s="1345"/>
      <c r="N1808" s="1345"/>
      <c r="O1808" s="1345"/>
      <c r="P1808" s="1345"/>
      <c r="Q1808" s="1345"/>
      <c r="R1808" s="1345"/>
      <c r="S1808" s="1345"/>
      <c r="T1808" s="1345"/>
      <c r="U1808" s="1345"/>
      <c r="V1808" s="1345"/>
      <c r="W1808" s="1345"/>
      <c r="X1808" s="1345"/>
      <c r="Y1808" s="1345"/>
      <c r="Z1808" s="1345"/>
      <c r="AA1808" s="1345"/>
      <c r="AB1808" s="1345"/>
      <c r="AC1808" s="1345"/>
      <c r="AD1808" s="1345"/>
      <c r="AE1808" s="1345"/>
      <c r="AF1808" s="1345"/>
      <c r="AG1808" s="1345"/>
      <c r="AH1808" s="1345"/>
      <c r="AI1808" s="1345"/>
      <c r="AJ1808" s="344"/>
      <c r="AK1808" s="345"/>
      <c r="AL1808" s="340"/>
      <c r="AM1808" s="1345"/>
      <c r="AN1808" s="1345"/>
      <c r="AO1808" s="1345"/>
      <c r="AP1808" s="1345"/>
      <c r="AQ1808" s="1345"/>
      <c r="AR1808" s="1345"/>
      <c r="AS1808" s="1345"/>
      <c r="AT1808" s="1345"/>
      <c r="AU1808" s="1345"/>
      <c r="AV1808" s="1345"/>
      <c r="AW1808" s="1345"/>
      <c r="AX1808" s="1345"/>
      <c r="AY1808" s="1345"/>
      <c r="AZ1808" s="1345"/>
      <c r="BA1808" s="1345"/>
      <c r="BB1808" s="1345"/>
      <c r="BC1808" s="1345"/>
      <c r="BD1808" s="1345"/>
      <c r="BE1808" s="1345"/>
      <c r="BF1808" s="1345"/>
      <c r="BG1808" s="1345"/>
      <c r="BH1808" s="1345"/>
      <c r="BI1808" s="1345"/>
      <c r="BJ1808" s="1345"/>
      <c r="BK1808" s="1345"/>
      <c r="BL1808" s="1345"/>
      <c r="BM1808" s="1345"/>
      <c r="BN1808" s="1345"/>
      <c r="BO1808" s="1345"/>
      <c r="BP1808" s="1345"/>
      <c r="BQ1808" s="1345"/>
      <c r="BR1808" s="1345"/>
      <c r="BS1808" s="1345"/>
      <c r="BT1808" s="342"/>
      <c r="BU1808" s="346"/>
      <c r="BV1808" s="310"/>
      <c r="BW1808" s="310"/>
      <c r="BX1808" s="291">
        <f t="shared" si="132"/>
        <v>0</v>
      </c>
      <c r="BY1808" s="344"/>
      <c r="BZ1808" s="347"/>
      <c r="CA1808" s="347"/>
    </row>
    <row r="1809" spans="1:79" ht="15" customHeight="1" x14ac:dyDescent="0.25">
      <c r="A1809" s="313"/>
      <c r="B1809" s="340"/>
      <c r="C1809" s="1345" t="s">
        <v>1834</v>
      </c>
      <c r="D1809" s="1345"/>
      <c r="E1809" s="1345"/>
      <c r="F1809" s="1345"/>
      <c r="G1809" s="1345"/>
      <c r="H1809" s="1345"/>
      <c r="I1809" s="1345"/>
      <c r="J1809" s="1345"/>
      <c r="K1809" s="1345"/>
      <c r="L1809" s="1345"/>
      <c r="M1809" s="1345"/>
      <c r="N1809" s="1345"/>
      <c r="O1809" s="1345"/>
      <c r="P1809" s="1345"/>
      <c r="Q1809" s="1345"/>
      <c r="R1809" s="1345"/>
      <c r="S1809" s="1345"/>
      <c r="T1809" s="1345"/>
      <c r="U1809" s="1345"/>
      <c r="V1809" s="1345"/>
      <c r="W1809" s="1345"/>
      <c r="X1809" s="1345"/>
      <c r="Y1809" s="1345"/>
      <c r="Z1809" s="1345"/>
      <c r="AA1809" s="1345"/>
      <c r="AB1809" s="1345"/>
      <c r="AC1809" s="1345"/>
      <c r="AD1809" s="1345"/>
      <c r="AE1809" s="1345"/>
      <c r="AF1809" s="1345"/>
      <c r="AG1809" s="1345"/>
      <c r="AH1809" s="1345"/>
      <c r="AI1809" s="1345"/>
      <c r="AJ1809" s="344"/>
      <c r="AK1809" s="345"/>
      <c r="AL1809" s="340"/>
      <c r="AM1809" s="1345" t="s">
        <v>1835</v>
      </c>
      <c r="AN1809" s="1345"/>
      <c r="AO1809" s="1345"/>
      <c r="AP1809" s="1345"/>
      <c r="AQ1809" s="1345"/>
      <c r="AR1809" s="1345"/>
      <c r="AS1809" s="1345"/>
      <c r="AT1809" s="1345"/>
      <c r="AU1809" s="1345"/>
      <c r="AV1809" s="1345"/>
      <c r="AW1809" s="1345"/>
      <c r="AX1809" s="1345"/>
      <c r="AY1809" s="1345"/>
      <c r="AZ1809" s="1345"/>
      <c r="BA1809" s="1345"/>
      <c r="BB1809" s="1345"/>
      <c r="BC1809" s="1345"/>
      <c r="BD1809" s="1345"/>
      <c r="BE1809" s="1345"/>
      <c r="BF1809" s="1345"/>
      <c r="BG1809" s="1345"/>
      <c r="BH1809" s="1345"/>
      <c r="BI1809" s="1345"/>
      <c r="BJ1809" s="1345"/>
      <c r="BK1809" s="1345"/>
      <c r="BL1809" s="1345"/>
      <c r="BM1809" s="1345"/>
      <c r="BN1809" s="1345"/>
      <c r="BO1809" s="1345"/>
      <c r="BP1809" s="1345"/>
      <c r="BQ1809" s="1345"/>
      <c r="BR1809" s="1345"/>
      <c r="BS1809" s="1345"/>
      <c r="BT1809" s="342"/>
      <c r="BU1809" s="346"/>
      <c r="BV1809" s="310"/>
      <c r="BW1809" s="310"/>
      <c r="BX1809" s="291">
        <f t="shared" si="132"/>
        <v>0</v>
      </c>
      <c r="BY1809" s="344"/>
      <c r="BZ1809" s="347"/>
      <c r="CA1809" s="347"/>
    </row>
    <row r="1810" spans="1:79" ht="54.95" customHeight="1" x14ac:dyDescent="0.25">
      <c r="A1810" s="313"/>
      <c r="B1810" s="340"/>
      <c r="C1810" s="1345" t="str">
        <f>CONCATENATE(LoaiCT_V," chịu rủi ro về lãi suất do giá trị hợp lý của các luồng tiền trong tương lai của một công cụ tài chính sẽ biến động theo những thay đổi của lãi suất thị trường khi ",LoaiCT_V," có phát sinh các khoản tiền gửi có hoặc không có kỳ hạn, các khoản vay và nợ chịu lãi suất thả nổi. ",LoaiCT_V," quản lý rủi ro lãi suất bằng cách phân tích tình hình cạnh tranh trên thị trường để có được các lãi suất có lợi cho mục đích của ",LoaiCT_V,".")</f>
        <v>Công ty chịu rủi ro về lãi suất do giá trị hợp lý của các luồng tiền trong tương lai của một công cụ tài chính sẽ biến động theo những thay đổi của lãi suất thị trường khi Công ty có phát sinh các khoản tiền gửi có hoặc không có kỳ hạn, các khoản vay và nợ chịu lãi suất thả nổi. Công ty quản lý rủi ro lãi suất bằng cách phân tích tình hình cạnh tranh trên thị trường để có được các lãi suất có lợi cho mục đích của Công ty.</v>
      </c>
      <c r="D1810" s="1345"/>
      <c r="E1810" s="1345"/>
      <c r="F1810" s="1345"/>
      <c r="G1810" s="1345"/>
      <c r="H1810" s="1345"/>
      <c r="I1810" s="1345"/>
      <c r="J1810" s="1345"/>
      <c r="K1810" s="1345"/>
      <c r="L1810" s="1345"/>
      <c r="M1810" s="1345"/>
      <c r="N1810" s="1345"/>
      <c r="O1810" s="1345"/>
      <c r="P1810" s="1345"/>
      <c r="Q1810" s="1345"/>
      <c r="R1810" s="1345"/>
      <c r="S1810" s="1345"/>
      <c r="T1810" s="1345"/>
      <c r="U1810" s="1345"/>
      <c r="V1810" s="1345"/>
      <c r="W1810" s="1345"/>
      <c r="X1810" s="1345"/>
      <c r="Y1810" s="1345"/>
      <c r="Z1810" s="1345"/>
      <c r="AA1810" s="1345"/>
      <c r="AB1810" s="1345"/>
      <c r="AC1810" s="1345"/>
      <c r="AD1810" s="1345"/>
      <c r="AE1810" s="1345"/>
      <c r="AF1810" s="1345"/>
      <c r="AG1810" s="1345"/>
      <c r="AH1810" s="1345"/>
      <c r="AI1810" s="1345"/>
      <c r="AJ1810" s="344"/>
      <c r="AK1810" s="345"/>
      <c r="AL1810" s="340"/>
      <c r="AM1810" s="1345" t="str">
        <f>CONCATENATE("The ",LoaiCT_E," bears the risk of interest rates due to fluctuation in fair value of future cash flow of a financial instrument according to changes in market interest rates if the ",LoaiCT_E," has time or demand deposits, loans and debts subject to floating interest rates. The ",LoaiCT_E," manages interest rate risk by analyzing the market competition situation to obtain any interest profitable for its operation purpose.")</f>
        <v>The Corporation bears the risk of interest rates due to fluctuation in fair value of future cash flow of a financial instrument according to changes in market interest rates if the Corporation has time or demand deposits, loans and debts subject to floating interest rates. The Corporation manages interest rate risk by analyzing the market competition situation to obtain any interest profitable for its operation purpose.</v>
      </c>
      <c r="AN1810" s="1345"/>
      <c r="AO1810" s="1345"/>
      <c r="AP1810" s="1345"/>
      <c r="AQ1810" s="1345"/>
      <c r="AR1810" s="1345"/>
      <c r="AS1810" s="1345"/>
      <c r="AT1810" s="1345"/>
      <c r="AU1810" s="1345"/>
      <c r="AV1810" s="1345"/>
      <c r="AW1810" s="1345"/>
      <c r="AX1810" s="1345"/>
      <c r="AY1810" s="1345"/>
      <c r="AZ1810" s="1345"/>
      <c r="BA1810" s="1345"/>
      <c r="BB1810" s="1345"/>
      <c r="BC1810" s="1345"/>
      <c r="BD1810" s="1345"/>
      <c r="BE1810" s="1345"/>
      <c r="BF1810" s="1345"/>
      <c r="BG1810" s="1345"/>
      <c r="BH1810" s="1345"/>
      <c r="BI1810" s="1345"/>
      <c r="BJ1810" s="1345"/>
      <c r="BK1810" s="1345"/>
      <c r="BL1810" s="1345"/>
      <c r="BM1810" s="1345"/>
      <c r="BN1810" s="1345"/>
      <c r="BO1810" s="1345"/>
      <c r="BP1810" s="1345"/>
      <c r="BQ1810" s="1345"/>
      <c r="BR1810" s="1345"/>
      <c r="BS1810" s="1345"/>
      <c r="BT1810" s="342"/>
      <c r="BU1810" s="346"/>
      <c r="BV1810" s="310"/>
      <c r="BW1810" s="310"/>
      <c r="BX1810" s="291">
        <f t="shared" si="132"/>
        <v>0</v>
      </c>
      <c r="BY1810" s="344"/>
      <c r="BZ1810" s="347"/>
      <c r="CA1810" s="347"/>
    </row>
    <row r="1811" spans="1:79" ht="15" customHeight="1" x14ac:dyDescent="0.25">
      <c r="A1811" s="313"/>
      <c r="B1811" s="340"/>
      <c r="C1811" s="1345"/>
      <c r="D1811" s="1345"/>
      <c r="E1811" s="1345"/>
      <c r="F1811" s="1345"/>
      <c r="G1811" s="1345"/>
      <c r="H1811" s="1345"/>
      <c r="I1811" s="1345"/>
      <c r="J1811" s="1345"/>
      <c r="K1811" s="1345"/>
      <c r="L1811" s="1345"/>
      <c r="M1811" s="1345"/>
      <c r="N1811" s="1345"/>
      <c r="O1811" s="1345"/>
      <c r="P1811" s="1345"/>
      <c r="Q1811" s="1345"/>
      <c r="R1811" s="1345"/>
      <c r="S1811" s="1345"/>
      <c r="T1811" s="1345"/>
      <c r="U1811" s="1345"/>
      <c r="V1811" s="1345"/>
      <c r="W1811" s="1345"/>
      <c r="X1811" s="1345"/>
      <c r="Y1811" s="1345"/>
      <c r="Z1811" s="1345"/>
      <c r="AA1811" s="1345"/>
      <c r="AB1811" s="1345"/>
      <c r="AC1811" s="1345"/>
      <c r="AD1811" s="1345"/>
      <c r="AE1811" s="1345"/>
      <c r="AF1811" s="1345"/>
      <c r="AG1811" s="1345"/>
      <c r="AH1811" s="1345"/>
      <c r="AI1811" s="1345"/>
      <c r="AJ1811" s="344"/>
      <c r="AK1811" s="345"/>
      <c r="AL1811" s="340"/>
      <c r="AM1811" s="1345"/>
      <c r="AN1811" s="1345"/>
      <c r="AO1811" s="1345"/>
      <c r="AP1811" s="1345"/>
      <c r="AQ1811" s="1345"/>
      <c r="AR1811" s="1345"/>
      <c r="AS1811" s="1345"/>
      <c r="AT1811" s="1345"/>
      <c r="AU1811" s="1345"/>
      <c r="AV1811" s="1345"/>
      <c r="AW1811" s="1345"/>
      <c r="AX1811" s="1345"/>
      <c r="AY1811" s="1345"/>
      <c r="AZ1811" s="1345"/>
      <c r="BA1811" s="1345"/>
      <c r="BB1811" s="1345"/>
      <c r="BC1811" s="1345"/>
      <c r="BD1811" s="1345"/>
      <c r="BE1811" s="1345"/>
      <c r="BF1811" s="1345"/>
      <c r="BG1811" s="1345"/>
      <c r="BH1811" s="1345"/>
      <c r="BI1811" s="1345"/>
      <c r="BJ1811" s="1345"/>
      <c r="BK1811" s="1345"/>
      <c r="BL1811" s="1345"/>
      <c r="BM1811" s="1345"/>
      <c r="BN1811" s="1345"/>
      <c r="BO1811" s="1345"/>
      <c r="BP1811" s="1345"/>
      <c r="BQ1811" s="1345"/>
      <c r="BR1811" s="1345"/>
      <c r="BS1811" s="1345"/>
      <c r="BT1811" s="342"/>
      <c r="BU1811" s="346"/>
      <c r="BV1811" s="310"/>
      <c r="BW1811" s="310"/>
      <c r="BX1811" s="291">
        <f t="shared" si="132"/>
        <v>0</v>
      </c>
      <c r="BY1811" s="344"/>
      <c r="BZ1811" s="347"/>
      <c r="CA1811" s="347"/>
    </row>
    <row r="1812" spans="1:79" ht="15" customHeight="1" x14ac:dyDescent="0.25">
      <c r="A1812" s="313"/>
      <c r="B1812" s="340"/>
      <c r="C1812" s="1354" t="s">
        <v>1836</v>
      </c>
      <c r="D1812" s="1354"/>
      <c r="E1812" s="1354"/>
      <c r="F1812" s="1354"/>
      <c r="G1812" s="1354"/>
      <c r="H1812" s="1354"/>
      <c r="I1812" s="1354"/>
      <c r="J1812" s="1354"/>
      <c r="K1812" s="1354"/>
      <c r="L1812" s="1354"/>
      <c r="M1812" s="1354"/>
      <c r="N1812" s="1354"/>
      <c r="O1812" s="1354"/>
      <c r="P1812" s="1354"/>
      <c r="Q1812" s="1354"/>
      <c r="R1812" s="1354"/>
      <c r="S1812" s="1354"/>
      <c r="T1812" s="1354"/>
      <c r="U1812" s="1354"/>
      <c r="V1812" s="1354"/>
      <c r="W1812" s="1354"/>
      <c r="X1812" s="1354"/>
      <c r="Y1812" s="1354"/>
      <c r="Z1812" s="1354"/>
      <c r="AA1812" s="1354"/>
      <c r="AB1812" s="1354"/>
      <c r="AC1812" s="1354"/>
      <c r="AD1812" s="1354"/>
      <c r="AE1812" s="1354"/>
      <c r="AF1812" s="1354"/>
      <c r="AG1812" s="1354"/>
      <c r="AH1812" s="1354"/>
      <c r="AI1812" s="1354"/>
      <c r="AJ1812" s="344"/>
      <c r="AK1812" s="345"/>
      <c r="AL1812" s="340"/>
      <c r="AM1812" s="1354" t="s">
        <v>1837</v>
      </c>
      <c r="AN1812" s="1354"/>
      <c r="AO1812" s="1354"/>
      <c r="AP1812" s="1354"/>
      <c r="AQ1812" s="1354"/>
      <c r="AR1812" s="1354"/>
      <c r="AS1812" s="1354"/>
      <c r="AT1812" s="1354"/>
      <c r="AU1812" s="1354"/>
      <c r="AV1812" s="1354"/>
      <c r="AW1812" s="1354"/>
      <c r="AX1812" s="1354"/>
      <c r="AY1812" s="1354"/>
      <c r="AZ1812" s="1354"/>
      <c r="BA1812" s="1354"/>
      <c r="BB1812" s="1354"/>
      <c r="BC1812" s="1354"/>
      <c r="BD1812" s="1354"/>
      <c r="BE1812" s="1354"/>
      <c r="BF1812" s="1354"/>
      <c r="BG1812" s="1354"/>
      <c r="BH1812" s="1354"/>
      <c r="BI1812" s="1354"/>
      <c r="BJ1812" s="1354"/>
      <c r="BK1812" s="1354"/>
      <c r="BL1812" s="1354"/>
      <c r="BM1812" s="1354"/>
      <c r="BN1812" s="1354"/>
      <c r="BO1812" s="1354"/>
      <c r="BP1812" s="1354"/>
      <c r="BQ1812" s="1354"/>
      <c r="BR1812" s="1354"/>
      <c r="BS1812" s="1354"/>
      <c r="BT1812" s="342"/>
      <c r="BU1812" s="346"/>
      <c r="BV1812" s="310"/>
      <c r="BW1812" s="310"/>
      <c r="BX1812" s="291">
        <f t="shared" si="132"/>
        <v>0</v>
      </c>
      <c r="BY1812" s="344"/>
      <c r="BZ1812" s="347"/>
      <c r="CA1812" s="347"/>
    </row>
    <row r="1813" spans="1:79" ht="56.1" customHeight="1" x14ac:dyDescent="0.25">
      <c r="A1813" s="313"/>
      <c r="B1813" s="340"/>
      <c r="C1813" s="1345" t="str">
        <f>CONCATENATE("Rủi ro tín dụng là rủi ro mà một bên tham gia trong một công cụ tài chính hoặc hợp đồng không có khả năng thực hiện được nghĩa vụ của mình dẫn đến tổn thất về tài chính cho ",LoaiCT_V,". ",LoaiCT_V," có các rủi ro tín dụng từ hoạt động sản xuất kinh doanh (chủ yếu đối với các khoản phải thu khách hàng) và hoạt động tài chính (bao gồm tiền gửi ngân hàng, cho vay và các công cụ tài chính khác), cụ thể như sau:")</f>
        <v>Rủi ro tín dụng là rủi ro mà một bên tham gia trong một công cụ tài chính hoặc hợp đồng không có khả năng thực hiện được nghĩa vụ của mình dẫn đến tổn thất về tài chính cho Công ty. Công ty có các rủi ro tín dụng từ hoạt động sản xuất kinh doanh (chủ yếu đối với các khoản phải thu khách hàng) và hoạt động tài chính (bao gồm tiền gửi ngân hàng, cho vay và các công cụ tài chính khác), cụ thể như sau:</v>
      </c>
      <c r="D1813" s="1345"/>
      <c r="E1813" s="1345"/>
      <c r="F1813" s="1345"/>
      <c r="G1813" s="1345"/>
      <c r="H1813" s="1345"/>
      <c r="I1813" s="1345"/>
      <c r="J1813" s="1345"/>
      <c r="K1813" s="1345"/>
      <c r="L1813" s="1345"/>
      <c r="M1813" s="1345"/>
      <c r="N1813" s="1345"/>
      <c r="O1813" s="1345"/>
      <c r="P1813" s="1345"/>
      <c r="Q1813" s="1345"/>
      <c r="R1813" s="1345"/>
      <c r="S1813" s="1345"/>
      <c r="T1813" s="1345"/>
      <c r="U1813" s="1345"/>
      <c r="V1813" s="1345"/>
      <c r="W1813" s="1345"/>
      <c r="X1813" s="1345"/>
      <c r="Y1813" s="1345"/>
      <c r="Z1813" s="1345"/>
      <c r="AA1813" s="1345"/>
      <c r="AB1813" s="1345"/>
      <c r="AC1813" s="1345"/>
      <c r="AD1813" s="1345"/>
      <c r="AE1813" s="1345"/>
      <c r="AF1813" s="1345"/>
      <c r="AG1813" s="1345"/>
      <c r="AH1813" s="1345"/>
      <c r="AI1813" s="1345"/>
      <c r="AJ1813" s="344"/>
      <c r="AK1813" s="345"/>
      <c r="AL1813" s="340"/>
      <c r="AM1813" s="1345" t="str">
        <f>CONCATENATE("Credit risk is risk in which the potential loss may be incurred if a counterpart fails to perform its obligations under contractual terms or financial instruments. The ",LoaiCT_E," has credit risk from operating activities (mainly for trade receivables) and financial activities (including bank deposits, loans and other financial instruments), detailed as follows:")</f>
        <v>Credit risk is risk in which the potential loss may be incurred if a counterpart fails to perform its obligations under contractual terms or financial instruments. The Corporation has credit risk from operating activities (mainly for trade receivables) and financial activities (including bank deposits, loans and other financial instruments), detailed as follows:</v>
      </c>
      <c r="AN1813" s="1345"/>
      <c r="AO1813" s="1345"/>
      <c r="AP1813" s="1345"/>
      <c r="AQ1813" s="1345"/>
      <c r="AR1813" s="1345"/>
      <c r="AS1813" s="1345"/>
      <c r="AT1813" s="1345"/>
      <c r="AU1813" s="1345"/>
      <c r="AV1813" s="1345"/>
      <c r="AW1813" s="1345"/>
      <c r="AX1813" s="1345"/>
      <c r="AY1813" s="1345"/>
      <c r="AZ1813" s="1345"/>
      <c r="BA1813" s="1345"/>
      <c r="BB1813" s="1345"/>
      <c r="BC1813" s="1345"/>
      <c r="BD1813" s="1345"/>
      <c r="BE1813" s="1345"/>
      <c r="BF1813" s="1345"/>
      <c r="BG1813" s="1345"/>
      <c r="BH1813" s="1345"/>
      <c r="BI1813" s="1345"/>
      <c r="BJ1813" s="1345"/>
      <c r="BK1813" s="1345"/>
      <c r="BL1813" s="1345"/>
      <c r="BM1813" s="1345"/>
      <c r="BN1813" s="1345"/>
      <c r="BO1813" s="1345"/>
      <c r="BP1813" s="1345"/>
      <c r="BQ1813" s="1345"/>
      <c r="BR1813" s="1345"/>
      <c r="BS1813" s="1345"/>
      <c r="BT1813" s="342"/>
      <c r="BU1813" s="346"/>
      <c r="BV1813" s="310"/>
      <c r="BW1813" s="310"/>
      <c r="BX1813" s="291">
        <f t="shared" si="132"/>
        <v>0</v>
      </c>
      <c r="BY1813" s="344"/>
      <c r="BZ1813" s="347"/>
      <c r="CA1813" s="347"/>
    </row>
    <row r="1814" spans="1:79" ht="27.95" customHeight="1" x14ac:dyDescent="0.2">
      <c r="A1814" s="313"/>
      <c r="B1814" s="340"/>
      <c r="C1814" s="768"/>
      <c r="D1814" s="768"/>
      <c r="E1814" s="768"/>
      <c r="F1814" s="768"/>
      <c r="G1814" s="768"/>
      <c r="H1814" s="768"/>
      <c r="I1814" s="768"/>
      <c r="J1814" s="768"/>
      <c r="K1814" s="768"/>
      <c r="L1814" s="768"/>
      <c r="M1814" s="1352" t="s">
        <v>1838</v>
      </c>
      <c r="N1814" s="1352"/>
      <c r="O1814" s="1352"/>
      <c r="P1814" s="1352"/>
      <c r="Q1814" s="1352"/>
      <c r="R1814" s="769"/>
      <c r="S1814" s="1352" t="s">
        <v>1839</v>
      </c>
      <c r="T1814" s="1352"/>
      <c r="U1814" s="1352"/>
      <c r="V1814" s="1352"/>
      <c r="W1814" s="1352"/>
      <c r="X1814" s="769"/>
      <c r="Y1814" s="1352" t="s">
        <v>1840</v>
      </c>
      <c r="Z1814" s="1352"/>
      <c r="AA1814" s="1352"/>
      <c r="AB1814" s="1352"/>
      <c r="AC1814" s="1352"/>
      <c r="AD1814" s="769"/>
      <c r="AE1814" s="1352" t="s">
        <v>1068</v>
      </c>
      <c r="AF1814" s="1352"/>
      <c r="AG1814" s="1352"/>
      <c r="AH1814" s="1352"/>
      <c r="AI1814" s="1352"/>
      <c r="AJ1814" s="344"/>
      <c r="AK1814" s="345"/>
      <c r="AL1814" s="340"/>
      <c r="AM1814" s="768"/>
      <c r="AN1814" s="768"/>
      <c r="AO1814" s="768"/>
      <c r="AP1814" s="768"/>
      <c r="AQ1814" s="768"/>
      <c r="AR1814" s="768"/>
      <c r="AS1814" s="768"/>
      <c r="AT1814" s="768"/>
      <c r="AU1814" s="768"/>
      <c r="AV1814" s="768"/>
      <c r="AW1814" s="1352" t="s">
        <v>1841</v>
      </c>
      <c r="AX1814" s="1352"/>
      <c r="AY1814" s="1352"/>
      <c r="AZ1814" s="1352"/>
      <c r="BA1814" s="1352"/>
      <c r="BB1814" s="769"/>
      <c r="BC1814" s="1352" t="s">
        <v>1842</v>
      </c>
      <c r="BD1814" s="1352"/>
      <c r="BE1814" s="1352"/>
      <c r="BF1814" s="1352"/>
      <c r="BG1814" s="1352"/>
      <c r="BH1814" s="769"/>
      <c r="BI1814" s="1352" t="s">
        <v>1843</v>
      </c>
      <c r="BJ1814" s="1352"/>
      <c r="BK1814" s="1352"/>
      <c r="BL1814" s="1352"/>
      <c r="BM1814" s="1352"/>
      <c r="BN1814" s="769"/>
      <c r="BO1814" s="1352" t="s">
        <v>753</v>
      </c>
      <c r="BP1814" s="1352"/>
      <c r="BQ1814" s="1352"/>
      <c r="BR1814" s="1352"/>
      <c r="BS1814" s="1352"/>
      <c r="BT1814" s="342"/>
      <c r="BU1814" s="346"/>
      <c r="BV1814" s="310"/>
      <c r="BW1814" s="310"/>
      <c r="BX1814" s="291">
        <f t="shared" si="132"/>
        <v>0</v>
      </c>
      <c r="BY1814" s="344"/>
      <c r="BZ1814" s="347"/>
      <c r="CA1814" s="347"/>
    </row>
    <row r="1815" spans="1:79" ht="15" customHeight="1" x14ac:dyDescent="0.25">
      <c r="A1815" s="313"/>
      <c r="B1815" s="340"/>
      <c r="C1815" s="768"/>
      <c r="D1815" s="768"/>
      <c r="E1815" s="768"/>
      <c r="F1815" s="768"/>
      <c r="G1815" s="768"/>
      <c r="H1815" s="768"/>
      <c r="I1815" s="768"/>
      <c r="J1815" s="768"/>
      <c r="K1815" s="768"/>
      <c r="L1815" s="768"/>
      <c r="M1815" s="1353" t="str">
        <f>Don_Vi_Tinh_V</f>
        <v>VND</v>
      </c>
      <c r="N1815" s="1353"/>
      <c r="O1815" s="1353"/>
      <c r="P1815" s="1353"/>
      <c r="Q1815" s="1353"/>
      <c r="R1815" s="768"/>
      <c r="S1815" s="1353" t="str">
        <f>Don_Vi_Tinh_V</f>
        <v>VND</v>
      </c>
      <c r="T1815" s="1353"/>
      <c r="U1815" s="1353"/>
      <c r="V1815" s="1353"/>
      <c r="W1815" s="1353"/>
      <c r="X1815" s="768"/>
      <c r="Y1815" s="1353" t="str">
        <f>Don_Vi_Tinh_V</f>
        <v>VND</v>
      </c>
      <c r="Z1815" s="1353"/>
      <c r="AA1815" s="1353"/>
      <c r="AB1815" s="1353"/>
      <c r="AC1815" s="1353"/>
      <c r="AD1815" s="768"/>
      <c r="AE1815" s="1353" t="str">
        <f>Don_Vi_Tinh_V</f>
        <v>VND</v>
      </c>
      <c r="AF1815" s="1353"/>
      <c r="AG1815" s="1353"/>
      <c r="AH1815" s="1353"/>
      <c r="AI1815" s="1353"/>
      <c r="AJ1815" s="344"/>
      <c r="AK1815" s="345"/>
      <c r="AL1815" s="340"/>
      <c r="AM1815" s="768"/>
      <c r="AN1815" s="768"/>
      <c r="AO1815" s="768"/>
      <c r="AP1815" s="768"/>
      <c r="AQ1815" s="768"/>
      <c r="AR1815" s="768"/>
      <c r="AS1815" s="768"/>
      <c r="AT1815" s="768"/>
      <c r="AU1815" s="768"/>
      <c r="AV1815" s="768"/>
      <c r="AW1815" s="1353" t="str">
        <f>Don_Vi_Tinh_E</f>
        <v>VND</v>
      </c>
      <c r="AX1815" s="1353"/>
      <c r="AY1815" s="1353"/>
      <c r="AZ1815" s="1353"/>
      <c r="BA1815" s="1353"/>
      <c r="BB1815" s="768"/>
      <c r="BC1815" s="1353" t="str">
        <f>Don_Vi_Tinh_E</f>
        <v>VND</v>
      </c>
      <c r="BD1815" s="1353"/>
      <c r="BE1815" s="1353"/>
      <c r="BF1815" s="1353"/>
      <c r="BG1815" s="1353"/>
      <c r="BH1815" s="768"/>
      <c r="BI1815" s="1353" t="str">
        <f>Don_Vi_Tinh_E</f>
        <v>VND</v>
      </c>
      <c r="BJ1815" s="1353"/>
      <c r="BK1815" s="1353"/>
      <c r="BL1815" s="1353"/>
      <c r="BM1815" s="1353"/>
      <c r="BN1815" s="768"/>
      <c r="BO1815" s="1353" t="str">
        <f>Don_Vi_Tinh_E</f>
        <v>VND</v>
      </c>
      <c r="BP1815" s="1353"/>
      <c r="BQ1815" s="1353"/>
      <c r="BR1815" s="1353"/>
      <c r="BS1815" s="1353"/>
      <c r="BT1815" s="342"/>
      <c r="BU1815" s="346"/>
      <c r="BV1815" s="310"/>
      <c r="BW1815" s="310"/>
      <c r="BX1815" s="291">
        <f t="shared" si="132"/>
        <v>0</v>
      </c>
      <c r="BY1815" s="344"/>
      <c r="BZ1815" s="347"/>
      <c r="CA1815" s="347"/>
    </row>
    <row r="1816" spans="1:79" ht="15" customHeight="1" x14ac:dyDescent="0.25">
      <c r="A1816" s="313"/>
      <c r="B1816" s="340"/>
      <c r="C1816" s="770" t="str">
        <f>"Tại ngày "&amp;Ky_Nay1_V</f>
        <v>Tại ngày 31/12/2017</v>
      </c>
      <c r="D1816" s="768"/>
      <c r="E1816" s="768"/>
      <c r="F1816" s="768"/>
      <c r="G1816" s="768"/>
      <c r="H1816" s="768"/>
      <c r="I1816" s="768"/>
      <c r="J1816" s="768"/>
      <c r="K1816" s="768"/>
      <c r="L1816" s="768"/>
      <c r="M1816" s="1351"/>
      <c r="N1816" s="1351"/>
      <c r="O1816" s="1351"/>
      <c r="P1816" s="1351"/>
      <c r="Q1816" s="1351"/>
      <c r="R1816" s="771"/>
      <c r="S1816" s="1351"/>
      <c r="T1816" s="1351"/>
      <c r="U1816" s="1351"/>
      <c r="V1816" s="1351"/>
      <c r="W1816" s="1351"/>
      <c r="X1816" s="771"/>
      <c r="Y1816" s="1351"/>
      <c r="Z1816" s="1351"/>
      <c r="AA1816" s="1351"/>
      <c r="AB1816" s="1351"/>
      <c r="AC1816" s="1351"/>
      <c r="AD1816" s="771"/>
      <c r="AE1816" s="1351"/>
      <c r="AF1816" s="1351"/>
      <c r="AG1816" s="1351"/>
      <c r="AH1816" s="1351"/>
      <c r="AI1816" s="1351"/>
      <c r="AJ1816" s="344"/>
      <c r="AK1816" s="345"/>
      <c r="AL1816" s="340"/>
      <c r="AM1816" s="770" t="str">
        <f>"As at "&amp;Ky_Nay1_E</f>
        <v>As at 31/12/2017</v>
      </c>
      <c r="AN1816" s="768"/>
      <c r="AO1816" s="768"/>
      <c r="AP1816" s="768"/>
      <c r="AQ1816" s="768"/>
      <c r="AR1816" s="768"/>
      <c r="AS1816" s="768"/>
      <c r="AT1816" s="768"/>
      <c r="AU1816" s="768"/>
      <c r="AV1816" s="768"/>
      <c r="AW1816" s="1351"/>
      <c r="AX1816" s="1351"/>
      <c r="AY1816" s="1351"/>
      <c r="AZ1816" s="1351"/>
      <c r="BA1816" s="1351"/>
      <c r="BB1816" s="771"/>
      <c r="BC1816" s="1351"/>
      <c r="BD1816" s="1351"/>
      <c r="BE1816" s="1351"/>
      <c r="BF1816" s="1351"/>
      <c r="BG1816" s="1351"/>
      <c r="BH1816" s="771"/>
      <c r="BI1816" s="1351"/>
      <c r="BJ1816" s="1351"/>
      <c r="BK1816" s="1351"/>
      <c r="BL1816" s="1351"/>
      <c r="BM1816" s="1351"/>
      <c r="BN1816" s="771"/>
      <c r="BO1816" s="1351"/>
      <c r="BP1816" s="1351"/>
      <c r="BQ1816" s="1351"/>
      <c r="BR1816" s="1351"/>
      <c r="BS1816" s="1351"/>
      <c r="BT1816" s="342"/>
      <c r="BU1816" s="346"/>
      <c r="BV1816" s="310"/>
      <c r="BW1816" s="310"/>
      <c r="BX1816" s="291">
        <f t="shared" si="132"/>
        <v>0</v>
      </c>
      <c r="BY1816" s="344"/>
      <c r="BZ1816" s="347"/>
      <c r="CA1816" s="347"/>
    </row>
    <row r="1817" spans="1:79" ht="15" customHeight="1" x14ac:dyDescent="0.25">
      <c r="A1817" s="313"/>
      <c r="B1817" s="340"/>
      <c r="C1817" s="768" t="s">
        <v>1844</v>
      </c>
      <c r="D1817" s="768"/>
      <c r="E1817" s="768"/>
      <c r="F1817" s="768"/>
      <c r="G1817" s="768"/>
      <c r="H1817" s="768"/>
      <c r="I1817" s="768"/>
      <c r="J1817" s="768"/>
      <c r="K1817" s="768"/>
      <c r="L1817" s="768"/>
      <c r="M1817" s="1351">
        <f>Thuyet_minh!$K$1775</f>
        <v>3749707209</v>
      </c>
      <c r="N1817" s="1351"/>
      <c r="O1817" s="1351"/>
      <c r="P1817" s="1351"/>
      <c r="Q1817" s="1351"/>
      <c r="R1817" s="771"/>
      <c r="S1817" s="1351">
        <v>0</v>
      </c>
      <c r="T1817" s="1351"/>
      <c r="U1817" s="1351"/>
      <c r="V1817" s="1351"/>
      <c r="W1817" s="1351"/>
      <c r="X1817" s="771"/>
      <c r="Y1817" s="1351">
        <v>0</v>
      </c>
      <c r="Z1817" s="1351"/>
      <c r="AA1817" s="1351"/>
      <c r="AB1817" s="1351"/>
      <c r="AC1817" s="1351"/>
      <c r="AD1817" s="771"/>
      <c r="AE1817" s="1351">
        <f>SUM(M1817:AC1817)</f>
        <v>3749707209</v>
      </c>
      <c r="AF1817" s="1351"/>
      <c r="AG1817" s="1351"/>
      <c r="AH1817" s="1351"/>
      <c r="AI1817" s="1351"/>
      <c r="AJ1817" s="344"/>
      <c r="AK1817" s="345"/>
      <c r="AL1817" s="340"/>
      <c r="AM1817" s="768" t="s">
        <v>1811</v>
      </c>
      <c r="AN1817" s="768"/>
      <c r="AO1817" s="768"/>
      <c r="AP1817" s="768"/>
      <c r="AQ1817" s="768"/>
      <c r="AR1817" s="768"/>
      <c r="AS1817" s="768"/>
      <c r="AT1817" s="768"/>
      <c r="AU1817" s="768"/>
      <c r="AV1817" s="768"/>
      <c r="AW1817" s="1351">
        <f>M1817</f>
        <v>3749707209</v>
      </c>
      <c r="AX1817" s="1351"/>
      <c r="AY1817" s="1351"/>
      <c r="AZ1817" s="1351"/>
      <c r="BA1817" s="1351"/>
      <c r="BB1817" s="771"/>
      <c r="BC1817" s="1351">
        <f>S1817</f>
        <v>0</v>
      </c>
      <c r="BD1817" s="1351"/>
      <c r="BE1817" s="1351"/>
      <c r="BF1817" s="1351"/>
      <c r="BG1817" s="1351"/>
      <c r="BH1817" s="771"/>
      <c r="BI1817" s="1351">
        <f>Y1817</f>
        <v>0</v>
      </c>
      <c r="BJ1817" s="1351"/>
      <c r="BK1817" s="1351"/>
      <c r="BL1817" s="1351"/>
      <c r="BM1817" s="1351"/>
      <c r="BN1817" s="771"/>
      <c r="BO1817" s="1351">
        <f>SUM(AW1817:BM1817)</f>
        <v>3749707209</v>
      </c>
      <c r="BP1817" s="1351"/>
      <c r="BQ1817" s="1351"/>
      <c r="BR1817" s="1351"/>
      <c r="BS1817" s="1351"/>
      <c r="BT1817" s="342"/>
      <c r="BU1817" s="346"/>
      <c r="BV1817" s="310"/>
      <c r="BW1817" s="310"/>
      <c r="BX1817" s="291">
        <f t="shared" si="132"/>
        <v>0</v>
      </c>
      <c r="BY1817" s="344"/>
      <c r="BZ1817" s="347"/>
      <c r="CA1817" s="347"/>
    </row>
    <row r="1818" spans="1:79" ht="29.1" customHeight="1" x14ac:dyDescent="0.25">
      <c r="A1818" s="313"/>
      <c r="B1818" s="340"/>
      <c r="C1818" s="1355" t="s">
        <v>1812</v>
      </c>
      <c r="D1818" s="1355"/>
      <c r="E1818" s="1355"/>
      <c r="F1818" s="1355"/>
      <c r="G1818" s="1355"/>
      <c r="H1818" s="1355"/>
      <c r="I1818" s="1355"/>
      <c r="J1818" s="1355"/>
      <c r="K1818" s="1355"/>
      <c r="L1818" s="768"/>
      <c r="M1818" s="1351">
        <f>$K$1776+$R$1776</f>
        <v>1211881013</v>
      </c>
      <c r="N1818" s="1351"/>
      <c r="O1818" s="1351"/>
      <c r="P1818" s="1351"/>
      <c r="Q1818" s="1351"/>
      <c r="R1818" s="771"/>
      <c r="S1818" s="1351">
        <v>0</v>
      </c>
      <c r="T1818" s="1351"/>
      <c r="U1818" s="1351"/>
      <c r="V1818" s="1351"/>
      <c r="W1818" s="1351"/>
      <c r="X1818" s="771"/>
      <c r="Y1818" s="1351">
        <v>0</v>
      </c>
      <c r="Z1818" s="1351"/>
      <c r="AA1818" s="1351"/>
      <c r="AB1818" s="1351"/>
      <c r="AC1818" s="1351"/>
      <c r="AD1818" s="771"/>
      <c r="AE1818" s="1351">
        <f>SUM(M1818:AC1818)</f>
        <v>1211881013</v>
      </c>
      <c r="AF1818" s="1351"/>
      <c r="AG1818" s="1351"/>
      <c r="AH1818" s="1351"/>
      <c r="AI1818" s="1351"/>
      <c r="AJ1818" s="344"/>
      <c r="AK1818" s="345"/>
      <c r="AL1818" s="340"/>
      <c r="AM1818" s="768" t="s">
        <v>1813</v>
      </c>
      <c r="AN1818" s="768"/>
      <c r="AO1818" s="768"/>
      <c r="AP1818" s="768"/>
      <c r="AQ1818" s="768"/>
      <c r="AR1818" s="768"/>
      <c r="AS1818" s="768"/>
      <c r="AT1818" s="768"/>
      <c r="AU1818" s="768"/>
      <c r="AV1818" s="768"/>
      <c r="AW1818" s="1351">
        <f>M1818</f>
        <v>1211881013</v>
      </c>
      <c r="AX1818" s="1351"/>
      <c r="AY1818" s="1351"/>
      <c r="AZ1818" s="1351"/>
      <c r="BA1818" s="1351"/>
      <c r="BB1818" s="771"/>
      <c r="BC1818" s="1351">
        <f>S1818</f>
        <v>0</v>
      </c>
      <c r="BD1818" s="1351"/>
      <c r="BE1818" s="1351"/>
      <c r="BF1818" s="1351"/>
      <c r="BG1818" s="1351"/>
      <c r="BH1818" s="771"/>
      <c r="BI1818" s="1351">
        <f>Y1818</f>
        <v>0</v>
      </c>
      <c r="BJ1818" s="1351"/>
      <c r="BK1818" s="1351"/>
      <c r="BL1818" s="1351"/>
      <c r="BM1818" s="1351"/>
      <c r="BN1818" s="771"/>
      <c r="BO1818" s="1351">
        <f>SUM(AW1818:BM1818)</f>
        <v>1211881013</v>
      </c>
      <c r="BP1818" s="1351"/>
      <c r="BQ1818" s="1351"/>
      <c r="BR1818" s="1351"/>
      <c r="BS1818" s="1351"/>
      <c r="BT1818" s="342"/>
      <c r="BU1818" s="346"/>
      <c r="BV1818" s="310"/>
      <c r="BW1818" s="310"/>
      <c r="BX1818" s="291">
        <f t="shared" si="132"/>
        <v>0</v>
      </c>
      <c r="BY1818" s="344"/>
      <c r="BZ1818" s="347"/>
      <c r="CA1818" s="347"/>
    </row>
    <row r="1819" spans="1:79" ht="15" customHeight="1" x14ac:dyDescent="0.25">
      <c r="A1819" s="313"/>
      <c r="B1819" s="340"/>
      <c r="C1819" s="768" t="s">
        <v>1814</v>
      </c>
      <c r="D1819" s="768"/>
      <c r="E1819" s="768"/>
      <c r="F1819" s="768"/>
      <c r="G1819" s="768"/>
      <c r="H1819" s="768"/>
      <c r="I1819" s="768"/>
      <c r="J1819" s="768"/>
      <c r="K1819" s="768"/>
      <c r="L1819" s="768"/>
      <c r="M1819" s="1351">
        <f>$K$1777+$R$1777</f>
        <v>865000000</v>
      </c>
      <c r="N1819" s="1351"/>
      <c r="O1819" s="1351"/>
      <c r="P1819" s="1351"/>
      <c r="Q1819" s="1351"/>
      <c r="R1819" s="771"/>
      <c r="S1819" s="1351">
        <v>0</v>
      </c>
      <c r="T1819" s="1351"/>
      <c r="U1819" s="1351"/>
      <c r="V1819" s="1351"/>
      <c r="W1819" s="1351"/>
      <c r="X1819" s="771"/>
      <c r="Y1819" s="1351">
        <v>0</v>
      </c>
      <c r="Z1819" s="1351"/>
      <c r="AA1819" s="1351"/>
      <c r="AB1819" s="1351"/>
      <c r="AC1819" s="1351"/>
      <c r="AD1819" s="771"/>
      <c r="AE1819" s="1351">
        <f>SUM(M1819:AC1819)</f>
        <v>865000000</v>
      </c>
      <c r="AF1819" s="1351"/>
      <c r="AG1819" s="1351"/>
      <c r="AH1819" s="1351"/>
      <c r="AI1819" s="1351"/>
      <c r="AJ1819" s="344"/>
      <c r="AK1819" s="345"/>
      <c r="AL1819" s="340"/>
      <c r="AM1819" s="768" t="s">
        <v>877</v>
      </c>
      <c r="AN1819" s="768"/>
      <c r="AO1819" s="768"/>
      <c r="AP1819" s="768"/>
      <c r="AQ1819" s="768"/>
      <c r="AR1819" s="768"/>
      <c r="AS1819" s="768"/>
      <c r="AT1819" s="768"/>
      <c r="AU1819" s="768"/>
      <c r="AV1819" s="768"/>
      <c r="AW1819" s="1351">
        <f>M1819</f>
        <v>865000000</v>
      </c>
      <c r="AX1819" s="1351"/>
      <c r="AY1819" s="1351"/>
      <c r="AZ1819" s="1351"/>
      <c r="BA1819" s="1351"/>
      <c r="BB1819" s="771"/>
      <c r="BC1819" s="1351">
        <f>S1819</f>
        <v>0</v>
      </c>
      <c r="BD1819" s="1351"/>
      <c r="BE1819" s="1351"/>
      <c r="BF1819" s="1351"/>
      <c r="BG1819" s="1351"/>
      <c r="BH1819" s="771"/>
      <c r="BI1819" s="1351">
        <f>Y1819</f>
        <v>0</v>
      </c>
      <c r="BJ1819" s="1351"/>
      <c r="BK1819" s="1351"/>
      <c r="BL1819" s="1351"/>
      <c r="BM1819" s="1351"/>
      <c r="BN1819" s="771"/>
      <c r="BO1819" s="1351">
        <f>SUM(AW1819:BM1819)</f>
        <v>865000000</v>
      </c>
      <c r="BP1819" s="1351"/>
      <c r="BQ1819" s="1351"/>
      <c r="BR1819" s="1351"/>
      <c r="BS1819" s="1351"/>
      <c r="BT1819" s="342"/>
      <c r="BU1819" s="346"/>
      <c r="BV1819" s="310"/>
      <c r="BW1819" s="310"/>
      <c r="BX1819" s="291">
        <f t="shared" si="132"/>
        <v>0</v>
      </c>
      <c r="BY1819" s="344"/>
      <c r="BZ1819" s="347"/>
      <c r="CA1819" s="347"/>
    </row>
    <row r="1820" spans="1:79" ht="15" customHeight="1" x14ac:dyDescent="0.25">
      <c r="A1820" s="313"/>
      <c r="B1820" s="340"/>
      <c r="C1820" s="768" t="s">
        <v>766</v>
      </c>
      <c r="D1820" s="768"/>
      <c r="E1820" s="768"/>
      <c r="F1820" s="768"/>
      <c r="G1820" s="768"/>
      <c r="H1820" s="768"/>
      <c r="I1820" s="768"/>
      <c r="J1820" s="768"/>
      <c r="K1820" s="768"/>
      <c r="L1820" s="768"/>
      <c r="M1820" s="1351">
        <f>K1778</f>
        <v>25815802846</v>
      </c>
      <c r="N1820" s="1351"/>
      <c r="O1820" s="1351"/>
      <c r="P1820" s="1351"/>
      <c r="Q1820" s="1351"/>
      <c r="R1820" s="771"/>
      <c r="S1820" s="1351">
        <v>0</v>
      </c>
      <c r="T1820" s="1351"/>
      <c r="U1820" s="1351"/>
      <c r="V1820" s="1351"/>
      <c r="W1820" s="1351"/>
      <c r="X1820" s="771"/>
      <c r="Y1820" s="1351">
        <v>0</v>
      </c>
      <c r="Z1820" s="1351"/>
      <c r="AA1820" s="1351"/>
      <c r="AB1820" s="1351"/>
      <c r="AC1820" s="1351"/>
      <c r="AD1820" s="771"/>
      <c r="AE1820" s="1351">
        <f>SUM(M1820:AC1820)</f>
        <v>25815802846</v>
      </c>
      <c r="AF1820" s="1351"/>
      <c r="AG1820" s="1351"/>
      <c r="AH1820" s="1351"/>
      <c r="AI1820" s="1351"/>
      <c r="AJ1820" s="344"/>
      <c r="AK1820" s="345"/>
      <c r="AL1820" s="340"/>
      <c r="AM1820" s="768" t="s">
        <v>767</v>
      </c>
      <c r="AN1820" s="768"/>
      <c r="AO1820" s="768"/>
      <c r="AP1820" s="768"/>
      <c r="AQ1820" s="768"/>
      <c r="AR1820" s="768"/>
      <c r="AS1820" s="768"/>
      <c r="AT1820" s="768"/>
      <c r="AU1820" s="768"/>
      <c r="AV1820" s="768"/>
      <c r="AW1820" s="1351">
        <f>M1820</f>
        <v>25815802846</v>
      </c>
      <c r="AX1820" s="1351"/>
      <c r="AY1820" s="1351"/>
      <c r="AZ1820" s="1351"/>
      <c r="BA1820" s="1351"/>
      <c r="BB1820" s="771"/>
      <c r="BC1820" s="1351">
        <f>S1820</f>
        <v>0</v>
      </c>
      <c r="BD1820" s="1351"/>
      <c r="BE1820" s="1351"/>
      <c r="BF1820" s="1351"/>
      <c r="BG1820" s="1351"/>
      <c r="BH1820" s="771"/>
      <c r="BI1820" s="1351">
        <f>Y1820</f>
        <v>0</v>
      </c>
      <c r="BJ1820" s="1351"/>
      <c r="BK1820" s="1351"/>
      <c r="BL1820" s="1351"/>
      <c r="BM1820" s="1351"/>
      <c r="BN1820" s="771"/>
      <c r="BO1820" s="1351">
        <f>SUM(AW1820:BM1820)</f>
        <v>25815802846</v>
      </c>
      <c r="BP1820" s="1351"/>
      <c r="BQ1820" s="1351"/>
      <c r="BR1820" s="1351"/>
      <c r="BS1820" s="1351"/>
      <c r="BT1820" s="342"/>
      <c r="BU1820" s="346"/>
      <c r="BV1820" s="310"/>
      <c r="BW1820" s="310"/>
      <c r="BX1820" s="291">
        <f t="shared" si="132"/>
        <v>0</v>
      </c>
      <c r="BY1820" s="344"/>
      <c r="BZ1820" s="347"/>
      <c r="CA1820" s="347"/>
    </row>
    <row r="1821" spans="1:79" ht="15" customHeight="1" x14ac:dyDescent="0.25">
      <c r="A1821" s="313"/>
      <c r="B1821" s="340"/>
      <c r="C1821" s="768" t="s">
        <v>774</v>
      </c>
      <c r="D1821" s="768"/>
      <c r="E1821" s="768"/>
      <c r="F1821" s="768"/>
      <c r="G1821" s="768"/>
      <c r="H1821" s="768"/>
      <c r="I1821" s="768"/>
      <c r="J1821" s="768"/>
      <c r="K1821" s="768"/>
      <c r="L1821" s="768"/>
      <c r="M1821" s="1351">
        <v>0</v>
      </c>
      <c r="N1821" s="1351"/>
      <c r="O1821" s="1351"/>
      <c r="P1821" s="1351"/>
      <c r="Q1821" s="1351"/>
      <c r="R1821" s="771"/>
      <c r="S1821" s="1351">
        <v>0</v>
      </c>
      <c r="T1821" s="1351"/>
      <c r="U1821" s="1351"/>
      <c r="V1821" s="1351"/>
      <c r="W1821" s="1351"/>
      <c r="X1821" s="771"/>
      <c r="Y1821" s="1351">
        <f>$K$1779+$R$1779</f>
        <v>452901954</v>
      </c>
      <c r="Z1821" s="1351"/>
      <c r="AA1821" s="1351"/>
      <c r="AB1821" s="1351"/>
      <c r="AC1821" s="1351"/>
      <c r="AD1821" s="771"/>
      <c r="AE1821" s="1351">
        <f>SUM(M1821:AC1821)</f>
        <v>452901954</v>
      </c>
      <c r="AF1821" s="1351"/>
      <c r="AG1821" s="1351"/>
      <c r="AH1821" s="1351"/>
      <c r="AI1821" s="1351"/>
      <c r="AJ1821" s="344"/>
      <c r="AK1821" s="345"/>
      <c r="AL1821" s="340"/>
      <c r="AM1821" s="768" t="s">
        <v>775</v>
      </c>
      <c r="AN1821" s="768"/>
      <c r="AO1821" s="768"/>
      <c r="AP1821" s="768"/>
      <c r="AQ1821" s="768"/>
      <c r="AR1821" s="768"/>
      <c r="AS1821" s="768"/>
      <c r="AT1821" s="768"/>
      <c r="AU1821" s="768"/>
      <c r="AV1821" s="768"/>
      <c r="AW1821" s="1351">
        <f>M1821</f>
        <v>0</v>
      </c>
      <c r="AX1821" s="1351"/>
      <c r="AY1821" s="1351"/>
      <c r="AZ1821" s="1351"/>
      <c r="BA1821" s="1351"/>
      <c r="BB1821" s="771"/>
      <c r="BC1821" s="1351">
        <f>S1821</f>
        <v>0</v>
      </c>
      <c r="BD1821" s="1351"/>
      <c r="BE1821" s="1351"/>
      <c r="BF1821" s="1351"/>
      <c r="BG1821" s="1351"/>
      <c r="BH1821" s="771"/>
      <c r="BI1821" s="1351">
        <f>Y1821</f>
        <v>452901954</v>
      </c>
      <c r="BJ1821" s="1351"/>
      <c r="BK1821" s="1351"/>
      <c r="BL1821" s="1351"/>
      <c r="BM1821" s="1351"/>
      <c r="BN1821" s="771"/>
      <c r="BO1821" s="1351">
        <f>SUM(AW1821:BM1821)</f>
        <v>452901954</v>
      </c>
      <c r="BP1821" s="1351"/>
      <c r="BQ1821" s="1351"/>
      <c r="BR1821" s="1351"/>
      <c r="BS1821" s="1351"/>
      <c r="BT1821" s="342"/>
      <c r="BU1821" s="346"/>
      <c r="BV1821" s="310"/>
      <c r="BW1821" s="310"/>
      <c r="BX1821" s="291">
        <f t="shared" si="132"/>
        <v>0</v>
      </c>
      <c r="BY1821" s="344"/>
      <c r="BZ1821" s="347"/>
      <c r="CA1821" s="347"/>
    </row>
    <row r="1822" spans="1:79" ht="14.1" customHeight="1" x14ac:dyDescent="0.25">
      <c r="A1822" s="313"/>
      <c r="B1822" s="340"/>
      <c r="C1822" s="768"/>
      <c r="D1822" s="768"/>
      <c r="E1822" s="768"/>
      <c r="F1822" s="768"/>
      <c r="G1822" s="768"/>
      <c r="H1822" s="768"/>
      <c r="I1822" s="768"/>
      <c r="J1822" s="768"/>
      <c r="K1822" s="768"/>
      <c r="L1822" s="768"/>
      <c r="M1822" s="1351"/>
      <c r="N1822" s="1351"/>
      <c r="O1822" s="1351"/>
      <c r="P1822" s="1351"/>
      <c r="Q1822" s="1351"/>
      <c r="R1822" s="771"/>
      <c r="S1822" s="1351"/>
      <c r="T1822" s="1351"/>
      <c r="U1822" s="1351"/>
      <c r="V1822" s="1351"/>
      <c r="W1822" s="1351"/>
      <c r="X1822" s="771"/>
      <c r="Y1822" s="1351"/>
      <c r="Z1822" s="1351"/>
      <c r="AA1822" s="1351"/>
      <c r="AB1822" s="1351"/>
      <c r="AC1822" s="1351"/>
      <c r="AD1822" s="771"/>
      <c r="AE1822" s="1351"/>
      <c r="AF1822" s="1351"/>
      <c r="AG1822" s="1351"/>
      <c r="AH1822" s="1351"/>
      <c r="AI1822" s="1351"/>
      <c r="AJ1822" s="344"/>
      <c r="AK1822" s="345"/>
      <c r="AL1822" s="340"/>
      <c r="AM1822" s="768"/>
      <c r="AN1822" s="768"/>
      <c r="AO1822" s="768"/>
      <c r="AP1822" s="768"/>
      <c r="AQ1822" s="768"/>
      <c r="AR1822" s="768"/>
      <c r="AS1822" s="768"/>
      <c r="AT1822" s="768"/>
      <c r="AU1822" s="768"/>
      <c r="AV1822" s="768"/>
      <c r="AW1822" s="1351"/>
      <c r="AX1822" s="1351"/>
      <c r="AY1822" s="1351"/>
      <c r="AZ1822" s="1351"/>
      <c r="BA1822" s="1351"/>
      <c r="BB1822" s="771"/>
      <c r="BC1822" s="1351"/>
      <c r="BD1822" s="1351"/>
      <c r="BE1822" s="1351"/>
      <c r="BF1822" s="1351"/>
      <c r="BG1822" s="1351"/>
      <c r="BH1822" s="771"/>
      <c r="BI1822" s="1351"/>
      <c r="BJ1822" s="1351"/>
      <c r="BK1822" s="1351"/>
      <c r="BL1822" s="1351"/>
      <c r="BM1822" s="1351"/>
      <c r="BN1822" s="771"/>
      <c r="BO1822" s="1351"/>
      <c r="BP1822" s="1351"/>
      <c r="BQ1822" s="1351"/>
      <c r="BR1822" s="1351"/>
      <c r="BS1822" s="1351"/>
      <c r="BT1822" s="342"/>
      <c r="BU1822" s="346"/>
      <c r="BV1822" s="310"/>
      <c r="BW1822" s="310"/>
      <c r="BX1822" s="291">
        <f t="shared" si="132"/>
        <v>0</v>
      </c>
      <c r="BY1822" s="344"/>
      <c r="BZ1822" s="347"/>
      <c r="CA1822" s="347"/>
    </row>
    <row r="1823" spans="1:79" ht="15" customHeight="1" thickBot="1" x14ac:dyDescent="0.3">
      <c r="A1823" s="313"/>
      <c r="B1823" s="340"/>
      <c r="C1823" s="772" t="s">
        <v>752</v>
      </c>
      <c r="D1823" s="768"/>
      <c r="E1823" s="768"/>
      <c r="F1823" s="768"/>
      <c r="G1823" s="768"/>
      <c r="H1823" s="768"/>
      <c r="I1823" s="768"/>
      <c r="J1823" s="768"/>
      <c r="K1823" s="768"/>
      <c r="L1823" s="768"/>
      <c r="M1823" s="1349">
        <f>SUBTOTAL(109,M1816:Q1822)</f>
        <v>31642391068</v>
      </c>
      <c r="N1823" s="1349"/>
      <c r="O1823" s="1349"/>
      <c r="P1823" s="1349"/>
      <c r="Q1823" s="1349"/>
      <c r="R1823" s="773"/>
      <c r="S1823" s="1349">
        <f>SUBTOTAL(109,S1816:W1822)</f>
        <v>0</v>
      </c>
      <c r="T1823" s="1349"/>
      <c r="U1823" s="1349"/>
      <c r="V1823" s="1349"/>
      <c r="W1823" s="1349"/>
      <c r="X1823" s="773"/>
      <c r="Y1823" s="1349">
        <f>SUBTOTAL(109,Y1816:AC1822)</f>
        <v>452901954</v>
      </c>
      <c r="Z1823" s="1349"/>
      <c r="AA1823" s="1349"/>
      <c r="AB1823" s="1349"/>
      <c r="AC1823" s="1349"/>
      <c r="AD1823" s="773"/>
      <c r="AE1823" s="1349">
        <f>SUBTOTAL(109,AE1816:AI1822)</f>
        <v>32095293022</v>
      </c>
      <c r="AF1823" s="1349"/>
      <c r="AG1823" s="1349"/>
      <c r="AH1823" s="1349"/>
      <c r="AI1823" s="1349"/>
      <c r="AJ1823" s="344"/>
      <c r="AK1823" s="345"/>
      <c r="AL1823" s="340"/>
      <c r="AM1823" s="772" t="s">
        <v>753</v>
      </c>
      <c r="AN1823" s="768"/>
      <c r="AO1823" s="768"/>
      <c r="AP1823" s="768"/>
      <c r="AQ1823" s="768"/>
      <c r="AR1823" s="768"/>
      <c r="AS1823" s="768"/>
      <c r="AT1823" s="768"/>
      <c r="AU1823" s="768"/>
      <c r="AV1823" s="768"/>
      <c r="AW1823" s="1349">
        <f>SUBTOTAL(109,AW1816:BA1822)</f>
        <v>31642391068</v>
      </c>
      <c r="AX1823" s="1349"/>
      <c r="AY1823" s="1349"/>
      <c r="AZ1823" s="1349"/>
      <c r="BA1823" s="1349"/>
      <c r="BB1823" s="773"/>
      <c r="BC1823" s="1349">
        <f>SUBTOTAL(109,BC1816:BG1822)</f>
        <v>0</v>
      </c>
      <c r="BD1823" s="1349"/>
      <c r="BE1823" s="1349"/>
      <c r="BF1823" s="1349"/>
      <c r="BG1823" s="1349"/>
      <c r="BH1823" s="773"/>
      <c r="BI1823" s="1349">
        <f>SUBTOTAL(109,BI1816:BM1822)</f>
        <v>452901954</v>
      </c>
      <c r="BJ1823" s="1349"/>
      <c r="BK1823" s="1349"/>
      <c r="BL1823" s="1349"/>
      <c r="BM1823" s="1349"/>
      <c r="BN1823" s="773"/>
      <c r="BO1823" s="1349">
        <f>SUBTOTAL(109,BO1816:BS1822)</f>
        <v>32095293022</v>
      </c>
      <c r="BP1823" s="1349"/>
      <c r="BQ1823" s="1349"/>
      <c r="BR1823" s="1349"/>
      <c r="BS1823" s="1349"/>
      <c r="BT1823" s="342"/>
      <c r="BU1823" s="346"/>
      <c r="BV1823" s="310">
        <f>AE1823-(K1781+R1781)</f>
        <v>0</v>
      </c>
      <c r="BW1823" s="310"/>
      <c r="BX1823" s="291">
        <f t="shared" si="132"/>
        <v>0</v>
      </c>
      <c r="BY1823" s="344"/>
      <c r="BZ1823" s="347"/>
      <c r="CA1823" s="347"/>
    </row>
    <row r="1824" spans="1:79" ht="12.95" customHeight="1" thickTop="1" x14ac:dyDescent="0.25">
      <c r="A1824" s="313"/>
      <c r="B1824" s="340"/>
      <c r="C1824" s="768"/>
      <c r="D1824" s="768"/>
      <c r="E1824" s="768"/>
      <c r="F1824" s="768"/>
      <c r="G1824" s="768"/>
      <c r="H1824" s="768"/>
      <c r="I1824" s="768"/>
      <c r="J1824" s="768"/>
      <c r="K1824" s="768"/>
      <c r="L1824" s="768"/>
      <c r="M1824" s="1351"/>
      <c r="N1824" s="1351"/>
      <c r="O1824" s="1351"/>
      <c r="P1824" s="1351"/>
      <c r="Q1824" s="1351"/>
      <c r="R1824" s="771"/>
      <c r="S1824" s="1351"/>
      <c r="T1824" s="1351"/>
      <c r="U1824" s="1351"/>
      <c r="V1824" s="1351"/>
      <c r="W1824" s="1351"/>
      <c r="X1824" s="771"/>
      <c r="Y1824" s="1351"/>
      <c r="Z1824" s="1351"/>
      <c r="AA1824" s="1351"/>
      <c r="AB1824" s="1351"/>
      <c r="AC1824" s="1351"/>
      <c r="AD1824" s="771"/>
      <c r="AE1824" s="1351"/>
      <c r="AF1824" s="1351"/>
      <c r="AG1824" s="1351"/>
      <c r="AH1824" s="1351"/>
      <c r="AI1824" s="1351"/>
      <c r="AJ1824" s="344"/>
      <c r="AK1824" s="345"/>
      <c r="AL1824" s="340"/>
      <c r="AM1824" s="768"/>
      <c r="AN1824" s="768"/>
      <c r="AO1824" s="768"/>
      <c r="AP1824" s="768"/>
      <c r="AQ1824" s="768"/>
      <c r="AR1824" s="768"/>
      <c r="AS1824" s="768"/>
      <c r="AT1824" s="768"/>
      <c r="AU1824" s="768"/>
      <c r="AV1824" s="768"/>
      <c r="AW1824" s="1351"/>
      <c r="AX1824" s="1351"/>
      <c r="AY1824" s="1351"/>
      <c r="AZ1824" s="1351"/>
      <c r="BA1824" s="1351"/>
      <c r="BB1824" s="771"/>
      <c r="BC1824" s="1351"/>
      <c r="BD1824" s="1351"/>
      <c r="BE1824" s="1351"/>
      <c r="BF1824" s="1351"/>
      <c r="BG1824" s="1351"/>
      <c r="BH1824" s="771"/>
      <c r="BI1824" s="1351"/>
      <c r="BJ1824" s="1351"/>
      <c r="BK1824" s="1351"/>
      <c r="BL1824" s="1351"/>
      <c r="BM1824" s="1351"/>
      <c r="BN1824" s="771"/>
      <c r="BO1824" s="1351"/>
      <c r="BP1824" s="1351"/>
      <c r="BQ1824" s="1351"/>
      <c r="BR1824" s="1351"/>
      <c r="BS1824" s="1351"/>
      <c r="BT1824" s="342"/>
      <c r="BU1824" s="346"/>
      <c r="BV1824" s="310"/>
      <c r="BW1824" s="310"/>
      <c r="BX1824" s="291">
        <f t="shared" si="132"/>
        <v>0</v>
      </c>
      <c r="BY1824" s="344"/>
      <c r="BZ1824" s="347"/>
      <c r="CA1824" s="347"/>
    </row>
    <row r="1825" spans="1:79" ht="15" customHeight="1" x14ac:dyDescent="0.25">
      <c r="A1825" s="313"/>
      <c r="B1825" s="340"/>
      <c r="C1825" s="770" t="str">
        <f>"Tại ngày "&amp;Ky_Truoc1_V</f>
        <v>Tại ngày 01/01/2017</v>
      </c>
      <c r="D1825" s="768"/>
      <c r="E1825" s="768"/>
      <c r="F1825" s="768"/>
      <c r="G1825" s="768"/>
      <c r="H1825" s="768"/>
      <c r="I1825" s="768"/>
      <c r="J1825" s="768"/>
      <c r="K1825" s="768"/>
      <c r="L1825" s="768"/>
      <c r="M1825" s="1351"/>
      <c r="N1825" s="1351"/>
      <c r="O1825" s="1351"/>
      <c r="P1825" s="1351"/>
      <c r="Q1825" s="1351"/>
      <c r="R1825" s="771"/>
      <c r="S1825" s="1351"/>
      <c r="T1825" s="1351"/>
      <c r="U1825" s="1351"/>
      <c r="V1825" s="1351"/>
      <c r="W1825" s="1351"/>
      <c r="X1825" s="771"/>
      <c r="Y1825" s="1351"/>
      <c r="Z1825" s="1351"/>
      <c r="AA1825" s="1351"/>
      <c r="AB1825" s="1351"/>
      <c r="AC1825" s="1351"/>
      <c r="AD1825" s="771"/>
      <c r="AE1825" s="1351"/>
      <c r="AF1825" s="1351"/>
      <c r="AG1825" s="1351"/>
      <c r="AH1825" s="1351"/>
      <c r="AI1825" s="1351"/>
      <c r="AJ1825" s="344"/>
      <c r="AK1825" s="345"/>
      <c r="AL1825" s="340"/>
      <c r="AM1825" s="770" t="str">
        <f>"As at "&amp;Ky_Truoc1_E</f>
        <v>As at 01/01/2017</v>
      </c>
      <c r="AN1825" s="768"/>
      <c r="AO1825" s="768"/>
      <c r="AP1825" s="768"/>
      <c r="AQ1825" s="768"/>
      <c r="AR1825" s="768"/>
      <c r="AS1825" s="768"/>
      <c r="AT1825" s="768"/>
      <c r="AU1825" s="768"/>
      <c r="AV1825" s="768"/>
      <c r="AW1825" s="1351"/>
      <c r="AX1825" s="1351"/>
      <c r="AY1825" s="1351"/>
      <c r="AZ1825" s="1351"/>
      <c r="BA1825" s="1351"/>
      <c r="BB1825" s="771"/>
      <c r="BC1825" s="1351"/>
      <c r="BD1825" s="1351"/>
      <c r="BE1825" s="1351"/>
      <c r="BF1825" s="1351"/>
      <c r="BG1825" s="1351"/>
      <c r="BH1825" s="771"/>
      <c r="BI1825" s="1351"/>
      <c r="BJ1825" s="1351"/>
      <c r="BK1825" s="1351"/>
      <c r="BL1825" s="1351"/>
      <c r="BM1825" s="1351"/>
      <c r="BN1825" s="771"/>
      <c r="BO1825" s="1351"/>
      <c r="BP1825" s="1351"/>
      <c r="BQ1825" s="1351"/>
      <c r="BR1825" s="1351"/>
      <c r="BS1825" s="1351"/>
      <c r="BT1825" s="342"/>
      <c r="BU1825" s="346"/>
      <c r="BV1825" s="310"/>
      <c r="BW1825" s="310"/>
      <c r="BX1825" s="291">
        <f t="shared" si="132"/>
        <v>0</v>
      </c>
      <c r="BY1825" s="344"/>
      <c r="BZ1825" s="347"/>
      <c r="CA1825" s="347"/>
    </row>
    <row r="1826" spans="1:79" ht="15" customHeight="1" x14ac:dyDescent="0.25">
      <c r="A1826" s="313"/>
      <c r="B1826" s="340"/>
      <c r="C1826" s="768" t="s">
        <v>1844</v>
      </c>
      <c r="D1826" s="768"/>
      <c r="E1826" s="768"/>
      <c r="F1826" s="768"/>
      <c r="G1826" s="768"/>
      <c r="H1826" s="768"/>
      <c r="I1826" s="768"/>
      <c r="J1826" s="768"/>
      <c r="K1826" s="768"/>
      <c r="L1826" s="768"/>
      <c r="M1826" s="1351">
        <f>X1775</f>
        <v>3971638435</v>
      </c>
      <c r="N1826" s="1351"/>
      <c r="O1826" s="1351"/>
      <c r="P1826" s="1351"/>
      <c r="Q1826" s="1351"/>
      <c r="R1826" s="771"/>
      <c r="S1826" s="1351">
        <v>0</v>
      </c>
      <c r="T1826" s="1351"/>
      <c r="U1826" s="1351"/>
      <c r="V1826" s="1351"/>
      <c r="W1826" s="1351"/>
      <c r="X1826" s="771"/>
      <c r="Y1826" s="1351">
        <v>0</v>
      </c>
      <c r="Z1826" s="1351"/>
      <c r="AA1826" s="1351"/>
      <c r="AB1826" s="1351"/>
      <c r="AC1826" s="1351"/>
      <c r="AD1826" s="771"/>
      <c r="AE1826" s="1351">
        <f>SUM(M1826:AC1826)</f>
        <v>3971638435</v>
      </c>
      <c r="AF1826" s="1351"/>
      <c r="AG1826" s="1351"/>
      <c r="AH1826" s="1351"/>
      <c r="AI1826" s="1351"/>
      <c r="AJ1826" s="344"/>
      <c r="AK1826" s="345"/>
      <c r="AL1826" s="340"/>
      <c r="AM1826" s="768" t="s">
        <v>1811</v>
      </c>
      <c r="AN1826" s="768"/>
      <c r="AO1826" s="768"/>
      <c r="AP1826" s="768"/>
      <c r="AQ1826" s="768"/>
      <c r="AR1826" s="768"/>
      <c r="AS1826" s="768"/>
      <c r="AT1826" s="768"/>
      <c r="AU1826" s="768"/>
      <c r="AV1826" s="768"/>
      <c r="AW1826" s="1351">
        <f>M1826</f>
        <v>3971638435</v>
      </c>
      <c r="AX1826" s="1351"/>
      <c r="AY1826" s="1351"/>
      <c r="AZ1826" s="1351"/>
      <c r="BA1826" s="1351"/>
      <c r="BB1826" s="771"/>
      <c r="BC1826" s="1351">
        <f>S1826</f>
        <v>0</v>
      </c>
      <c r="BD1826" s="1351"/>
      <c r="BE1826" s="1351"/>
      <c r="BF1826" s="1351"/>
      <c r="BG1826" s="1351"/>
      <c r="BH1826" s="771"/>
      <c r="BI1826" s="1351">
        <f>Y1826</f>
        <v>0</v>
      </c>
      <c r="BJ1826" s="1351"/>
      <c r="BK1826" s="1351"/>
      <c r="BL1826" s="1351"/>
      <c r="BM1826" s="1351"/>
      <c r="BN1826" s="771"/>
      <c r="BO1826" s="1351">
        <f>SUM(AW1826:BM1826)</f>
        <v>3971638435</v>
      </c>
      <c r="BP1826" s="1351"/>
      <c r="BQ1826" s="1351"/>
      <c r="BR1826" s="1351"/>
      <c r="BS1826" s="1351"/>
      <c r="BT1826" s="342"/>
      <c r="BU1826" s="346"/>
      <c r="BV1826" s="310"/>
      <c r="BW1826" s="310"/>
      <c r="BX1826" s="291">
        <f t="shared" si="132"/>
        <v>0</v>
      </c>
      <c r="BY1826" s="344"/>
      <c r="BZ1826" s="347"/>
      <c r="CA1826" s="347"/>
    </row>
    <row r="1827" spans="1:79" ht="29.1" customHeight="1" x14ac:dyDescent="0.25">
      <c r="A1827" s="313"/>
      <c r="B1827" s="340"/>
      <c r="C1827" s="1355" t="s">
        <v>1812</v>
      </c>
      <c r="D1827" s="1355"/>
      <c r="E1827" s="1355"/>
      <c r="F1827" s="1355"/>
      <c r="G1827" s="1355"/>
      <c r="H1827" s="1355"/>
      <c r="I1827" s="1355"/>
      <c r="J1827" s="1355"/>
      <c r="K1827" s="1355"/>
      <c r="L1827" s="768"/>
      <c r="M1827" s="1351">
        <f>X1776+AE1776</f>
        <v>1562705402</v>
      </c>
      <c r="N1827" s="1351"/>
      <c r="O1827" s="1351"/>
      <c r="P1827" s="1351"/>
      <c r="Q1827" s="1351"/>
      <c r="R1827" s="771"/>
      <c r="S1827" s="1351">
        <v>0</v>
      </c>
      <c r="T1827" s="1351"/>
      <c r="U1827" s="1351"/>
      <c r="V1827" s="1351"/>
      <c r="W1827" s="1351"/>
      <c r="X1827" s="771"/>
      <c r="Y1827" s="1351">
        <v>0</v>
      </c>
      <c r="Z1827" s="1351"/>
      <c r="AA1827" s="1351"/>
      <c r="AB1827" s="1351"/>
      <c r="AC1827" s="1351"/>
      <c r="AD1827" s="771"/>
      <c r="AE1827" s="1351">
        <f>SUM(M1827:AC1827)</f>
        <v>1562705402</v>
      </c>
      <c r="AF1827" s="1351"/>
      <c r="AG1827" s="1351"/>
      <c r="AH1827" s="1351"/>
      <c r="AI1827" s="1351"/>
      <c r="AJ1827" s="344"/>
      <c r="AK1827" s="345"/>
      <c r="AL1827" s="340"/>
      <c r="AM1827" s="768" t="s">
        <v>1813</v>
      </c>
      <c r="AN1827" s="768"/>
      <c r="AO1827" s="768"/>
      <c r="AP1827" s="768"/>
      <c r="AQ1827" s="768"/>
      <c r="AR1827" s="768"/>
      <c r="AS1827" s="768"/>
      <c r="AT1827" s="768"/>
      <c r="AU1827" s="768"/>
      <c r="AV1827" s="768"/>
      <c r="AW1827" s="1351">
        <f>M1827</f>
        <v>1562705402</v>
      </c>
      <c r="AX1827" s="1351"/>
      <c r="AY1827" s="1351"/>
      <c r="AZ1827" s="1351"/>
      <c r="BA1827" s="1351"/>
      <c r="BB1827" s="771"/>
      <c r="BC1827" s="1351">
        <f>S1827</f>
        <v>0</v>
      </c>
      <c r="BD1827" s="1351"/>
      <c r="BE1827" s="1351"/>
      <c r="BF1827" s="1351"/>
      <c r="BG1827" s="1351"/>
      <c r="BH1827" s="771"/>
      <c r="BI1827" s="1351">
        <f>Y1827</f>
        <v>0</v>
      </c>
      <c r="BJ1827" s="1351"/>
      <c r="BK1827" s="1351"/>
      <c r="BL1827" s="1351"/>
      <c r="BM1827" s="1351"/>
      <c r="BN1827" s="771"/>
      <c r="BO1827" s="1351">
        <f>SUM(AW1827:BM1827)</f>
        <v>1562705402</v>
      </c>
      <c r="BP1827" s="1351"/>
      <c r="BQ1827" s="1351"/>
      <c r="BR1827" s="1351"/>
      <c r="BS1827" s="1351"/>
      <c r="BT1827" s="342"/>
      <c r="BU1827" s="346"/>
      <c r="BV1827" s="310"/>
      <c r="BW1827" s="310"/>
      <c r="BX1827" s="291">
        <f t="shared" si="132"/>
        <v>0</v>
      </c>
      <c r="BY1827" s="344"/>
      <c r="BZ1827" s="347"/>
      <c r="CA1827" s="347"/>
    </row>
    <row r="1828" spans="1:79" ht="15" customHeight="1" x14ac:dyDescent="0.25">
      <c r="A1828" s="313"/>
      <c r="B1828" s="340"/>
      <c r="C1828" s="768" t="s">
        <v>1814</v>
      </c>
      <c r="D1828" s="768"/>
      <c r="E1828" s="768"/>
      <c r="F1828" s="768"/>
      <c r="G1828" s="768"/>
      <c r="H1828" s="768"/>
      <c r="I1828" s="768"/>
      <c r="J1828" s="768"/>
      <c r="K1828" s="768"/>
      <c r="L1828" s="768"/>
      <c r="M1828" s="1351">
        <f>$X$1777+$AE$1777-$S$1828</f>
        <v>143500000</v>
      </c>
      <c r="N1828" s="1351"/>
      <c r="O1828" s="1351"/>
      <c r="P1828" s="1351"/>
      <c r="Q1828" s="1351"/>
      <c r="R1828" s="771"/>
      <c r="S1828" s="1351">
        <v>205000000</v>
      </c>
      <c r="T1828" s="1351"/>
      <c r="U1828" s="1351"/>
      <c r="V1828" s="1351"/>
      <c r="W1828" s="1351"/>
      <c r="X1828" s="771"/>
      <c r="Y1828" s="1351">
        <v>0</v>
      </c>
      <c r="Z1828" s="1351"/>
      <c r="AA1828" s="1351"/>
      <c r="AB1828" s="1351"/>
      <c r="AC1828" s="1351"/>
      <c r="AD1828" s="771"/>
      <c r="AE1828" s="1351">
        <f>SUM(M1828:AC1828)</f>
        <v>348500000</v>
      </c>
      <c r="AF1828" s="1351"/>
      <c r="AG1828" s="1351"/>
      <c r="AH1828" s="1351"/>
      <c r="AI1828" s="1351"/>
      <c r="AJ1828" s="344"/>
      <c r="AK1828" s="345"/>
      <c r="AL1828" s="340"/>
      <c r="AM1828" s="768" t="s">
        <v>877</v>
      </c>
      <c r="AN1828" s="768"/>
      <c r="AO1828" s="768"/>
      <c r="AP1828" s="768"/>
      <c r="AQ1828" s="768"/>
      <c r="AR1828" s="768"/>
      <c r="AS1828" s="768"/>
      <c r="AT1828" s="768"/>
      <c r="AU1828" s="768"/>
      <c r="AV1828" s="768"/>
      <c r="AW1828" s="1351">
        <f>M1828</f>
        <v>143500000</v>
      </c>
      <c r="AX1828" s="1351"/>
      <c r="AY1828" s="1351"/>
      <c r="AZ1828" s="1351"/>
      <c r="BA1828" s="1351"/>
      <c r="BB1828" s="771"/>
      <c r="BC1828" s="1351">
        <f>S1828</f>
        <v>205000000</v>
      </c>
      <c r="BD1828" s="1351"/>
      <c r="BE1828" s="1351"/>
      <c r="BF1828" s="1351"/>
      <c r="BG1828" s="1351"/>
      <c r="BH1828" s="771"/>
      <c r="BI1828" s="1351">
        <f>Y1828</f>
        <v>0</v>
      </c>
      <c r="BJ1828" s="1351"/>
      <c r="BK1828" s="1351"/>
      <c r="BL1828" s="1351"/>
      <c r="BM1828" s="1351"/>
      <c r="BN1828" s="771"/>
      <c r="BO1828" s="1351">
        <f>SUM(AW1828:BM1828)</f>
        <v>348500000</v>
      </c>
      <c r="BP1828" s="1351"/>
      <c r="BQ1828" s="1351"/>
      <c r="BR1828" s="1351"/>
      <c r="BS1828" s="1351"/>
      <c r="BT1828" s="342"/>
      <c r="BU1828" s="346"/>
      <c r="BV1828" s="310"/>
      <c r="BW1828" s="310"/>
      <c r="BX1828" s="291">
        <f t="shared" si="132"/>
        <v>0</v>
      </c>
      <c r="BY1828" s="344"/>
      <c r="BZ1828" s="347"/>
      <c r="CA1828" s="347"/>
    </row>
    <row r="1829" spans="1:79" ht="15" customHeight="1" x14ac:dyDescent="0.25">
      <c r="A1829" s="313"/>
      <c r="B1829" s="340"/>
      <c r="C1829" s="768" t="s">
        <v>766</v>
      </c>
      <c r="D1829" s="768"/>
      <c r="E1829" s="768"/>
      <c r="F1829" s="768"/>
      <c r="G1829" s="768"/>
      <c r="H1829" s="768"/>
      <c r="I1829" s="768"/>
      <c r="J1829" s="768"/>
      <c r="K1829" s="768"/>
      <c r="L1829" s="768"/>
      <c r="M1829" s="1351">
        <f>X1778</f>
        <v>20000000000</v>
      </c>
      <c r="N1829" s="1351"/>
      <c r="O1829" s="1351"/>
      <c r="P1829" s="1351"/>
      <c r="Q1829" s="1351"/>
      <c r="R1829" s="771"/>
      <c r="S1829" s="1351">
        <v>0</v>
      </c>
      <c r="T1829" s="1351"/>
      <c r="U1829" s="1351"/>
      <c r="V1829" s="1351"/>
      <c r="W1829" s="1351"/>
      <c r="X1829" s="771"/>
      <c r="Y1829" s="1351">
        <v>0</v>
      </c>
      <c r="Z1829" s="1351"/>
      <c r="AA1829" s="1351"/>
      <c r="AB1829" s="1351"/>
      <c r="AC1829" s="1351"/>
      <c r="AD1829" s="771"/>
      <c r="AE1829" s="1351">
        <f>SUM(M1829:AC1829)</f>
        <v>20000000000</v>
      </c>
      <c r="AF1829" s="1351"/>
      <c r="AG1829" s="1351"/>
      <c r="AH1829" s="1351"/>
      <c r="AI1829" s="1351"/>
      <c r="AJ1829" s="344"/>
      <c r="AK1829" s="345"/>
      <c r="AL1829" s="340"/>
      <c r="AM1829" s="768" t="s">
        <v>767</v>
      </c>
      <c r="AN1829" s="768"/>
      <c r="AO1829" s="768"/>
      <c r="AP1829" s="768"/>
      <c r="AQ1829" s="768"/>
      <c r="AR1829" s="768"/>
      <c r="AS1829" s="768"/>
      <c r="AT1829" s="768"/>
      <c r="AU1829" s="768"/>
      <c r="AV1829" s="768"/>
      <c r="AW1829" s="1351">
        <f>M1829</f>
        <v>20000000000</v>
      </c>
      <c r="AX1829" s="1351"/>
      <c r="AY1829" s="1351"/>
      <c r="AZ1829" s="1351"/>
      <c r="BA1829" s="1351"/>
      <c r="BB1829" s="771"/>
      <c r="BC1829" s="1351">
        <f>S1829</f>
        <v>0</v>
      </c>
      <c r="BD1829" s="1351"/>
      <c r="BE1829" s="1351"/>
      <c r="BF1829" s="1351"/>
      <c r="BG1829" s="1351"/>
      <c r="BH1829" s="771"/>
      <c r="BI1829" s="1351">
        <f>Y1829</f>
        <v>0</v>
      </c>
      <c r="BJ1829" s="1351"/>
      <c r="BK1829" s="1351"/>
      <c r="BL1829" s="1351"/>
      <c r="BM1829" s="1351"/>
      <c r="BN1829" s="771"/>
      <c r="BO1829" s="1351">
        <f>SUM(AW1829:BM1829)</f>
        <v>20000000000</v>
      </c>
      <c r="BP1829" s="1351"/>
      <c r="BQ1829" s="1351"/>
      <c r="BR1829" s="1351"/>
      <c r="BS1829" s="1351"/>
      <c r="BT1829" s="342"/>
      <c r="BU1829" s="346"/>
      <c r="BV1829" s="310"/>
      <c r="BW1829" s="310"/>
      <c r="BX1829" s="291">
        <f t="shared" ref="BX1829:BX1885" si="133">IF(ISNONTEXT($C1829),0,SUM(D1829:AI1829)-SUM(AN1829:BS1829))</f>
        <v>0</v>
      </c>
      <c r="BY1829" s="344"/>
      <c r="BZ1829" s="347"/>
      <c r="CA1829" s="347"/>
    </row>
    <row r="1830" spans="1:79" ht="15" customHeight="1" x14ac:dyDescent="0.25">
      <c r="A1830" s="313"/>
      <c r="B1830" s="340"/>
      <c r="C1830" s="768" t="s">
        <v>774</v>
      </c>
      <c r="D1830" s="768"/>
      <c r="E1830" s="768"/>
      <c r="F1830" s="768"/>
      <c r="G1830" s="768"/>
      <c r="H1830" s="768"/>
      <c r="I1830" s="768"/>
      <c r="J1830" s="768"/>
      <c r="K1830" s="768"/>
      <c r="L1830" s="768"/>
      <c r="M1830" s="1351">
        <v>0</v>
      </c>
      <c r="N1830" s="1351"/>
      <c r="O1830" s="1351"/>
      <c r="P1830" s="1351"/>
      <c r="Q1830" s="1351"/>
      <c r="R1830" s="771"/>
      <c r="S1830" s="1351">
        <v>0</v>
      </c>
      <c r="T1830" s="1351"/>
      <c r="U1830" s="1351"/>
      <c r="V1830" s="1351"/>
      <c r="W1830" s="1351"/>
      <c r="X1830" s="771"/>
      <c r="Y1830" s="1351">
        <v>452106383</v>
      </c>
      <c r="Z1830" s="1351"/>
      <c r="AA1830" s="1351"/>
      <c r="AB1830" s="1351"/>
      <c r="AC1830" s="1351"/>
      <c r="AD1830" s="771"/>
      <c r="AE1830" s="1351">
        <f>SUM(M1830:AC1830)</f>
        <v>452106383</v>
      </c>
      <c r="AF1830" s="1351"/>
      <c r="AG1830" s="1351"/>
      <c r="AH1830" s="1351"/>
      <c r="AI1830" s="1351"/>
      <c r="AJ1830" s="344"/>
      <c r="AK1830" s="345"/>
      <c r="AL1830" s="340"/>
      <c r="AM1830" s="768" t="s">
        <v>775</v>
      </c>
      <c r="AN1830" s="768"/>
      <c r="AO1830" s="768"/>
      <c r="AP1830" s="768"/>
      <c r="AQ1830" s="768"/>
      <c r="AR1830" s="768"/>
      <c r="AS1830" s="768"/>
      <c r="AT1830" s="768"/>
      <c r="AU1830" s="768"/>
      <c r="AV1830" s="768"/>
      <c r="AW1830" s="1351">
        <f>M1830</f>
        <v>0</v>
      </c>
      <c r="AX1830" s="1351"/>
      <c r="AY1830" s="1351"/>
      <c r="AZ1830" s="1351"/>
      <c r="BA1830" s="1351"/>
      <c r="BB1830" s="771"/>
      <c r="BC1830" s="1351">
        <f>S1830</f>
        <v>0</v>
      </c>
      <c r="BD1830" s="1351"/>
      <c r="BE1830" s="1351"/>
      <c r="BF1830" s="1351"/>
      <c r="BG1830" s="1351"/>
      <c r="BH1830" s="771"/>
      <c r="BI1830" s="1351">
        <f>Y1830</f>
        <v>452106383</v>
      </c>
      <c r="BJ1830" s="1351"/>
      <c r="BK1830" s="1351"/>
      <c r="BL1830" s="1351"/>
      <c r="BM1830" s="1351"/>
      <c r="BN1830" s="771"/>
      <c r="BO1830" s="1351">
        <f>SUM(AW1830:BM1830)</f>
        <v>452106383</v>
      </c>
      <c r="BP1830" s="1351"/>
      <c r="BQ1830" s="1351"/>
      <c r="BR1830" s="1351"/>
      <c r="BS1830" s="1351"/>
      <c r="BT1830" s="342"/>
      <c r="BU1830" s="346"/>
      <c r="BV1830" s="310"/>
      <c r="BW1830" s="310"/>
      <c r="BX1830" s="291">
        <f t="shared" si="133"/>
        <v>0</v>
      </c>
      <c r="BY1830" s="344"/>
      <c r="BZ1830" s="347"/>
      <c r="CA1830" s="347"/>
    </row>
    <row r="1831" spans="1:79" ht="14.1" customHeight="1" x14ac:dyDescent="0.25">
      <c r="A1831" s="313"/>
      <c r="B1831" s="340"/>
      <c r="C1831" s="768"/>
      <c r="D1831" s="768"/>
      <c r="E1831" s="768"/>
      <c r="F1831" s="768"/>
      <c r="G1831" s="768"/>
      <c r="H1831" s="768"/>
      <c r="I1831" s="768"/>
      <c r="J1831" s="768"/>
      <c r="K1831" s="768"/>
      <c r="L1831" s="768"/>
      <c r="M1831" s="1351"/>
      <c r="N1831" s="1351"/>
      <c r="O1831" s="1351"/>
      <c r="P1831" s="1351"/>
      <c r="Q1831" s="1351"/>
      <c r="R1831" s="771"/>
      <c r="S1831" s="1351"/>
      <c r="T1831" s="1351"/>
      <c r="U1831" s="1351"/>
      <c r="V1831" s="1351"/>
      <c r="W1831" s="1351"/>
      <c r="X1831" s="771"/>
      <c r="Y1831" s="1351"/>
      <c r="Z1831" s="1351"/>
      <c r="AA1831" s="1351"/>
      <c r="AB1831" s="1351"/>
      <c r="AC1831" s="1351"/>
      <c r="AD1831" s="771"/>
      <c r="AE1831" s="1351"/>
      <c r="AF1831" s="1351"/>
      <c r="AG1831" s="1351"/>
      <c r="AH1831" s="1351"/>
      <c r="AI1831" s="1351"/>
      <c r="AJ1831" s="344"/>
      <c r="AK1831" s="345"/>
      <c r="AL1831" s="340"/>
      <c r="AM1831" s="768"/>
      <c r="AN1831" s="768"/>
      <c r="AO1831" s="768"/>
      <c r="AP1831" s="768"/>
      <c r="AQ1831" s="768"/>
      <c r="AR1831" s="768"/>
      <c r="AS1831" s="768"/>
      <c r="AT1831" s="768"/>
      <c r="AU1831" s="768"/>
      <c r="AV1831" s="768"/>
      <c r="AW1831" s="1351"/>
      <c r="AX1831" s="1351"/>
      <c r="AY1831" s="1351"/>
      <c r="AZ1831" s="1351"/>
      <c r="BA1831" s="1351"/>
      <c r="BB1831" s="771"/>
      <c r="BC1831" s="1351"/>
      <c r="BD1831" s="1351"/>
      <c r="BE1831" s="1351"/>
      <c r="BF1831" s="1351"/>
      <c r="BG1831" s="1351"/>
      <c r="BH1831" s="771"/>
      <c r="BI1831" s="1351"/>
      <c r="BJ1831" s="1351"/>
      <c r="BK1831" s="1351"/>
      <c r="BL1831" s="1351"/>
      <c r="BM1831" s="1351"/>
      <c r="BN1831" s="771"/>
      <c r="BO1831" s="1351"/>
      <c r="BP1831" s="1351"/>
      <c r="BQ1831" s="1351"/>
      <c r="BR1831" s="1351"/>
      <c r="BS1831" s="1351"/>
      <c r="BT1831" s="342"/>
      <c r="BU1831" s="346"/>
      <c r="BV1831" s="310"/>
      <c r="BW1831" s="310"/>
      <c r="BX1831" s="291">
        <f t="shared" si="133"/>
        <v>0</v>
      </c>
      <c r="BY1831" s="344"/>
      <c r="BZ1831" s="347"/>
      <c r="CA1831" s="347"/>
    </row>
    <row r="1832" spans="1:79" ht="15" customHeight="1" thickBot="1" x14ac:dyDescent="0.3">
      <c r="A1832" s="313"/>
      <c r="B1832" s="340"/>
      <c r="C1832" s="772" t="s">
        <v>752</v>
      </c>
      <c r="D1832" s="768"/>
      <c r="E1832" s="768"/>
      <c r="F1832" s="768"/>
      <c r="G1832" s="768"/>
      <c r="H1832" s="768"/>
      <c r="I1832" s="768"/>
      <c r="J1832" s="768"/>
      <c r="K1832" s="768"/>
      <c r="L1832" s="768"/>
      <c r="M1832" s="1349">
        <f>SUBTOTAL(109,M1825:Q1831)</f>
        <v>25677843837</v>
      </c>
      <c r="N1832" s="1349"/>
      <c r="O1832" s="1349"/>
      <c r="P1832" s="1349"/>
      <c r="Q1832" s="1349"/>
      <c r="R1832" s="773"/>
      <c r="S1832" s="1349">
        <f>SUBTOTAL(109,S1825:W1831)</f>
        <v>205000000</v>
      </c>
      <c r="T1832" s="1349"/>
      <c r="U1832" s="1349"/>
      <c r="V1832" s="1349"/>
      <c r="W1832" s="1349"/>
      <c r="X1832" s="773"/>
      <c r="Y1832" s="1349">
        <f>SUBTOTAL(109,Y1825:AC1831)</f>
        <v>452106383</v>
      </c>
      <c r="Z1832" s="1349"/>
      <c r="AA1832" s="1349"/>
      <c r="AB1832" s="1349"/>
      <c r="AC1832" s="1349"/>
      <c r="AD1832" s="773"/>
      <c r="AE1832" s="1349">
        <f>SUBTOTAL(109,AE1825:AI1831)</f>
        <v>26334950220</v>
      </c>
      <c r="AF1832" s="1349"/>
      <c r="AG1832" s="1349"/>
      <c r="AH1832" s="1349"/>
      <c r="AI1832" s="1349"/>
      <c r="AJ1832" s="344"/>
      <c r="AK1832" s="345"/>
      <c r="AL1832" s="340"/>
      <c r="AM1832" s="772" t="s">
        <v>753</v>
      </c>
      <c r="AN1832" s="768"/>
      <c r="AO1832" s="768"/>
      <c r="AP1832" s="768"/>
      <c r="AQ1832" s="768"/>
      <c r="AR1832" s="768"/>
      <c r="AS1832" s="768"/>
      <c r="AT1832" s="768"/>
      <c r="AU1832" s="768"/>
      <c r="AV1832" s="768"/>
      <c r="AW1832" s="1349">
        <f>SUBTOTAL(109,AW1825:BA1831)</f>
        <v>25677843837</v>
      </c>
      <c r="AX1832" s="1349"/>
      <c r="AY1832" s="1349"/>
      <c r="AZ1832" s="1349"/>
      <c r="BA1832" s="1349"/>
      <c r="BB1832" s="773"/>
      <c r="BC1832" s="1349">
        <f>SUBTOTAL(109,BC1825:BG1831)</f>
        <v>205000000</v>
      </c>
      <c r="BD1832" s="1349"/>
      <c r="BE1832" s="1349"/>
      <c r="BF1832" s="1349"/>
      <c r="BG1832" s="1349"/>
      <c r="BH1832" s="773"/>
      <c r="BI1832" s="1349">
        <f>SUBTOTAL(109,BI1825:BM1831)</f>
        <v>452106383</v>
      </c>
      <c r="BJ1832" s="1349"/>
      <c r="BK1832" s="1349"/>
      <c r="BL1832" s="1349"/>
      <c r="BM1832" s="1349"/>
      <c r="BN1832" s="773"/>
      <c r="BO1832" s="1349">
        <f>SUBTOTAL(109,BO1825:BS1831)</f>
        <v>26334950220</v>
      </c>
      <c r="BP1832" s="1349"/>
      <c r="BQ1832" s="1349"/>
      <c r="BR1832" s="1349"/>
      <c r="BS1832" s="1349"/>
      <c r="BT1832" s="342"/>
      <c r="BU1832" s="346"/>
      <c r="BV1832" s="310"/>
      <c r="BW1832" s="310">
        <f>AE1832-(X1781+AE1781)</f>
        <v>0</v>
      </c>
      <c r="BX1832" s="291">
        <f t="shared" si="133"/>
        <v>0</v>
      </c>
      <c r="BY1832" s="344"/>
      <c r="BZ1832" s="347"/>
      <c r="CA1832" s="347"/>
    </row>
    <row r="1833" spans="1:79" ht="14.1" customHeight="1" thickTop="1" x14ac:dyDescent="0.25">
      <c r="A1833" s="313"/>
      <c r="B1833" s="340"/>
      <c r="C1833" s="1345"/>
      <c r="D1833" s="1345"/>
      <c r="E1833" s="1345"/>
      <c r="F1833" s="1345"/>
      <c r="G1833" s="1345"/>
      <c r="H1833" s="1345"/>
      <c r="I1833" s="1345"/>
      <c r="J1833" s="1345"/>
      <c r="K1833" s="1345"/>
      <c r="L1833" s="1345"/>
      <c r="M1833" s="1345"/>
      <c r="N1833" s="1345"/>
      <c r="O1833" s="1345"/>
      <c r="P1833" s="1345"/>
      <c r="Q1833" s="1345"/>
      <c r="R1833" s="1345"/>
      <c r="S1833" s="1345"/>
      <c r="T1833" s="1345"/>
      <c r="U1833" s="1345"/>
      <c r="V1833" s="1345"/>
      <c r="W1833" s="1345"/>
      <c r="X1833" s="1345"/>
      <c r="Y1833" s="1345"/>
      <c r="Z1833" s="1345"/>
      <c r="AA1833" s="1345"/>
      <c r="AB1833" s="1345"/>
      <c r="AC1833" s="1345"/>
      <c r="AD1833" s="1345"/>
      <c r="AE1833" s="1345"/>
      <c r="AF1833" s="1345"/>
      <c r="AG1833" s="1345"/>
      <c r="AH1833" s="1345"/>
      <c r="AI1833" s="1345"/>
      <c r="AJ1833" s="344"/>
      <c r="AK1833" s="345"/>
      <c r="AL1833" s="340"/>
      <c r="AM1833" s="1345"/>
      <c r="AN1833" s="1345"/>
      <c r="AO1833" s="1345"/>
      <c r="AP1833" s="1345"/>
      <c r="AQ1833" s="1345"/>
      <c r="AR1833" s="1345"/>
      <c r="AS1833" s="1345"/>
      <c r="AT1833" s="1345"/>
      <c r="AU1833" s="1345"/>
      <c r="AV1833" s="1345"/>
      <c r="AW1833" s="1345"/>
      <c r="AX1833" s="1345"/>
      <c r="AY1833" s="1345"/>
      <c r="AZ1833" s="1345"/>
      <c r="BA1833" s="1345"/>
      <c r="BB1833" s="1345"/>
      <c r="BC1833" s="1345"/>
      <c r="BD1833" s="1345"/>
      <c r="BE1833" s="1345"/>
      <c r="BF1833" s="1345"/>
      <c r="BG1833" s="1345"/>
      <c r="BH1833" s="1345"/>
      <c r="BI1833" s="1345"/>
      <c r="BJ1833" s="1345"/>
      <c r="BK1833" s="1345"/>
      <c r="BL1833" s="1345"/>
      <c r="BM1833" s="1345"/>
      <c r="BN1833" s="1345"/>
      <c r="BO1833" s="1345"/>
      <c r="BP1833" s="1345"/>
      <c r="BQ1833" s="1345"/>
      <c r="BR1833" s="1345"/>
      <c r="BS1833" s="1345"/>
      <c r="BT1833" s="342"/>
      <c r="BU1833" s="346"/>
      <c r="BV1833" s="310"/>
      <c r="BW1833" s="310"/>
      <c r="BX1833" s="291">
        <f t="shared" si="133"/>
        <v>0</v>
      </c>
      <c r="BY1833" s="344"/>
      <c r="BZ1833" s="347"/>
      <c r="CA1833" s="347"/>
    </row>
    <row r="1834" spans="1:79" ht="15" customHeight="1" x14ac:dyDescent="0.25">
      <c r="A1834" s="313"/>
      <c r="B1834" s="340"/>
      <c r="C1834" s="1354" t="s">
        <v>1845</v>
      </c>
      <c r="D1834" s="1354"/>
      <c r="E1834" s="1354"/>
      <c r="F1834" s="1354"/>
      <c r="G1834" s="1354"/>
      <c r="H1834" s="1354"/>
      <c r="I1834" s="1354"/>
      <c r="J1834" s="1354"/>
      <c r="K1834" s="1354"/>
      <c r="L1834" s="1354"/>
      <c r="M1834" s="1354"/>
      <c r="N1834" s="1354"/>
      <c r="O1834" s="1354"/>
      <c r="P1834" s="1354"/>
      <c r="Q1834" s="1354"/>
      <c r="R1834" s="1354"/>
      <c r="S1834" s="1354"/>
      <c r="T1834" s="1354"/>
      <c r="U1834" s="1354"/>
      <c r="V1834" s="1354"/>
      <c r="W1834" s="1354"/>
      <c r="X1834" s="1354"/>
      <c r="Y1834" s="1354"/>
      <c r="Z1834" s="1354"/>
      <c r="AA1834" s="1354"/>
      <c r="AB1834" s="1354"/>
      <c r="AC1834" s="1354"/>
      <c r="AD1834" s="1354"/>
      <c r="AE1834" s="1354"/>
      <c r="AF1834" s="1354"/>
      <c r="AG1834" s="1354"/>
      <c r="AH1834" s="1354"/>
      <c r="AI1834" s="1354"/>
      <c r="AJ1834" s="344"/>
      <c r="AK1834" s="345"/>
      <c r="AL1834" s="340"/>
      <c r="AM1834" s="1354" t="s">
        <v>1846</v>
      </c>
      <c r="AN1834" s="1354"/>
      <c r="AO1834" s="1354"/>
      <c r="AP1834" s="1354"/>
      <c r="AQ1834" s="1354"/>
      <c r="AR1834" s="1354"/>
      <c r="AS1834" s="1354"/>
      <c r="AT1834" s="1354"/>
      <c r="AU1834" s="1354"/>
      <c r="AV1834" s="1354"/>
      <c r="AW1834" s="1354"/>
      <c r="AX1834" s="1354"/>
      <c r="AY1834" s="1354"/>
      <c r="AZ1834" s="1354"/>
      <c r="BA1834" s="1354"/>
      <c r="BB1834" s="1354"/>
      <c r="BC1834" s="1354"/>
      <c r="BD1834" s="1354"/>
      <c r="BE1834" s="1354"/>
      <c r="BF1834" s="1354"/>
      <c r="BG1834" s="1354"/>
      <c r="BH1834" s="1354"/>
      <c r="BI1834" s="1354"/>
      <c r="BJ1834" s="1354"/>
      <c r="BK1834" s="1354"/>
      <c r="BL1834" s="1354"/>
      <c r="BM1834" s="1354"/>
      <c r="BN1834" s="1354"/>
      <c r="BO1834" s="1354"/>
      <c r="BP1834" s="1354"/>
      <c r="BQ1834" s="1354"/>
      <c r="BR1834" s="1354"/>
      <c r="BS1834" s="1354"/>
      <c r="BT1834" s="342"/>
      <c r="BU1834" s="346"/>
      <c r="BV1834" s="310"/>
      <c r="BW1834" s="310"/>
      <c r="BX1834" s="291">
        <f t="shared" si="133"/>
        <v>0</v>
      </c>
      <c r="BY1834" s="344"/>
      <c r="BZ1834" s="347"/>
      <c r="CA1834" s="347"/>
    </row>
    <row r="1835" spans="1:79" ht="42" customHeight="1" x14ac:dyDescent="0.25">
      <c r="A1835" s="313"/>
      <c r="B1835" s="340"/>
      <c r="C1835" s="1345" t="str">
        <f>CONCATENATE("Rủi ro thanh khoản là rủi ro ",LoaiCT_V," gặp khó khăn khi thực hiện các nghĩa vụ tài chính do thiếu vốn. Rủi ro thanh khoản của ",LoaiCT_V," chủ yếu phát sinh từ việc các tài sản tài chính và nợ phải trả tài chính có các thời điểm đáo hạn khác nhau.")</f>
        <v>Rủi ro thanh khoản là rủi ro Công ty gặp khó khăn khi thực hiện các nghĩa vụ tài chính do thiếu vốn. Rủi ro thanh khoản của Công ty chủ yếu phát sinh từ việc các tài sản tài chính và nợ phải trả tài chính có các thời điểm đáo hạn khác nhau.</v>
      </c>
      <c r="D1835" s="1345"/>
      <c r="E1835" s="1345"/>
      <c r="F1835" s="1345"/>
      <c r="G1835" s="1345"/>
      <c r="H1835" s="1345"/>
      <c r="I1835" s="1345"/>
      <c r="J1835" s="1345"/>
      <c r="K1835" s="1345"/>
      <c r="L1835" s="1345"/>
      <c r="M1835" s="1345"/>
      <c r="N1835" s="1345"/>
      <c r="O1835" s="1345"/>
      <c r="P1835" s="1345"/>
      <c r="Q1835" s="1345"/>
      <c r="R1835" s="1345"/>
      <c r="S1835" s="1345"/>
      <c r="T1835" s="1345"/>
      <c r="U1835" s="1345"/>
      <c r="V1835" s="1345"/>
      <c r="W1835" s="1345"/>
      <c r="X1835" s="1345"/>
      <c r="Y1835" s="1345"/>
      <c r="Z1835" s="1345"/>
      <c r="AA1835" s="1345"/>
      <c r="AB1835" s="1345"/>
      <c r="AC1835" s="1345"/>
      <c r="AD1835" s="1345"/>
      <c r="AE1835" s="1345"/>
      <c r="AF1835" s="1345"/>
      <c r="AG1835" s="1345"/>
      <c r="AH1835" s="1345"/>
      <c r="AI1835" s="1345"/>
      <c r="AJ1835" s="344"/>
      <c r="AK1835" s="345"/>
      <c r="AL1835" s="340"/>
      <c r="AM1835" s="1345" t="str">
        <f>CONCATENATE("Liquidity risk is the risk in which the Company has trouble in settlement of its financial obligations due to lack of funds. Liquidity risk of the ",LoaiCT_E," is mainly from different maturity of its financial assets and liabilities.")</f>
        <v>Liquidity risk is the risk in which the Company has trouble in settlement of its financial obligations due to lack of funds. Liquidity risk of the Corporation is mainly from different maturity of its financial assets and liabilities.</v>
      </c>
      <c r="AN1835" s="1345"/>
      <c r="AO1835" s="1345"/>
      <c r="AP1835" s="1345"/>
      <c r="AQ1835" s="1345"/>
      <c r="AR1835" s="1345"/>
      <c r="AS1835" s="1345"/>
      <c r="AT1835" s="1345"/>
      <c r="AU1835" s="1345"/>
      <c r="AV1835" s="1345"/>
      <c r="AW1835" s="1345"/>
      <c r="AX1835" s="1345"/>
      <c r="AY1835" s="1345"/>
      <c r="AZ1835" s="1345"/>
      <c r="BA1835" s="1345"/>
      <c r="BB1835" s="1345"/>
      <c r="BC1835" s="1345"/>
      <c r="BD1835" s="1345"/>
      <c r="BE1835" s="1345"/>
      <c r="BF1835" s="1345"/>
      <c r="BG1835" s="1345"/>
      <c r="BH1835" s="1345"/>
      <c r="BI1835" s="1345"/>
      <c r="BJ1835" s="1345"/>
      <c r="BK1835" s="1345"/>
      <c r="BL1835" s="1345"/>
      <c r="BM1835" s="1345"/>
      <c r="BN1835" s="1345"/>
      <c r="BO1835" s="1345"/>
      <c r="BP1835" s="1345"/>
      <c r="BQ1835" s="1345"/>
      <c r="BR1835" s="1345"/>
      <c r="BS1835" s="1345"/>
      <c r="BT1835" s="342"/>
      <c r="BU1835" s="346"/>
      <c r="BV1835" s="310"/>
      <c r="BW1835" s="310"/>
      <c r="BX1835" s="291">
        <f t="shared" si="133"/>
        <v>0</v>
      </c>
      <c r="BY1835" s="344"/>
      <c r="BZ1835" s="347"/>
      <c r="CA1835" s="347"/>
    </row>
    <row r="1836" spans="1:79" ht="27.95" customHeight="1" x14ac:dyDescent="0.25">
      <c r="A1836" s="313"/>
      <c r="B1836" s="340"/>
      <c r="C1836" s="1345" t="s">
        <v>1847</v>
      </c>
      <c r="D1836" s="1345"/>
      <c r="E1836" s="1345"/>
      <c r="F1836" s="1345"/>
      <c r="G1836" s="1345"/>
      <c r="H1836" s="1345"/>
      <c r="I1836" s="1345"/>
      <c r="J1836" s="1345"/>
      <c r="K1836" s="1345"/>
      <c r="L1836" s="1345"/>
      <c r="M1836" s="1345"/>
      <c r="N1836" s="1345"/>
      <c r="O1836" s="1345"/>
      <c r="P1836" s="1345"/>
      <c r="Q1836" s="1345"/>
      <c r="R1836" s="1345"/>
      <c r="S1836" s="1345"/>
      <c r="T1836" s="1345"/>
      <c r="U1836" s="1345"/>
      <c r="V1836" s="1345"/>
      <c r="W1836" s="1345"/>
      <c r="X1836" s="1345"/>
      <c r="Y1836" s="1345"/>
      <c r="Z1836" s="1345"/>
      <c r="AA1836" s="1345"/>
      <c r="AB1836" s="1345"/>
      <c r="AC1836" s="1345"/>
      <c r="AD1836" s="1345"/>
      <c r="AE1836" s="1345"/>
      <c r="AF1836" s="1345"/>
      <c r="AG1836" s="1345"/>
      <c r="AH1836" s="1345"/>
      <c r="AI1836" s="1345"/>
      <c r="AJ1836" s="344"/>
      <c r="AK1836" s="345"/>
      <c r="AL1836" s="340"/>
      <c r="AM1836" s="1345" t="s">
        <v>1848</v>
      </c>
      <c r="AN1836" s="1345"/>
      <c r="AO1836" s="1345"/>
      <c r="AP1836" s="1345"/>
      <c r="AQ1836" s="1345"/>
      <c r="AR1836" s="1345"/>
      <c r="AS1836" s="1345"/>
      <c r="AT1836" s="1345"/>
      <c r="AU1836" s="1345"/>
      <c r="AV1836" s="1345"/>
      <c r="AW1836" s="1345"/>
      <c r="AX1836" s="1345"/>
      <c r="AY1836" s="1345"/>
      <c r="AZ1836" s="1345"/>
      <c r="BA1836" s="1345"/>
      <c r="BB1836" s="1345"/>
      <c r="BC1836" s="1345"/>
      <c r="BD1836" s="1345"/>
      <c r="BE1836" s="1345"/>
      <c r="BF1836" s="1345"/>
      <c r="BG1836" s="1345"/>
      <c r="BH1836" s="1345"/>
      <c r="BI1836" s="1345"/>
      <c r="BJ1836" s="1345"/>
      <c r="BK1836" s="1345"/>
      <c r="BL1836" s="1345"/>
      <c r="BM1836" s="1345"/>
      <c r="BN1836" s="1345"/>
      <c r="BO1836" s="1345"/>
      <c r="BP1836" s="1345"/>
      <c r="BQ1836" s="1345"/>
      <c r="BR1836" s="1345"/>
      <c r="BS1836" s="1345"/>
      <c r="BT1836" s="342"/>
      <c r="BU1836" s="346"/>
      <c r="BV1836" s="310"/>
      <c r="BW1836" s="310"/>
      <c r="BX1836" s="291">
        <f t="shared" si="133"/>
        <v>0</v>
      </c>
      <c r="BY1836" s="344"/>
      <c r="BZ1836" s="347"/>
      <c r="CA1836" s="347"/>
    </row>
    <row r="1837" spans="1:79" ht="27.95" customHeight="1" x14ac:dyDescent="0.2">
      <c r="A1837" s="313"/>
      <c r="B1837" s="340"/>
      <c r="C1837" s="768"/>
      <c r="D1837" s="768"/>
      <c r="E1837" s="768"/>
      <c r="F1837" s="768"/>
      <c r="G1837" s="768"/>
      <c r="H1837" s="768"/>
      <c r="I1837" s="768"/>
      <c r="J1837" s="768"/>
      <c r="K1837" s="768"/>
      <c r="L1837" s="768"/>
      <c r="M1837" s="1352" t="s">
        <v>1838</v>
      </c>
      <c r="N1837" s="1352"/>
      <c r="O1837" s="1352"/>
      <c r="P1837" s="1352"/>
      <c r="Q1837" s="1352"/>
      <c r="R1837" s="769"/>
      <c r="S1837" s="1352" t="s">
        <v>1839</v>
      </c>
      <c r="T1837" s="1352"/>
      <c r="U1837" s="1352"/>
      <c r="V1837" s="1352"/>
      <c r="W1837" s="1352"/>
      <c r="X1837" s="769"/>
      <c r="Y1837" s="1352" t="s">
        <v>1840</v>
      </c>
      <c r="Z1837" s="1352"/>
      <c r="AA1837" s="1352"/>
      <c r="AB1837" s="1352"/>
      <c r="AC1837" s="1352"/>
      <c r="AD1837" s="769"/>
      <c r="AE1837" s="1352" t="s">
        <v>1068</v>
      </c>
      <c r="AF1837" s="1352"/>
      <c r="AG1837" s="1352"/>
      <c r="AH1837" s="1352"/>
      <c r="AI1837" s="1352"/>
      <c r="AJ1837" s="344"/>
      <c r="AK1837" s="345"/>
      <c r="AL1837" s="340"/>
      <c r="AM1837" s="768"/>
      <c r="AN1837" s="768"/>
      <c r="AO1837" s="768"/>
      <c r="AP1837" s="768"/>
      <c r="AQ1837" s="768"/>
      <c r="AR1837" s="768"/>
      <c r="AS1837" s="768"/>
      <c r="AT1837" s="768"/>
      <c r="AU1837" s="768"/>
      <c r="AV1837" s="768"/>
      <c r="AW1837" s="1352" t="s">
        <v>1841</v>
      </c>
      <c r="AX1837" s="1352"/>
      <c r="AY1837" s="1352"/>
      <c r="AZ1837" s="1352"/>
      <c r="BA1837" s="1352"/>
      <c r="BB1837" s="769"/>
      <c r="BC1837" s="1352" t="s">
        <v>1842</v>
      </c>
      <c r="BD1837" s="1352"/>
      <c r="BE1837" s="1352"/>
      <c r="BF1837" s="1352"/>
      <c r="BG1837" s="1352"/>
      <c r="BH1837" s="769"/>
      <c r="BI1837" s="1352" t="s">
        <v>1843</v>
      </c>
      <c r="BJ1837" s="1352"/>
      <c r="BK1837" s="1352"/>
      <c r="BL1837" s="1352"/>
      <c r="BM1837" s="1352"/>
      <c r="BN1837" s="769"/>
      <c r="BO1837" s="1352" t="s">
        <v>753</v>
      </c>
      <c r="BP1837" s="1352"/>
      <c r="BQ1837" s="1352"/>
      <c r="BR1837" s="1352"/>
      <c r="BS1837" s="1352"/>
      <c r="BT1837" s="342"/>
      <c r="BU1837" s="346"/>
      <c r="BV1837" s="310"/>
      <c r="BW1837" s="310"/>
      <c r="BX1837" s="291">
        <f t="shared" si="133"/>
        <v>0</v>
      </c>
      <c r="BY1837" s="344"/>
      <c r="BZ1837" s="347"/>
      <c r="CA1837" s="347"/>
    </row>
    <row r="1838" spans="1:79" ht="15" customHeight="1" x14ac:dyDescent="0.25">
      <c r="A1838" s="313"/>
      <c r="B1838" s="340"/>
      <c r="C1838" s="768"/>
      <c r="D1838" s="768"/>
      <c r="E1838" s="768"/>
      <c r="F1838" s="768"/>
      <c r="G1838" s="768"/>
      <c r="H1838" s="768"/>
      <c r="I1838" s="768"/>
      <c r="J1838" s="768"/>
      <c r="K1838" s="768"/>
      <c r="L1838" s="768"/>
      <c r="M1838" s="1353" t="str">
        <f>Don_Vi_Tinh_V</f>
        <v>VND</v>
      </c>
      <c r="N1838" s="1353"/>
      <c r="O1838" s="1353"/>
      <c r="P1838" s="1353"/>
      <c r="Q1838" s="1353"/>
      <c r="R1838" s="768"/>
      <c r="S1838" s="1353" t="str">
        <f>Don_Vi_Tinh_V</f>
        <v>VND</v>
      </c>
      <c r="T1838" s="1353"/>
      <c r="U1838" s="1353"/>
      <c r="V1838" s="1353"/>
      <c r="W1838" s="1353"/>
      <c r="X1838" s="768"/>
      <c r="Y1838" s="1353" t="str">
        <f>Don_Vi_Tinh_V</f>
        <v>VND</v>
      </c>
      <c r="Z1838" s="1353"/>
      <c r="AA1838" s="1353"/>
      <c r="AB1838" s="1353"/>
      <c r="AC1838" s="1353"/>
      <c r="AD1838" s="768"/>
      <c r="AE1838" s="1353" t="str">
        <f>Don_Vi_Tinh_V</f>
        <v>VND</v>
      </c>
      <c r="AF1838" s="1353"/>
      <c r="AG1838" s="1353"/>
      <c r="AH1838" s="1353"/>
      <c r="AI1838" s="1353"/>
      <c r="AJ1838" s="344"/>
      <c r="AK1838" s="345"/>
      <c r="AL1838" s="340"/>
      <c r="AM1838" s="768"/>
      <c r="AN1838" s="768"/>
      <c r="AO1838" s="768"/>
      <c r="AP1838" s="768"/>
      <c r="AQ1838" s="768"/>
      <c r="AR1838" s="768"/>
      <c r="AS1838" s="768"/>
      <c r="AT1838" s="768"/>
      <c r="AU1838" s="768"/>
      <c r="AV1838" s="768"/>
      <c r="AW1838" s="1353" t="str">
        <f>Don_Vi_Tinh_E</f>
        <v>VND</v>
      </c>
      <c r="AX1838" s="1353"/>
      <c r="AY1838" s="1353"/>
      <c r="AZ1838" s="1353"/>
      <c r="BA1838" s="1353"/>
      <c r="BB1838" s="768"/>
      <c r="BC1838" s="1353" t="str">
        <f>Don_Vi_Tinh_E</f>
        <v>VND</v>
      </c>
      <c r="BD1838" s="1353"/>
      <c r="BE1838" s="1353"/>
      <c r="BF1838" s="1353"/>
      <c r="BG1838" s="1353"/>
      <c r="BH1838" s="768"/>
      <c r="BI1838" s="1353" t="str">
        <f>Don_Vi_Tinh_E</f>
        <v>VND</v>
      </c>
      <c r="BJ1838" s="1353"/>
      <c r="BK1838" s="1353"/>
      <c r="BL1838" s="1353"/>
      <c r="BM1838" s="1353"/>
      <c r="BN1838" s="768"/>
      <c r="BO1838" s="1353" t="str">
        <f>Don_Vi_Tinh_E</f>
        <v>VND</v>
      </c>
      <c r="BP1838" s="1353"/>
      <c r="BQ1838" s="1353"/>
      <c r="BR1838" s="1353"/>
      <c r="BS1838" s="1353"/>
      <c r="BT1838" s="342"/>
      <c r="BU1838" s="346"/>
      <c r="BV1838" s="310"/>
      <c r="BW1838" s="310"/>
      <c r="BX1838" s="291">
        <f t="shared" si="133"/>
        <v>0</v>
      </c>
      <c r="BY1838" s="344"/>
      <c r="BZ1838" s="347"/>
      <c r="CA1838" s="347"/>
    </row>
    <row r="1839" spans="1:79" ht="15" customHeight="1" x14ac:dyDescent="0.25">
      <c r="A1839" s="313"/>
      <c r="B1839" s="340"/>
      <c r="C1839" s="770" t="str">
        <f>"Tại ngày "&amp;Ky_Nay1_V</f>
        <v>Tại ngày 31/12/2017</v>
      </c>
      <c r="D1839" s="768"/>
      <c r="E1839" s="768"/>
      <c r="F1839" s="768"/>
      <c r="G1839" s="768"/>
      <c r="H1839" s="768"/>
      <c r="I1839" s="768"/>
      <c r="J1839" s="768"/>
      <c r="K1839" s="768"/>
      <c r="L1839" s="768"/>
      <c r="M1839" s="1351"/>
      <c r="N1839" s="1351"/>
      <c r="O1839" s="1351"/>
      <c r="P1839" s="1351"/>
      <c r="Q1839" s="1351"/>
      <c r="R1839" s="771"/>
      <c r="S1839" s="1351"/>
      <c r="T1839" s="1351"/>
      <c r="U1839" s="1351"/>
      <c r="V1839" s="1351"/>
      <c r="W1839" s="1351"/>
      <c r="X1839" s="771"/>
      <c r="Y1839" s="1351"/>
      <c r="Z1839" s="1351"/>
      <c r="AA1839" s="1351"/>
      <c r="AB1839" s="1351"/>
      <c r="AC1839" s="1351"/>
      <c r="AD1839" s="771"/>
      <c r="AE1839" s="1351"/>
      <c r="AF1839" s="1351"/>
      <c r="AG1839" s="1351"/>
      <c r="AH1839" s="1351"/>
      <c r="AI1839" s="1351"/>
      <c r="AJ1839" s="344"/>
      <c r="AK1839" s="345"/>
      <c r="AL1839" s="340"/>
      <c r="AM1839" s="770" t="str">
        <f>"As at "&amp;Ky_Nay1_E</f>
        <v>As at 31/12/2017</v>
      </c>
      <c r="AN1839" s="768"/>
      <c r="AO1839" s="768"/>
      <c r="AP1839" s="768"/>
      <c r="AQ1839" s="768"/>
      <c r="AR1839" s="768"/>
      <c r="AS1839" s="768"/>
      <c r="AT1839" s="768"/>
      <c r="AU1839" s="768"/>
      <c r="AV1839" s="768"/>
      <c r="AW1839" s="1351"/>
      <c r="AX1839" s="1351"/>
      <c r="AY1839" s="1351"/>
      <c r="AZ1839" s="1351"/>
      <c r="BA1839" s="1351"/>
      <c r="BB1839" s="771"/>
      <c r="BC1839" s="1351"/>
      <c r="BD1839" s="1351"/>
      <c r="BE1839" s="1351"/>
      <c r="BF1839" s="1351"/>
      <c r="BG1839" s="1351"/>
      <c r="BH1839" s="771"/>
      <c r="BI1839" s="1351"/>
      <c r="BJ1839" s="1351"/>
      <c r="BK1839" s="1351"/>
      <c r="BL1839" s="1351"/>
      <c r="BM1839" s="1351"/>
      <c r="BN1839" s="771"/>
      <c r="BO1839" s="1351"/>
      <c r="BP1839" s="1351"/>
      <c r="BQ1839" s="1351"/>
      <c r="BR1839" s="1351"/>
      <c r="BS1839" s="1351"/>
      <c r="BT1839" s="342"/>
      <c r="BU1839" s="346"/>
      <c r="BV1839" s="310"/>
      <c r="BW1839" s="310"/>
      <c r="BX1839" s="291">
        <f t="shared" si="133"/>
        <v>0</v>
      </c>
      <c r="BY1839" s="344"/>
      <c r="BZ1839" s="347"/>
      <c r="CA1839" s="347"/>
    </row>
    <row r="1840" spans="1:79" ht="15" customHeight="1" x14ac:dyDescent="0.25">
      <c r="A1840" s="313"/>
      <c r="B1840" s="340"/>
      <c r="C1840" s="768" t="s">
        <v>1816</v>
      </c>
      <c r="D1840" s="768"/>
      <c r="E1840" s="768"/>
      <c r="F1840" s="768"/>
      <c r="G1840" s="768"/>
      <c r="H1840" s="768"/>
      <c r="I1840" s="768"/>
      <c r="J1840" s="768"/>
      <c r="K1840" s="768"/>
      <c r="L1840" s="768"/>
      <c r="M1840" s="1351">
        <f>[1]CDKT!$V$109</f>
        <v>1074476402</v>
      </c>
      <c r="N1840" s="1351"/>
      <c r="O1840" s="1351"/>
      <c r="P1840" s="1351"/>
      <c r="Q1840" s="1351"/>
      <c r="R1840" s="771"/>
      <c r="S1840" s="1351">
        <v>0</v>
      </c>
      <c r="T1840" s="1351"/>
      <c r="U1840" s="1351"/>
      <c r="V1840" s="1351"/>
      <c r="W1840" s="1351"/>
      <c r="X1840" s="771"/>
      <c r="Y1840" s="1351">
        <v>0</v>
      </c>
      <c r="Z1840" s="1351"/>
      <c r="AA1840" s="1351"/>
      <c r="AB1840" s="1351"/>
      <c r="AC1840" s="1351"/>
      <c r="AD1840" s="771"/>
      <c r="AE1840" s="1351">
        <f>SUM(M1840:AC1840)</f>
        <v>1074476402</v>
      </c>
      <c r="AF1840" s="1351"/>
      <c r="AG1840" s="1351"/>
      <c r="AH1840" s="1351"/>
      <c r="AI1840" s="1351"/>
      <c r="AJ1840" s="344"/>
      <c r="AK1840" s="345"/>
      <c r="AL1840" s="340"/>
      <c r="AM1840" s="768" t="s">
        <v>1849</v>
      </c>
      <c r="AN1840" s="768"/>
      <c r="AO1840" s="768"/>
      <c r="AP1840" s="768"/>
      <c r="AQ1840" s="768"/>
      <c r="AR1840" s="768"/>
      <c r="AS1840" s="768"/>
      <c r="AT1840" s="768"/>
      <c r="AU1840" s="768"/>
      <c r="AV1840" s="768"/>
      <c r="AW1840" s="1351">
        <f>M1840</f>
        <v>1074476402</v>
      </c>
      <c r="AX1840" s="1351"/>
      <c r="AY1840" s="1351"/>
      <c r="AZ1840" s="1351"/>
      <c r="BA1840" s="1351"/>
      <c r="BB1840" s="771"/>
      <c r="BC1840" s="1351">
        <f>S1840</f>
        <v>0</v>
      </c>
      <c r="BD1840" s="1351"/>
      <c r="BE1840" s="1351"/>
      <c r="BF1840" s="1351"/>
      <c r="BG1840" s="1351"/>
      <c r="BH1840" s="771"/>
      <c r="BI1840" s="1351">
        <f>Y1840</f>
        <v>0</v>
      </c>
      <c r="BJ1840" s="1351"/>
      <c r="BK1840" s="1351"/>
      <c r="BL1840" s="1351"/>
      <c r="BM1840" s="1351"/>
      <c r="BN1840" s="771"/>
      <c r="BO1840" s="1351">
        <f>SUM(AW1840:BM1840)</f>
        <v>1074476402</v>
      </c>
      <c r="BP1840" s="1351"/>
      <c r="BQ1840" s="1351"/>
      <c r="BR1840" s="1351"/>
      <c r="BS1840" s="1351"/>
      <c r="BT1840" s="342"/>
      <c r="BU1840" s="346"/>
      <c r="BV1840" s="310"/>
      <c r="BW1840" s="310"/>
      <c r="BX1840" s="291">
        <f t="shared" si="133"/>
        <v>0</v>
      </c>
      <c r="BY1840" s="344"/>
      <c r="BZ1840" s="347"/>
      <c r="CA1840" s="347"/>
    </row>
    <row r="1841" spans="1:79" ht="15" customHeight="1" x14ac:dyDescent="0.25">
      <c r="A1841" s="313"/>
      <c r="B1841" s="340"/>
      <c r="C1841" s="768" t="s">
        <v>1818</v>
      </c>
      <c r="D1841" s="768"/>
      <c r="E1841" s="768"/>
      <c r="F1841" s="768"/>
      <c r="G1841" s="768"/>
      <c r="H1841" s="768"/>
      <c r="I1841" s="768"/>
      <c r="J1841" s="768"/>
      <c r="K1841" s="768"/>
      <c r="L1841" s="768"/>
      <c r="M1841" s="1351">
        <f>[1]CDKT!$V$100+[1]CDKT!$V$108</f>
        <v>4469485959</v>
      </c>
      <c r="N1841" s="1351"/>
      <c r="O1841" s="1351"/>
      <c r="P1841" s="1351"/>
      <c r="Q1841" s="1351"/>
      <c r="R1841" s="771"/>
      <c r="S1841" s="1351">
        <v>0</v>
      </c>
      <c r="T1841" s="1351"/>
      <c r="U1841" s="1351"/>
      <c r="V1841" s="1351"/>
      <c r="W1841" s="1351"/>
      <c r="X1841" s="771"/>
      <c r="Y1841" s="1351">
        <v>0</v>
      </c>
      <c r="Z1841" s="1351"/>
      <c r="AA1841" s="1351"/>
      <c r="AB1841" s="1351"/>
      <c r="AC1841" s="1351"/>
      <c r="AD1841" s="771"/>
      <c r="AE1841" s="1351">
        <f>SUM(M1841:AC1841)</f>
        <v>4469485959</v>
      </c>
      <c r="AF1841" s="1351"/>
      <c r="AG1841" s="1351"/>
      <c r="AH1841" s="1351"/>
      <c r="AI1841" s="1351"/>
      <c r="AJ1841" s="344"/>
      <c r="AK1841" s="345"/>
      <c r="AL1841" s="340"/>
      <c r="AM1841" s="768" t="s">
        <v>1819</v>
      </c>
      <c r="AN1841" s="768"/>
      <c r="AO1841" s="768"/>
      <c r="AP1841" s="768"/>
      <c r="AQ1841" s="768"/>
      <c r="AR1841" s="768"/>
      <c r="AS1841" s="768"/>
      <c r="AT1841" s="768"/>
      <c r="AU1841" s="768"/>
      <c r="AV1841" s="768"/>
      <c r="AW1841" s="1351">
        <f>M1841</f>
        <v>4469485959</v>
      </c>
      <c r="AX1841" s="1351"/>
      <c r="AY1841" s="1351"/>
      <c r="AZ1841" s="1351"/>
      <c r="BA1841" s="1351"/>
      <c r="BB1841" s="771"/>
      <c r="BC1841" s="1351">
        <f>S1841</f>
        <v>0</v>
      </c>
      <c r="BD1841" s="1351"/>
      <c r="BE1841" s="1351"/>
      <c r="BF1841" s="1351"/>
      <c r="BG1841" s="1351"/>
      <c r="BH1841" s="771"/>
      <c r="BI1841" s="1351">
        <f>Y1841</f>
        <v>0</v>
      </c>
      <c r="BJ1841" s="1351"/>
      <c r="BK1841" s="1351"/>
      <c r="BL1841" s="1351"/>
      <c r="BM1841" s="1351"/>
      <c r="BN1841" s="771"/>
      <c r="BO1841" s="1351">
        <f>SUM(AW1841:BM1841)</f>
        <v>4469485959</v>
      </c>
      <c r="BP1841" s="1351"/>
      <c r="BQ1841" s="1351"/>
      <c r="BR1841" s="1351"/>
      <c r="BS1841" s="1351"/>
      <c r="BT1841" s="342"/>
      <c r="BU1841" s="346"/>
      <c r="BV1841" s="310"/>
      <c r="BW1841" s="310"/>
      <c r="BX1841" s="291">
        <f t="shared" si="133"/>
        <v>0</v>
      </c>
      <c r="BY1841" s="344"/>
      <c r="BZ1841" s="347"/>
      <c r="CA1841" s="347"/>
    </row>
    <row r="1842" spans="1:79" ht="15" customHeight="1" x14ac:dyDescent="0.25">
      <c r="A1842" s="313"/>
      <c r="B1842" s="340"/>
      <c r="C1842" s="768" t="s">
        <v>1820</v>
      </c>
      <c r="D1842" s="768"/>
      <c r="E1842" s="768"/>
      <c r="F1842" s="768"/>
      <c r="G1842" s="768"/>
      <c r="H1842" s="768"/>
      <c r="I1842" s="768"/>
      <c r="J1842" s="768"/>
      <c r="K1842" s="768"/>
      <c r="L1842" s="768"/>
      <c r="M1842" s="1351">
        <f>[1]CDKT!$V$104</f>
        <v>125537580</v>
      </c>
      <c r="N1842" s="1351"/>
      <c r="O1842" s="1351"/>
      <c r="P1842" s="1351"/>
      <c r="Q1842" s="1351"/>
      <c r="R1842" s="771"/>
      <c r="S1842" s="1351">
        <v>0</v>
      </c>
      <c r="T1842" s="1351"/>
      <c r="U1842" s="1351"/>
      <c r="V1842" s="1351"/>
      <c r="W1842" s="1351"/>
      <c r="X1842" s="771"/>
      <c r="Y1842" s="1351">
        <v>0</v>
      </c>
      <c r="Z1842" s="1351"/>
      <c r="AA1842" s="1351"/>
      <c r="AB1842" s="1351"/>
      <c r="AC1842" s="1351"/>
      <c r="AD1842" s="771"/>
      <c r="AE1842" s="1351">
        <f>SUM(M1842:AC1842)</f>
        <v>125537580</v>
      </c>
      <c r="AF1842" s="1351"/>
      <c r="AG1842" s="1351"/>
      <c r="AH1842" s="1351"/>
      <c r="AI1842" s="1351"/>
      <c r="AJ1842" s="344"/>
      <c r="AK1842" s="345"/>
      <c r="AL1842" s="340"/>
      <c r="AM1842" s="768" t="s">
        <v>1821</v>
      </c>
      <c r="AN1842" s="768"/>
      <c r="AO1842" s="768"/>
      <c r="AP1842" s="768"/>
      <c r="AQ1842" s="768"/>
      <c r="AR1842" s="768"/>
      <c r="AS1842" s="768"/>
      <c r="AT1842" s="768"/>
      <c r="AU1842" s="768"/>
      <c r="AV1842" s="768"/>
      <c r="AW1842" s="1351">
        <f>M1842</f>
        <v>125537580</v>
      </c>
      <c r="AX1842" s="1351"/>
      <c r="AY1842" s="1351"/>
      <c r="AZ1842" s="1351"/>
      <c r="BA1842" s="1351"/>
      <c r="BB1842" s="771"/>
      <c r="BC1842" s="1351">
        <f>S1842</f>
        <v>0</v>
      </c>
      <c r="BD1842" s="1351"/>
      <c r="BE1842" s="1351"/>
      <c r="BF1842" s="1351"/>
      <c r="BG1842" s="1351"/>
      <c r="BH1842" s="771"/>
      <c r="BI1842" s="1351">
        <f>Y1842</f>
        <v>0</v>
      </c>
      <c r="BJ1842" s="1351"/>
      <c r="BK1842" s="1351"/>
      <c r="BL1842" s="1351"/>
      <c r="BM1842" s="1351"/>
      <c r="BN1842" s="771"/>
      <c r="BO1842" s="1351">
        <f>SUM(AW1842:BM1842)</f>
        <v>125537580</v>
      </c>
      <c r="BP1842" s="1351"/>
      <c r="BQ1842" s="1351"/>
      <c r="BR1842" s="1351"/>
      <c r="BS1842" s="1351"/>
      <c r="BT1842" s="342"/>
      <c r="BU1842" s="346"/>
      <c r="BV1842" s="310"/>
      <c r="BW1842" s="310"/>
      <c r="BX1842" s="291">
        <f t="shared" si="133"/>
        <v>0</v>
      </c>
      <c r="BY1842" s="344"/>
      <c r="BZ1842" s="347"/>
      <c r="CA1842" s="347"/>
    </row>
    <row r="1843" spans="1:79" ht="14.1" customHeight="1" x14ac:dyDescent="0.25">
      <c r="A1843" s="313"/>
      <c r="B1843" s="340"/>
      <c r="C1843" s="768"/>
      <c r="D1843" s="768"/>
      <c r="E1843" s="768"/>
      <c r="F1843" s="768"/>
      <c r="G1843" s="768"/>
      <c r="H1843" s="768"/>
      <c r="I1843" s="768"/>
      <c r="J1843" s="768"/>
      <c r="K1843" s="768"/>
      <c r="L1843" s="768"/>
      <c r="M1843" s="1351"/>
      <c r="N1843" s="1351"/>
      <c r="O1843" s="1351"/>
      <c r="P1843" s="1351"/>
      <c r="Q1843" s="1351"/>
      <c r="R1843" s="771"/>
      <c r="S1843" s="1351"/>
      <c r="T1843" s="1351"/>
      <c r="U1843" s="1351"/>
      <c r="V1843" s="1351"/>
      <c r="W1843" s="1351"/>
      <c r="X1843" s="771"/>
      <c r="Y1843" s="1351"/>
      <c r="Z1843" s="1351"/>
      <c r="AA1843" s="1351"/>
      <c r="AB1843" s="1351"/>
      <c r="AC1843" s="1351"/>
      <c r="AD1843" s="771"/>
      <c r="AE1843" s="1351"/>
      <c r="AF1843" s="1351"/>
      <c r="AG1843" s="1351"/>
      <c r="AH1843" s="1351"/>
      <c r="AI1843" s="1351"/>
      <c r="AJ1843" s="344"/>
      <c r="AK1843" s="345"/>
      <c r="AL1843" s="340"/>
      <c r="AM1843" s="768"/>
      <c r="AN1843" s="768"/>
      <c r="AO1843" s="768"/>
      <c r="AP1843" s="768"/>
      <c r="AQ1843" s="768"/>
      <c r="AR1843" s="768"/>
      <c r="AS1843" s="768"/>
      <c r="AT1843" s="768"/>
      <c r="AU1843" s="768"/>
      <c r="AV1843" s="768"/>
      <c r="AW1843" s="1351"/>
      <c r="AX1843" s="1351"/>
      <c r="AY1843" s="1351"/>
      <c r="AZ1843" s="1351"/>
      <c r="BA1843" s="1351"/>
      <c r="BB1843" s="771"/>
      <c r="BC1843" s="1351"/>
      <c r="BD1843" s="1351"/>
      <c r="BE1843" s="1351"/>
      <c r="BF1843" s="1351"/>
      <c r="BG1843" s="1351"/>
      <c r="BH1843" s="771"/>
      <c r="BI1843" s="1351"/>
      <c r="BJ1843" s="1351"/>
      <c r="BK1843" s="1351"/>
      <c r="BL1843" s="1351"/>
      <c r="BM1843" s="1351"/>
      <c r="BN1843" s="771"/>
      <c r="BO1843" s="1351"/>
      <c r="BP1843" s="1351"/>
      <c r="BQ1843" s="1351"/>
      <c r="BR1843" s="1351"/>
      <c r="BS1843" s="1351"/>
      <c r="BT1843" s="342"/>
      <c r="BU1843" s="346"/>
      <c r="BV1843" s="310"/>
      <c r="BW1843" s="310"/>
      <c r="BX1843" s="291">
        <f t="shared" si="133"/>
        <v>0</v>
      </c>
      <c r="BY1843" s="344"/>
      <c r="BZ1843" s="347"/>
      <c r="CA1843" s="347"/>
    </row>
    <row r="1844" spans="1:79" ht="15" customHeight="1" thickBot="1" x14ac:dyDescent="0.3">
      <c r="A1844" s="313"/>
      <c r="B1844" s="340"/>
      <c r="C1844" s="772" t="s">
        <v>752</v>
      </c>
      <c r="D1844" s="768"/>
      <c r="E1844" s="768"/>
      <c r="F1844" s="768"/>
      <c r="G1844" s="768"/>
      <c r="H1844" s="768"/>
      <c r="I1844" s="768"/>
      <c r="J1844" s="768"/>
      <c r="K1844" s="768"/>
      <c r="L1844" s="768"/>
      <c r="M1844" s="1349">
        <f>SUBTOTAL(109,M1839:Q1843)</f>
        <v>5669499941</v>
      </c>
      <c r="N1844" s="1349"/>
      <c r="O1844" s="1349"/>
      <c r="P1844" s="1349"/>
      <c r="Q1844" s="1349"/>
      <c r="R1844" s="773"/>
      <c r="S1844" s="1349">
        <f>SUBTOTAL(109,S1839:W1843)</f>
        <v>0</v>
      </c>
      <c r="T1844" s="1349"/>
      <c r="U1844" s="1349"/>
      <c r="V1844" s="1349"/>
      <c r="W1844" s="1349"/>
      <c r="X1844" s="773"/>
      <c r="Y1844" s="1349">
        <f>SUBTOTAL(109,Y1839:AC1843)</f>
        <v>0</v>
      </c>
      <c r="Z1844" s="1349"/>
      <c r="AA1844" s="1349"/>
      <c r="AB1844" s="1349"/>
      <c r="AC1844" s="1349"/>
      <c r="AD1844" s="773"/>
      <c r="AE1844" s="1349">
        <f>SUBTOTAL(109,AE1839:AI1843)</f>
        <v>5669499941</v>
      </c>
      <c r="AF1844" s="1349"/>
      <c r="AG1844" s="1349"/>
      <c r="AH1844" s="1349"/>
      <c r="AI1844" s="1349"/>
      <c r="AJ1844" s="344"/>
      <c r="AK1844" s="345"/>
      <c r="AL1844" s="340"/>
      <c r="AM1844" s="772" t="s">
        <v>753</v>
      </c>
      <c r="AN1844" s="768"/>
      <c r="AO1844" s="768"/>
      <c r="AP1844" s="768"/>
      <c r="AQ1844" s="768"/>
      <c r="AR1844" s="768"/>
      <c r="AS1844" s="768"/>
      <c r="AT1844" s="768"/>
      <c r="AU1844" s="768"/>
      <c r="AV1844" s="768"/>
      <c r="AW1844" s="1349">
        <f>SUBTOTAL(109,AW1839:BA1843)</f>
        <v>5669499941</v>
      </c>
      <c r="AX1844" s="1349"/>
      <c r="AY1844" s="1349"/>
      <c r="AZ1844" s="1349"/>
      <c r="BA1844" s="1349"/>
      <c r="BB1844" s="773"/>
      <c r="BC1844" s="1349">
        <f>SUBTOTAL(109,BC1839:BG1843)</f>
        <v>0</v>
      </c>
      <c r="BD1844" s="1349"/>
      <c r="BE1844" s="1349"/>
      <c r="BF1844" s="1349"/>
      <c r="BG1844" s="1349"/>
      <c r="BH1844" s="773"/>
      <c r="BI1844" s="1349">
        <f>SUBTOTAL(109,BI1839:BM1843)</f>
        <v>0</v>
      </c>
      <c r="BJ1844" s="1349"/>
      <c r="BK1844" s="1349"/>
      <c r="BL1844" s="1349"/>
      <c r="BM1844" s="1349"/>
      <c r="BN1844" s="773"/>
      <c r="BO1844" s="1349">
        <f>SUBTOTAL(109,BO1839:BS1843)</f>
        <v>5669499941</v>
      </c>
      <c r="BP1844" s="1349"/>
      <c r="BQ1844" s="1349"/>
      <c r="BR1844" s="1349"/>
      <c r="BS1844" s="1349"/>
      <c r="BT1844" s="342"/>
      <c r="BU1844" s="346"/>
      <c r="BV1844" s="310">
        <f>AE1844-W1791</f>
        <v>0</v>
      </c>
      <c r="BW1844" s="310"/>
      <c r="BX1844" s="291">
        <f t="shared" si="133"/>
        <v>0</v>
      </c>
      <c r="BY1844" s="344"/>
      <c r="BZ1844" s="347"/>
      <c r="CA1844" s="347"/>
    </row>
    <row r="1845" spans="1:79" ht="14.1" customHeight="1" thickTop="1" x14ac:dyDescent="0.25">
      <c r="A1845" s="313"/>
      <c r="B1845" s="340"/>
      <c r="C1845" s="768"/>
      <c r="D1845" s="768"/>
      <c r="E1845" s="768"/>
      <c r="F1845" s="768"/>
      <c r="G1845" s="768"/>
      <c r="H1845" s="768"/>
      <c r="I1845" s="768"/>
      <c r="J1845" s="768"/>
      <c r="K1845" s="768"/>
      <c r="L1845" s="768"/>
      <c r="M1845" s="1351"/>
      <c r="N1845" s="1351"/>
      <c r="O1845" s="1351"/>
      <c r="P1845" s="1351"/>
      <c r="Q1845" s="1351"/>
      <c r="R1845" s="771"/>
      <c r="S1845" s="1351"/>
      <c r="T1845" s="1351"/>
      <c r="U1845" s="1351"/>
      <c r="V1845" s="1351"/>
      <c r="W1845" s="1351"/>
      <c r="X1845" s="771"/>
      <c r="Y1845" s="1351"/>
      <c r="Z1845" s="1351"/>
      <c r="AA1845" s="1351"/>
      <c r="AB1845" s="1351"/>
      <c r="AC1845" s="1351"/>
      <c r="AD1845" s="771"/>
      <c r="AE1845" s="1351"/>
      <c r="AF1845" s="1351"/>
      <c r="AG1845" s="1351"/>
      <c r="AH1845" s="1351"/>
      <c r="AI1845" s="1351"/>
      <c r="AJ1845" s="344"/>
      <c r="AK1845" s="345"/>
      <c r="AL1845" s="340"/>
      <c r="AM1845" s="768"/>
      <c r="AN1845" s="768"/>
      <c r="AO1845" s="768"/>
      <c r="AP1845" s="768"/>
      <c r="AQ1845" s="768"/>
      <c r="AR1845" s="768"/>
      <c r="AS1845" s="768"/>
      <c r="AT1845" s="768"/>
      <c r="AU1845" s="768"/>
      <c r="AV1845" s="768"/>
      <c r="AW1845" s="1351"/>
      <c r="AX1845" s="1351"/>
      <c r="AY1845" s="1351"/>
      <c r="AZ1845" s="1351"/>
      <c r="BA1845" s="1351"/>
      <c r="BB1845" s="771"/>
      <c r="BC1845" s="1351"/>
      <c r="BD1845" s="1351"/>
      <c r="BE1845" s="1351"/>
      <c r="BF1845" s="1351"/>
      <c r="BG1845" s="1351"/>
      <c r="BH1845" s="771"/>
      <c r="BI1845" s="1351"/>
      <c r="BJ1845" s="1351"/>
      <c r="BK1845" s="1351"/>
      <c r="BL1845" s="1351"/>
      <c r="BM1845" s="1351"/>
      <c r="BN1845" s="771"/>
      <c r="BO1845" s="1351"/>
      <c r="BP1845" s="1351"/>
      <c r="BQ1845" s="1351"/>
      <c r="BR1845" s="1351"/>
      <c r="BS1845" s="1351"/>
      <c r="BT1845" s="342"/>
      <c r="BU1845" s="346"/>
      <c r="BV1845" s="310"/>
      <c r="BW1845" s="310"/>
      <c r="BX1845" s="291">
        <f t="shared" si="133"/>
        <v>0</v>
      </c>
      <c r="BY1845" s="344"/>
      <c r="BZ1845" s="347"/>
      <c r="CA1845" s="347"/>
    </row>
    <row r="1846" spans="1:79" ht="15" customHeight="1" x14ac:dyDescent="0.25">
      <c r="A1846" s="313"/>
      <c r="B1846" s="340"/>
      <c r="C1846" s="770" t="str">
        <f>"Tại ngày "&amp;Ky_Truoc1_V</f>
        <v>Tại ngày 01/01/2017</v>
      </c>
      <c r="D1846" s="768"/>
      <c r="E1846" s="768"/>
      <c r="F1846" s="768"/>
      <c r="G1846" s="768"/>
      <c r="H1846" s="768"/>
      <c r="I1846" s="768"/>
      <c r="J1846" s="768"/>
      <c r="K1846" s="768"/>
      <c r="L1846" s="768"/>
      <c r="M1846" s="1351"/>
      <c r="N1846" s="1351"/>
      <c r="O1846" s="1351"/>
      <c r="P1846" s="1351"/>
      <c r="Q1846" s="1351"/>
      <c r="R1846" s="771"/>
      <c r="S1846" s="1351"/>
      <c r="T1846" s="1351"/>
      <c r="U1846" s="1351"/>
      <c r="V1846" s="1351"/>
      <c r="W1846" s="1351"/>
      <c r="X1846" s="771"/>
      <c r="Y1846" s="1351"/>
      <c r="Z1846" s="1351"/>
      <c r="AA1846" s="1351"/>
      <c r="AB1846" s="1351"/>
      <c r="AC1846" s="1351"/>
      <c r="AD1846" s="771"/>
      <c r="AE1846" s="1351"/>
      <c r="AF1846" s="1351"/>
      <c r="AG1846" s="1351"/>
      <c r="AH1846" s="1351"/>
      <c r="AI1846" s="1351"/>
      <c r="AJ1846" s="344"/>
      <c r="AK1846" s="345"/>
      <c r="AL1846" s="340"/>
      <c r="AM1846" s="770" t="str">
        <f>"As at "&amp;Ky_Truoc1_E</f>
        <v>As at 01/01/2017</v>
      </c>
      <c r="AN1846" s="768"/>
      <c r="AO1846" s="768"/>
      <c r="AP1846" s="768"/>
      <c r="AQ1846" s="768"/>
      <c r="AR1846" s="768"/>
      <c r="AS1846" s="768"/>
      <c r="AT1846" s="768"/>
      <c r="AU1846" s="768"/>
      <c r="AV1846" s="768"/>
      <c r="AW1846" s="1351"/>
      <c r="AX1846" s="1351"/>
      <c r="AY1846" s="1351"/>
      <c r="AZ1846" s="1351"/>
      <c r="BA1846" s="1351"/>
      <c r="BB1846" s="771"/>
      <c r="BC1846" s="1351"/>
      <c r="BD1846" s="1351"/>
      <c r="BE1846" s="1351"/>
      <c r="BF1846" s="1351"/>
      <c r="BG1846" s="1351"/>
      <c r="BH1846" s="771"/>
      <c r="BI1846" s="1351"/>
      <c r="BJ1846" s="1351"/>
      <c r="BK1846" s="1351"/>
      <c r="BL1846" s="1351"/>
      <c r="BM1846" s="1351"/>
      <c r="BN1846" s="771"/>
      <c r="BO1846" s="1351"/>
      <c r="BP1846" s="1351"/>
      <c r="BQ1846" s="1351"/>
      <c r="BR1846" s="1351"/>
      <c r="BS1846" s="1351"/>
      <c r="BT1846" s="342"/>
      <c r="BU1846" s="346"/>
      <c r="BV1846" s="310"/>
      <c r="BW1846" s="310"/>
      <c r="BX1846" s="291">
        <f t="shared" si="133"/>
        <v>0</v>
      </c>
      <c r="BY1846" s="344"/>
      <c r="BZ1846" s="347"/>
      <c r="CA1846" s="347"/>
    </row>
    <row r="1847" spans="1:79" ht="15" customHeight="1" x14ac:dyDescent="0.25">
      <c r="A1847" s="313"/>
      <c r="B1847" s="340"/>
      <c r="C1847" s="768" t="s">
        <v>1816</v>
      </c>
      <c r="D1847" s="768"/>
      <c r="E1847" s="768"/>
      <c r="F1847" s="768"/>
      <c r="G1847" s="768"/>
      <c r="H1847" s="768"/>
      <c r="I1847" s="768"/>
      <c r="J1847" s="768"/>
      <c r="K1847" s="768"/>
      <c r="L1847" s="768"/>
      <c r="M1847" s="1351">
        <v>2627000000</v>
      </c>
      <c r="N1847" s="1351"/>
      <c r="O1847" s="1351"/>
      <c r="P1847" s="1351"/>
      <c r="Q1847" s="1351"/>
      <c r="R1847" s="771"/>
      <c r="S1847" s="1351">
        <v>0</v>
      </c>
      <c r="T1847" s="1351"/>
      <c r="U1847" s="1351"/>
      <c r="V1847" s="1351"/>
      <c r="W1847" s="1351"/>
      <c r="X1847" s="771"/>
      <c r="Y1847" s="1351">
        <v>0</v>
      </c>
      <c r="Z1847" s="1351"/>
      <c r="AA1847" s="1351"/>
      <c r="AB1847" s="1351"/>
      <c r="AC1847" s="1351"/>
      <c r="AD1847" s="771"/>
      <c r="AE1847" s="1351">
        <f>SUM(M1847:AC1847)</f>
        <v>2627000000</v>
      </c>
      <c r="AF1847" s="1351"/>
      <c r="AG1847" s="1351"/>
      <c r="AH1847" s="1351"/>
      <c r="AI1847" s="1351"/>
      <c r="AJ1847" s="344"/>
      <c r="AK1847" s="345"/>
      <c r="AL1847" s="340"/>
      <c r="AM1847" s="768" t="s">
        <v>1849</v>
      </c>
      <c r="AN1847" s="768"/>
      <c r="AO1847" s="768"/>
      <c r="AP1847" s="768"/>
      <c r="AQ1847" s="768"/>
      <c r="AR1847" s="768"/>
      <c r="AS1847" s="768"/>
      <c r="AT1847" s="768"/>
      <c r="AU1847" s="768"/>
      <c r="AV1847" s="768"/>
      <c r="AW1847" s="1351">
        <f>M1847</f>
        <v>2627000000</v>
      </c>
      <c r="AX1847" s="1351"/>
      <c r="AY1847" s="1351"/>
      <c r="AZ1847" s="1351"/>
      <c r="BA1847" s="1351"/>
      <c r="BB1847" s="771"/>
      <c r="BC1847" s="1351">
        <f>S1847</f>
        <v>0</v>
      </c>
      <c r="BD1847" s="1351"/>
      <c r="BE1847" s="1351"/>
      <c r="BF1847" s="1351"/>
      <c r="BG1847" s="1351"/>
      <c r="BH1847" s="771"/>
      <c r="BI1847" s="1351">
        <f>Y1847</f>
        <v>0</v>
      </c>
      <c r="BJ1847" s="1351"/>
      <c r="BK1847" s="1351"/>
      <c r="BL1847" s="1351"/>
      <c r="BM1847" s="1351"/>
      <c r="BN1847" s="771"/>
      <c r="BO1847" s="1351">
        <f>SUM(AW1847:BM1847)</f>
        <v>2627000000</v>
      </c>
      <c r="BP1847" s="1351"/>
      <c r="BQ1847" s="1351"/>
      <c r="BR1847" s="1351"/>
      <c r="BS1847" s="1351"/>
      <c r="BT1847" s="342"/>
      <c r="BU1847" s="346"/>
      <c r="BV1847" s="310"/>
      <c r="BW1847" s="310"/>
      <c r="BX1847" s="291">
        <f t="shared" si="133"/>
        <v>0</v>
      </c>
      <c r="BY1847" s="344"/>
      <c r="BZ1847" s="347"/>
      <c r="CA1847" s="347"/>
    </row>
    <row r="1848" spans="1:79" ht="15" customHeight="1" x14ac:dyDescent="0.25">
      <c r="A1848" s="313"/>
      <c r="B1848" s="340"/>
      <c r="C1848" s="768" t="s">
        <v>1818</v>
      </c>
      <c r="D1848" s="768"/>
      <c r="E1848" s="768"/>
      <c r="F1848" s="768"/>
      <c r="G1848" s="768"/>
      <c r="H1848" s="768"/>
      <c r="I1848" s="768"/>
      <c r="J1848" s="768"/>
      <c r="K1848" s="768"/>
      <c r="L1848" s="768"/>
      <c r="M1848" s="1351">
        <v>2438539993</v>
      </c>
      <c r="N1848" s="1351"/>
      <c r="O1848" s="1351"/>
      <c r="P1848" s="1351"/>
      <c r="Q1848" s="1351"/>
      <c r="R1848" s="771"/>
      <c r="S1848" s="1351">
        <v>0</v>
      </c>
      <c r="T1848" s="1351"/>
      <c r="U1848" s="1351"/>
      <c r="V1848" s="1351"/>
      <c r="W1848" s="1351"/>
      <c r="X1848" s="771"/>
      <c r="Y1848" s="1351">
        <v>0</v>
      </c>
      <c r="Z1848" s="1351"/>
      <c r="AA1848" s="1351"/>
      <c r="AB1848" s="1351"/>
      <c r="AC1848" s="1351"/>
      <c r="AD1848" s="771"/>
      <c r="AE1848" s="1351">
        <f>SUM(M1848:AC1848)</f>
        <v>2438539993</v>
      </c>
      <c r="AF1848" s="1351"/>
      <c r="AG1848" s="1351"/>
      <c r="AH1848" s="1351"/>
      <c r="AI1848" s="1351"/>
      <c r="AJ1848" s="344"/>
      <c r="AK1848" s="345"/>
      <c r="AL1848" s="340"/>
      <c r="AM1848" s="768" t="s">
        <v>1819</v>
      </c>
      <c r="AN1848" s="768"/>
      <c r="AO1848" s="768"/>
      <c r="AP1848" s="768"/>
      <c r="AQ1848" s="768"/>
      <c r="AR1848" s="768"/>
      <c r="AS1848" s="768"/>
      <c r="AT1848" s="768"/>
      <c r="AU1848" s="768"/>
      <c r="AV1848" s="768"/>
      <c r="AW1848" s="1351">
        <f>M1848</f>
        <v>2438539993</v>
      </c>
      <c r="AX1848" s="1351"/>
      <c r="AY1848" s="1351"/>
      <c r="AZ1848" s="1351"/>
      <c r="BA1848" s="1351"/>
      <c r="BB1848" s="771"/>
      <c r="BC1848" s="1351">
        <f>S1848</f>
        <v>0</v>
      </c>
      <c r="BD1848" s="1351"/>
      <c r="BE1848" s="1351"/>
      <c r="BF1848" s="1351"/>
      <c r="BG1848" s="1351"/>
      <c r="BH1848" s="771"/>
      <c r="BI1848" s="1351">
        <f>Y1848</f>
        <v>0</v>
      </c>
      <c r="BJ1848" s="1351"/>
      <c r="BK1848" s="1351"/>
      <c r="BL1848" s="1351"/>
      <c r="BM1848" s="1351"/>
      <c r="BN1848" s="771"/>
      <c r="BO1848" s="1351">
        <f>SUM(AW1848:BM1848)</f>
        <v>2438539993</v>
      </c>
      <c r="BP1848" s="1351"/>
      <c r="BQ1848" s="1351"/>
      <c r="BR1848" s="1351"/>
      <c r="BS1848" s="1351"/>
      <c r="BT1848" s="342"/>
      <c r="BU1848" s="346"/>
      <c r="BV1848" s="310"/>
      <c r="BW1848" s="310"/>
      <c r="BX1848" s="291">
        <f t="shared" si="133"/>
        <v>0</v>
      </c>
      <c r="BY1848" s="344"/>
      <c r="BZ1848" s="347"/>
      <c r="CA1848" s="347"/>
    </row>
    <row r="1849" spans="1:79" ht="15" customHeight="1" x14ac:dyDescent="0.25">
      <c r="A1849" s="313"/>
      <c r="B1849" s="340"/>
      <c r="C1849" s="768" t="s">
        <v>1820</v>
      </c>
      <c r="D1849" s="768"/>
      <c r="E1849" s="768"/>
      <c r="F1849" s="768"/>
      <c r="G1849" s="768"/>
      <c r="H1849" s="768"/>
      <c r="I1849" s="768"/>
      <c r="J1849" s="768"/>
      <c r="K1849" s="768"/>
      <c r="L1849" s="768"/>
      <c r="M1849" s="1351">
        <v>93606333</v>
      </c>
      <c r="N1849" s="1351"/>
      <c r="O1849" s="1351"/>
      <c r="P1849" s="1351"/>
      <c r="Q1849" s="1351"/>
      <c r="R1849" s="771"/>
      <c r="S1849" s="1351">
        <v>0</v>
      </c>
      <c r="T1849" s="1351"/>
      <c r="U1849" s="1351"/>
      <c r="V1849" s="1351"/>
      <c r="W1849" s="1351"/>
      <c r="X1849" s="771"/>
      <c r="Y1849" s="1351">
        <v>0</v>
      </c>
      <c r="Z1849" s="1351"/>
      <c r="AA1849" s="1351"/>
      <c r="AB1849" s="1351"/>
      <c r="AC1849" s="1351"/>
      <c r="AD1849" s="771"/>
      <c r="AE1849" s="1351">
        <f>SUM(M1849:AC1849)</f>
        <v>93606333</v>
      </c>
      <c r="AF1849" s="1351"/>
      <c r="AG1849" s="1351"/>
      <c r="AH1849" s="1351"/>
      <c r="AI1849" s="1351"/>
      <c r="AJ1849" s="344"/>
      <c r="AK1849" s="345"/>
      <c r="AL1849" s="340"/>
      <c r="AM1849" s="768" t="s">
        <v>1821</v>
      </c>
      <c r="AN1849" s="768"/>
      <c r="AO1849" s="768"/>
      <c r="AP1849" s="768"/>
      <c r="AQ1849" s="768"/>
      <c r="AR1849" s="768"/>
      <c r="AS1849" s="768"/>
      <c r="AT1849" s="768"/>
      <c r="AU1849" s="768"/>
      <c r="AV1849" s="768"/>
      <c r="AW1849" s="1351">
        <f>M1849</f>
        <v>93606333</v>
      </c>
      <c r="AX1849" s="1351"/>
      <c r="AY1849" s="1351"/>
      <c r="AZ1849" s="1351"/>
      <c r="BA1849" s="1351"/>
      <c r="BB1849" s="771"/>
      <c r="BC1849" s="1351">
        <f>S1849</f>
        <v>0</v>
      </c>
      <c r="BD1849" s="1351"/>
      <c r="BE1849" s="1351"/>
      <c r="BF1849" s="1351"/>
      <c r="BG1849" s="1351"/>
      <c r="BH1849" s="771"/>
      <c r="BI1849" s="1351">
        <f>Y1849</f>
        <v>0</v>
      </c>
      <c r="BJ1849" s="1351"/>
      <c r="BK1849" s="1351"/>
      <c r="BL1849" s="1351"/>
      <c r="BM1849" s="1351"/>
      <c r="BN1849" s="771"/>
      <c r="BO1849" s="1351">
        <f>SUM(AW1849:BM1849)</f>
        <v>93606333</v>
      </c>
      <c r="BP1849" s="1351"/>
      <c r="BQ1849" s="1351"/>
      <c r="BR1849" s="1351"/>
      <c r="BS1849" s="1351"/>
      <c r="BT1849" s="342"/>
      <c r="BU1849" s="346"/>
      <c r="BV1849" s="310"/>
      <c r="BW1849" s="310"/>
      <c r="BX1849" s="291">
        <f t="shared" si="133"/>
        <v>0</v>
      </c>
      <c r="BY1849" s="344"/>
      <c r="BZ1849" s="347"/>
      <c r="CA1849" s="347"/>
    </row>
    <row r="1850" spans="1:79" ht="14.1" customHeight="1" x14ac:dyDescent="0.25">
      <c r="A1850" s="313"/>
      <c r="B1850" s="340"/>
      <c r="C1850" s="768"/>
      <c r="D1850" s="768"/>
      <c r="E1850" s="768"/>
      <c r="F1850" s="768"/>
      <c r="G1850" s="768"/>
      <c r="H1850" s="768"/>
      <c r="I1850" s="768"/>
      <c r="J1850" s="768"/>
      <c r="K1850" s="768"/>
      <c r="L1850" s="768"/>
      <c r="M1850" s="1351"/>
      <c r="N1850" s="1351"/>
      <c r="O1850" s="1351"/>
      <c r="P1850" s="1351"/>
      <c r="Q1850" s="1351"/>
      <c r="R1850" s="771"/>
      <c r="S1850" s="1351"/>
      <c r="T1850" s="1351"/>
      <c r="U1850" s="1351"/>
      <c r="V1850" s="1351"/>
      <c r="W1850" s="1351"/>
      <c r="X1850" s="771"/>
      <c r="Y1850" s="1351"/>
      <c r="Z1850" s="1351"/>
      <c r="AA1850" s="1351"/>
      <c r="AB1850" s="1351"/>
      <c r="AC1850" s="1351"/>
      <c r="AD1850" s="771"/>
      <c r="AE1850" s="1351"/>
      <c r="AF1850" s="1351"/>
      <c r="AG1850" s="1351"/>
      <c r="AH1850" s="1351"/>
      <c r="AI1850" s="1351"/>
      <c r="AJ1850" s="344"/>
      <c r="AK1850" s="345"/>
      <c r="AL1850" s="340"/>
      <c r="AM1850" s="768"/>
      <c r="AN1850" s="768"/>
      <c r="AO1850" s="768"/>
      <c r="AP1850" s="768"/>
      <c r="AQ1850" s="768"/>
      <c r="AR1850" s="768"/>
      <c r="AS1850" s="768"/>
      <c r="AT1850" s="768"/>
      <c r="AU1850" s="768"/>
      <c r="AV1850" s="768"/>
      <c r="AW1850" s="1351"/>
      <c r="AX1850" s="1351"/>
      <c r="AY1850" s="1351"/>
      <c r="AZ1850" s="1351"/>
      <c r="BA1850" s="1351"/>
      <c r="BB1850" s="771"/>
      <c r="BC1850" s="1351"/>
      <c r="BD1850" s="1351"/>
      <c r="BE1850" s="1351"/>
      <c r="BF1850" s="1351"/>
      <c r="BG1850" s="1351"/>
      <c r="BH1850" s="771"/>
      <c r="BI1850" s="1351"/>
      <c r="BJ1850" s="1351"/>
      <c r="BK1850" s="1351"/>
      <c r="BL1850" s="1351"/>
      <c r="BM1850" s="1351"/>
      <c r="BN1850" s="771"/>
      <c r="BO1850" s="1351"/>
      <c r="BP1850" s="1351"/>
      <c r="BQ1850" s="1351"/>
      <c r="BR1850" s="1351"/>
      <c r="BS1850" s="1351"/>
      <c r="BT1850" s="342"/>
      <c r="BU1850" s="346"/>
      <c r="BV1850" s="310"/>
      <c r="BW1850" s="310"/>
      <c r="BX1850" s="291">
        <f t="shared" si="133"/>
        <v>0</v>
      </c>
      <c r="BY1850" s="344"/>
      <c r="BZ1850" s="347"/>
      <c r="CA1850" s="347"/>
    </row>
    <row r="1851" spans="1:79" ht="15" customHeight="1" thickBot="1" x14ac:dyDescent="0.3">
      <c r="A1851" s="313"/>
      <c r="B1851" s="340"/>
      <c r="C1851" s="772" t="s">
        <v>752</v>
      </c>
      <c r="D1851" s="768"/>
      <c r="E1851" s="768"/>
      <c r="F1851" s="768"/>
      <c r="G1851" s="768"/>
      <c r="H1851" s="768"/>
      <c r="I1851" s="768"/>
      <c r="J1851" s="768"/>
      <c r="K1851" s="768"/>
      <c r="L1851" s="768"/>
      <c r="M1851" s="1349">
        <f>SUBTOTAL(109,M1846:Q1850)</f>
        <v>5159146326</v>
      </c>
      <c r="N1851" s="1349"/>
      <c r="O1851" s="1349"/>
      <c r="P1851" s="1349"/>
      <c r="Q1851" s="1349"/>
      <c r="R1851" s="773"/>
      <c r="S1851" s="1349">
        <f>SUBTOTAL(109,S1846:W1850)</f>
        <v>0</v>
      </c>
      <c r="T1851" s="1349"/>
      <c r="U1851" s="1349"/>
      <c r="V1851" s="1349"/>
      <c r="W1851" s="1349"/>
      <c r="X1851" s="773"/>
      <c r="Y1851" s="1349">
        <f>SUBTOTAL(109,Y1846:AC1850)</f>
        <v>0</v>
      </c>
      <c r="Z1851" s="1349"/>
      <c r="AA1851" s="1349"/>
      <c r="AB1851" s="1349"/>
      <c r="AC1851" s="1349"/>
      <c r="AD1851" s="773"/>
      <c r="AE1851" s="1349">
        <f>SUBTOTAL(109,AE1846:AI1850)</f>
        <v>5159146326</v>
      </c>
      <c r="AF1851" s="1349"/>
      <c r="AG1851" s="1349"/>
      <c r="AH1851" s="1349"/>
      <c r="AI1851" s="1349"/>
      <c r="AJ1851" s="344"/>
      <c r="AK1851" s="345"/>
      <c r="AL1851" s="340"/>
      <c r="AM1851" s="772" t="s">
        <v>753</v>
      </c>
      <c r="AN1851" s="768"/>
      <c r="AO1851" s="768"/>
      <c r="AP1851" s="768"/>
      <c r="AQ1851" s="768"/>
      <c r="AR1851" s="768"/>
      <c r="AS1851" s="768"/>
      <c r="AT1851" s="768"/>
      <c r="AU1851" s="768"/>
      <c r="AV1851" s="768"/>
      <c r="AW1851" s="1349">
        <f>SUBTOTAL(109,AW1846:BA1850)</f>
        <v>5159146326</v>
      </c>
      <c r="AX1851" s="1349"/>
      <c r="AY1851" s="1349"/>
      <c r="AZ1851" s="1349"/>
      <c r="BA1851" s="1349"/>
      <c r="BB1851" s="773"/>
      <c r="BC1851" s="1349">
        <f>SUBTOTAL(109,BC1846:BG1850)</f>
        <v>0</v>
      </c>
      <c r="BD1851" s="1349"/>
      <c r="BE1851" s="1349"/>
      <c r="BF1851" s="1349"/>
      <c r="BG1851" s="1349"/>
      <c r="BH1851" s="773"/>
      <c r="BI1851" s="1349">
        <f>SUBTOTAL(109,BI1846:BM1850)</f>
        <v>0</v>
      </c>
      <c r="BJ1851" s="1349"/>
      <c r="BK1851" s="1349"/>
      <c r="BL1851" s="1349"/>
      <c r="BM1851" s="1349"/>
      <c r="BN1851" s="773"/>
      <c r="BO1851" s="1349">
        <f>SUBTOTAL(109,BO1846:BS1850)</f>
        <v>5159146326</v>
      </c>
      <c r="BP1851" s="1349"/>
      <c r="BQ1851" s="1349"/>
      <c r="BR1851" s="1349"/>
      <c r="BS1851" s="1349"/>
      <c r="BT1851" s="342"/>
      <c r="BU1851" s="346"/>
      <c r="BV1851" s="310"/>
      <c r="BW1851" s="310">
        <f>AE1851-AD1791</f>
        <v>0</v>
      </c>
      <c r="BX1851" s="291">
        <f t="shared" si="133"/>
        <v>0</v>
      </c>
      <c r="BY1851" s="344"/>
      <c r="BZ1851" s="347"/>
      <c r="CA1851" s="347"/>
    </row>
    <row r="1852" spans="1:79" ht="14.1" customHeight="1" thickTop="1" x14ac:dyDescent="0.25">
      <c r="A1852" s="313"/>
      <c r="B1852" s="340"/>
      <c r="C1852" s="768"/>
      <c r="D1852" s="768"/>
      <c r="E1852" s="768"/>
      <c r="F1852" s="768"/>
      <c r="G1852" s="768"/>
      <c r="H1852" s="768"/>
      <c r="I1852" s="768"/>
      <c r="J1852" s="768"/>
      <c r="K1852" s="768"/>
      <c r="L1852" s="768"/>
      <c r="M1852" s="768"/>
      <c r="N1852" s="768"/>
      <c r="O1852" s="768"/>
      <c r="P1852" s="768"/>
      <c r="Q1852" s="768"/>
      <c r="R1852" s="768"/>
      <c r="S1852" s="768"/>
      <c r="T1852" s="768"/>
      <c r="U1852" s="768"/>
      <c r="V1852" s="768"/>
      <c r="W1852" s="768"/>
      <c r="X1852" s="768"/>
      <c r="Y1852" s="768"/>
      <c r="Z1852" s="768"/>
      <c r="AA1852" s="768"/>
      <c r="AB1852" s="768"/>
      <c r="AC1852" s="768"/>
      <c r="AD1852" s="768"/>
      <c r="AE1852" s="768"/>
      <c r="AF1852" s="768"/>
      <c r="AG1852" s="768"/>
      <c r="AH1852" s="768"/>
      <c r="AI1852" s="768"/>
      <c r="AJ1852" s="344"/>
      <c r="AK1852" s="345"/>
      <c r="AL1852" s="340"/>
      <c r="AM1852" s="768"/>
      <c r="AN1852" s="768"/>
      <c r="AO1852" s="768"/>
      <c r="AP1852" s="768"/>
      <c r="AQ1852" s="768"/>
      <c r="AR1852" s="768"/>
      <c r="AS1852" s="768"/>
      <c r="AT1852" s="768"/>
      <c r="AU1852" s="768"/>
      <c r="AV1852" s="768"/>
      <c r="AW1852" s="768"/>
      <c r="AX1852" s="768"/>
      <c r="AY1852" s="768"/>
      <c r="AZ1852" s="768"/>
      <c r="BA1852" s="768"/>
      <c r="BB1852" s="768"/>
      <c r="BC1852" s="768"/>
      <c r="BD1852" s="768"/>
      <c r="BE1852" s="768"/>
      <c r="BF1852" s="768"/>
      <c r="BG1852" s="768"/>
      <c r="BH1852" s="768"/>
      <c r="BI1852" s="768"/>
      <c r="BJ1852" s="768"/>
      <c r="BK1852" s="768"/>
      <c r="BL1852" s="768"/>
      <c r="BM1852" s="768"/>
      <c r="BN1852" s="768"/>
      <c r="BO1852" s="768"/>
      <c r="BP1852" s="768"/>
      <c r="BQ1852" s="768"/>
      <c r="BR1852" s="768"/>
      <c r="BS1852" s="768"/>
      <c r="BT1852" s="342"/>
      <c r="BU1852" s="346"/>
      <c r="BV1852" s="310"/>
      <c r="BW1852" s="310"/>
      <c r="BX1852" s="291">
        <f t="shared" si="133"/>
        <v>0</v>
      </c>
      <c r="BY1852" s="344"/>
      <c r="BZ1852" s="347"/>
      <c r="CA1852" s="347"/>
    </row>
    <row r="1853" spans="1:79" ht="29.1" customHeight="1" x14ac:dyDescent="0.25">
      <c r="A1853" s="313"/>
      <c r="B1853" s="340"/>
      <c r="C1853" s="1345" t="str">
        <f>CONCATENATE(LoaiCT_V," cho rằng mức độ tập trung rủi ro đối với việc trả nợ là thấp. ",LoaiCT_V," có khả năng thanh toán các khoản nợ đến hạn từ dòng tiền từ hoạt động kinh doanh và tiền thu từ các tài sản tài chính đáo hạn.")</f>
        <v>Công ty cho rằng mức độ tập trung rủi ro đối với việc trả nợ là thấp. Công ty có khả năng thanh toán các khoản nợ đến hạn từ dòng tiền từ hoạt động kinh doanh và tiền thu từ các tài sản tài chính đáo hạn.</v>
      </c>
      <c r="D1853" s="1345"/>
      <c r="E1853" s="1345"/>
      <c r="F1853" s="1345"/>
      <c r="G1853" s="1345"/>
      <c r="H1853" s="1345"/>
      <c r="I1853" s="1345"/>
      <c r="J1853" s="1345"/>
      <c r="K1853" s="1345"/>
      <c r="L1853" s="1345"/>
      <c r="M1853" s="1345"/>
      <c r="N1853" s="1345"/>
      <c r="O1853" s="1345"/>
      <c r="P1853" s="1345"/>
      <c r="Q1853" s="1345"/>
      <c r="R1853" s="1345"/>
      <c r="S1853" s="1345"/>
      <c r="T1853" s="1345"/>
      <c r="U1853" s="1345"/>
      <c r="V1853" s="1345"/>
      <c r="W1853" s="1345"/>
      <c r="X1853" s="1345"/>
      <c r="Y1853" s="1345"/>
      <c r="Z1853" s="1345"/>
      <c r="AA1853" s="1345"/>
      <c r="AB1853" s="1345"/>
      <c r="AC1853" s="1345"/>
      <c r="AD1853" s="1345"/>
      <c r="AE1853" s="1345"/>
      <c r="AF1853" s="1345"/>
      <c r="AG1853" s="1345"/>
      <c r="AH1853" s="1345"/>
      <c r="AI1853" s="1345"/>
      <c r="AJ1853" s="344"/>
      <c r="AK1853" s="345"/>
      <c r="AL1853" s="340"/>
      <c r="AM1853" s="1345" t="str">
        <f>CONCATENATE("The ",LoaiCT_E," believes that risk level of loan repayment is low (or can be controlled). The ",LoaiCT_E," has the ability to pay debts matured from cash flows from its operating activities and cash received from matured financial assets.")</f>
        <v>The Corporation believes that risk level of loan repayment is low (or can be controlled). The Corporation has the ability to pay debts matured from cash flows from its operating activities and cash received from matured financial assets.</v>
      </c>
      <c r="AN1853" s="1345"/>
      <c r="AO1853" s="1345"/>
      <c r="AP1853" s="1345"/>
      <c r="AQ1853" s="1345"/>
      <c r="AR1853" s="1345"/>
      <c r="AS1853" s="1345"/>
      <c r="AT1853" s="1345"/>
      <c r="AU1853" s="1345"/>
      <c r="AV1853" s="1345"/>
      <c r="AW1853" s="1345"/>
      <c r="AX1853" s="1345"/>
      <c r="AY1853" s="1345"/>
      <c r="AZ1853" s="1345"/>
      <c r="BA1853" s="1345"/>
      <c r="BB1853" s="1345"/>
      <c r="BC1853" s="1345"/>
      <c r="BD1853" s="1345"/>
      <c r="BE1853" s="1345"/>
      <c r="BF1853" s="1345"/>
      <c r="BG1853" s="1345"/>
      <c r="BH1853" s="1345"/>
      <c r="BI1853" s="1345"/>
      <c r="BJ1853" s="1345"/>
      <c r="BK1853" s="1345"/>
      <c r="BL1853" s="1345"/>
      <c r="BM1853" s="1345"/>
      <c r="BN1853" s="1345"/>
      <c r="BO1853" s="1345"/>
      <c r="BP1853" s="1345"/>
      <c r="BQ1853" s="1345"/>
      <c r="BR1853" s="1345"/>
      <c r="BS1853" s="1345"/>
      <c r="BT1853" s="342"/>
      <c r="BU1853" s="346"/>
      <c r="BV1853" s="310"/>
      <c r="BW1853" s="310"/>
      <c r="BX1853" s="291">
        <f t="shared" si="133"/>
        <v>0</v>
      </c>
      <c r="BY1853" s="344"/>
      <c r="BZ1853" s="347"/>
      <c r="CA1853" s="347"/>
    </row>
    <row r="1854" spans="1:79" ht="2.1" customHeight="1" x14ac:dyDescent="0.25">
      <c r="A1854" s="313"/>
      <c r="B1854" s="340"/>
      <c r="C1854" s="341"/>
      <c r="D1854" s="342"/>
      <c r="E1854" s="342"/>
      <c r="F1854" s="342"/>
      <c r="G1854" s="342"/>
      <c r="H1854" s="342"/>
      <c r="I1854" s="342"/>
      <c r="J1854" s="342"/>
      <c r="K1854" s="342"/>
      <c r="L1854" s="342"/>
      <c r="M1854" s="342"/>
      <c r="N1854" s="342"/>
      <c r="O1854" s="342"/>
      <c r="P1854" s="342"/>
      <c r="Q1854" s="342"/>
      <c r="R1854" s="342"/>
      <c r="S1854" s="342"/>
      <c r="T1854" s="342"/>
      <c r="U1854" s="342"/>
      <c r="V1854" s="342"/>
      <c r="W1854" s="343"/>
      <c r="X1854" s="343"/>
      <c r="Y1854" s="343"/>
      <c r="Z1854" s="343"/>
      <c r="AA1854" s="343"/>
      <c r="AB1854" s="343"/>
      <c r="AC1854" s="343"/>
      <c r="AD1854" s="343"/>
      <c r="AE1854" s="343"/>
      <c r="AF1854" s="343"/>
      <c r="AG1854" s="343"/>
      <c r="AH1854" s="343"/>
      <c r="AI1854" s="343"/>
      <c r="AJ1854" s="344"/>
      <c r="AK1854" s="345"/>
      <c r="AL1854" s="340" t="s">
        <v>345</v>
      </c>
      <c r="AM1854" s="341"/>
      <c r="AN1854" s="342"/>
      <c r="AO1854" s="342"/>
      <c r="AP1854" s="342"/>
      <c r="AQ1854" s="342"/>
      <c r="AR1854" s="342"/>
      <c r="AS1854" s="342"/>
      <c r="AT1854" s="342"/>
      <c r="AU1854" s="342"/>
      <c r="AV1854" s="342"/>
      <c r="AW1854" s="342"/>
      <c r="AX1854" s="342"/>
      <c r="AY1854" s="342"/>
      <c r="AZ1854" s="342"/>
      <c r="BA1854" s="342"/>
      <c r="BB1854" s="342"/>
      <c r="BC1854" s="342"/>
      <c r="BD1854" s="342"/>
      <c r="BE1854" s="342"/>
      <c r="BF1854" s="342"/>
      <c r="BG1854" s="342"/>
      <c r="BH1854" s="342"/>
      <c r="BI1854" s="342"/>
      <c r="BJ1854" s="342"/>
      <c r="BK1854" s="342"/>
      <c r="BL1854" s="342"/>
      <c r="BM1854" s="342"/>
      <c r="BN1854" s="342"/>
      <c r="BO1854" s="342"/>
      <c r="BP1854" s="342"/>
      <c r="BQ1854" s="342"/>
      <c r="BR1854" s="342"/>
      <c r="BS1854" s="342"/>
      <c r="BT1854" s="342"/>
      <c r="BU1854" s="346"/>
      <c r="BV1854" s="310"/>
      <c r="BW1854" s="310"/>
      <c r="BX1854" s="291">
        <f t="shared" si="133"/>
        <v>0</v>
      </c>
      <c r="BY1854" s="344"/>
      <c r="BZ1854" s="347"/>
      <c r="CA1854" s="347"/>
    </row>
    <row r="1855" spans="1:79" ht="12.95" customHeight="1" x14ac:dyDescent="0.25">
      <c r="A1855" s="313"/>
      <c r="B1855" s="340"/>
      <c r="C1855" s="341"/>
      <c r="D1855" s="342"/>
      <c r="E1855" s="342"/>
      <c r="F1855" s="342"/>
      <c r="G1855" s="342"/>
      <c r="H1855" s="342"/>
      <c r="I1855" s="342"/>
      <c r="J1855" s="342"/>
      <c r="K1855" s="342"/>
      <c r="L1855" s="342"/>
      <c r="M1855" s="342"/>
      <c r="N1855" s="342"/>
      <c r="O1855" s="342"/>
      <c r="P1855" s="342"/>
      <c r="Q1855" s="342"/>
      <c r="R1855" s="342"/>
      <c r="S1855" s="342"/>
      <c r="T1855" s="342"/>
      <c r="U1855" s="342"/>
      <c r="V1855" s="342"/>
      <c r="W1855" s="343"/>
      <c r="X1855" s="343"/>
      <c r="Y1855" s="343"/>
      <c r="Z1855" s="343"/>
      <c r="AA1855" s="343"/>
      <c r="AB1855" s="343"/>
      <c r="AC1855" s="343"/>
      <c r="AD1855" s="343"/>
      <c r="AE1855" s="343"/>
      <c r="AF1855" s="343"/>
      <c r="AG1855" s="343"/>
      <c r="AH1855" s="343"/>
      <c r="AI1855" s="343"/>
      <c r="AJ1855" s="344"/>
      <c r="AK1855" s="345"/>
      <c r="AL1855" s="340"/>
      <c r="AM1855" s="341"/>
      <c r="AN1855" s="342"/>
      <c r="AO1855" s="342"/>
      <c r="AP1855" s="342"/>
      <c r="AQ1855" s="342"/>
      <c r="AR1855" s="342"/>
      <c r="AS1855" s="342"/>
      <c r="AT1855" s="342"/>
      <c r="AU1855" s="342"/>
      <c r="AV1855" s="342"/>
      <c r="AW1855" s="342"/>
      <c r="AX1855" s="342"/>
      <c r="AY1855" s="342"/>
      <c r="AZ1855" s="342"/>
      <c r="BA1855" s="342"/>
      <c r="BB1855" s="342"/>
      <c r="BC1855" s="342"/>
      <c r="BD1855" s="342"/>
      <c r="BE1855" s="342"/>
      <c r="BF1855" s="342"/>
      <c r="BG1855" s="342"/>
      <c r="BH1855" s="342"/>
      <c r="BI1855" s="342"/>
      <c r="BJ1855" s="342"/>
      <c r="BK1855" s="342"/>
      <c r="BL1855" s="342"/>
      <c r="BM1855" s="342"/>
      <c r="BN1855" s="342"/>
      <c r="BO1855" s="342"/>
      <c r="BP1855" s="342"/>
      <c r="BQ1855" s="342"/>
      <c r="BR1855" s="342"/>
      <c r="BS1855" s="342"/>
      <c r="BT1855" s="342"/>
      <c r="BU1855" s="346"/>
      <c r="BV1855" s="310"/>
      <c r="BW1855" s="310"/>
      <c r="BX1855" s="291">
        <f t="shared" si="133"/>
        <v>0</v>
      </c>
      <c r="BY1855" s="344"/>
      <c r="BZ1855" s="347"/>
      <c r="CA1855" s="347"/>
    </row>
    <row r="1856" spans="1:79" ht="15" customHeight="1" x14ac:dyDescent="0.25">
      <c r="A1856" s="313">
        <v>34</v>
      </c>
      <c r="B1856" s="340" t="s">
        <v>345</v>
      </c>
      <c r="C1856" s="1350" t="s">
        <v>1850</v>
      </c>
      <c r="D1856" s="1350"/>
      <c r="E1856" s="1350"/>
      <c r="F1856" s="1350"/>
      <c r="G1856" s="1350"/>
      <c r="H1856" s="1350"/>
      <c r="I1856" s="1350"/>
      <c r="J1856" s="1350"/>
      <c r="K1856" s="1350"/>
      <c r="L1856" s="1350"/>
      <c r="M1856" s="1350"/>
      <c r="N1856" s="1350"/>
      <c r="O1856" s="1350"/>
      <c r="P1856" s="1350"/>
      <c r="Q1856" s="1350"/>
      <c r="R1856" s="1350"/>
      <c r="S1856" s="1350"/>
      <c r="T1856" s="1350"/>
      <c r="U1856" s="1350"/>
      <c r="V1856" s="1350"/>
      <c r="W1856" s="1350"/>
      <c r="X1856" s="1350"/>
      <c r="Y1856" s="1350"/>
      <c r="Z1856" s="1350"/>
      <c r="AA1856" s="1350"/>
      <c r="AB1856" s="1350"/>
      <c r="AC1856" s="1350"/>
      <c r="AD1856" s="1350"/>
      <c r="AE1856" s="1350"/>
      <c r="AF1856" s="1350"/>
      <c r="AG1856" s="1350"/>
      <c r="AH1856" s="1350"/>
      <c r="AI1856" s="1350"/>
      <c r="AJ1856" s="344"/>
      <c r="AK1856" s="345">
        <f>A1856</f>
        <v>34</v>
      </c>
      <c r="AL1856" s="340" t="s">
        <v>345</v>
      </c>
      <c r="AM1856" s="341" t="s">
        <v>1851</v>
      </c>
      <c r="AN1856" s="342"/>
      <c r="AO1856" s="342"/>
      <c r="AP1856" s="342"/>
      <c r="AQ1856" s="342"/>
      <c r="AR1856" s="342"/>
      <c r="AS1856" s="342"/>
      <c r="AT1856" s="342"/>
      <c r="AU1856" s="342"/>
      <c r="AV1856" s="342"/>
      <c r="AW1856" s="342"/>
      <c r="AX1856" s="342"/>
      <c r="AY1856" s="342"/>
      <c r="AZ1856" s="342"/>
      <c r="BA1856" s="342"/>
      <c r="BB1856" s="342"/>
      <c r="BC1856" s="342"/>
      <c r="BD1856" s="342"/>
      <c r="BE1856" s="342"/>
      <c r="BF1856" s="342"/>
      <c r="BG1856" s="342"/>
      <c r="BH1856" s="342"/>
      <c r="BI1856" s="342"/>
      <c r="BJ1856" s="342"/>
      <c r="BK1856" s="342"/>
      <c r="BL1856" s="342"/>
      <c r="BM1856" s="342"/>
      <c r="BN1856" s="342"/>
      <c r="BO1856" s="342"/>
      <c r="BP1856" s="342"/>
      <c r="BQ1856" s="342"/>
      <c r="BR1856" s="342"/>
      <c r="BS1856" s="342"/>
      <c r="BT1856" s="342"/>
      <c r="BU1856" s="346">
        <f>SUBTOTAL(103,A1856)</f>
        <v>1</v>
      </c>
      <c r="BV1856" s="310"/>
      <c r="BW1856" s="310"/>
      <c r="BX1856" s="291">
        <f t="shared" si="133"/>
        <v>0</v>
      </c>
      <c r="BY1856" s="344"/>
      <c r="BZ1856" s="347"/>
      <c r="CA1856" s="347"/>
    </row>
    <row r="1857" spans="1:84" ht="14.1" customHeight="1" x14ac:dyDescent="0.25">
      <c r="A1857" s="313"/>
      <c r="B1857" s="340"/>
      <c r="C1857" s="341"/>
      <c r="D1857" s="342"/>
      <c r="E1857" s="342"/>
      <c r="F1857" s="342"/>
      <c r="G1857" s="342"/>
      <c r="H1857" s="342"/>
      <c r="I1857" s="342"/>
      <c r="J1857" s="342"/>
      <c r="K1857" s="342"/>
      <c r="L1857" s="342"/>
      <c r="M1857" s="342"/>
      <c r="N1857" s="342"/>
      <c r="O1857" s="342"/>
      <c r="P1857" s="342"/>
      <c r="Q1857" s="342"/>
      <c r="R1857" s="342"/>
      <c r="S1857" s="342"/>
      <c r="T1857" s="342"/>
      <c r="U1857" s="342"/>
      <c r="V1857" s="342"/>
      <c r="W1857" s="343"/>
      <c r="X1857" s="343"/>
      <c r="Y1857" s="343"/>
      <c r="Z1857" s="343"/>
      <c r="AA1857" s="343"/>
      <c r="AB1857" s="343"/>
      <c r="AC1857" s="343"/>
      <c r="AD1857" s="343"/>
      <c r="AE1857" s="343"/>
      <c r="AF1857" s="343"/>
      <c r="AG1857" s="343"/>
      <c r="AH1857" s="343"/>
      <c r="AI1857" s="343"/>
      <c r="AJ1857" s="344"/>
      <c r="AK1857" s="345"/>
      <c r="AL1857" s="340"/>
      <c r="AM1857" s="341"/>
      <c r="AN1857" s="342"/>
      <c r="AO1857" s="342"/>
      <c r="AP1857" s="342"/>
      <c r="AQ1857" s="342"/>
      <c r="AR1857" s="342"/>
      <c r="AS1857" s="342"/>
      <c r="AT1857" s="342"/>
      <c r="AU1857" s="342"/>
      <c r="AV1857" s="342"/>
      <c r="AW1857" s="342"/>
      <c r="AX1857" s="342"/>
      <c r="AY1857" s="342"/>
      <c r="AZ1857" s="342"/>
      <c r="BA1857" s="342"/>
      <c r="BB1857" s="342"/>
      <c r="BC1857" s="342"/>
      <c r="BD1857" s="342"/>
      <c r="BE1857" s="342"/>
      <c r="BF1857" s="342"/>
      <c r="BG1857" s="342"/>
      <c r="BH1857" s="342"/>
      <c r="BI1857" s="342"/>
      <c r="BJ1857" s="342"/>
      <c r="BK1857" s="342"/>
      <c r="BL1857" s="342"/>
      <c r="BM1857" s="342"/>
      <c r="BN1857" s="342"/>
      <c r="BO1857" s="342"/>
      <c r="BP1857" s="342"/>
      <c r="BQ1857" s="342"/>
      <c r="BR1857" s="342"/>
      <c r="BS1857" s="342"/>
      <c r="BT1857" s="342"/>
      <c r="BU1857" s="346"/>
      <c r="BV1857" s="310"/>
      <c r="BW1857" s="310"/>
      <c r="BX1857" s="291">
        <f t="shared" si="133"/>
        <v>0</v>
      </c>
      <c r="BY1857" s="344"/>
      <c r="BZ1857" s="347"/>
      <c r="CA1857" s="347"/>
    </row>
    <row r="1858" spans="1:84" ht="15" hidden="1" customHeight="1" x14ac:dyDescent="0.25">
      <c r="A1858" s="313"/>
      <c r="B1858" s="340"/>
      <c r="C1858" s="341" t="s">
        <v>1852</v>
      </c>
      <c r="D1858" s="342"/>
      <c r="E1858" s="342"/>
      <c r="F1858" s="342"/>
      <c r="G1858" s="342"/>
      <c r="H1858" s="342"/>
      <c r="I1858" s="342"/>
      <c r="J1858" s="342"/>
      <c r="K1858" s="342"/>
      <c r="L1858" s="342"/>
      <c r="M1858" s="342"/>
      <c r="N1858" s="342"/>
      <c r="O1858" s="342"/>
      <c r="P1858" s="342"/>
      <c r="Q1858" s="342"/>
      <c r="R1858" s="342"/>
      <c r="S1858" s="342"/>
      <c r="T1858" s="342"/>
      <c r="U1858" s="342"/>
      <c r="V1858" s="342"/>
      <c r="W1858" s="343"/>
      <c r="X1858" s="343"/>
      <c r="Y1858" s="343"/>
      <c r="Z1858" s="343"/>
      <c r="AA1858" s="343"/>
      <c r="AB1858" s="343"/>
      <c r="AC1858" s="343"/>
      <c r="AD1858" s="343"/>
      <c r="AE1858" s="343"/>
      <c r="AF1858" s="343"/>
      <c r="AG1858" s="343"/>
      <c r="AH1858" s="343"/>
      <c r="AI1858" s="343"/>
      <c r="AJ1858" s="344"/>
      <c r="AK1858" s="345"/>
      <c r="AL1858" s="340"/>
      <c r="AM1858" s="341" t="s">
        <v>1853</v>
      </c>
      <c r="AN1858" s="342"/>
      <c r="AO1858" s="342"/>
      <c r="AP1858" s="342"/>
      <c r="AQ1858" s="342"/>
      <c r="AR1858" s="342"/>
      <c r="AS1858" s="342"/>
      <c r="AT1858" s="342"/>
      <c r="AU1858" s="342"/>
      <c r="AV1858" s="342"/>
      <c r="AW1858" s="342"/>
      <c r="AX1858" s="342"/>
      <c r="AY1858" s="342"/>
      <c r="AZ1858" s="342"/>
      <c r="BA1858" s="342"/>
      <c r="BB1858" s="342"/>
      <c r="BC1858" s="342"/>
      <c r="BD1858" s="342"/>
      <c r="BE1858" s="342"/>
      <c r="BF1858" s="342"/>
      <c r="BG1858" s="343"/>
      <c r="BH1858" s="343"/>
      <c r="BI1858" s="343"/>
      <c r="BJ1858" s="343"/>
      <c r="BK1858" s="343"/>
      <c r="BL1858" s="343"/>
      <c r="BM1858" s="343"/>
      <c r="BN1858" s="343"/>
      <c r="BO1858" s="343"/>
      <c r="BP1858" s="343"/>
      <c r="BQ1858" s="343"/>
      <c r="BR1858" s="343"/>
      <c r="BS1858" s="343"/>
      <c r="BT1858" s="342"/>
      <c r="BU1858" s="346"/>
      <c r="BV1858" s="310"/>
      <c r="BW1858" s="310"/>
      <c r="BX1858" s="291">
        <f t="shared" si="133"/>
        <v>0</v>
      </c>
      <c r="BY1858" s="344"/>
      <c r="BZ1858" s="347"/>
      <c r="CA1858" s="347"/>
    </row>
    <row r="1859" spans="1:84" s="733" customFormat="1" ht="15" hidden="1" customHeight="1" x14ac:dyDescent="0.25">
      <c r="A1859" s="725"/>
      <c r="B1859" s="728"/>
      <c r="C1859" s="574"/>
      <c r="D1859" s="690"/>
      <c r="E1859" s="690"/>
      <c r="F1859" s="690"/>
      <c r="G1859" s="690"/>
      <c r="H1859" s="690"/>
      <c r="I1859" s="690"/>
      <c r="J1859" s="690"/>
      <c r="K1859" s="690"/>
      <c r="L1859" s="690"/>
      <c r="M1859" s="690"/>
      <c r="N1859" s="690"/>
      <c r="O1859" s="690"/>
      <c r="P1859" s="690"/>
      <c r="Q1859" s="690"/>
      <c r="R1859" s="690"/>
      <c r="S1859" s="690"/>
      <c r="T1859" s="690"/>
      <c r="U1859" s="690"/>
      <c r="V1859" s="690"/>
      <c r="W1859" s="1324" t="str">
        <f>Ky_Nay2_V</f>
        <v>Năm 2017</v>
      </c>
      <c r="X1859" s="1324"/>
      <c r="Y1859" s="1324"/>
      <c r="Z1859" s="1324"/>
      <c r="AA1859" s="1324"/>
      <c r="AB1859" s="1324"/>
      <c r="AC1859" s="379"/>
      <c r="AD1859" s="1324" t="str">
        <f>Ky_Truoc2_V</f>
        <v>Năm 2016</v>
      </c>
      <c r="AE1859" s="1324"/>
      <c r="AF1859" s="1324"/>
      <c r="AG1859" s="1324"/>
      <c r="AH1859" s="1324"/>
      <c r="AI1859" s="1324"/>
      <c r="AJ1859" s="690"/>
      <c r="AK1859" s="727"/>
      <c r="AL1859" s="728"/>
      <c r="AM1859" s="574"/>
      <c r="AN1859" s="690"/>
      <c r="AO1859" s="690"/>
      <c r="AP1859" s="690"/>
      <c r="AQ1859" s="690"/>
      <c r="AR1859" s="690"/>
      <c r="AS1859" s="690"/>
      <c r="AT1859" s="690"/>
      <c r="AU1859" s="690"/>
      <c r="AV1859" s="690"/>
      <c r="AW1859" s="690"/>
      <c r="AX1859" s="690"/>
      <c r="AY1859" s="690"/>
      <c r="AZ1859" s="690"/>
      <c r="BA1859" s="690"/>
      <c r="BB1859" s="690"/>
      <c r="BC1859" s="690"/>
      <c r="BD1859" s="690"/>
      <c r="BE1859" s="690"/>
      <c r="BF1859" s="690"/>
      <c r="BG1859" s="1324" t="str">
        <f>Ky_Nay2_E</f>
        <v>Year 2016</v>
      </c>
      <c r="BH1859" s="1324"/>
      <c r="BI1859" s="1324"/>
      <c r="BJ1859" s="1324"/>
      <c r="BK1859" s="1324"/>
      <c r="BL1859" s="1324"/>
      <c r="BM1859" s="379"/>
      <c r="BN1859" s="1324" t="str">
        <f>Ky_Truoc2_E</f>
        <v>Year 2015</v>
      </c>
      <c r="BO1859" s="1324"/>
      <c r="BP1859" s="1324"/>
      <c r="BQ1859" s="1324"/>
      <c r="BR1859" s="1324"/>
      <c r="BS1859" s="1324"/>
      <c r="BT1859" s="690"/>
      <c r="BU1859" s="414"/>
      <c r="BV1859" s="310"/>
      <c r="BW1859" s="310"/>
      <c r="BX1859" s="300">
        <f t="shared" si="133"/>
        <v>0</v>
      </c>
      <c r="BY1859" s="690"/>
      <c r="BZ1859" s="731"/>
      <c r="CA1859" s="731"/>
      <c r="CB1859" s="732"/>
      <c r="CC1859" s="732"/>
      <c r="CD1859" s="732"/>
      <c r="CE1859" s="732"/>
      <c r="CF1859" s="732"/>
    </row>
    <row r="1860" spans="1:84" s="423" customFormat="1" ht="15" hidden="1" customHeight="1" x14ac:dyDescent="0.25">
      <c r="A1860" s="313"/>
      <c r="B1860" s="340"/>
      <c r="C1860" s="341"/>
      <c r="D1860" s="342"/>
      <c r="E1860" s="342"/>
      <c r="F1860" s="342"/>
      <c r="G1860" s="342"/>
      <c r="H1860" s="342"/>
      <c r="I1860" s="342"/>
      <c r="J1860" s="342"/>
      <c r="K1860" s="342"/>
      <c r="L1860" s="342"/>
      <c r="M1860" s="342"/>
      <c r="N1860" s="342"/>
      <c r="O1860" s="342"/>
      <c r="P1860" s="342"/>
      <c r="Q1860" s="342"/>
      <c r="R1860" s="342"/>
      <c r="S1860" s="342"/>
      <c r="T1860" s="342"/>
      <c r="U1860" s="342"/>
      <c r="V1860" s="342"/>
      <c r="W1860" s="1327" t="str">
        <f>Don_Vi_Tinh_V</f>
        <v>VND</v>
      </c>
      <c r="X1860" s="1327"/>
      <c r="Y1860" s="1327"/>
      <c r="Z1860" s="1327"/>
      <c r="AA1860" s="1327"/>
      <c r="AB1860" s="1327"/>
      <c r="AC1860" s="355"/>
      <c r="AD1860" s="1327" t="str">
        <f>Don_Vi_Tinh_V</f>
        <v>VND</v>
      </c>
      <c r="AE1860" s="1327"/>
      <c r="AF1860" s="1327"/>
      <c r="AG1860" s="1327"/>
      <c r="AH1860" s="1327"/>
      <c r="AI1860" s="1327"/>
      <c r="AJ1860" s="342"/>
      <c r="AK1860" s="345"/>
      <c r="AL1860" s="340"/>
      <c r="AM1860" s="341"/>
      <c r="AN1860" s="342"/>
      <c r="AO1860" s="342"/>
      <c r="AP1860" s="342"/>
      <c r="AQ1860" s="342"/>
      <c r="AR1860" s="342"/>
      <c r="AS1860" s="342"/>
      <c r="AT1860" s="342"/>
      <c r="AU1860" s="342"/>
      <c r="AV1860" s="342"/>
      <c r="AW1860" s="342"/>
      <c r="AX1860" s="342"/>
      <c r="AY1860" s="342"/>
      <c r="AZ1860" s="342"/>
      <c r="BA1860" s="342"/>
      <c r="BB1860" s="342"/>
      <c r="BC1860" s="342"/>
      <c r="BD1860" s="342"/>
      <c r="BE1860" s="342"/>
      <c r="BF1860" s="342"/>
      <c r="BG1860" s="1327" t="str">
        <f>Don_Vi_Tinh_E</f>
        <v>VND</v>
      </c>
      <c r="BH1860" s="1327"/>
      <c r="BI1860" s="1327"/>
      <c r="BJ1860" s="1327"/>
      <c r="BK1860" s="1327"/>
      <c r="BL1860" s="1327"/>
      <c r="BM1860" s="355"/>
      <c r="BN1860" s="1327" t="str">
        <f>Don_Vi_Tinh_E</f>
        <v>VND</v>
      </c>
      <c r="BO1860" s="1327"/>
      <c r="BP1860" s="1327"/>
      <c r="BQ1860" s="1327"/>
      <c r="BR1860" s="1327"/>
      <c r="BS1860" s="1327"/>
      <c r="BT1860" s="342"/>
      <c r="BU1860" s="346"/>
      <c r="BV1860" s="310"/>
      <c r="BW1860" s="310"/>
      <c r="BX1860" s="300">
        <f t="shared" si="133"/>
        <v>0</v>
      </c>
      <c r="BY1860" s="342"/>
      <c r="BZ1860" s="438"/>
      <c r="CA1860" s="438"/>
      <c r="CB1860" s="439"/>
      <c r="CC1860" s="439"/>
      <c r="CD1860" s="439"/>
      <c r="CE1860" s="439"/>
      <c r="CF1860" s="439"/>
    </row>
    <row r="1861" spans="1:84" ht="15" hidden="1" customHeight="1" x14ac:dyDescent="0.25">
      <c r="A1861" s="313"/>
      <c r="B1861" s="340"/>
      <c r="C1861" s="341"/>
      <c r="D1861" s="342"/>
      <c r="E1861" s="342"/>
      <c r="F1861" s="342"/>
      <c r="G1861" s="342"/>
      <c r="H1861" s="342"/>
      <c r="I1861" s="342"/>
      <c r="J1861" s="342"/>
      <c r="K1861" s="342"/>
      <c r="L1861" s="342"/>
      <c r="M1861" s="342"/>
      <c r="N1861" s="342"/>
      <c r="O1861" s="342"/>
      <c r="P1861" s="342"/>
      <c r="Q1861" s="342"/>
      <c r="R1861" s="342"/>
      <c r="S1861" s="342"/>
      <c r="T1861" s="342"/>
      <c r="U1861" s="342"/>
      <c r="V1861" s="342"/>
      <c r="W1861" s="343"/>
      <c r="X1861" s="343"/>
      <c r="Y1861" s="343"/>
      <c r="Z1861" s="343"/>
      <c r="AA1861" s="343"/>
      <c r="AB1861" s="343"/>
      <c r="AC1861" s="343"/>
      <c r="AD1861" s="343"/>
      <c r="AE1861" s="343"/>
      <c r="AF1861" s="343"/>
      <c r="AG1861" s="343"/>
      <c r="AH1861" s="343"/>
      <c r="AI1861" s="343"/>
      <c r="AJ1861" s="344"/>
      <c r="AK1861" s="345"/>
      <c r="AL1861" s="340"/>
      <c r="AM1861" s="341"/>
      <c r="AN1861" s="342"/>
      <c r="AO1861" s="342"/>
      <c r="AP1861" s="342"/>
      <c r="AQ1861" s="342"/>
      <c r="AR1861" s="342"/>
      <c r="AS1861" s="342"/>
      <c r="AT1861" s="342"/>
      <c r="AU1861" s="342"/>
      <c r="AV1861" s="342"/>
      <c r="AW1861" s="342"/>
      <c r="AX1861" s="342"/>
      <c r="AY1861" s="342"/>
      <c r="AZ1861" s="342"/>
      <c r="BA1861" s="342"/>
      <c r="BB1861" s="342"/>
      <c r="BC1861" s="342"/>
      <c r="BD1861" s="342"/>
      <c r="BE1861" s="342"/>
      <c r="BF1861" s="342"/>
      <c r="BG1861" s="343"/>
      <c r="BH1861" s="343"/>
      <c r="BI1861" s="343"/>
      <c r="BJ1861" s="343"/>
      <c r="BK1861" s="343"/>
      <c r="BL1861" s="343"/>
      <c r="BM1861" s="343"/>
      <c r="BN1861" s="343"/>
      <c r="BO1861" s="343"/>
      <c r="BP1861" s="343"/>
      <c r="BQ1861" s="343"/>
      <c r="BR1861" s="343"/>
      <c r="BS1861" s="343"/>
      <c r="BT1861" s="342"/>
      <c r="BU1861" s="346"/>
      <c r="BV1861" s="310"/>
      <c r="BW1861" s="310"/>
      <c r="BX1861" s="291">
        <f t="shared" si="133"/>
        <v>0</v>
      </c>
      <c r="BY1861" s="344"/>
      <c r="BZ1861" s="347"/>
      <c r="CA1861" s="347"/>
    </row>
    <row r="1862" spans="1:84" ht="27.95" hidden="1" customHeight="1" x14ac:dyDescent="0.25">
      <c r="A1862" s="313"/>
      <c r="B1862" s="340"/>
      <c r="C1862" s="1348" t="s">
        <v>1854</v>
      </c>
      <c r="D1862" s="1348"/>
      <c r="E1862" s="1348"/>
      <c r="F1862" s="1348"/>
      <c r="G1862" s="1348"/>
      <c r="H1862" s="1348"/>
      <c r="I1862" s="1348"/>
      <c r="J1862" s="1348"/>
      <c r="K1862" s="1348"/>
      <c r="L1862" s="1348"/>
      <c r="M1862" s="1348"/>
      <c r="N1862" s="1348"/>
      <c r="O1862" s="1348"/>
      <c r="P1862" s="1348"/>
      <c r="Q1862" s="1348"/>
      <c r="R1862" s="1348"/>
      <c r="S1862" s="1348"/>
      <c r="T1862" s="1348"/>
      <c r="U1862" s="1348"/>
      <c r="V1862" s="342"/>
      <c r="W1862" s="1318"/>
      <c r="X1862" s="1318"/>
      <c r="Y1862" s="1318"/>
      <c r="Z1862" s="1318"/>
      <c r="AA1862" s="1318"/>
      <c r="AB1862" s="1318"/>
      <c r="AC1862" s="355"/>
      <c r="AD1862" s="1318"/>
      <c r="AE1862" s="1318"/>
      <c r="AF1862" s="1318"/>
      <c r="AG1862" s="1318"/>
      <c r="AH1862" s="1318"/>
      <c r="AI1862" s="1318"/>
      <c r="AJ1862" s="344"/>
      <c r="AK1862" s="345"/>
      <c r="AL1862" s="340"/>
      <c r="AM1862" s="1348" t="s">
        <v>1855</v>
      </c>
      <c r="AN1862" s="1348"/>
      <c r="AO1862" s="1348"/>
      <c r="AP1862" s="1348"/>
      <c r="AQ1862" s="1348"/>
      <c r="AR1862" s="1348"/>
      <c r="AS1862" s="1348"/>
      <c r="AT1862" s="1348"/>
      <c r="AU1862" s="1348"/>
      <c r="AV1862" s="1348"/>
      <c r="AW1862" s="1348"/>
      <c r="AX1862" s="1348"/>
      <c r="AY1862" s="1348"/>
      <c r="AZ1862" s="1348"/>
      <c r="BA1862" s="1348"/>
      <c r="BB1862" s="1348"/>
      <c r="BC1862" s="1348"/>
      <c r="BD1862" s="1348"/>
      <c r="BE1862" s="1348"/>
      <c r="BF1862" s="342"/>
      <c r="BG1862" s="1318">
        <f>W1862</f>
        <v>0</v>
      </c>
      <c r="BH1862" s="1318"/>
      <c r="BI1862" s="1318"/>
      <c r="BJ1862" s="1318"/>
      <c r="BK1862" s="1318"/>
      <c r="BL1862" s="1318"/>
      <c r="BM1862" s="355"/>
      <c r="BN1862" s="1318">
        <f>AD1862</f>
        <v>0</v>
      </c>
      <c r="BO1862" s="1318"/>
      <c r="BP1862" s="1318"/>
      <c r="BQ1862" s="1318"/>
      <c r="BR1862" s="1318"/>
      <c r="BS1862" s="1318"/>
      <c r="BT1862" s="342"/>
      <c r="BU1862" s="346"/>
      <c r="BV1862" s="310"/>
      <c r="BW1862" s="310"/>
      <c r="BX1862" s="291">
        <f t="shared" si="133"/>
        <v>0</v>
      </c>
      <c r="BY1862" s="344"/>
      <c r="BZ1862" s="347"/>
      <c r="CA1862" s="347"/>
    </row>
    <row r="1863" spans="1:84" ht="15" hidden="1" customHeight="1" x14ac:dyDescent="0.25">
      <c r="A1863" s="313"/>
      <c r="B1863" s="340"/>
      <c r="C1863" s="342" t="s">
        <v>1856</v>
      </c>
      <c r="D1863" s="342"/>
      <c r="E1863" s="342"/>
      <c r="F1863" s="342"/>
      <c r="G1863" s="342"/>
      <c r="H1863" s="342"/>
      <c r="I1863" s="342"/>
      <c r="J1863" s="342"/>
      <c r="K1863" s="342"/>
      <c r="L1863" s="342"/>
      <c r="M1863" s="342"/>
      <c r="N1863" s="342"/>
      <c r="O1863" s="342"/>
      <c r="P1863" s="342"/>
      <c r="Q1863" s="342"/>
      <c r="R1863" s="342"/>
      <c r="S1863" s="342"/>
      <c r="T1863" s="342"/>
      <c r="U1863" s="342"/>
      <c r="V1863" s="342"/>
      <c r="W1863" s="1318"/>
      <c r="X1863" s="1318"/>
      <c r="Y1863" s="1318"/>
      <c r="Z1863" s="1318"/>
      <c r="AA1863" s="1318"/>
      <c r="AB1863" s="1318"/>
      <c r="AC1863" s="355"/>
      <c r="AD1863" s="1318"/>
      <c r="AE1863" s="1318"/>
      <c r="AF1863" s="1318"/>
      <c r="AG1863" s="1318"/>
      <c r="AH1863" s="1318"/>
      <c r="AI1863" s="1318"/>
      <c r="AJ1863" s="344"/>
      <c r="AK1863" s="345"/>
      <c r="AL1863" s="340"/>
      <c r="AM1863" s="342" t="s">
        <v>1857</v>
      </c>
      <c r="AN1863" s="342"/>
      <c r="AO1863" s="342"/>
      <c r="AP1863" s="342"/>
      <c r="AQ1863" s="342"/>
      <c r="AR1863" s="342"/>
      <c r="AS1863" s="342"/>
      <c r="AT1863" s="342"/>
      <c r="AU1863" s="342"/>
      <c r="AV1863" s="342"/>
      <c r="AW1863" s="342"/>
      <c r="AX1863" s="342"/>
      <c r="AY1863" s="342"/>
      <c r="AZ1863" s="342"/>
      <c r="BA1863" s="342"/>
      <c r="BB1863" s="342"/>
      <c r="BC1863" s="342"/>
      <c r="BD1863" s="342"/>
      <c r="BE1863" s="342"/>
      <c r="BF1863" s="342"/>
      <c r="BG1863" s="1318">
        <f>W1863</f>
        <v>0</v>
      </c>
      <c r="BH1863" s="1318"/>
      <c r="BI1863" s="1318"/>
      <c r="BJ1863" s="1318"/>
      <c r="BK1863" s="1318"/>
      <c r="BL1863" s="1318"/>
      <c r="BM1863" s="355"/>
      <c r="BN1863" s="1318">
        <f>AD1863</f>
        <v>0</v>
      </c>
      <c r="BO1863" s="1318"/>
      <c r="BP1863" s="1318"/>
      <c r="BQ1863" s="1318"/>
      <c r="BR1863" s="1318"/>
      <c r="BS1863" s="1318"/>
      <c r="BT1863" s="342"/>
      <c r="BU1863" s="346"/>
      <c r="BV1863" s="310"/>
      <c r="BW1863" s="310"/>
      <c r="BX1863" s="291">
        <f t="shared" si="133"/>
        <v>0</v>
      </c>
      <c r="BY1863" s="344"/>
      <c r="BZ1863" s="347"/>
      <c r="CA1863" s="347"/>
    </row>
    <row r="1864" spans="1:84" ht="15" hidden="1" customHeight="1" x14ac:dyDescent="0.25">
      <c r="A1864" s="313"/>
      <c r="B1864" s="340"/>
      <c r="C1864" s="342" t="s">
        <v>1858</v>
      </c>
      <c r="D1864" s="342"/>
      <c r="E1864" s="342"/>
      <c r="F1864" s="342"/>
      <c r="G1864" s="342"/>
      <c r="H1864" s="342"/>
      <c r="I1864" s="342"/>
      <c r="J1864" s="342"/>
      <c r="K1864" s="342"/>
      <c r="L1864" s="342"/>
      <c r="M1864" s="342"/>
      <c r="N1864" s="342"/>
      <c r="O1864" s="342"/>
      <c r="P1864" s="342"/>
      <c r="Q1864" s="342"/>
      <c r="R1864" s="342"/>
      <c r="S1864" s="342"/>
      <c r="T1864" s="342"/>
      <c r="U1864" s="342"/>
      <c r="V1864" s="342"/>
      <c r="W1864" s="1318"/>
      <c r="X1864" s="1318"/>
      <c r="Y1864" s="1318"/>
      <c r="Z1864" s="1318"/>
      <c r="AA1864" s="1318"/>
      <c r="AB1864" s="1318"/>
      <c r="AC1864" s="355"/>
      <c r="AD1864" s="1318"/>
      <c r="AE1864" s="1318"/>
      <c r="AF1864" s="1318"/>
      <c r="AG1864" s="1318"/>
      <c r="AH1864" s="1318"/>
      <c r="AI1864" s="1318"/>
      <c r="AJ1864" s="344"/>
      <c r="AK1864" s="345"/>
      <c r="AL1864" s="340"/>
      <c r="AM1864" s="342" t="s">
        <v>1859</v>
      </c>
      <c r="AN1864" s="342"/>
      <c r="AO1864" s="342"/>
      <c r="AP1864" s="342"/>
      <c r="AQ1864" s="342"/>
      <c r="AR1864" s="342"/>
      <c r="AS1864" s="342"/>
      <c r="AT1864" s="342"/>
      <c r="AU1864" s="342"/>
      <c r="AV1864" s="342"/>
      <c r="AW1864" s="342"/>
      <c r="AX1864" s="342"/>
      <c r="AY1864" s="342"/>
      <c r="AZ1864" s="342"/>
      <c r="BA1864" s="342"/>
      <c r="BB1864" s="342"/>
      <c r="BC1864" s="342"/>
      <c r="BD1864" s="342"/>
      <c r="BE1864" s="342"/>
      <c r="BF1864" s="342"/>
      <c r="BG1864" s="1318">
        <f>W1864</f>
        <v>0</v>
      </c>
      <c r="BH1864" s="1318"/>
      <c r="BI1864" s="1318"/>
      <c r="BJ1864" s="1318"/>
      <c r="BK1864" s="1318"/>
      <c r="BL1864" s="1318"/>
      <c r="BM1864" s="355"/>
      <c r="BN1864" s="1318">
        <f>AD1864</f>
        <v>0</v>
      </c>
      <c r="BO1864" s="1318"/>
      <c r="BP1864" s="1318"/>
      <c r="BQ1864" s="1318"/>
      <c r="BR1864" s="1318"/>
      <c r="BS1864" s="1318"/>
      <c r="BT1864" s="342"/>
      <c r="BU1864" s="346"/>
      <c r="BV1864" s="310"/>
      <c r="BW1864" s="310"/>
      <c r="BX1864" s="291">
        <f t="shared" si="133"/>
        <v>0</v>
      </c>
      <c r="BY1864" s="344"/>
      <c r="BZ1864" s="347"/>
      <c r="CA1864" s="347"/>
    </row>
    <row r="1865" spans="1:84" ht="15" hidden="1" customHeight="1" x14ac:dyDescent="0.25">
      <c r="A1865" s="313"/>
      <c r="B1865" s="340"/>
      <c r="C1865" s="342" t="s">
        <v>1860</v>
      </c>
      <c r="D1865" s="342"/>
      <c r="E1865" s="342"/>
      <c r="F1865" s="342"/>
      <c r="G1865" s="342"/>
      <c r="H1865" s="342"/>
      <c r="I1865" s="342"/>
      <c r="J1865" s="342"/>
      <c r="K1865" s="342"/>
      <c r="L1865" s="342"/>
      <c r="M1865" s="342"/>
      <c r="N1865" s="342"/>
      <c r="O1865" s="342"/>
      <c r="P1865" s="342"/>
      <c r="Q1865" s="342"/>
      <c r="R1865" s="342"/>
      <c r="S1865" s="342"/>
      <c r="T1865" s="342"/>
      <c r="U1865" s="342"/>
      <c r="V1865" s="342"/>
      <c r="W1865" s="1318"/>
      <c r="X1865" s="1318"/>
      <c r="Y1865" s="1318"/>
      <c r="Z1865" s="1318"/>
      <c r="AA1865" s="1318"/>
      <c r="AB1865" s="1318"/>
      <c r="AC1865" s="355"/>
      <c r="AD1865" s="1318"/>
      <c r="AE1865" s="1318"/>
      <c r="AF1865" s="1318"/>
      <c r="AG1865" s="1318"/>
      <c r="AH1865" s="1318"/>
      <c r="AI1865" s="1318"/>
      <c r="AJ1865" s="344"/>
      <c r="AK1865" s="345"/>
      <c r="AL1865" s="340"/>
      <c r="AM1865" s="342" t="s">
        <v>1861</v>
      </c>
      <c r="AN1865" s="342"/>
      <c r="AO1865" s="342"/>
      <c r="AP1865" s="342"/>
      <c r="AQ1865" s="342"/>
      <c r="AR1865" s="342"/>
      <c r="AS1865" s="342"/>
      <c r="AT1865" s="342"/>
      <c r="AU1865" s="342"/>
      <c r="AV1865" s="342"/>
      <c r="AW1865" s="342"/>
      <c r="AX1865" s="342"/>
      <c r="AY1865" s="342"/>
      <c r="AZ1865" s="342"/>
      <c r="BA1865" s="342"/>
      <c r="BB1865" s="342"/>
      <c r="BC1865" s="342"/>
      <c r="BD1865" s="342"/>
      <c r="BE1865" s="342"/>
      <c r="BF1865" s="342"/>
      <c r="BG1865" s="1318">
        <f>W1865</f>
        <v>0</v>
      </c>
      <c r="BH1865" s="1318"/>
      <c r="BI1865" s="1318"/>
      <c r="BJ1865" s="1318"/>
      <c r="BK1865" s="1318"/>
      <c r="BL1865" s="1318"/>
      <c r="BM1865" s="355"/>
      <c r="BN1865" s="1318">
        <f>AD1865</f>
        <v>0</v>
      </c>
      <c r="BO1865" s="1318"/>
      <c r="BP1865" s="1318"/>
      <c r="BQ1865" s="1318"/>
      <c r="BR1865" s="1318"/>
      <c r="BS1865" s="1318"/>
      <c r="BT1865" s="342"/>
      <c r="BU1865" s="346"/>
      <c r="BV1865" s="310"/>
      <c r="BW1865" s="310"/>
      <c r="BX1865" s="291">
        <f t="shared" si="133"/>
        <v>0</v>
      </c>
      <c r="BY1865" s="344"/>
      <c r="BZ1865" s="347"/>
      <c r="CA1865" s="347"/>
    </row>
    <row r="1866" spans="1:84" ht="15" hidden="1" customHeight="1" x14ac:dyDescent="0.25">
      <c r="A1866" s="313"/>
      <c r="B1866" s="340"/>
      <c r="C1866" s="342"/>
      <c r="D1866" s="342"/>
      <c r="E1866" s="342"/>
      <c r="F1866" s="342"/>
      <c r="G1866" s="342"/>
      <c r="H1866" s="342"/>
      <c r="I1866" s="342"/>
      <c r="J1866" s="342"/>
      <c r="K1866" s="342"/>
      <c r="L1866" s="342"/>
      <c r="M1866" s="342"/>
      <c r="N1866" s="342"/>
      <c r="O1866" s="342"/>
      <c r="P1866" s="342"/>
      <c r="Q1866" s="342"/>
      <c r="R1866" s="342"/>
      <c r="S1866" s="342"/>
      <c r="T1866" s="342"/>
      <c r="U1866" s="342"/>
      <c r="V1866" s="342"/>
      <c r="W1866" s="343"/>
      <c r="X1866" s="343"/>
      <c r="Y1866" s="343"/>
      <c r="Z1866" s="343"/>
      <c r="AA1866" s="343"/>
      <c r="AB1866" s="343"/>
      <c r="AC1866" s="343"/>
      <c r="AD1866" s="343"/>
      <c r="AE1866" s="343"/>
      <c r="AF1866" s="343"/>
      <c r="AG1866" s="343"/>
      <c r="AH1866" s="343"/>
      <c r="AI1866" s="343"/>
      <c r="AJ1866" s="344"/>
      <c r="AK1866" s="345"/>
      <c r="AL1866" s="340"/>
      <c r="AM1866" s="342"/>
      <c r="AN1866" s="342"/>
      <c r="AO1866" s="342"/>
      <c r="AP1866" s="342"/>
      <c r="AQ1866" s="342"/>
      <c r="AR1866" s="342"/>
      <c r="AS1866" s="342"/>
      <c r="AT1866" s="342"/>
      <c r="AU1866" s="342"/>
      <c r="AV1866" s="342"/>
      <c r="AW1866" s="342"/>
      <c r="AX1866" s="342"/>
      <c r="AY1866" s="342"/>
      <c r="AZ1866" s="342"/>
      <c r="BA1866" s="342"/>
      <c r="BB1866" s="342"/>
      <c r="BC1866" s="342"/>
      <c r="BD1866" s="342"/>
      <c r="BE1866" s="342"/>
      <c r="BF1866" s="342"/>
      <c r="BG1866" s="343"/>
      <c r="BH1866" s="343"/>
      <c r="BI1866" s="343"/>
      <c r="BJ1866" s="343"/>
      <c r="BK1866" s="343"/>
      <c r="BL1866" s="343"/>
      <c r="BM1866" s="343"/>
      <c r="BN1866" s="343"/>
      <c r="BO1866" s="343"/>
      <c r="BP1866" s="343"/>
      <c r="BQ1866" s="343"/>
      <c r="BR1866" s="343"/>
      <c r="BS1866" s="343"/>
      <c r="BT1866" s="342"/>
      <c r="BU1866" s="346"/>
      <c r="BV1866" s="310"/>
      <c r="BW1866" s="310"/>
      <c r="BX1866" s="291">
        <f t="shared" si="133"/>
        <v>0</v>
      </c>
      <c r="BY1866" s="344"/>
      <c r="BZ1866" s="347"/>
      <c r="CA1866" s="347"/>
    </row>
    <row r="1867" spans="1:84" ht="15" hidden="1" customHeight="1" x14ac:dyDescent="0.25">
      <c r="A1867" s="313"/>
      <c r="B1867" s="340"/>
      <c r="C1867" s="341" t="str">
        <f>CONCATENATE("b) Các khoản tiền và tương đương tiền do ",LoaiCT_V," nắm giữ nhưng không được sử dụng")</f>
        <v>b) Các khoản tiền và tương đương tiền do Công ty nắm giữ nhưng không được sử dụng</v>
      </c>
      <c r="D1867" s="342"/>
      <c r="E1867" s="342"/>
      <c r="F1867" s="342"/>
      <c r="G1867" s="342"/>
      <c r="H1867" s="342"/>
      <c r="I1867" s="342"/>
      <c r="J1867" s="342"/>
      <c r="K1867" s="342"/>
      <c r="L1867" s="342"/>
      <c r="M1867" s="342"/>
      <c r="N1867" s="342"/>
      <c r="O1867" s="342"/>
      <c r="P1867" s="342"/>
      <c r="Q1867" s="342"/>
      <c r="R1867" s="342"/>
      <c r="S1867" s="342"/>
      <c r="T1867" s="342"/>
      <c r="U1867" s="342"/>
      <c r="V1867" s="342"/>
      <c r="W1867" s="343"/>
      <c r="X1867" s="343"/>
      <c r="Y1867" s="343"/>
      <c r="Z1867" s="343"/>
      <c r="AA1867" s="343"/>
      <c r="AB1867" s="343"/>
      <c r="AC1867" s="343"/>
      <c r="AD1867" s="343"/>
      <c r="AE1867" s="343"/>
      <c r="AF1867" s="343"/>
      <c r="AG1867" s="343"/>
      <c r="AH1867" s="343"/>
      <c r="AI1867" s="343"/>
      <c r="AJ1867" s="344"/>
      <c r="AK1867" s="345"/>
      <c r="AL1867" s="340"/>
      <c r="AM1867" s="341" t="str">
        <f>CONCATENATE("b) Cash and cash equivalents are held by the ",LoaiCT_E," but not used")</f>
        <v>b) Cash and cash equivalents are held by the Corporation but not used</v>
      </c>
      <c r="AN1867" s="342"/>
      <c r="AO1867" s="342"/>
      <c r="AP1867" s="342"/>
      <c r="AQ1867" s="342"/>
      <c r="AR1867" s="342"/>
      <c r="AS1867" s="342"/>
      <c r="AT1867" s="342"/>
      <c r="AU1867" s="342"/>
      <c r="AV1867" s="342"/>
      <c r="AW1867" s="342"/>
      <c r="AX1867" s="342"/>
      <c r="AY1867" s="342"/>
      <c r="AZ1867" s="342"/>
      <c r="BA1867" s="342"/>
      <c r="BB1867" s="342"/>
      <c r="BC1867" s="342"/>
      <c r="BD1867" s="342"/>
      <c r="BE1867" s="342"/>
      <c r="BF1867" s="342"/>
      <c r="BG1867" s="343"/>
      <c r="BH1867" s="343"/>
      <c r="BI1867" s="343"/>
      <c r="BJ1867" s="343"/>
      <c r="BK1867" s="343"/>
      <c r="BL1867" s="343"/>
      <c r="BM1867" s="343"/>
      <c r="BN1867" s="343"/>
      <c r="BO1867" s="343"/>
      <c r="BP1867" s="343"/>
      <c r="BQ1867" s="343"/>
      <c r="BR1867" s="343"/>
      <c r="BS1867" s="343"/>
      <c r="BT1867" s="342"/>
      <c r="BU1867" s="346"/>
      <c r="BV1867" s="310"/>
      <c r="BW1867" s="310"/>
      <c r="BX1867" s="291">
        <f t="shared" si="133"/>
        <v>0</v>
      </c>
      <c r="BY1867" s="344"/>
      <c r="BZ1867" s="347"/>
      <c r="CA1867" s="347"/>
    </row>
    <row r="1868" spans="1:84" s="423" customFormat="1" ht="15" hidden="1" customHeight="1" x14ac:dyDescent="0.25">
      <c r="A1868" s="313"/>
      <c r="B1868" s="340"/>
      <c r="C1868" s="342"/>
      <c r="D1868" s="342"/>
      <c r="E1868" s="342"/>
      <c r="F1868" s="342"/>
      <c r="G1868" s="342"/>
      <c r="H1868" s="342"/>
      <c r="I1868" s="342"/>
      <c r="J1868" s="342"/>
      <c r="K1868" s="342"/>
      <c r="L1868" s="342"/>
      <c r="M1868" s="342"/>
      <c r="N1868" s="342"/>
      <c r="O1868" s="342"/>
      <c r="P1868" s="342"/>
      <c r="Q1868" s="342"/>
      <c r="R1868" s="342"/>
      <c r="S1868" s="342"/>
      <c r="T1868" s="342"/>
      <c r="U1868" s="342"/>
      <c r="V1868" s="342"/>
      <c r="W1868" s="1324" t="str">
        <f>Ky_Nay2_V</f>
        <v>Năm 2017</v>
      </c>
      <c r="X1868" s="1324"/>
      <c r="Y1868" s="1324"/>
      <c r="Z1868" s="1324"/>
      <c r="AA1868" s="1324"/>
      <c r="AB1868" s="1324"/>
      <c r="AC1868" s="379"/>
      <c r="AD1868" s="1324" t="str">
        <f>Ky_Truoc2_V</f>
        <v>Năm 2016</v>
      </c>
      <c r="AE1868" s="1324"/>
      <c r="AF1868" s="1324"/>
      <c r="AG1868" s="1324"/>
      <c r="AH1868" s="1324"/>
      <c r="AI1868" s="1324"/>
      <c r="AJ1868" s="342"/>
      <c r="AK1868" s="345"/>
      <c r="AL1868" s="340"/>
      <c r="AM1868" s="342"/>
      <c r="AN1868" s="342"/>
      <c r="AO1868" s="342"/>
      <c r="AP1868" s="342"/>
      <c r="AQ1868" s="342"/>
      <c r="AR1868" s="342"/>
      <c r="AS1868" s="342"/>
      <c r="AT1868" s="342"/>
      <c r="AU1868" s="342"/>
      <c r="AV1868" s="342"/>
      <c r="AW1868" s="342"/>
      <c r="AX1868" s="342"/>
      <c r="AY1868" s="342"/>
      <c r="AZ1868" s="342"/>
      <c r="BA1868" s="342"/>
      <c r="BB1868" s="342"/>
      <c r="BC1868" s="342"/>
      <c r="BD1868" s="342"/>
      <c r="BE1868" s="342"/>
      <c r="BF1868" s="342"/>
      <c r="BG1868" s="1324" t="str">
        <f>Ky_Nay2_E</f>
        <v>Year 2016</v>
      </c>
      <c r="BH1868" s="1324"/>
      <c r="BI1868" s="1324"/>
      <c r="BJ1868" s="1324"/>
      <c r="BK1868" s="1324"/>
      <c r="BL1868" s="1324"/>
      <c r="BM1868" s="379"/>
      <c r="BN1868" s="1324" t="str">
        <f>Ky_Truoc2_E</f>
        <v>Year 2015</v>
      </c>
      <c r="BO1868" s="1324"/>
      <c r="BP1868" s="1324"/>
      <c r="BQ1868" s="1324"/>
      <c r="BR1868" s="1324"/>
      <c r="BS1868" s="1324"/>
      <c r="BT1868" s="342"/>
      <c r="BU1868" s="346"/>
      <c r="BV1868" s="310"/>
      <c r="BW1868" s="310"/>
      <c r="BX1868" s="300">
        <f t="shared" si="133"/>
        <v>0</v>
      </c>
      <c r="BY1868" s="342"/>
      <c r="BZ1868" s="438"/>
      <c r="CA1868" s="438"/>
      <c r="CB1868" s="439"/>
      <c r="CC1868" s="439"/>
      <c r="CD1868" s="439"/>
      <c r="CE1868" s="439"/>
      <c r="CF1868" s="439"/>
    </row>
    <row r="1869" spans="1:84" s="423" customFormat="1" ht="15" hidden="1" customHeight="1" x14ac:dyDescent="0.25">
      <c r="A1869" s="313"/>
      <c r="B1869" s="340"/>
      <c r="C1869" s="342"/>
      <c r="D1869" s="342"/>
      <c r="E1869" s="342"/>
      <c r="F1869" s="342"/>
      <c r="G1869" s="342"/>
      <c r="H1869" s="342"/>
      <c r="I1869" s="342"/>
      <c r="J1869" s="342"/>
      <c r="K1869" s="342"/>
      <c r="L1869" s="342"/>
      <c r="M1869" s="342"/>
      <c r="N1869" s="342"/>
      <c r="O1869" s="342"/>
      <c r="P1869" s="342"/>
      <c r="Q1869" s="342"/>
      <c r="R1869" s="342"/>
      <c r="S1869" s="342"/>
      <c r="T1869" s="342"/>
      <c r="U1869" s="342"/>
      <c r="V1869" s="342"/>
      <c r="W1869" s="1327" t="str">
        <f>Don_Vi_Tinh_V</f>
        <v>VND</v>
      </c>
      <c r="X1869" s="1327"/>
      <c r="Y1869" s="1327"/>
      <c r="Z1869" s="1327"/>
      <c r="AA1869" s="1327"/>
      <c r="AB1869" s="1327"/>
      <c r="AC1869" s="355"/>
      <c r="AD1869" s="1327" t="str">
        <f>Don_Vi_Tinh_V</f>
        <v>VND</v>
      </c>
      <c r="AE1869" s="1327"/>
      <c r="AF1869" s="1327"/>
      <c r="AG1869" s="1327"/>
      <c r="AH1869" s="1327"/>
      <c r="AI1869" s="1327"/>
      <c r="AJ1869" s="342"/>
      <c r="AK1869" s="345"/>
      <c r="AL1869" s="340"/>
      <c r="AM1869" s="342"/>
      <c r="AN1869" s="342"/>
      <c r="AO1869" s="342"/>
      <c r="AP1869" s="342"/>
      <c r="AQ1869" s="342"/>
      <c r="AR1869" s="342"/>
      <c r="AS1869" s="342"/>
      <c r="AT1869" s="342"/>
      <c r="AU1869" s="342"/>
      <c r="AV1869" s="342"/>
      <c r="AW1869" s="342"/>
      <c r="AX1869" s="342"/>
      <c r="AY1869" s="342"/>
      <c r="AZ1869" s="342"/>
      <c r="BA1869" s="342"/>
      <c r="BB1869" s="342"/>
      <c r="BC1869" s="342"/>
      <c r="BD1869" s="342"/>
      <c r="BE1869" s="342"/>
      <c r="BF1869" s="342"/>
      <c r="BG1869" s="1327" t="str">
        <f>Don_Vi_Tinh_E</f>
        <v>VND</v>
      </c>
      <c r="BH1869" s="1327"/>
      <c r="BI1869" s="1327"/>
      <c r="BJ1869" s="1327"/>
      <c r="BK1869" s="1327"/>
      <c r="BL1869" s="1327"/>
      <c r="BM1869" s="355"/>
      <c r="BN1869" s="1327" t="str">
        <f>Don_Vi_Tinh_E</f>
        <v>VND</v>
      </c>
      <c r="BO1869" s="1327"/>
      <c r="BP1869" s="1327"/>
      <c r="BQ1869" s="1327"/>
      <c r="BR1869" s="1327"/>
      <c r="BS1869" s="1327"/>
      <c r="BT1869" s="342"/>
      <c r="BU1869" s="346"/>
      <c r="BV1869" s="310"/>
      <c r="BW1869" s="310"/>
      <c r="BX1869" s="300">
        <f t="shared" si="133"/>
        <v>0</v>
      </c>
      <c r="BY1869" s="342"/>
      <c r="BZ1869" s="438"/>
      <c r="CA1869" s="438"/>
      <c r="CB1869" s="439"/>
      <c r="CC1869" s="439"/>
      <c r="CD1869" s="439"/>
      <c r="CE1869" s="439"/>
      <c r="CF1869" s="439"/>
    </row>
    <row r="1870" spans="1:84" ht="15" hidden="1" customHeight="1" x14ac:dyDescent="0.25">
      <c r="A1870" s="313"/>
      <c r="B1870" s="340"/>
      <c r="C1870" s="342"/>
      <c r="D1870" s="342"/>
      <c r="E1870" s="342"/>
      <c r="F1870" s="342"/>
      <c r="G1870" s="342"/>
      <c r="H1870" s="342"/>
      <c r="I1870" s="342"/>
      <c r="J1870" s="342"/>
      <c r="K1870" s="342"/>
      <c r="L1870" s="342"/>
      <c r="M1870" s="342"/>
      <c r="N1870" s="342"/>
      <c r="O1870" s="342"/>
      <c r="P1870" s="342"/>
      <c r="Q1870" s="342"/>
      <c r="R1870" s="342"/>
      <c r="S1870" s="342"/>
      <c r="T1870" s="342"/>
      <c r="U1870" s="342"/>
      <c r="V1870" s="342"/>
      <c r="W1870" s="343"/>
      <c r="X1870" s="343"/>
      <c r="Y1870" s="343"/>
      <c r="Z1870" s="343"/>
      <c r="AA1870" s="343"/>
      <c r="AB1870" s="343"/>
      <c r="AC1870" s="343"/>
      <c r="AD1870" s="343"/>
      <c r="AE1870" s="343"/>
      <c r="AF1870" s="343"/>
      <c r="AG1870" s="343"/>
      <c r="AH1870" s="343"/>
      <c r="AI1870" s="343"/>
      <c r="AJ1870" s="344"/>
      <c r="AK1870" s="345"/>
      <c r="AL1870" s="340"/>
      <c r="AM1870" s="342"/>
      <c r="AN1870" s="342"/>
      <c r="AO1870" s="342"/>
      <c r="AP1870" s="342"/>
      <c r="AQ1870" s="342"/>
      <c r="AR1870" s="342"/>
      <c r="AS1870" s="342"/>
      <c r="AT1870" s="342"/>
      <c r="AU1870" s="342"/>
      <c r="AV1870" s="342"/>
      <c r="AW1870" s="342"/>
      <c r="AX1870" s="342"/>
      <c r="AY1870" s="342"/>
      <c r="AZ1870" s="342"/>
      <c r="BA1870" s="342"/>
      <c r="BB1870" s="342"/>
      <c r="BC1870" s="342"/>
      <c r="BD1870" s="342"/>
      <c r="BE1870" s="342"/>
      <c r="BF1870" s="342"/>
      <c r="BG1870" s="343"/>
      <c r="BH1870" s="343"/>
      <c r="BI1870" s="343"/>
      <c r="BJ1870" s="343"/>
      <c r="BK1870" s="343"/>
      <c r="BL1870" s="343"/>
      <c r="BM1870" s="343"/>
      <c r="BN1870" s="343"/>
      <c r="BO1870" s="343"/>
      <c r="BP1870" s="343"/>
      <c r="BQ1870" s="343"/>
      <c r="BR1870" s="343"/>
      <c r="BS1870" s="343"/>
      <c r="BT1870" s="342"/>
      <c r="BU1870" s="346"/>
      <c r="BV1870" s="310"/>
      <c r="BW1870" s="310"/>
      <c r="BX1870" s="291">
        <f t="shared" si="133"/>
        <v>0</v>
      </c>
      <c r="BY1870" s="344"/>
      <c r="BZ1870" s="347"/>
      <c r="CA1870" s="347"/>
    </row>
    <row r="1871" spans="1:84" ht="27.95" hidden="1" customHeight="1" x14ac:dyDescent="0.25">
      <c r="A1871" s="313"/>
      <c r="B1871" s="340"/>
      <c r="C1871" s="1337" t="str">
        <f>CONCATENATE("Các khoản tiền và tương đương tiền do ",LoaiCT_V," nắm giữ nhưng không được sử dụng")</f>
        <v>Các khoản tiền và tương đương tiền do Công ty nắm giữ nhưng không được sử dụng</v>
      </c>
      <c r="D1871" s="1337"/>
      <c r="E1871" s="1337"/>
      <c r="F1871" s="1337"/>
      <c r="G1871" s="1337"/>
      <c r="H1871" s="1337"/>
      <c r="I1871" s="1337"/>
      <c r="J1871" s="1337"/>
      <c r="K1871" s="1337"/>
      <c r="L1871" s="1337"/>
      <c r="M1871" s="1337"/>
      <c r="N1871" s="1337"/>
      <c r="O1871" s="1337"/>
      <c r="P1871" s="1337"/>
      <c r="Q1871" s="1337"/>
      <c r="R1871" s="1337"/>
      <c r="S1871" s="1337"/>
      <c r="T1871" s="1337"/>
      <c r="U1871" s="1337"/>
      <c r="V1871" s="342"/>
      <c r="W1871" s="1318"/>
      <c r="X1871" s="1318"/>
      <c r="Y1871" s="1318"/>
      <c r="Z1871" s="1318"/>
      <c r="AA1871" s="1318"/>
      <c r="AB1871" s="1318"/>
      <c r="AC1871" s="355"/>
      <c r="AD1871" s="1318"/>
      <c r="AE1871" s="1318"/>
      <c r="AF1871" s="1318"/>
      <c r="AG1871" s="1318"/>
      <c r="AH1871" s="1318"/>
      <c r="AI1871" s="1318"/>
      <c r="AJ1871" s="344"/>
      <c r="AK1871" s="345"/>
      <c r="AL1871" s="340"/>
      <c r="AM1871" s="1337" t="str">
        <f>CONCATENATE("Cash and cash equivalents are held by the ",LoaiCT_E," but not used")</f>
        <v>Cash and cash equivalents are held by the Corporation but not used</v>
      </c>
      <c r="AN1871" s="1337"/>
      <c r="AO1871" s="1337"/>
      <c r="AP1871" s="1337"/>
      <c r="AQ1871" s="1337"/>
      <c r="AR1871" s="1337"/>
      <c r="AS1871" s="1337"/>
      <c r="AT1871" s="1337"/>
      <c r="AU1871" s="1337"/>
      <c r="AV1871" s="1337"/>
      <c r="AW1871" s="1337"/>
      <c r="AX1871" s="1337"/>
      <c r="AY1871" s="1337"/>
      <c r="AZ1871" s="1337"/>
      <c r="BA1871" s="1337"/>
      <c r="BB1871" s="1337"/>
      <c r="BC1871" s="1337"/>
      <c r="BD1871" s="1337"/>
      <c r="BE1871" s="1337"/>
      <c r="BF1871" s="342"/>
      <c r="BG1871" s="1318">
        <f>W1871</f>
        <v>0</v>
      </c>
      <c r="BH1871" s="1318"/>
      <c r="BI1871" s="1318"/>
      <c r="BJ1871" s="1318"/>
      <c r="BK1871" s="1318"/>
      <c r="BL1871" s="1318"/>
      <c r="BM1871" s="355"/>
      <c r="BN1871" s="1318">
        <f>AD1871</f>
        <v>0</v>
      </c>
      <c r="BO1871" s="1318"/>
      <c r="BP1871" s="1318"/>
      <c r="BQ1871" s="1318"/>
      <c r="BR1871" s="1318"/>
      <c r="BS1871" s="1318"/>
      <c r="BT1871" s="342"/>
      <c r="BU1871" s="346"/>
      <c r="BV1871" s="310"/>
      <c r="BW1871" s="310"/>
      <c r="BX1871" s="291">
        <f t="shared" si="133"/>
        <v>0</v>
      </c>
      <c r="BY1871" s="344"/>
      <c r="BZ1871" s="347"/>
      <c r="CA1871" s="347"/>
    </row>
    <row r="1872" spans="1:84" ht="27.95" hidden="1" customHeight="1" x14ac:dyDescent="0.25">
      <c r="A1872" s="313"/>
      <c r="B1872" s="340"/>
      <c r="C1872" s="1342" t="s">
        <v>1862</v>
      </c>
      <c r="D1872" s="1342"/>
      <c r="E1872" s="1342"/>
      <c r="F1872" s="1342"/>
      <c r="G1872" s="1342"/>
      <c r="H1872" s="1342"/>
      <c r="I1872" s="1342"/>
      <c r="J1872" s="1342"/>
      <c r="K1872" s="1342"/>
      <c r="L1872" s="1342"/>
      <c r="M1872" s="1342"/>
      <c r="N1872" s="1342"/>
      <c r="O1872" s="1342"/>
      <c r="P1872" s="1342"/>
      <c r="Q1872" s="1342"/>
      <c r="R1872" s="1342"/>
      <c r="S1872" s="1342"/>
      <c r="T1872" s="1342"/>
      <c r="U1872" s="1342"/>
      <c r="V1872" s="1342"/>
      <c r="W1872" s="1342"/>
      <c r="X1872" s="1342"/>
      <c r="Y1872" s="1342"/>
      <c r="Z1872" s="1342"/>
      <c r="AA1872" s="1342"/>
      <c r="AB1872" s="1342"/>
      <c r="AC1872" s="1342"/>
      <c r="AD1872" s="1342"/>
      <c r="AE1872" s="1342"/>
      <c r="AF1872" s="1342"/>
      <c r="AG1872" s="1342"/>
      <c r="AH1872" s="1342"/>
      <c r="AI1872" s="1342"/>
      <c r="AJ1872" s="344"/>
      <c r="AK1872" s="345"/>
      <c r="AL1872" s="340"/>
      <c r="AM1872" s="1342" t="s">
        <v>1862</v>
      </c>
      <c r="AN1872" s="1342"/>
      <c r="AO1872" s="1342"/>
      <c r="AP1872" s="1342"/>
      <c r="AQ1872" s="1342"/>
      <c r="AR1872" s="1342"/>
      <c r="AS1872" s="1342"/>
      <c r="AT1872" s="1342"/>
      <c r="AU1872" s="1342"/>
      <c r="AV1872" s="1342"/>
      <c r="AW1872" s="1342"/>
      <c r="AX1872" s="1342"/>
      <c r="AY1872" s="1342"/>
      <c r="AZ1872" s="1342"/>
      <c r="BA1872" s="1342"/>
      <c r="BB1872" s="1342"/>
      <c r="BC1872" s="1342"/>
      <c r="BD1872" s="1342"/>
      <c r="BE1872" s="1342"/>
      <c r="BF1872" s="1342"/>
      <c r="BG1872" s="1342"/>
      <c r="BH1872" s="1342"/>
      <c r="BI1872" s="1342"/>
      <c r="BJ1872" s="1342"/>
      <c r="BK1872" s="1342"/>
      <c r="BL1872" s="1342"/>
      <c r="BM1872" s="1342"/>
      <c r="BN1872" s="1342"/>
      <c r="BO1872" s="1342"/>
      <c r="BP1872" s="1342"/>
      <c r="BQ1872" s="1342"/>
      <c r="BR1872" s="1342"/>
      <c r="BS1872" s="1342"/>
      <c r="BT1872" s="342"/>
      <c r="BU1872" s="346"/>
      <c r="BV1872" s="310"/>
      <c r="BW1872" s="310"/>
      <c r="BX1872" s="291">
        <f t="shared" si="133"/>
        <v>0</v>
      </c>
      <c r="BY1872" s="344"/>
      <c r="BZ1872" s="347"/>
      <c r="CA1872" s="347"/>
    </row>
    <row r="1873" spans="1:79" ht="15" customHeight="1" x14ac:dyDescent="0.25">
      <c r="A1873" s="313"/>
      <c r="B1873" s="340"/>
      <c r="C1873" s="341" t="s">
        <v>1863</v>
      </c>
      <c r="D1873" s="342"/>
      <c r="E1873" s="342"/>
      <c r="F1873" s="342"/>
      <c r="G1873" s="342"/>
      <c r="H1873" s="342"/>
      <c r="I1873" s="342"/>
      <c r="J1873" s="342"/>
      <c r="K1873" s="342"/>
      <c r="L1873" s="342"/>
      <c r="M1873" s="342"/>
      <c r="N1873" s="342"/>
      <c r="O1873" s="342"/>
      <c r="P1873" s="342"/>
      <c r="Q1873" s="342"/>
      <c r="R1873" s="342"/>
      <c r="S1873" s="342"/>
      <c r="T1873" s="342"/>
      <c r="U1873" s="342"/>
      <c r="V1873" s="342"/>
      <c r="W1873" s="343"/>
      <c r="X1873" s="343"/>
      <c r="Y1873" s="343"/>
      <c r="Z1873" s="343"/>
      <c r="AA1873" s="343"/>
      <c r="AB1873" s="343"/>
      <c r="AC1873" s="343"/>
      <c r="AD1873" s="343"/>
      <c r="AE1873" s="343"/>
      <c r="AF1873" s="343"/>
      <c r="AG1873" s="343"/>
      <c r="AH1873" s="343"/>
      <c r="AI1873" s="343"/>
      <c r="AJ1873" s="344"/>
      <c r="AK1873" s="345"/>
      <c r="AL1873" s="340"/>
      <c r="AM1873" s="341" t="s">
        <v>1864</v>
      </c>
      <c r="AN1873" s="342"/>
      <c r="AO1873" s="342"/>
      <c r="AP1873" s="342"/>
      <c r="AQ1873" s="342"/>
      <c r="AR1873" s="342"/>
      <c r="AS1873" s="342"/>
      <c r="AT1873" s="342"/>
      <c r="AU1873" s="342"/>
      <c r="AV1873" s="342"/>
      <c r="AW1873" s="342"/>
      <c r="AX1873" s="342"/>
      <c r="AY1873" s="342"/>
      <c r="AZ1873" s="342"/>
      <c r="BA1873" s="342"/>
      <c r="BB1873" s="342"/>
      <c r="BC1873" s="342"/>
      <c r="BD1873" s="342"/>
      <c r="BE1873" s="342"/>
      <c r="BF1873" s="342"/>
      <c r="BG1873" s="343"/>
      <c r="BH1873" s="343"/>
      <c r="BI1873" s="343"/>
      <c r="BJ1873" s="343"/>
      <c r="BK1873" s="343"/>
      <c r="BL1873" s="343"/>
      <c r="BM1873" s="343"/>
      <c r="BN1873" s="343"/>
      <c r="BO1873" s="343"/>
      <c r="BP1873" s="343"/>
      <c r="BQ1873" s="343"/>
      <c r="BR1873" s="343"/>
      <c r="BS1873" s="343"/>
      <c r="BT1873" s="342"/>
      <c r="BU1873" s="346"/>
      <c r="BV1873" s="310"/>
      <c r="BW1873" s="310"/>
      <c r="BX1873" s="291">
        <f t="shared" si="133"/>
        <v>0</v>
      </c>
      <c r="BY1873" s="344"/>
      <c r="BZ1873" s="347"/>
      <c r="CA1873" s="347"/>
    </row>
    <row r="1874" spans="1:79" ht="15" customHeight="1" x14ac:dyDescent="0.25">
      <c r="A1874" s="313"/>
      <c r="B1874" s="340"/>
      <c r="C1874" s="342"/>
      <c r="D1874" s="342"/>
      <c r="E1874" s="342"/>
      <c r="F1874" s="342"/>
      <c r="G1874" s="342"/>
      <c r="H1874" s="342"/>
      <c r="I1874" s="342"/>
      <c r="J1874" s="342"/>
      <c r="K1874" s="342"/>
      <c r="L1874" s="342"/>
      <c r="M1874" s="342"/>
      <c r="N1874" s="342"/>
      <c r="O1874" s="342"/>
      <c r="P1874" s="342"/>
      <c r="Q1874" s="342"/>
      <c r="R1874" s="342"/>
      <c r="S1874" s="342"/>
      <c r="T1874" s="342"/>
      <c r="U1874" s="342"/>
      <c r="V1874" s="342"/>
      <c r="W1874" s="1324" t="str">
        <f>Ky_Nay2_V</f>
        <v>Năm 2017</v>
      </c>
      <c r="X1874" s="1324"/>
      <c r="Y1874" s="1324"/>
      <c r="Z1874" s="1324"/>
      <c r="AA1874" s="1324"/>
      <c r="AB1874" s="1324"/>
      <c r="AC1874" s="379"/>
      <c r="AD1874" s="1324" t="str">
        <f>Ky_Truoc2_V</f>
        <v>Năm 2016</v>
      </c>
      <c r="AE1874" s="1324"/>
      <c r="AF1874" s="1324"/>
      <c r="AG1874" s="1324"/>
      <c r="AH1874" s="1324"/>
      <c r="AI1874" s="1324"/>
      <c r="AJ1874" s="344"/>
      <c r="AK1874" s="345"/>
      <c r="AL1874" s="340"/>
      <c r="AM1874" s="342"/>
      <c r="AN1874" s="342"/>
      <c r="AO1874" s="342"/>
      <c r="AP1874" s="342"/>
      <c r="AQ1874" s="342"/>
      <c r="AR1874" s="342"/>
      <c r="AS1874" s="342"/>
      <c r="AT1874" s="342"/>
      <c r="AU1874" s="342"/>
      <c r="AV1874" s="342"/>
      <c r="AW1874" s="342"/>
      <c r="AX1874" s="342"/>
      <c r="AY1874" s="342"/>
      <c r="AZ1874" s="342"/>
      <c r="BA1874" s="342"/>
      <c r="BB1874" s="342"/>
      <c r="BC1874" s="342"/>
      <c r="BD1874" s="342"/>
      <c r="BE1874" s="342"/>
      <c r="BF1874" s="342"/>
      <c r="BG1874" s="1324" t="str">
        <f>Ky_Nay2_E</f>
        <v>Year 2016</v>
      </c>
      <c r="BH1874" s="1324"/>
      <c r="BI1874" s="1324"/>
      <c r="BJ1874" s="1324"/>
      <c r="BK1874" s="1324"/>
      <c r="BL1874" s="1324"/>
      <c r="BM1874" s="379"/>
      <c r="BN1874" s="1324" t="str">
        <f>Ky_Truoc2_E</f>
        <v>Year 2015</v>
      </c>
      <c r="BO1874" s="1324"/>
      <c r="BP1874" s="1324"/>
      <c r="BQ1874" s="1324"/>
      <c r="BR1874" s="1324"/>
      <c r="BS1874" s="1324"/>
      <c r="BT1874" s="342"/>
      <c r="BU1874" s="346"/>
      <c r="BV1874" s="310"/>
      <c r="BW1874" s="310"/>
      <c r="BX1874" s="291">
        <f t="shared" si="133"/>
        <v>0</v>
      </c>
      <c r="BY1874" s="344"/>
      <c r="BZ1874" s="347"/>
      <c r="CA1874" s="347"/>
    </row>
    <row r="1875" spans="1:79" ht="15" customHeight="1" x14ac:dyDescent="0.25">
      <c r="A1875" s="313"/>
      <c r="B1875" s="340"/>
      <c r="C1875" s="342"/>
      <c r="D1875" s="342"/>
      <c r="E1875" s="342"/>
      <c r="F1875" s="342"/>
      <c r="G1875" s="342"/>
      <c r="H1875" s="342"/>
      <c r="I1875" s="342"/>
      <c r="J1875" s="342"/>
      <c r="K1875" s="342"/>
      <c r="L1875" s="342"/>
      <c r="M1875" s="342"/>
      <c r="N1875" s="342"/>
      <c r="O1875" s="342"/>
      <c r="P1875" s="342"/>
      <c r="Q1875" s="342"/>
      <c r="R1875" s="342"/>
      <c r="S1875" s="342"/>
      <c r="T1875" s="342"/>
      <c r="U1875" s="342"/>
      <c r="V1875" s="342"/>
      <c r="W1875" s="1327" t="str">
        <f>Don_Vi_Tinh_V</f>
        <v>VND</v>
      </c>
      <c r="X1875" s="1327"/>
      <c r="Y1875" s="1327"/>
      <c r="Z1875" s="1327"/>
      <c r="AA1875" s="1327"/>
      <c r="AB1875" s="1327"/>
      <c r="AC1875" s="355"/>
      <c r="AD1875" s="1327" t="str">
        <f>Don_Vi_Tinh_V</f>
        <v>VND</v>
      </c>
      <c r="AE1875" s="1327"/>
      <c r="AF1875" s="1327"/>
      <c r="AG1875" s="1327"/>
      <c r="AH1875" s="1327"/>
      <c r="AI1875" s="1327"/>
      <c r="AJ1875" s="344"/>
      <c r="AK1875" s="345"/>
      <c r="AL1875" s="340"/>
      <c r="AM1875" s="342"/>
      <c r="AN1875" s="342"/>
      <c r="AO1875" s="342"/>
      <c r="AP1875" s="342"/>
      <c r="AQ1875" s="342"/>
      <c r="AR1875" s="342"/>
      <c r="AS1875" s="342"/>
      <c r="AT1875" s="342"/>
      <c r="AU1875" s="342"/>
      <c r="AV1875" s="342"/>
      <c r="AW1875" s="342"/>
      <c r="AX1875" s="342"/>
      <c r="AY1875" s="342"/>
      <c r="AZ1875" s="342"/>
      <c r="BA1875" s="342"/>
      <c r="BB1875" s="342"/>
      <c r="BC1875" s="342"/>
      <c r="BD1875" s="342"/>
      <c r="BE1875" s="342"/>
      <c r="BF1875" s="342"/>
      <c r="BG1875" s="1327" t="str">
        <f>Don_Vi_Tinh_E</f>
        <v>VND</v>
      </c>
      <c r="BH1875" s="1327"/>
      <c r="BI1875" s="1327"/>
      <c r="BJ1875" s="1327"/>
      <c r="BK1875" s="1327"/>
      <c r="BL1875" s="1327"/>
      <c r="BM1875" s="355"/>
      <c r="BN1875" s="1327" t="str">
        <f>Don_Vi_Tinh_E</f>
        <v>VND</v>
      </c>
      <c r="BO1875" s="1327"/>
      <c r="BP1875" s="1327"/>
      <c r="BQ1875" s="1327"/>
      <c r="BR1875" s="1327"/>
      <c r="BS1875" s="1327"/>
      <c r="BT1875" s="342"/>
      <c r="BU1875" s="346"/>
      <c r="BV1875" s="310"/>
      <c r="BW1875" s="310"/>
      <c r="BX1875" s="291">
        <f>IF(ISNONTEXT($C1875),0,SUM(D1875:AI1875)-SUM(AN1875:BS1875))</f>
        <v>0</v>
      </c>
      <c r="BY1875" s="344"/>
      <c r="BZ1875" s="347"/>
      <c r="CA1875" s="347"/>
    </row>
    <row r="1876" spans="1:79" ht="14.1" customHeight="1" x14ac:dyDescent="0.25">
      <c r="A1876" s="313"/>
      <c r="B1876" s="340"/>
      <c r="C1876" s="342"/>
      <c r="D1876" s="342"/>
      <c r="E1876" s="342"/>
      <c r="F1876" s="342"/>
      <c r="G1876" s="342"/>
      <c r="H1876" s="342"/>
      <c r="I1876" s="342"/>
      <c r="J1876" s="342"/>
      <c r="K1876" s="342"/>
      <c r="L1876" s="342"/>
      <c r="M1876" s="342"/>
      <c r="N1876" s="342"/>
      <c r="O1876" s="342"/>
      <c r="P1876" s="342"/>
      <c r="Q1876" s="342"/>
      <c r="R1876" s="342"/>
      <c r="S1876" s="342"/>
      <c r="T1876" s="342"/>
      <c r="U1876" s="342"/>
      <c r="V1876" s="342"/>
      <c r="W1876" s="343"/>
      <c r="X1876" s="343"/>
      <c r="Y1876" s="343"/>
      <c r="Z1876" s="343"/>
      <c r="AA1876" s="343"/>
      <c r="AB1876" s="343"/>
      <c r="AC1876" s="343"/>
      <c r="AD1876" s="343"/>
      <c r="AE1876" s="343"/>
      <c r="AF1876" s="343"/>
      <c r="AG1876" s="343"/>
      <c r="AH1876" s="343"/>
      <c r="AI1876" s="343"/>
      <c r="AJ1876" s="344"/>
      <c r="AK1876" s="345"/>
      <c r="AL1876" s="340"/>
      <c r="AM1876" s="342"/>
      <c r="AN1876" s="342"/>
      <c r="AO1876" s="342"/>
      <c r="AP1876" s="342"/>
      <c r="AQ1876" s="342"/>
      <c r="AR1876" s="342"/>
      <c r="AS1876" s="342"/>
      <c r="AT1876" s="342"/>
      <c r="AU1876" s="342"/>
      <c r="AV1876" s="342"/>
      <c r="AW1876" s="342"/>
      <c r="AX1876" s="342"/>
      <c r="AY1876" s="342"/>
      <c r="AZ1876" s="342"/>
      <c r="BA1876" s="342"/>
      <c r="BB1876" s="342"/>
      <c r="BC1876" s="342"/>
      <c r="BD1876" s="342"/>
      <c r="BE1876" s="342"/>
      <c r="BF1876" s="342"/>
      <c r="BG1876" s="343"/>
      <c r="BH1876" s="343"/>
      <c r="BI1876" s="343"/>
      <c r="BJ1876" s="343"/>
      <c r="BK1876" s="343"/>
      <c r="BL1876" s="343"/>
      <c r="BM1876" s="343"/>
      <c r="BN1876" s="343"/>
      <c r="BO1876" s="343"/>
      <c r="BP1876" s="343"/>
      <c r="BQ1876" s="343"/>
      <c r="BR1876" s="343"/>
      <c r="BS1876" s="343"/>
      <c r="BT1876" s="342"/>
      <c r="BU1876" s="346"/>
      <c r="BV1876" s="310"/>
      <c r="BW1876" s="310"/>
      <c r="BX1876" s="291">
        <f>IF(ISNONTEXT($C1876),0,SUM(D1876:AI1876)-SUM(AN1876:BS1876))</f>
        <v>0</v>
      </c>
      <c r="BY1876" s="344"/>
      <c r="BZ1876" s="347"/>
      <c r="CA1876" s="347"/>
    </row>
    <row r="1877" spans="1:79" ht="15" customHeight="1" x14ac:dyDescent="0.25">
      <c r="A1877" s="313"/>
      <c r="B1877" s="340"/>
      <c r="C1877" s="342" t="s">
        <v>1865</v>
      </c>
      <c r="D1877" s="342"/>
      <c r="E1877" s="342"/>
      <c r="F1877" s="342"/>
      <c r="G1877" s="342"/>
      <c r="H1877" s="342"/>
      <c r="I1877" s="342"/>
      <c r="J1877" s="342"/>
      <c r="K1877" s="342"/>
      <c r="L1877" s="342"/>
      <c r="M1877" s="342"/>
      <c r="N1877" s="342"/>
      <c r="O1877" s="342"/>
      <c r="P1877" s="342"/>
      <c r="Q1877" s="342"/>
      <c r="R1877" s="342"/>
      <c r="S1877" s="342"/>
      <c r="T1877" s="342"/>
      <c r="U1877" s="342"/>
      <c r="V1877" s="342"/>
      <c r="W1877" s="1318">
        <f>[1]LCGT!AE49</f>
        <v>2830656545</v>
      </c>
      <c r="X1877" s="1318"/>
      <c r="Y1877" s="1318"/>
      <c r="Z1877" s="1318"/>
      <c r="AA1877" s="1318"/>
      <c r="AB1877" s="1318"/>
      <c r="AC1877" s="355"/>
      <c r="AD1877" s="1318">
        <v>6275316044</v>
      </c>
      <c r="AE1877" s="1318"/>
      <c r="AF1877" s="1318"/>
      <c r="AG1877" s="1318"/>
      <c r="AH1877" s="1318"/>
      <c r="AI1877" s="1318"/>
      <c r="AJ1877" s="344"/>
      <c r="AK1877" s="345"/>
      <c r="AL1877" s="340"/>
      <c r="AM1877" s="342" t="s">
        <v>1866</v>
      </c>
      <c r="AN1877" s="342"/>
      <c r="AO1877" s="342"/>
      <c r="AP1877" s="342"/>
      <c r="AQ1877" s="342"/>
      <c r="AR1877" s="342"/>
      <c r="AS1877" s="342"/>
      <c r="AT1877" s="342"/>
      <c r="AU1877" s="342"/>
      <c r="AV1877" s="342"/>
      <c r="AW1877" s="342"/>
      <c r="AX1877" s="342"/>
      <c r="AY1877" s="342"/>
      <c r="AZ1877" s="342"/>
      <c r="BA1877" s="342"/>
      <c r="BB1877" s="342"/>
      <c r="BC1877" s="342"/>
      <c r="BD1877" s="342"/>
      <c r="BE1877" s="342"/>
      <c r="BF1877" s="342"/>
      <c r="BG1877" s="1318">
        <f t="shared" ref="BG1877:BG1882" si="134">W1877</f>
        <v>2830656545</v>
      </c>
      <c r="BH1877" s="1318"/>
      <c r="BI1877" s="1318"/>
      <c r="BJ1877" s="1318"/>
      <c r="BK1877" s="1318"/>
      <c r="BL1877" s="1318"/>
      <c r="BM1877" s="355"/>
      <c r="BN1877" s="1318">
        <f t="shared" ref="BN1877:BN1882" si="135">AD1877</f>
        <v>6275316044</v>
      </c>
      <c r="BO1877" s="1318"/>
      <c r="BP1877" s="1318"/>
      <c r="BQ1877" s="1318"/>
      <c r="BR1877" s="1318"/>
      <c r="BS1877" s="1318"/>
      <c r="BT1877" s="342"/>
      <c r="BU1877" s="346"/>
      <c r="BV1877" s="310"/>
      <c r="BW1877" s="310"/>
      <c r="BX1877" s="291">
        <f t="shared" si="133"/>
        <v>0</v>
      </c>
      <c r="BY1877" s="344"/>
      <c r="BZ1877" s="347"/>
      <c r="CA1877" s="347"/>
    </row>
    <row r="1878" spans="1:79" ht="15" hidden="1" customHeight="1" x14ac:dyDescent="0.25">
      <c r="A1878" s="313"/>
      <c r="B1878" s="340"/>
      <c r="C1878" s="342" t="s">
        <v>1867</v>
      </c>
      <c r="D1878" s="342"/>
      <c r="E1878" s="342"/>
      <c r="F1878" s="342"/>
      <c r="G1878" s="342"/>
      <c r="H1878" s="342"/>
      <c r="I1878" s="342"/>
      <c r="J1878" s="342"/>
      <c r="K1878" s="342"/>
      <c r="L1878" s="342"/>
      <c r="M1878" s="342"/>
      <c r="N1878" s="342"/>
      <c r="O1878" s="342"/>
      <c r="P1878" s="342"/>
      <c r="Q1878" s="342"/>
      <c r="R1878" s="342"/>
      <c r="S1878" s="342"/>
      <c r="T1878" s="342"/>
      <c r="U1878" s="342"/>
      <c r="V1878" s="342"/>
      <c r="W1878" s="1318"/>
      <c r="X1878" s="1318"/>
      <c r="Y1878" s="1318"/>
      <c r="Z1878" s="1318"/>
      <c r="AA1878" s="1318"/>
      <c r="AB1878" s="1318"/>
      <c r="AC1878" s="343"/>
      <c r="AD1878" s="1318"/>
      <c r="AE1878" s="1318"/>
      <c r="AF1878" s="1318"/>
      <c r="AG1878" s="1318"/>
      <c r="AH1878" s="1318"/>
      <c r="AI1878" s="1318"/>
      <c r="AJ1878" s="344"/>
      <c r="AK1878" s="345"/>
      <c r="AL1878" s="340"/>
      <c r="AM1878" s="342" t="s">
        <v>1868</v>
      </c>
      <c r="AN1878" s="342"/>
      <c r="AO1878" s="342"/>
      <c r="AP1878" s="342"/>
      <c r="AQ1878" s="342"/>
      <c r="AR1878" s="342"/>
      <c r="AS1878" s="342"/>
      <c r="AT1878" s="342"/>
      <c r="AU1878" s="342"/>
      <c r="AV1878" s="342"/>
      <c r="AW1878" s="342"/>
      <c r="AX1878" s="342"/>
      <c r="AY1878" s="342"/>
      <c r="AZ1878" s="342"/>
      <c r="BA1878" s="342"/>
      <c r="BB1878" s="342"/>
      <c r="BC1878" s="342"/>
      <c r="BD1878" s="342"/>
      <c r="BE1878" s="342"/>
      <c r="BF1878" s="342"/>
      <c r="BG1878" s="1318">
        <f t="shared" si="134"/>
        <v>0</v>
      </c>
      <c r="BH1878" s="1318"/>
      <c r="BI1878" s="1318"/>
      <c r="BJ1878" s="1318"/>
      <c r="BK1878" s="1318"/>
      <c r="BL1878" s="1318"/>
      <c r="BM1878" s="343"/>
      <c r="BN1878" s="1318">
        <f t="shared" si="135"/>
        <v>0</v>
      </c>
      <c r="BO1878" s="1318"/>
      <c r="BP1878" s="1318"/>
      <c r="BQ1878" s="1318"/>
      <c r="BR1878" s="1318"/>
      <c r="BS1878" s="1318"/>
      <c r="BT1878" s="342"/>
      <c r="BU1878" s="346"/>
      <c r="BV1878" s="310"/>
      <c r="BW1878" s="310"/>
      <c r="BX1878" s="291">
        <f t="shared" si="133"/>
        <v>0</v>
      </c>
      <c r="BY1878" s="344"/>
      <c r="BZ1878" s="347"/>
      <c r="CA1878" s="347"/>
    </row>
    <row r="1879" spans="1:79" ht="15" hidden="1" customHeight="1" x14ac:dyDescent="0.25">
      <c r="A1879" s="313"/>
      <c r="B1879" s="340"/>
      <c r="C1879" s="342" t="s">
        <v>1869</v>
      </c>
      <c r="D1879" s="342"/>
      <c r="E1879" s="342"/>
      <c r="F1879" s="342"/>
      <c r="G1879" s="342"/>
      <c r="H1879" s="342"/>
      <c r="I1879" s="342"/>
      <c r="J1879" s="342"/>
      <c r="K1879" s="342"/>
      <c r="L1879" s="342"/>
      <c r="M1879" s="342"/>
      <c r="N1879" s="342"/>
      <c r="O1879" s="342"/>
      <c r="P1879" s="342"/>
      <c r="Q1879" s="342"/>
      <c r="R1879" s="342"/>
      <c r="S1879" s="342"/>
      <c r="T1879" s="342"/>
      <c r="U1879" s="342"/>
      <c r="V1879" s="342"/>
      <c r="W1879" s="1318"/>
      <c r="X1879" s="1318"/>
      <c r="Y1879" s="1318"/>
      <c r="Z1879" s="1318"/>
      <c r="AA1879" s="1318"/>
      <c r="AB1879" s="1318"/>
      <c r="AC1879" s="343"/>
      <c r="AD1879" s="1318"/>
      <c r="AE1879" s="1318"/>
      <c r="AF1879" s="1318"/>
      <c r="AG1879" s="1318"/>
      <c r="AH1879" s="1318"/>
      <c r="AI1879" s="1318"/>
      <c r="AJ1879" s="344"/>
      <c r="AK1879" s="345"/>
      <c r="AL1879" s="340"/>
      <c r="AM1879" s="342" t="s">
        <v>1870</v>
      </c>
      <c r="AN1879" s="342"/>
      <c r="AO1879" s="342"/>
      <c r="AP1879" s="342"/>
      <c r="AQ1879" s="342"/>
      <c r="AR1879" s="342"/>
      <c r="AS1879" s="342"/>
      <c r="AT1879" s="342"/>
      <c r="AU1879" s="342"/>
      <c r="AV1879" s="342"/>
      <c r="AW1879" s="342"/>
      <c r="AX1879" s="342"/>
      <c r="AY1879" s="342"/>
      <c r="AZ1879" s="342"/>
      <c r="BA1879" s="342"/>
      <c r="BB1879" s="342"/>
      <c r="BC1879" s="342"/>
      <c r="BD1879" s="342"/>
      <c r="BE1879" s="342"/>
      <c r="BF1879" s="342"/>
      <c r="BG1879" s="1318">
        <f t="shared" si="134"/>
        <v>0</v>
      </c>
      <c r="BH1879" s="1318"/>
      <c r="BI1879" s="1318"/>
      <c r="BJ1879" s="1318"/>
      <c r="BK1879" s="1318"/>
      <c r="BL1879" s="1318"/>
      <c r="BM1879" s="343"/>
      <c r="BN1879" s="1318">
        <f t="shared" si="135"/>
        <v>0</v>
      </c>
      <c r="BO1879" s="1318"/>
      <c r="BP1879" s="1318"/>
      <c r="BQ1879" s="1318"/>
      <c r="BR1879" s="1318"/>
      <c r="BS1879" s="1318"/>
      <c r="BT1879" s="342"/>
      <c r="BU1879" s="346"/>
      <c r="BV1879" s="310"/>
      <c r="BW1879" s="310"/>
      <c r="BX1879" s="291">
        <f t="shared" si="133"/>
        <v>0</v>
      </c>
      <c r="BY1879" s="344"/>
      <c r="BZ1879" s="347"/>
      <c r="CA1879" s="347"/>
    </row>
    <row r="1880" spans="1:79" ht="15" hidden="1" customHeight="1" x14ac:dyDescent="0.25">
      <c r="A1880" s="313"/>
      <c r="B1880" s="340"/>
      <c r="C1880" s="342" t="s">
        <v>1871</v>
      </c>
      <c r="D1880" s="342"/>
      <c r="E1880" s="342"/>
      <c r="F1880" s="342"/>
      <c r="G1880" s="342"/>
      <c r="H1880" s="342"/>
      <c r="I1880" s="342"/>
      <c r="J1880" s="342"/>
      <c r="K1880" s="342"/>
      <c r="L1880" s="342"/>
      <c r="M1880" s="342"/>
      <c r="N1880" s="342"/>
      <c r="O1880" s="342"/>
      <c r="P1880" s="342"/>
      <c r="Q1880" s="342"/>
      <c r="R1880" s="342"/>
      <c r="S1880" s="342"/>
      <c r="T1880" s="342"/>
      <c r="U1880" s="342"/>
      <c r="V1880" s="342"/>
      <c r="W1880" s="1318"/>
      <c r="X1880" s="1318"/>
      <c r="Y1880" s="1318"/>
      <c r="Z1880" s="1318"/>
      <c r="AA1880" s="1318"/>
      <c r="AB1880" s="1318"/>
      <c r="AC1880" s="343"/>
      <c r="AD1880" s="1318"/>
      <c r="AE1880" s="1318"/>
      <c r="AF1880" s="1318"/>
      <c r="AG1880" s="1318"/>
      <c r="AH1880" s="1318"/>
      <c r="AI1880" s="1318"/>
      <c r="AJ1880" s="344"/>
      <c r="AK1880" s="345"/>
      <c r="AL1880" s="340"/>
      <c r="AM1880" s="342" t="s">
        <v>1872</v>
      </c>
      <c r="AN1880" s="342"/>
      <c r="AO1880" s="342"/>
      <c r="AP1880" s="342"/>
      <c r="AQ1880" s="342"/>
      <c r="AR1880" s="342"/>
      <c r="AS1880" s="342"/>
      <c r="AT1880" s="342"/>
      <c r="AU1880" s="342"/>
      <c r="AV1880" s="342"/>
      <c r="AW1880" s="342"/>
      <c r="AX1880" s="342"/>
      <c r="AY1880" s="342"/>
      <c r="AZ1880" s="342"/>
      <c r="BA1880" s="342"/>
      <c r="BB1880" s="342"/>
      <c r="BC1880" s="342"/>
      <c r="BD1880" s="342"/>
      <c r="BE1880" s="342"/>
      <c r="BF1880" s="342"/>
      <c r="BG1880" s="1318">
        <f t="shared" si="134"/>
        <v>0</v>
      </c>
      <c r="BH1880" s="1318"/>
      <c r="BI1880" s="1318"/>
      <c r="BJ1880" s="1318"/>
      <c r="BK1880" s="1318"/>
      <c r="BL1880" s="1318"/>
      <c r="BM1880" s="343"/>
      <c r="BN1880" s="1318">
        <f t="shared" si="135"/>
        <v>0</v>
      </c>
      <c r="BO1880" s="1318"/>
      <c r="BP1880" s="1318"/>
      <c r="BQ1880" s="1318"/>
      <c r="BR1880" s="1318"/>
      <c r="BS1880" s="1318"/>
      <c r="BT1880" s="342"/>
      <c r="BU1880" s="346"/>
      <c r="BV1880" s="310"/>
      <c r="BW1880" s="310"/>
      <c r="BX1880" s="291">
        <f t="shared" si="133"/>
        <v>0</v>
      </c>
      <c r="BY1880" s="344"/>
      <c r="BZ1880" s="347"/>
      <c r="CA1880" s="347"/>
    </row>
    <row r="1881" spans="1:79" ht="27.95" hidden="1" customHeight="1" x14ac:dyDescent="0.25">
      <c r="A1881" s="313"/>
      <c r="B1881" s="340"/>
      <c r="C1881" s="1347" t="s">
        <v>1873</v>
      </c>
      <c r="D1881" s="1347"/>
      <c r="E1881" s="1347"/>
      <c r="F1881" s="1347"/>
      <c r="G1881" s="1347"/>
      <c r="H1881" s="1347"/>
      <c r="I1881" s="1347"/>
      <c r="J1881" s="1347"/>
      <c r="K1881" s="1347"/>
      <c r="L1881" s="1347"/>
      <c r="M1881" s="1347"/>
      <c r="N1881" s="1347"/>
      <c r="O1881" s="1347"/>
      <c r="P1881" s="1347"/>
      <c r="Q1881" s="1347"/>
      <c r="R1881" s="1347"/>
      <c r="S1881" s="1347"/>
      <c r="T1881" s="1347"/>
      <c r="U1881" s="1347"/>
      <c r="V1881" s="342"/>
      <c r="W1881" s="1318"/>
      <c r="X1881" s="1318"/>
      <c r="Y1881" s="1318"/>
      <c r="Z1881" s="1318"/>
      <c r="AA1881" s="1318"/>
      <c r="AB1881" s="1318"/>
      <c r="AC1881" s="343"/>
      <c r="AD1881" s="1318"/>
      <c r="AE1881" s="1318"/>
      <c r="AF1881" s="1318"/>
      <c r="AG1881" s="1318"/>
      <c r="AH1881" s="1318"/>
      <c r="AI1881" s="1318"/>
      <c r="AJ1881" s="344"/>
      <c r="AK1881" s="345"/>
      <c r="AL1881" s="340"/>
      <c r="AM1881" s="342" t="s">
        <v>1874</v>
      </c>
      <c r="AN1881" s="342"/>
      <c r="AO1881" s="342"/>
      <c r="AP1881" s="342"/>
      <c r="AQ1881" s="342"/>
      <c r="AR1881" s="342"/>
      <c r="AS1881" s="342"/>
      <c r="AT1881" s="342"/>
      <c r="AU1881" s="342"/>
      <c r="AV1881" s="342"/>
      <c r="AW1881" s="342"/>
      <c r="AX1881" s="342"/>
      <c r="AY1881" s="342"/>
      <c r="AZ1881" s="342"/>
      <c r="BA1881" s="342"/>
      <c r="BB1881" s="342"/>
      <c r="BC1881" s="342"/>
      <c r="BD1881" s="342"/>
      <c r="BE1881" s="342"/>
      <c r="BF1881" s="342"/>
      <c r="BG1881" s="1318">
        <f t="shared" si="134"/>
        <v>0</v>
      </c>
      <c r="BH1881" s="1318"/>
      <c r="BI1881" s="1318"/>
      <c r="BJ1881" s="1318"/>
      <c r="BK1881" s="1318"/>
      <c r="BL1881" s="1318"/>
      <c r="BM1881" s="343"/>
      <c r="BN1881" s="1318">
        <f t="shared" si="135"/>
        <v>0</v>
      </c>
      <c r="BO1881" s="1318"/>
      <c r="BP1881" s="1318"/>
      <c r="BQ1881" s="1318"/>
      <c r="BR1881" s="1318"/>
      <c r="BS1881" s="1318"/>
      <c r="BT1881" s="342"/>
      <c r="BU1881" s="346"/>
      <c r="BV1881" s="310"/>
      <c r="BW1881" s="310"/>
      <c r="BX1881" s="291">
        <f t="shared" si="133"/>
        <v>0</v>
      </c>
      <c r="BY1881" s="344"/>
      <c r="BZ1881" s="347"/>
      <c r="CA1881" s="347"/>
    </row>
    <row r="1882" spans="1:79" ht="15" hidden="1" customHeight="1" x14ac:dyDescent="0.25">
      <c r="A1882" s="313"/>
      <c r="B1882" s="340"/>
      <c r="C1882" s="342" t="s">
        <v>1875</v>
      </c>
      <c r="D1882" s="342"/>
      <c r="E1882" s="342"/>
      <c r="F1882" s="342"/>
      <c r="G1882" s="342"/>
      <c r="H1882" s="342"/>
      <c r="I1882" s="342"/>
      <c r="J1882" s="342"/>
      <c r="K1882" s="342"/>
      <c r="L1882" s="342"/>
      <c r="M1882" s="342"/>
      <c r="N1882" s="342"/>
      <c r="O1882" s="342"/>
      <c r="P1882" s="342"/>
      <c r="Q1882" s="342"/>
      <c r="R1882" s="342"/>
      <c r="S1882" s="342"/>
      <c r="T1882" s="342"/>
      <c r="U1882" s="342"/>
      <c r="V1882" s="342"/>
      <c r="W1882" s="1318"/>
      <c r="X1882" s="1318"/>
      <c r="Y1882" s="1318"/>
      <c r="Z1882" s="1318"/>
      <c r="AA1882" s="1318"/>
      <c r="AB1882" s="1318"/>
      <c r="AC1882" s="343"/>
      <c r="AD1882" s="1318"/>
      <c r="AE1882" s="1318"/>
      <c r="AF1882" s="1318"/>
      <c r="AG1882" s="1318"/>
      <c r="AH1882" s="1318"/>
      <c r="AI1882" s="1318"/>
      <c r="AJ1882" s="344"/>
      <c r="AK1882" s="345"/>
      <c r="AL1882" s="340"/>
      <c r="AM1882" s="342" t="s">
        <v>1876</v>
      </c>
      <c r="AN1882" s="342"/>
      <c r="AO1882" s="342"/>
      <c r="AP1882" s="342"/>
      <c r="AQ1882" s="342"/>
      <c r="AR1882" s="342"/>
      <c r="AS1882" s="342"/>
      <c r="AT1882" s="342"/>
      <c r="AU1882" s="342"/>
      <c r="AV1882" s="342"/>
      <c r="AW1882" s="342"/>
      <c r="AX1882" s="342"/>
      <c r="AY1882" s="342"/>
      <c r="AZ1882" s="342"/>
      <c r="BA1882" s="342"/>
      <c r="BB1882" s="342"/>
      <c r="BC1882" s="342"/>
      <c r="BD1882" s="342"/>
      <c r="BE1882" s="342"/>
      <c r="BF1882" s="342"/>
      <c r="BG1882" s="1318">
        <f t="shared" si="134"/>
        <v>0</v>
      </c>
      <c r="BH1882" s="1318"/>
      <c r="BI1882" s="1318"/>
      <c r="BJ1882" s="1318"/>
      <c r="BK1882" s="1318"/>
      <c r="BL1882" s="1318"/>
      <c r="BM1882" s="343"/>
      <c r="BN1882" s="1318">
        <f t="shared" si="135"/>
        <v>0</v>
      </c>
      <c r="BO1882" s="1318"/>
      <c r="BP1882" s="1318"/>
      <c r="BQ1882" s="1318"/>
      <c r="BR1882" s="1318"/>
      <c r="BS1882" s="1318"/>
      <c r="BT1882" s="342"/>
      <c r="BU1882" s="346"/>
      <c r="BV1882" s="310"/>
      <c r="BW1882" s="310"/>
      <c r="BX1882" s="291">
        <f t="shared" si="133"/>
        <v>0</v>
      </c>
      <c r="BY1882" s="344"/>
      <c r="BZ1882" s="347"/>
      <c r="CA1882" s="347"/>
    </row>
    <row r="1883" spans="1:79" ht="14.1" customHeight="1" x14ac:dyDescent="0.25">
      <c r="A1883" s="313"/>
      <c r="B1883" s="340"/>
      <c r="C1883" s="342"/>
      <c r="D1883" s="342"/>
      <c r="E1883" s="342"/>
      <c r="F1883" s="342"/>
      <c r="G1883" s="342"/>
      <c r="H1883" s="342"/>
      <c r="I1883" s="342"/>
      <c r="J1883" s="342"/>
      <c r="K1883" s="342"/>
      <c r="L1883" s="342"/>
      <c r="M1883" s="342"/>
      <c r="N1883" s="342"/>
      <c r="O1883" s="342"/>
      <c r="P1883" s="342"/>
      <c r="Q1883" s="342"/>
      <c r="R1883" s="342"/>
      <c r="S1883" s="342"/>
      <c r="T1883" s="342"/>
      <c r="U1883" s="342"/>
      <c r="V1883" s="342"/>
      <c r="W1883" s="343"/>
      <c r="X1883" s="343"/>
      <c r="Y1883" s="343"/>
      <c r="Z1883" s="343"/>
      <c r="AA1883" s="343"/>
      <c r="AB1883" s="343"/>
      <c r="AC1883" s="343"/>
      <c r="AD1883" s="343"/>
      <c r="AE1883" s="343"/>
      <c r="AF1883" s="343"/>
      <c r="AG1883" s="343"/>
      <c r="AH1883" s="343"/>
      <c r="AI1883" s="343"/>
      <c r="AJ1883" s="344"/>
      <c r="AK1883" s="345"/>
      <c r="AL1883" s="340"/>
      <c r="AM1883" s="342"/>
      <c r="AN1883" s="342"/>
      <c r="AO1883" s="342"/>
      <c r="AP1883" s="342"/>
      <c r="AQ1883" s="342"/>
      <c r="AR1883" s="342"/>
      <c r="AS1883" s="342"/>
      <c r="AT1883" s="342"/>
      <c r="AU1883" s="342"/>
      <c r="AV1883" s="342"/>
      <c r="AW1883" s="342"/>
      <c r="AX1883" s="342"/>
      <c r="AY1883" s="342"/>
      <c r="AZ1883" s="342"/>
      <c r="BA1883" s="342"/>
      <c r="BB1883" s="342"/>
      <c r="BC1883" s="342"/>
      <c r="BD1883" s="342"/>
      <c r="BE1883" s="342"/>
      <c r="BF1883" s="342"/>
      <c r="BG1883" s="343"/>
      <c r="BH1883" s="343"/>
      <c r="BI1883" s="343"/>
      <c r="BJ1883" s="343"/>
      <c r="BK1883" s="343"/>
      <c r="BL1883" s="343"/>
      <c r="BM1883" s="343"/>
      <c r="BN1883" s="343"/>
      <c r="BO1883" s="343"/>
      <c r="BP1883" s="343"/>
      <c r="BQ1883" s="343"/>
      <c r="BR1883" s="343"/>
      <c r="BS1883" s="343"/>
      <c r="BT1883" s="342"/>
      <c r="BU1883" s="346"/>
      <c r="BV1883" s="310"/>
      <c r="BW1883" s="310"/>
      <c r="BX1883" s="291">
        <f t="shared" si="133"/>
        <v>0</v>
      </c>
      <c r="BY1883" s="344"/>
      <c r="BZ1883" s="347"/>
      <c r="CA1883" s="347"/>
    </row>
    <row r="1884" spans="1:79" ht="15" customHeight="1" x14ac:dyDescent="0.25">
      <c r="A1884" s="313"/>
      <c r="B1884" s="340"/>
      <c r="C1884" s="341" t="s">
        <v>1877</v>
      </c>
      <c r="D1884" s="342"/>
      <c r="E1884" s="342"/>
      <c r="F1884" s="342"/>
      <c r="G1884" s="342"/>
      <c r="H1884" s="342"/>
      <c r="I1884" s="342"/>
      <c r="J1884" s="342"/>
      <c r="K1884" s="342"/>
      <c r="L1884" s="342"/>
      <c r="M1884" s="342"/>
      <c r="N1884" s="342"/>
      <c r="O1884" s="342"/>
      <c r="P1884" s="342"/>
      <c r="Q1884" s="342"/>
      <c r="R1884" s="342"/>
      <c r="S1884" s="342"/>
      <c r="T1884" s="342"/>
      <c r="U1884" s="342"/>
      <c r="V1884" s="342"/>
      <c r="W1884" s="343"/>
      <c r="X1884" s="343"/>
      <c r="Y1884" s="343"/>
      <c r="Z1884" s="343"/>
      <c r="AA1884" s="343"/>
      <c r="AB1884" s="343"/>
      <c r="AC1884" s="343"/>
      <c r="AD1884" s="343"/>
      <c r="AE1884" s="343"/>
      <c r="AF1884" s="343"/>
      <c r="AG1884" s="343"/>
      <c r="AH1884" s="343"/>
      <c r="AI1884" s="343"/>
      <c r="AJ1884" s="344"/>
      <c r="AK1884" s="345"/>
      <c r="AL1884" s="340"/>
      <c r="AM1884" s="341" t="s">
        <v>1878</v>
      </c>
      <c r="AN1884" s="342"/>
      <c r="AO1884" s="342"/>
      <c r="AP1884" s="342"/>
      <c r="AQ1884" s="342"/>
      <c r="AR1884" s="342"/>
      <c r="AS1884" s="342"/>
      <c r="AT1884" s="342"/>
      <c r="AU1884" s="342"/>
      <c r="AV1884" s="342"/>
      <c r="AW1884" s="342"/>
      <c r="AX1884" s="342"/>
      <c r="AY1884" s="342"/>
      <c r="AZ1884" s="342"/>
      <c r="BA1884" s="342"/>
      <c r="BB1884" s="342"/>
      <c r="BC1884" s="342"/>
      <c r="BD1884" s="342"/>
      <c r="BE1884" s="342"/>
      <c r="BF1884" s="342"/>
      <c r="BG1884" s="343"/>
      <c r="BH1884" s="343"/>
      <c r="BI1884" s="343"/>
      <c r="BJ1884" s="343"/>
      <c r="BK1884" s="343"/>
      <c r="BL1884" s="343"/>
      <c r="BM1884" s="343"/>
      <c r="BN1884" s="343"/>
      <c r="BO1884" s="343"/>
      <c r="BP1884" s="343"/>
      <c r="BQ1884" s="343"/>
      <c r="BR1884" s="343"/>
      <c r="BS1884" s="343"/>
      <c r="BT1884" s="342"/>
      <c r="BU1884" s="346"/>
      <c r="BV1884" s="310"/>
      <c r="BW1884" s="310"/>
      <c r="BX1884" s="291">
        <f t="shared" si="133"/>
        <v>0</v>
      </c>
      <c r="BY1884" s="344"/>
      <c r="BZ1884" s="347"/>
      <c r="CA1884" s="347"/>
    </row>
    <row r="1885" spans="1:79" ht="15" customHeight="1" x14ac:dyDescent="0.25">
      <c r="A1885" s="313"/>
      <c r="B1885" s="340"/>
      <c r="C1885" s="342"/>
      <c r="D1885" s="342"/>
      <c r="E1885" s="342"/>
      <c r="F1885" s="342"/>
      <c r="G1885" s="342"/>
      <c r="H1885" s="342"/>
      <c r="I1885" s="342"/>
      <c r="J1885" s="342"/>
      <c r="K1885" s="342"/>
      <c r="L1885" s="342"/>
      <c r="M1885" s="342"/>
      <c r="N1885" s="342"/>
      <c r="O1885" s="342"/>
      <c r="P1885" s="342"/>
      <c r="Q1885" s="342"/>
      <c r="R1885" s="342"/>
      <c r="S1885" s="342"/>
      <c r="T1885" s="342"/>
      <c r="U1885" s="342"/>
      <c r="V1885" s="342"/>
      <c r="W1885" s="1324" t="str">
        <f>Ky_Nay2_V</f>
        <v>Năm 2017</v>
      </c>
      <c r="X1885" s="1324"/>
      <c r="Y1885" s="1324"/>
      <c r="Z1885" s="1324"/>
      <c r="AA1885" s="1324"/>
      <c r="AB1885" s="1324"/>
      <c r="AC1885" s="379"/>
      <c r="AD1885" s="1324" t="str">
        <f>Ky_Truoc2_V</f>
        <v>Năm 2016</v>
      </c>
      <c r="AE1885" s="1324"/>
      <c r="AF1885" s="1324"/>
      <c r="AG1885" s="1324"/>
      <c r="AH1885" s="1324"/>
      <c r="AI1885" s="1324"/>
      <c r="AJ1885" s="344"/>
      <c r="AK1885" s="345"/>
      <c r="AL1885" s="340"/>
      <c r="AM1885" s="342"/>
      <c r="AN1885" s="342"/>
      <c r="AO1885" s="342"/>
      <c r="AP1885" s="342"/>
      <c r="AQ1885" s="342"/>
      <c r="AR1885" s="342"/>
      <c r="AS1885" s="342"/>
      <c r="AT1885" s="342"/>
      <c r="AU1885" s="342"/>
      <c r="AV1885" s="342"/>
      <c r="AW1885" s="342"/>
      <c r="AX1885" s="342"/>
      <c r="AY1885" s="342"/>
      <c r="AZ1885" s="342"/>
      <c r="BA1885" s="342"/>
      <c r="BB1885" s="342"/>
      <c r="BC1885" s="342"/>
      <c r="BD1885" s="342"/>
      <c r="BE1885" s="342"/>
      <c r="BF1885" s="342"/>
      <c r="BG1885" s="1324" t="str">
        <f>Ky_Nay2_E</f>
        <v>Year 2016</v>
      </c>
      <c r="BH1885" s="1324"/>
      <c r="BI1885" s="1324"/>
      <c r="BJ1885" s="1324"/>
      <c r="BK1885" s="1324"/>
      <c r="BL1885" s="1324"/>
      <c r="BM1885" s="379"/>
      <c r="BN1885" s="1324" t="str">
        <f>Ky_Truoc2_E</f>
        <v>Year 2015</v>
      </c>
      <c r="BO1885" s="1324"/>
      <c r="BP1885" s="1324"/>
      <c r="BQ1885" s="1324"/>
      <c r="BR1885" s="1324"/>
      <c r="BS1885" s="1324"/>
      <c r="BT1885" s="342"/>
      <c r="BU1885" s="346"/>
      <c r="BV1885" s="310"/>
      <c r="BW1885" s="310"/>
      <c r="BX1885" s="291">
        <f t="shared" si="133"/>
        <v>0</v>
      </c>
      <c r="BY1885" s="344"/>
      <c r="BZ1885" s="347"/>
      <c r="CA1885" s="347"/>
    </row>
    <row r="1886" spans="1:79" ht="15" customHeight="1" x14ac:dyDescent="0.25">
      <c r="A1886" s="313"/>
      <c r="B1886" s="340"/>
      <c r="C1886" s="342"/>
      <c r="D1886" s="342"/>
      <c r="E1886" s="342"/>
      <c r="F1886" s="342"/>
      <c r="G1886" s="342"/>
      <c r="H1886" s="342"/>
      <c r="I1886" s="342"/>
      <c r="J1886" s="342"/>
      <c r="K1886" s="342"/>
      <c r="L1886" s="342"/>
      <c r="M1886" s="342"/>
      <c r="N1886" s="342"/>
      <c r="O1886" s="342"/>
      <c r="P1886" s="342"/>
      <c r="Q1886" s="342"/>
      <c r="R1886" s="342"/>
      <c r="S1886" s="342"/>
      <c r="T1886" s="342"/>
      <c r="U1886" s="342"/>
      <c r="V1886" s="342"/>
      <c r="W1886" s="1327" t="str">
        <f>Don_Vi_Tinh_V</f>
        <v>VND</v>
      </c>
      <c r="X1886" s="1327"/>
      <c r="Y1886" s="1327"/>
      <c r="Z1886" s="1327"/>
      <c r="AA1886" s="1327"/>
      <c r="AB1886" s="1327"/>
      <c r="AC1886" s="355"/>
      <c r="AD1886" s="1327" t="str">
        <f>Don_Vi_Tinh_V</f>
        <v>VND</v>
      </c>
      <c r="AE1886" s="1327"/>
      <c r="AF1886" s="1327"/>
      <c r="AG1886" s="1327"/>
      <c r="AH1886" s="1327"/>
      <c r="AI1886" s="1327"/>
      <c r="AJ1886" s="344"/>
      <c r="AK1886" s="345"/>
      <c r="AL1886" s="340"/>
      <c r="AM1886" s="342"/>
      <c r="AN1886" s="342"/>
      <c r="AO1886" s="342"/>
      <c r="AP1886" s="342"/>
      <c r="AQ1886" s="342"/>
      <c r="AR1886" s="342"/>
      <c r="AS1886" s="342"/>
      <c r="AT1886" s="342"/>
      <c r="AU1886" s="342"/>
      <c r="AV1886" s="342"/>
      <c r="AW1886" s="342"/>
      <c r="AX1886" s="342"/>
      <c r="AY1886" s="342"/>
      <c r="AZ1886" s="342"/>
      <c r="BA1886" s="342"/>
      <c r="BB1886" s="342"/>
      <c r="BC1886" s="342"/>
      <c r="BD1886" s="342"/>
      <c r="BE1886" s="342"/>
      <c r="BF1886" s="342"/>
      <c r="BG1886" s="1327" t="str">
        <f>Don_Vi_Tinh_E</f>
        <v>VND</v>
      </c>
      <c r="BH1886" s="1327"/>
      <c r="BI1886" s="1327"/>
      <c r="BJ1886" s="1327"/>
      <c r="BK1886" s="1327"/>
      <c r="BL1886" s="1327"/>
      <c r="BM1886" s="355"/>
      <c r="BN1886" s="1327" t="str">
        <f>Don_Vi_Tinh_E</f>
        <v>VND</v>
      </c>
      <c r="BO1886" s="1327"/>
      <c r="BP1886" s="1327"/>
      <c r="BQ1886" s="1327"/>
      <c r="BR1886" s="1327"/>
      <c r="BS1886" s="1327"/>
      <c r="BT1886" s="342"/>
      <c r="BU1886" s="346"/>
      <c r="BV1886" s="310"/>
      <c r="BW1886" s="310"/>
      <c r="BX1886" s="291">
        <f>IF(ISNONTEXT($C1886),0,SUM(D1886:AI1886)-SUM(AN1886:BS1886))</f>
        <v>0</v>
      </c>
      <c r="BY1886" s="344"/>
      <c r="BZ1886" s="347"/>
      <c r="CA1886" s="347"/>
    </row>
    <row r="1887" spans="1:79" ht="14.1" customHeight="1" x14ac:dyDescent="0.25">
      <c r="A1887" s="313"/>
      <c r="B1887" s="340"/>
      <c r="C1887" s="342"/>
      <c r="D1887" s="342"/>
      <c r="E1887" s="342"/>
      <c r="F1887" s="342"/>
      <c r="G1887" s="342"/>
      <c r="H1887" s="342"/>
      <c r="I1887" s="342"/>
      <c r="J1887" s="342"/>
      <c r="K1887" s="342"/>
      <c r="L1887" s="342"/>
      <c r="M1887" s="342"/>
      <c r="N1887" s="342"/>
      <c r="O1887" s="342"/>
      <c r="P1887" s="342"/>
      <c r="Q1887" s="342"/>
      <c r="R1887" s="342"/>
      <c r="S1887" s="342"/>
      <c r="T1887" s="342"/>
      <c r="U1887" s="342"/>
      <c r="V1887" s="342"/>
      <c r="W1887" s="372"/>
      <c r="X1887" s="372"/>
      <c r="Y1887" s="372"/>
      <c r="Z1887" s="372"/>
      <c r="AA1887" s="372"/>
      <c r="AB1887" s="372"/>
      <c r="AC1887" s="355"/>
      <c r="AD1887" s="372"/>
      <c r="AE1887" s="372"/>
      <c r="AF1887" s="372"/>
      <c r="AG1887" s="372"/>
      <c r="AH1887" s="372"/>
      <c r="AI1887" s="372"/>
      <c r="AJ1887" s="344"/>
      <c r="AK1887" s="345"/>
      <c r="AL1887" s="340"/>
      <c r="AM1887" s="342"/>
      <c r="AN1887" s="342"/>
      <c r="AO1887" s="342"/>
      <c r="AP1887" s="342"/>
      <c r="AQ1887" s="342"/>
      <c r="AR1887" s="342"/>
      <c r="AS1887" s="342"/>
      <c r="AT1887" s="342"/>
      <c r="AU1887" s="342"/>
      <c r="AV1887" s="342"/>
      <c r="AW1887" s="342"/>
      <c r="AX1887" s="342"/>
      <c r="AY1887" s="342"/>
      <c r="AZ1887" s="342"/>
      <c r="BA1887" s="342"/>
      <c r="BB1887" s="342"/>
      <c r="BC1887" s="342"/>
      <c r="BD1887" s="342"/>
      <c r="BE1887" s="342"/>
      <c r="BF1887" s="342"/>
      <c r="BG1887" s="372"/>
      <c r="BH1887" s="372"/>
      <c r="BI1887" s="372"/>
      <c r="BJ1887" s="372"/>
      <c r="BK1887" s="372"/>
      <c r="BL1887" s="372"/>
      <c r="BM1887" s="355"/>
      <c r="BN1887" s="372"/>
      <c r="BO1887" s="372"/>
      <c r="BP1887" s="372"/>
      <c r="BQ1887" s="372"/>
      <c r="BR1887" s="372"/>
      <c r="BS1887" s="372"/>
      <c r="BT1887" s="342"/>
      <c r="BU1887" s="346"/>
      <c r="BV1887" s="310"/>
      <c r="BW1887" s="310"/>
      <c r="BX1887" s="291"/>
      <c r="BY1887" s="344"/>
      <c r="BZ1887" s="347"/>
      <c r="CA1887" s="347"/>
    </row>
    <row r="1888" spans="1:79" ht="15" customHeight="1" x14ac:dyDescent="0.25">
      <c r="A1888" s="313"/>
      <c r="B1888" s="340"/>
      <c r="C1888" s="342" t="s">
        <v>1879</v>
      </c>
      <c r="D1888" s="342"/>
      <c r="E1888" s="342"/>
      <c r="F1888" s="342"/>
      <c r="G1888" s="342"/>
      <c r="H1888" s="342"/>
      <c r="I1888" s="342"/>
      <c r="J1888" s="342"/>
      <c r="K1888" s="342"/>
      <c r="L1888" s="342"/>
      <c r="M1888" s="342"/>
      <c r="N1888" s="342"/>
      <c r="O1888" s="342"/>
      <c r="P1888" s="342"/>
      <c r="Q1888" s="342"/>
      <c r="R1888" s="342"/>
      <c r="S1888" s="342"/>
      <c r="T1888" s="342"/>
      <c r="U1888" s="342"/>
      <c r="V1888" s="342"/>
      <c r="W1888" s="1318">
        <f>-[1]LCGT!AE50</f>
        <v>4383180143</v>
      </c>
      <c r="X1888" s="1318"/>
      <c r="Y1888" s="1318"/>
      <c r="Z1888" s="1318"/>
      <c r="AA1888" s="1318"/>
      <c r="AB1888" s="1318"/>
      <c r="AC1888" s="355"/>
      <c r="AD1888" s="1318">
        <v>10524993544</v>
      </c>
      <c r="AE1888" s="1318"/>
      <c r="AF1888" s="1318"/>
      <c r="AG1888" s="1318"/>
      <c r="AH1888" s="1318"/>
      <c r="AI1888" s="1318"/>
      <c r="AJ1888" s="344"/>
      <c r="AK1888" s="345"/>
      <c r="AL1888" s="340"/>
      <c r="AM1888" s="342" t="s">
        <v>1880</v>
      </c>
      <c r="AN1888" s="342"/>
      <c r="AO1888" s="342"/>
      <c r="AP1888" s="342"/>
      <c r="AQ1888" s="342"/>
      <c r="AR1888" s="342"/>
      <c r="AS1888" s="342"/>
      <c r="AT1888" s="342"/>
      <c r="AU1888" s="342"/>
      <c r="AV1888" s="342"/>
      <c r="AW1888" s="342"/>
      <c r="AX1888" s="342"/>
      <c r="AY1888" s="342"/>
      <c r="AZ1888" s="342"/>
      <c r="BA1888" s="342"/>
      <c r="BB1888" s="342"/>
      <c r="BC1888" s="342"/>
      <c r="BD1888" s="342"/>
      <c r="BE1888" s="342"/>
      <c r="BF1888" s="342"/>
      <c r="BG1888" s="1318">
        <f t="shared" ref="BG1888:BG1893" si="136">W1888</f>
        <v>4383180143</v>
      </c>
      <c r="BH1888" s="1318"/>
      <c r="BI1888" s="1318"/>
      <c r="BJ1888" s="1318"/>
      <c r="BK1888" s="1318"/>
      <c r="BL1888" s="1318"/>
      <c r="BM1888" s="355"/>
      <c r="BN1888" s="1318">
        <f t="shared" ref="BN1888:BN1893" si="137">AD1888</f>
        <v>10524993544</v>
      </c>
      <c r="BO1888" s="1318"/>
      <c r="BP1888" s="1318"/>
      <c r="BQ1888" s="1318"/>
      <c r="BR1888" s="1318"/>
      <c r="BS1888" s="1318"/>
      <c r="BT1888" s="342"/>
      <c r="BU1888" s="346"/>
      <c r="BV1888" s="310"/>
      <c r="BW1888" s="310"/>
      <c r="BX1888" s="291">
        <f t="shared" ref="BX1888:BX1951" si="138">IF(ISNONTEXT($C1888),0,SUM(D1888:AI1888)-SUM(AN1888:BS1888))</f>
        <v>0</v>
      </c>
      <c r="BY1888" s="344"/>
      <c r="BZ1888" s="347"/>
      <c r="CA1888" s="347"/>
    </row>
    <row r="1889" spans="1:84" ht="15" hidden="1" customHeight="1" x14ac:dyDescent="0.25">
      <c r="A1889" s="313"/>
      <c r="B1889" s="340"/>
      <c r="C1889" s="342" t="s">
        <v>1881</v>
      </c>
      <c r="D1889" s="342"/>
      <c r="E1889" s="342"/>
      <c r="F1889" s="342"/>
      <c r="G1889" s="342"/>
      <c r="H1889" s="342"/>
      <c r="I1889" s="342"/>
      <c r="J1889" s="342"/>
      <c r="K1889" s="342"/>
      <c r="L1889" s="342"/>
      <c r="M1889" s="342"/>
      <c r="N1889" s="342"/>
      <c r="O1889" s="342"/>
      <c r="P1889" s="342"/>
      <c r="Q1889" s="342"/>
      <c r="R1889" s="342"/>
      <c r="S1889" s="342"/>
      <c r="T1889" s="342"/>
      <c r="U1889" s="342"/>
      <c r="V1889" s="342"/>
      <c r="W1889" s="1318"/>
      <c r="X1889" s="1318"/>
      <c r="Y1889" s="1318"/>
      <c r="Z1889" s="1318"/>
      <c r="AA1889" s="1318"/>
      <c r="AB1889" s="1318"/>
      <c r="AC1889" s="355"/>
      <c r="AD1889" s="1318"/>
      <c r="AE1889" s="1318"/>
      <c r="AF1889" s="1318"/>
      <c r="AG1889" s="1318"/>
      <c r="AH1889" s="1318"/>
      <c r="AI1889" s="1318"/>
      <c r="AJ1889" s="344"/>
      <c r="AK1889" s="345"/>
      <c r="AL1889" s="340"/>
      <c r="AM1889" s="342" t="s">
        <v>1882</v>
      </c>
      <c r="AN1889" s="342"/>
      <c r="AO1889" s="342"/>
      <c r="AP1889" s="342"/>
      <c r="AQ1889" s="342"/>
      <c r="AR1889" s="342"/>
      <c r="AS1889" s="342"/>
      <c r="AT1889" s="342"/>
      <c r="AU1889" s="342"/>
      <c r="AV1889" s="342"/>
      <c r="AW1889" s="342"/>
      <c r="AX1889" s="342"/>
      <c r="AY1889" s="342"/>
      <c r="AZ1889" s="342"/>
      <c r="BA1889" s="342"/>
      <c r="BB1889" s="342"/>
      <c r="BC1889" s="342"/>
      <c r="BD1889" s="342"/>
      <c r="BE1889" s="342"/>
      <c r="BF1889" s="342"/>
      <c r="BG1889" s="1318">
        <f t="shared" si="136"/>
        <v>0</v>
      </c>
      <c r="BH1889" s="1318"/>
      <c r="BI1889" s="1318"/>
      <c r="BJ1889" s="1318"/>
      <c r="BK1889" s="1318"/>
      <c r="BL1889" s="1318"/>
      <c r="BM1889" s="355"/>
      <c r="BN1889" s="1318">
        <f t="shared" si="137"/>
        <v>0</v>
      </c>
      <c r="BO1889" s="1318"/>
      <c r="BP1889" s="1318"/>
      <c r="BQ1889" s="1318"/>
      <c r="BR1889" s="1318"/>
      <c r="BS1889" s="1318"/>
      <c r="BT1889" s="342"/>
      <c r="BU1889" s="346"/>
      <c r="BV1889" s="310"/>
      <c r="BW1889" s="310"/>
      <c r="BX1889" s="291">
        <f t="shared" si="138"/>
        <v>0</v>
      </c>
      <c r="BY1889" s="344"/>
      <c r="BZ1889" s="347"/>
      <c r="CA1889" s="347"/>
    </row>
    <row r="1890" spans="1:84" ht="15" hidden="1" customHeight="1" x14ac:dyDescent="0.25">
      <c r="A1890" s="313"/>
      <c r="B1890" s="340"/>
      <c r="C1890" s="342" t="s">
        <v>1883</v>
      </c>
      <c r="D1890" s="342"/>
      <c r="E1890" s="342"/>
      <c r="F1890" s="342"/>
      <c r="G1890" s="342"/>
      <c r="H1890" s="342"/>
      <c r="I1890" s="342"/>
      <c r="J1890" s="342"/>
      <c r="K1890" s="342"/>
      <c r="L1890" s="342"/>
      <c r="M1890" s="342"/>
      <c r="N1890" s="342"/>
      <c r="O1890" s="342"/>
      <c r="P1890" s="342"/>
      <c r="Q1890" s="342"/>
      <c r="R1890" s="342"/>
      <c r="S1890" s="342"/>
      <c r="T1890" s="342"/>
      <c r="U1890" s="342"/>
      <c r="V1890" s="342"/>
      <c r="W1890" s="1318"/>
      <c r="X1890" s="1318"/>
      <c r="Y1890" s="1318"/>
      <c r="Z1890" s="1318"/>
      <c r="AA1890" s="1318"/>
      <c r="AB1890" s="1318"/>
      <c r="AC1890" s="343"/>
      <c r="AD1890" s="1318"/>
      <c r="AE1890" s="1318"/>
      <c r="AF1890" s="1318"/>
      <c r="AG1890" s="1318"/>
      <c r="AH1890" s="1318"/>
      <c r="AI1890" s="1318"/>
      <c r="AJ1890" s="344"/>
      <c r="AK1890" s="345"/>
      <c r="AL1890" s="340"/>
      <c r="AM1890" s="342" t="s">
        <v>1884</v>
      </c>
      <c r="AN1890" s="342"/>
      <c r="AO1890" s="342"/>
      <c r="AP1890" s="342"/>
      <c r="AQ1890" s="342"/>
      <c r="AR1890" s="342"/>
      <c r="AS1890" s="342"/>
      <c r="AT1890" s="342"/>
      <c r="AU1890" s="342"/>
      <c r="AV1890" s="342"/>
      <c r="AW1890" s="342"/>
      <c r="AX1890" s="342"/>
      <c r="AY1890" s="342"/>
      <c r="AZ1890" s="342"/>
      <c r="BA1890" s="342"/>
      <c r="BB1890" s="342"/>
      <c r="BC1890" s="342"/>
      <c r="BD1890" s="342"/>
      <c r="BE1890" s="342"/>
      <c r="BF1890" s="342"/>
      <c r="BG1890" s="1318">
        <f t="shared" si="136"/>
        <v>0</v>
      </c>
      <c r="BH1890" s="1318"/>
      <c r="BI1890" s="1318"/>
      <c r="BJ1890" s="1318"/>
      <c r="BK1890" s="1318"/>
      <c r="BL1890" s="1318"/>
      <c r="BM1890" s="343"/>
      <c r="BN1890" s="1318">
        <f t="shared" si="137"/>
        <v>0</v>
      </c>
      <c r="BO1890" s="1318"/>
      <c r="BP1890" s="1318"/>
      <c r="BQ1890" s="1318"/>
      <c r="BR1890" s="1318"/>
      <c r="BS1890" s="1318"/>
      <c r="BT1890" s="342"/>
      <c r="BU1890" s="346"/>
      <c r="BV1890" s="310"/>
      <c r="BW1890" s="310"/>
      <c r="BX1890" s="291">
        <f t="shared" si="138"/>
        <v>0</v>
      </c>
      <c r="BY1890" s="344"/>
      <c r="BZ1890" s="347"/>
      <c r="CA1890" s="347"/>
    </row>
    <row r="1891" spans="1:84" ht="15" hidden="1" customHeight="1" x14ac:dyDescent="0.25">
      <c r="A1891" s="313"/>
      <c r="B1891" s="340"/>
      <c r="C1891" s="342" t="s">
        <v>1885</v>
      </c>
      <c r="D1891" s="342"/>
      <c r="E1891" s="342"/>
      <c r="F1891" s="342"/>
      <c r="G1891" s="342"/>
      <c r="H1891" s="342"/>
      <c r="I1891" s="342"/>
      <c r="J1891" s="342"/>
      <c r="K1891" s="342"/>
      <c r="L1891" s="342"/>
      <c r="M1891" s="342"/>
      <c r="N1891" s="342"/>
      <c r="O1891" s="342"/>
      <c r="P1891" s="342"/>
      <c r="Q1891" s="342"/>
      <c r="R1891" s="342"/>
      <c r="S1891" s="342"/>
      <c r="T1891" s="342"/>
      <c r="U1891" s="342"/>
      <c r="V1891" s="342"/>
      <c r="W1891" s="1318"/>
      <c r="X1891" s="1318"/>
      <c r="Y1891" s="1318"/>
      <c r="Z1891" s="1318"/>
      <c r="AA1891" s="1318"/>
      <c r="AB1891" s="1318"/>
      <c r="AC1891" s="343"/>
      <c r="AD1891" s="1318"/>
      <c r="AE1891" s="1318"/>
      <c r="AF1891" s="1318"/>
      <c r="AG1891" s="1318"/>
      <c r="AH1891" s="1318"/>
      <c r="AI1891" s="1318"/>
      <c r="AJ1891" s="344"/>
      <c r="AK1891" s="345"/>
      <c r="AL1891" s="340"/>
      <c r="AM1891" s="342" t="s">
        <v>1886</v>
      </c>
      <c r="AN1891" s="342"/>
      <c r="AO1891" s="342"/>
      <c r="AP1891" s="342"/>
      <c r="AQ1891" s="342"/>
      <c r="AR1891" s="342"/>
      <c r="AS1891" s="342"/>
      <c r="AT1891" s="342"/>
      <c r="AU1891" s="342"/>
      <c r="AV1891" s="342"/>
      <c r="AW1891" s="342"/>
      <c r="AX1891" s="342"/>
      <c r="AY1891" s="342"/>
      <c r="AZ1891" s="342"/>
      <c r="BA1891" s="342"/>
      <c r="BB1891" s="342"/>
      <c r="BC1891" s="342"/>
      <c r="BD1891" s="342"/>
      <c r="BE1891" s="342"/>
      <c r="BF1891" s="342"/>
      <c r="BG1891" s="1318">
        <f t="shared" si="136"/>
        <v>0</v>
      </c>
      <c r="BH1891" s="1318"/>
      <c r="BI1891" s="1318"/>
      <c r="BJ1891" s="1318"/>
      <c r="BK1891" s="1318"/>
      <c r="BL1891" s="1318"/>
      <c r="BM1891" s="343"/>
      <c r="BN1891" s="1318">
        <f t="shared" si="137"/>
        <v>0</v>
      </c>
      <c r="BO1891" s="1318"/>
      <c r="BP1891" s="1318"/>
      <c r="BQ1891" s="1318"/>
      <c r="BR1891" s="1318"/>
      <c r="BS1891" s="1318"/>
      <c r="BT1891" s="342"/>
      <c r="BU1891" s="346"/>
      <c r="BV1891" s="310"/>
      <c r="BW1891" s="310"/>
      <c r="BX1891" s="291">
        <f t="shared" si="138"/>
        <v>0</v>
      </c>
      <c r="BY1891" s="344"/>
      <c r="BZ1891" s="347"/>
      <c r="CA1891" s="347"/>
    </row>
    <row r="1892" spans="1:84" ht="27.95" hidden="1" customHeight="1" x14ac:dyDescent="0.25">
      <c r="A1892" s="313"/>
      <c r="B1892" s="340"/>
      <c r="C1892" s="1347" t="s">
        <v>1887</v>
      </c>
      <c r="D1892" s="1347"/>
      <c r="E1892" s="1347"/>
      <c r="F1892" s="1347"/>
      <c r="G1892" s="1347"/>
      <c r="H1892" s="1347"/>
      <c r="I1892" s="1347"/>
      <c r="J1892" s="1347"/>
      <c r="K1892" s="1347"/>
      <c r="L1892" s="1347"/>
      <c r="M1892" s="1347"/>
      <c r="N1892" s="1347"/>
      <c r="O1892" s="1347"/>
      <c r="P1892" s="1347"/>
      <c r="Q1892" s="1347"/>
      <c r="R1892" s="1347"/>
      <c r="S1892" s="1347"/>
      <c r="T1892" s="1347"/>
      <c r="U1892" s="1347"/>
      <c r="V1892" s="342"/>
      <c r="W1892" s="1318"/>
      <c r="X1892" s="1318"/>
      <c r="Y1892" s="1318"/>
      <c r="Z1892" s="1318"/>
      <c r="AA1892" s="1318"/>
      <c r="AB1892" s="1318"/>
      <c r="AC1892" s="343"/>
      <c r="AD1892" s="1318"/>
      <c r="AE1892" s="1318"/>
      <c r="AF1892" s="1318"/>
      <c r="AG1892" s="1318"/>
      <c r="AH1892" s="1318"/>
      <c r="AI1892" s="1318"/>
      <c r="AJ1892" s="344"/>
      <c r="AK1892" s="345"/>
      <c r="AL1892" s="340"/>
      <c r="AM1892" s="342" t="s">
        <v>1888</v>
      </c>
      <c r="AN1892" s="342"/>
      <c r="AO1892" s="342"/>
      <c r="AP1892" s="342"/>
      <c r="AQ1892" s="342"/>
      <c r="AR1892" s="342"/>
      <c r="AS1892" s="342"/>
      <c r="AT1892" s="342"/>
      <c r="AU1892" s="342"/>
      <c r="AV1892" s="342"/>
      <c r="AW1892" s="342"/>
      <c r="AX1892" s="342"/>
      <c r="AY1892" s="342"/>
      <c r="AZ1892" s="342"/>
      <c r="BA1892" s="342"/>
      <c r="BB1892" s="342"/>
      <c r="BC1892" s="342"/>
      <c r="BD1892" s="342"/>
      <c r="BE1892" s="342"/>
      <c r="BF1892" s="342"/>
      <c r="BG1892" s="1318">
        <f t="shared" si="136"/>
        <v>0</v>
      </c>
      <c r="BH1892" s="1318"/>
      <c r="BI1892" s="1318"/>
      <c r="BJ1892" s="1318"/>
      <c r="BK1892" s="1318"/>
      <c r="BL1892" s="1318"/>
      <c r="BM1892" s="343"/>
      <c r="BN1892" s="1318">
        <f t="shared" si="137"/>
        <v>0</v>
      </c>
      <c r="BO1892" s="1318"/>
      <c r="BP1892" s="1318"/>
      <c r="BQ1892" s="1318"/>
      <c r="BR1892" s="1318"/>
      <c r="BS1892" s="1318"/>
      <c r="BT1892" s="342"/>
      <c r="BU1892" s="346"/>
      <c r="BV1892" s="310"/>
      <c r="BW1892" s="310"/>
      <c r="BX1892" s="291">
        <f t="shared" si="138"/>
        <v>0</v>
      </c>
      <c r="BY1892" s="344"/>
      <c r="BZ1892" s="347"/>
      <c r="CA1892" s="347"/>
    </row>
    <row r="1893" spans="1:84" ht="15" hidden="1" customHeight="1" x14ac:dyDescent="0.25">
      <c r="A1893" s="313"/>
      <c r="B1893" s="340"/>
      <c r="C1893" s="342" t="s">
        <v>1889</v>
      </c>
      <c r="D1893" s="342"/>
      <c r="E1893" s="342"/>
      <c r="F1893" s="342"/>
      <c r="G1893" s="342"/>
      <c r="H1893" s="342"/>
      <c r="I1893" s="342"/>
      <c r="J1893" s="342"/>
      <c r="K1893" s="342"/>
      <c r="L1893" s="342"/>
      <c r="M1893" s="342"/>
      <c r="N1893" s="342"/>
      <c r="O1893" s="342"/>
      <c r="P1893" s="342"/>
      <c r="Q1893" s="342"/>
      <c r="R1893" s="342"/>
      <c r="S1893" s="342"/>
      <c r="T1893" s="342"/>
      <c r="U1893" s="342"/>
      <c r="V1893" s="342"/>
      <c r="W1893" s="1318"/>
      <c r="X1893" s="1318"/>
      <c r="Y1893" s="1318"/>
      <c r="Z1893" s="1318"/>
      <c r="AA1893" s="1318"/>
      <c r="AB1893" s="1318"/>
      <c r="AC1893" s="343"/>
      <c r="AD1893" s="1318"/>
      <c r="AE1893" s="1318"/>
      <c r="AF1893" s="1318"/>
      <c r="AG1893" s="1318"/>
      <c r="AH1893" s="1318"/>
      <c r="AI1893" s="1318"/>
      <c r="AJ1893" s="344"/>
      <c r="AK1893" s="345"/>
      <c r="AL1893" s="340"/>
      <c r="AM1893" s="342" t="s">
        <v>1890</v>
      </c>
      <c r="AN1893" s="342"/>
      <c r="AO1893" s="342"/>
      <c r="AP1893" s="342"/>
      <c r="AQ1893" s="342"/>
      <c r="AR1893" s="342"/>
      <c r="AS1893" s="342"/>
      <c r="AT1893" s="342"/>
      <c r="AU1893" s="342"/>
      <c r="AV1893" s="342"/>
      <c r="AW1893" s="342"/>
      <c r="AX1893" s="342"/>
      <c r="AY1893" s="342"/>
      <c r="AZ1893" s="342"/>
      <c r="BA1893" s="342"/>
      <c r="BB1893" s="342"/>
      <c r="BC1893" s="342"/>
      <c r="BD1893" s="342"/>
      <c r="BE1893" s="342"/>
      <c r="BF1893" s="342"/>
      <c r="BG1893" s="1318">
        <f t="shared" si="136"/>
        <v>0</v>
      </c>
      <c r="BH1893" s="1318"/>
      <c r="BI1893" s="1318"/>
      <c r="BJ1893" s="1318"/>
      <c r="BK1893" s="1318"/>
      <c r="BL1893" s="1318"/>
      <c r="BM1893" s="343"/>
      <c r="BN1893" s="1318">
        <f t="shared" si="137"/>
        <v>0</v>
      </c>
      <c r="BO1893" s="1318"/>
      <c r="BP1893" s="1318"/>
      <c r="BQ1893" s="1318"/>
      <c r="BR1893" s="1318"/>
      <c r="BS1893" s="1318"/>
      <c r="BT1893" s="342"/>
      <c r="BU1893" s="346"/>
      <c r="BV1893" s="310"/>
      <c r="BW1893" s="310"/>
      <c r="BX1893" s="291">
        <f t="shared" si="138"/>
        <v>0</v>
      </c>
      <c r="BY1893" s="344"/>
      <c r="BZ1893" s="347"/>
      <c r="CA1893" s="347"/>
    </row>
    <row r="1894" spans="1:84" ht="2.1" customHeight="1" x14ac:dyDescent="0.25">
      <c r="A1894" s="313"/>
      <c r="B1894" s="340"/>
      <c r="C1894" s="341"/>
      <c r="D1894" s="342"/>
      <c r="E1894" s="342"/>
      <c r="F1894" s="342"/>
      <c r="G1894" s="342"/>
      <c r="H1894" s="342"/>
      <c r="I1894" s="342"/>
      <c r="J1894" s="342"/>
      <c r="K1894" s="342"/>
      <c r="L1894" s="342"/>
      <c r="M1894" s="342"/>
      <c r="N1894" s="342"/>
      <c r="O1894" s="342"/>
      <c r="P1894" s="342"/>
      <c r="Q1894" s="342"/>
      <c r="R1894" s="342"/>
      <c r="S1894" s="342"/>
      <c r="T1894" s="342"/>
      <c r="U1894" s="342"/>
      <c r="V1894" s="342"/>
      <c r="W1894" s="1318"/>
      <c r="X1894" s="1318"/>
      <c r="Y1894" s="1318"/>
      <c r="Z1894" s="1318"/>
      <c r="AA1894" s="1318"/>
      <c r="AB1894" s="1318"/>
      <c r="AC1894" s="343"/>
      <c r="AD1894" s="1318"/>
      <c r="AE1894" s="1318"/>
      <c r="AF1894" s="1318"/>
      <c r="AG1894" s="1318"/>
      <c r="AH1894" s="1318"/>
      <c r="AI1894" s="1318"/>
      <c r="AJ1894" s="344"/>
      <c r="AK1894" s="345"/>
      <c r="AL1894" s="340"/>
      <c r="AM1894" s="341"/>
      <c r="AN1894" s="342"/>
      <c r="AO1894" s="342"/>
      <c r="AP1894" s="342"/>
      <c r="AQ1894" s="342"/>
      <c r="AR1894" s="342"/>
      <c r="AS1894" s="342"/>
      <c r="AT1894" s="342"/>
      <c r="AU1894" s="342"/>
      <c r="AV1894" s="342"/>
      <c r="AW1894" s="342"/>
      <c r="AX1894" s="342"/>
      <c r="AY1894" s="342"/>
      <c r="AZ1894" s="342"/>
      <c r="BA1894" s="342"/>
      <c r="BB1894" s="342"/>
      <c r="BC1894" s="342"/>
      <c r="BD1894" s="342"/>
      <c r="BE1894" s="342"/>
      <c r="BF1894" s="342"/>
      <c r="BG1894" s="342"/>
      <c r="BH1894" s="342"/>
      <c r="BI1894" s="342"/>
      <c r="BJ1894" s="342"/>
      <c r="BK1894" s="342"/>
      <c r="BL1894" s="342"/>
      <c r="BM1894" s="342"/>
      <c r="BN1894" s="342"/>
      <c r="BO1894" s="342"/>
      <c r="BP1894" s="342"/>
      <c r="BQ1894" s="342"/>
      <c r="BR1894" s="342"/>
      <c r="BS1894" s="342"/>
      <c r="BT1894" s="342"/>
      <c r="BU1894" s="346"/>
      <c r="BV1894" s="310"/>
      <c r="BW1894" s="310"/>
      <c r="BX1894" s="291">
        <f t="shared" si="138"/>
        <v>0</v>
      </c>
      <c r="BY1894" s="344"/>
      <c r="BZ1894" s="347"/>
      <c r="CA1894" s="347"/>
    </row>
    <row r="1895" spans="1:84" ht="12.95" hidden="1" customHeight="1" x14ac:dyDescent="0.25">
      <c r="A1895" s="313"/>
      <c r="B1895" s="340"/>
      <c r="C1895" s="342"/>
      <c r="D1895" s="342"/>
      <c r="E1895" s="342"/>
      <c r="F1895" s="342"/>
      <c r="G1895" s="342"/>
      <c r="H1895" s="342"/>
      <c r="I1895" s="342"/>
      <c r="J1895" s="342"/>
      <c r="K1895" s="342"/>
      <c r="L1895" s="342"/>
      <c r="M1895" s="342"/>
      <c r="N1895" s="342"/>
      <c r="O1895" s="342"/>
      <c r="P1895" s="342"/>
      <c r="Q1895" s="342"/>
      <c r="R1895" s="342"/>
      <c r="S1895" s="342"/>
      <c r="T1895" s="342"/>
      <c r="U1895" s="342"/>
      <c r="V1895" s="342"/>
      <c r="W1895" s="343"/>
      <c r="X1895" s="343"/>
      <c r="Y1895" s="343"/>
      <c r="Z1895" s="343"/>
      <c r="AA1895" s="343"/>
      <c r="AB1895" s="343"/>
      <c r="AC1895" s="343"/>
      <c r="AD1895" s="343"/>
      <c r="AE1895" s="343"/>
      <c r="AF1895" s="343"/>
      <c r="AG1895" s="343"/>
      <c r="AH1895" s="343"/>
      <c r="AI1895" s="343"/>
      <c r="AJ1895" s="344"/>
      <c r="AK1895" s="345"/>
      <c r="AL1895" s="340"/>
      <c r="AM1895" s="342"/>
      <c r="AN1895" s="342"/>
      <c r="AO1895" s="342"/>
      <c r="AP1895" s="342"/>
      <c r="AQ1895" s="342"/>
      <c r="AR1895" s="342"/>
      <c r="AS1895" s="342"/>
      <c r="AT1895" s="342"/>
      <c r="AU1895" s="342"/>
      <c r="AV1895" s="342"/>
      <c r="AW1895" s="342"/>
      <c r="AX1895" s="342"/>
      <c r="AY1895" s="342"/>
      <c r="AZ1895" s="342"/>
      <c r="BA1895" s="342"/>
      <c r="BB1895" s="342"/>
      <c r="BC1895" s="342"/>
      <c r="BD1895" s="342"/>
      <c r="BE1895" s="342"/>
      <c r="BF1895" s="342"/>
      <c r="BG1895" s="389"/>
      <c r="BH1895" s="389"/>
      <c r="BI1895" s="389"/>
      <c r="BJ1895" s="389"/>
      <c r="BK1895" s="389"/>
      <c r="BL1895" s="389"/>
      <c r="BM1895" s="342"/>
      <c r="BN1895" s="389"/>
      <c r="BO1895" s="389"/>
      <c r="BP1895" s="389"/>
      <c r="BQ1895" s="389"/>
      <c r="BR1895" s="389"/>
      <c r="BS1895" s="389"/>
      <c r="BT1895" s="389"/>
      <c r="BU1895" s="357"/>
      <c r="BV1895" s="310"/>
      <c r="BW1895" s="310"/>
      <c r="BX1895" s="291">
        <f t="shared" si="138"/>
        <v>0</v>
      </c>
      <c r="BY1895" s="344"/>
      <c r="BZ1895" s="347"/>
      <c r="CA1895" s="347"/>
    </row>
    <row r="1896" spans="1:84" ht="15" hidden="1" customHeight="1" x14ac:dyDescent="0.25">
      <c r="A1896" s="313">
        <f>STT</f>
        <v>35</v>
      </c>
      <c r="B1896" s="340" t="s">
        <v>345</v>
      </c>
      <c r="C1896" s="471" t="s">
        <v>1891</v>
      </c>
      <c r="D1896" s="392"/>
      <c r="E1896" s="392"/>
      <c r="F1896" s="392"/>
      <c r="G1896" s="392"/>
      <c r="H1896" s="392"/>
      <c r="I1896" s="392"/>
      <c r="J1896" s="392"/>
      <c r="K1896" s="392"/>
      <c r="L1896" s="392"/>
      <c r="M1896" s="392"/>
      <c r="N1896" s="392"/>
      <c r="O1896" s="392"/>
      <c r="P1896" s="392"/>
      <c r="Q1896" s="392"/>
      <c r="R1896" s="392"/>
      <c r="S1896" s="392"/>
      <c r="T1896" s="392"/>
      <c r="U1896" s="392"/>
      <c r="V1896" s="392"/>
      <c r="W1896" s="393"/>
      <c r="X1896" s="393"/>
      <c r="Y1896" s="393"/>
      <c r="Z1896" s="393"/>
      <c r="AA1896" s="393"/>
      <c r="AB1896" s="393"/>
      <c r="AC1896" s="343"/>
      <c r="AD1896" s="343"/>
      <c r="AE1896" s="343"/>
      <c r="AF1896" s="343"/>
      <c r="AG1896" s="343"/>
      <c r="AH1896" s="343"/>
      <c r="AI1896" s="343"/>
      <c r="AJ1896" s="344"/>
      <c r="AK1896" s="345">
        <f>A1896</f>
        <v>35</v>
      </c>
      <c r="AL1896" s="340" t="s">
        <v>345</v>
      </c>
      <c r="AM1896" s="471" t="s">
        <v>1892</v>
      </c>
      <c r="AN1896" s="392"/>
      <c r="AO1896" s="392"/>
      <c r="AP1896" s="392"/>
      <c r="AQ1896" s="392"/>
      <c r="AR1896" s="392"/>
      <c r="AS1896" s="392"/>
      <c r="AT1896" s="392"/>
      <c r="AU1896" s="392"/>
      <c r="AV1896" s="392"/>
      <c r="AW1896" s="392"/>
      <c r="AX1896" s="392"/>
      <c r="AY1896" s="392"/>
      <c r="AZ1896" s="392"/>
      <c r="BA1896" s="392"/>
      <c r="BB1896" s="392"/>
      <c r="BC1896" s="392"/>
      <c r="BD1896" s="392"/>
      <c r="BE1896" s="392"/>
      <c r="BF1896" s="392"/>
      <c r="BG1896" s="392"/>
      <c r="BH1896" s="392"/>
      <c r="BI1896" s="392"/>
      <c r="BJ1896" s="392"/>
      <c r="BK1896" s="392"/>
      <c r="BL1896" s="392"/>
      <c r="BM1896" s="342"/>
      <c r="BN1896" s="356"/>
      <c r="BO1896" s="356"/>
      <c r="BP1896" s="356"/>
      <c r="BQ1896" s="356"/>
      <c r="BR1896" s="356"/>
      <c r="BS1896" s="356"/>
      <c r="BT1896" s="356"/>
      <c r="BU1896" s="346">
        <f>SUBTOTAL(103,A1896)</f>
        <v>0</v>
      </c>
      <c r="BV1896" s="310"/>
      <c r="BW1896" s="310"/>
      <c r="BX1896" s="291">
        <f t="shared" si="138"/>
        <v>0</v>
      </c>
      <c r="BY1896" s="344"/>
      <c r="BZ1896" s="347"/>
      <c r="CA1896" s="347"/>
    </row>
    <row r="1897" spans="1:84" ht="15" hidden="1" customHeight="1" x14ac:dyDescent="0.25">
      <c r="A1897" s="313"/>
      <c r="B1897" s="340"/>
      <c r="C1897" s="471"/>
      <c r="D1897" s="392"/>
      <c r="E1897" s="392"/>
      <c r="F1897" s="392"/>
      <c r="G1897" s="392"/>
      <c r="H1897" s="392"/>
      <c r="I1897" s="392"/>
      <c r="J1897" s="392"/>
      <c r="K1897" s="392"/>
      <c r="L1897" s="392"/>
      <c r="M1897" s="392"/>
      <c r="N1897" s="392"/>
      <c r="O1897" s="392"/>
      <c r="P1897" s="392"/>
      <c r="Q1897" s="392"/>
      <c r="R1897" s="392"/>
      <c r="S1897" s="392"/>
      <c r="T1897" s="392"/>
      <c r="U1897" s="392"/>
      <c r="V1897" s="392"/>
      <c r="W1897" s="393"/>
      <c r="X1897" s="393"/>
      <c r="Y1897" s="393"/>
      <c r="Z1897" s="393"/>
      <c r="AA1897" s="393"/>
      <c r="AB1897" s="393"/>
      <c r="AC1897" s="343"/>
      <c r="AD1897" s="343"/>
      <c r="AE1897" s="343"/>
      <c r="AF1897" s="343"/>
      <c r="AG1897" s="343"/>
      <c r="AH1897" s="343"/>
      <c r="AI1897" s="343"/>
      <c r="AJ1897" s="344"/>
      <c r="AK1897" s="345"/>
      <c r="AL1897" s="340"/>
      <c r="AM1897" s="471"/>
      <c r="AN1897" s="392"/>
      <c r="AO1897" s="392"/>
      <c r="AP1897" s="392"/>
      <c r="AQ1897" s="392"/>
      <c r="AR1897" s="392"/>
      <c r="AS1897" s="392"/>
      <c r="AT1897" s="392"/>
      <c r="AU1897" s="392"/>
      <c r="AV1897" s="392"/>
      <c r="AW1897" s="392"/>
      <c r="AX1897" s="392"/>
      <c r="AY1897" s="392"/>
      <c r="AZ1897" s="392"/>
      <c r="BA1897" s="392"/>
      <c r="BB1897" s="392"/>
      <c r="BC1897" s="392"/>
      <c r="BD1897" s="392"/>
      <c r="BE1897" s="392"/>
      <c r="BF1897" s="392"/>
      <c r="BG1897" s="392"/>
      <c r="BH1897" s="392"/>
      <c r="BI1897" s="392"/>
      <c r="BJ1897" s="392"/>
      <c r="BK1897" s="392"/>
      <c r="BL1897" s="392"/>
      <c r="BM1897" s="342"/>
      <c r="BN1897" s="356"/>
      <c r="BO1897" s="356"/>
      <c r="BP1897" s="356"/>
      <c r="BQ1897" s="356"/>
      <c r="BR1897" s="356"/>
      <c r="BS1897" s="356"/>
      <c r="BT1897" s="356"/>
      <c r="BU1897" s="357"/>
      <c r="BV1897" s="310"/>
      <c r="BW1897" s="310"/>
      <c r="BX1897" s="291">
        <f t="shared" si="138"/>
        <v>0</v>
      </c>
      <c r="BY1897" s="344"/>
      <c r="BZ1897" s="347"/>
      <c r="CA1897" s="347"/>
    </row>
    <row r="1898" spans="1:84" ht="66" hidden="1" customHeight="1" x14ac:dyDescent="0.25">
      <c r="A1898" s="313"/>
      <c r="B1898" s="340"/>
      <c r="C1898" s="1343" t="s">
        <v>1893</v>
      </c>
      <c r="D1898" s="1343"/>
      <c r="E1898" s="1343"/>
      <c r="F1898" s="1343"/>
      <c r="G1898" s="1343"/>
      <c r="H1898" s="1343"/>
      <c r="I1898" s="1343"/>
      <c r="J1898" s="1343"/>
      <c r="K1898" s="1343"/>
      <c r="L1898" s="1343"/>
      <c r="M1898" s="1343"/>
      <c r="N1898" s="1343"/>
      <c r="O1898" s="1343"/>
      <c r="P1898" s="1343"/>
      <c r="Q1898" s="1343"/>
      <c r="R1898" s="1343"/>
      <c r="S1898" s="1343"/>
      <c r="T1898" s="1343"/>
      <c r="U1898" s="1343"/>
      <c r="V1898" s="1343"/>
      <c r="W1898" s="1343"/>
      <c r="X1898" s="1343"/>
      <c r="Y1898" s="1343"/>
      <c r="Z1898" s="1343"/>
      <c r="AA1898" s="1343"/>
      <c r="AB1898" s="1343"/>
      <c r="AC1898" s="1343"/>
      <c r="AD1898" s="1343"/>
      <c r="AE1898" s="1343"/>
      <c r="AF1898" s="1343"/>
      <c r="AG1898" s="1343"/>
      <c r="AH1898" s="1343"/>
      <c r="AI1898" s="1343"/>
      <c r="AJ1898" s="344"/>
      <c r="AK1898" s="345"/>
      <c r="AL1898" s="340"/>
      <c r="AM1898" s="1344" t="s">
        <v>1894</v>
      </c>
      <c r="AN1898" s="1344"/>
      <c r="AO1898" s="1344"/>
      <c r="AP1898" s="1344"/>
      <c r="AQ1898" s="1344"/>
      <c r="AR1898" s="1344"/>
      <c r="AS1898" s="1344"/>
      <c r="AT1898" s="1344"/>
      <c r="AU1898" s="1344"/>
      <c r="AV1898" s="1344"/>
      <c r="AW1898" s="1344"/>
      <c r="AX1898" s="1344"/>
      <c r="AY1898" s="1344"/>
      <c r="AZ1898" s="1344"/>
      <c r="BA1898" s="1344"/>
      <c r="BB1898" s="1344"/>
      <c r="BC1898" s="1344"/>
      <c r="BD1898" s="1344"/>
      <c r="BE1898" s="1344"/>
      <c r="BF1898" s="1344"/>
      <c r="BG1898" s="1344"/>
      <c r="BH1898" s="1344"/>
      <c r="BI1898" s="1344"/>
      <c r="BJ1898" s="1344"/>
      <c r="BK1898" s="1344"/>
      <c r="BL1898" s="1344"/>
      <c r="BM1898" s="1344"/>
      <c r="BN1898" s="1344"/>
      <c r="BO1898" s="1344"/>
      <c r="BP1898" s="1344"/>
      <c r="BQ1898" s="1344"/>
      <c r="BR1898" s="1344"/>
      <c r="BS1898" s="1344"/>
      <c r="BT1898" s="342"/>
      <c r="BU1898" s="346"/>
      <c r="BV1898" s="310"/>
      <c r="BW1898" s="310"/>
      <c r="BX1898" s="291">
        <f t="shared" si="138"/>
        <v>0</v>
      </c>
      <c r="BY1898" s="344"/>
      <c r="BZ1898" s="347"/>
      <c r="CA1898" s="347"/>
    </row>
    <row r="1899" spans="1:84" ht="2.1" hidden="1" customHeight="1" x14ac:dyDescent="0.25">
      <c r="A1899" s="313"/>
      <c r="B1899" s="340"/>
      <c r="C1899" s="341"/>
      <c r="D1899" s="342"/>
      <c r="E1899" s="342"/>
      <c r="F1899" s="342"/>
      <c r="G1899" s="342"/>
      <c r="H1899" s="342"/>
      <c r="I1899" s="342"/>
      <c r="J1899" s="342"/>
      <c r="K1899" s="342"/>
      <c r="L1899" s="342"/>
      <c r="M1899" s="342"/>
      <c r="N1899" s="342"/>
      <c r="O1899" s="342"/>
      <c r="P1899" s="342"/>
      <c r="Q1899" s="342"/>
      <c r="R1899" s="342"/>
      <c r="S1899" s="342"/>
      <c r="T1899" s="342"/>
      <c r="U1899" s="342"/>
      <c r="V1899" s="342"/>
      <c r="W1899" s="343"/>
      <c r="X1899" s="343"/>
      <c r="Y1899" s="343"/>
      <c r="Z1899" s="343"/>
      <c r="AA1899" s="343"/>
      <c r="AB1899" s="343"/>
      <c r="AC1899" s="343"/>
      <c r="AD1899" s="343"/>
      <c r="AE1899" s="343"/>
      <c r="AF1899" s="343"/>
      <c r="AG1899" s="343"/>
      <c r="AH1899" s="343"/>
      <c r="AI1899" s="343"/>
      <c r="AJ1899" s="344"/>
      <c r="AK1899" s="345"/>
      <c r="AL1899" s="340" t="s">
        <v>345</v>
      </c>
      <c r="AM1899" s="341"/>
      <c r="AN1899" s="342"/>
      <c r="AO1899" s="342"/>
      <c r="AP1899" s="342"/>
      <c r="AQ1899" s="342"/>
      <c r="AR1899" s="342"/>
      <c r="AS1899" s="342"/>
      <c r="AT1899" s="342"/>
      <c r="AU1899" s="342"/>
      <c r="AV1899" s="342"/>
      <c r="AW1899" s="342"/>
      <c r="AX1899" s="342"/>
      <c r="AY1899" s="342"/>
      <c r="AZ1899" s="342"/>
      <c r="BA1899" s="342"/>
      <c r="BB1899" s="342"/>
      <c r="BC1899" s="342"/>
      <c r="BD1899" s="342"/>
      <c r="BE1899" s="342"/>
      <c r="BF1899" s="342"/>
      <c r="BG1899" s="342"/>
      <c r="BH1899" s="342"/>
      <c r="BI1899" s="342"/>
      <c r="BJ1899" s="342"/>
      <c r="BK1899" s="342"/>
      <c r="BL1899" s="342"/>
      <c r="BM1899" s="342"/>
      <c r="BN1899" s="342"/>
      <c r="BO1899" s="342"/>
      <c r="BP1899" s="342"/>
      <c r="BQ1899" s="342"/>
      <c r="BR1899" s="342"/>
      <c r="BS1899" s="342"/>
      <c r="BT1899" s="342"/>
      <c r="BU1899" s="346"/>
      <c r="BV1899" s="310"/>
      <c r="BW1899" s="310"/>
      <c r="BX1899" s="291">
        <f t="shared" si="138"/>
        <v>0</v>
      </c>
      <c r="BY1899" s="344"/>
      <c r="BZ1899" s="347"/>
      <c r="CA1899" s="347"/>
    </row>
    <row r="1900" spans="1:84" ht="12.95" customHeight="1" x14ac:dyDescent="0.25">
      <c r="A1900" s="313"/>
      <c r="B1900" s="340"/>
      <c r="C1900" s="342"/>
      <c r="D1900" s="342"/>
      <c r="E1900" s="342"/>
      <c r="F1900" s="342"/>
      <c r="G1900" s="342"/>
      <c r="H1900" s="342"/>
      <c r="I1900" s="342"/>
      <c r="J1900" s="342"/>
      <c r="K1900" s="342"/>
      <c r="L1900" s="342"/>
      <c r="M1900" s="342"/>
      <c r="N1900" s="342"/>
      <c r="O1900" s="342"/>
      <c r="P1900" s="342"/>
      <c r="Q1900" s="342"/>
      <c r="R1900" s="342"/>
      <c r="S1900" s="342"/>
      <c r="T1900" s="342"/>
      <c r="U1900" s="342"/>
      <c r="V1900" s="342"/>
      <c r="W1900" s="343"/>
      <c r="X1900" s="343"/>
      <c r="Y1900" s="343"/>
      <c r="Z1900" s="343"/>
      <c r="AA1900" s="343"/>
      <c r="AB1900" s="343"/>
      <c r="AC1900" s="343"/>
      <c r="AD1900" s="343"/>
      <c r="AE1900" s="343"/>
      <c r="AF1900" s="343"/>
      <c r="AG1900" s="343"/>
      <c r="AH1900" s="343"/>
      <c r="AI1900" s="343"/>
      <c r="AJ1900" s="344"/>
      <c r="AK1900" s="345"/>
      <c r="AL1900" s="340"/>
      <c r="AM1900" s="342"/>
      <c r="AN1900" s="342"/>
      <c r="AO1900" s="342"/>
      <c r="AP1900" s="342"/>
      <c r="AQ1900" s="342"/>
      <c r="AR1900" s="342"/>
      <c r="AS1900" s="342"/>
      <c r="AT1900" s="342"/>
      <c r="AU1900" s="342"/>
      <c r="AV1900" s="342"/>
      <c r="AW1900" s="342"/>
      <c r="AX1900" s="342"/>
      <c r="AY1900" s="342"/>
      <c r="AZ1900" s="342"/>
      <c r="BA1900" s="342"/>
      <c r="BB1900" s="342"/>
      <c r="BC1900" s="342"/>
      <c r="BD1900" s="342"/>
      <c r="BE1900" s="342"/>
      <c r="BF1900" s="342"/>
      <c r="BG1900" s="389"/>
      <c r="BH1900" s="389"/>
      <c r="BI1900" s="389"/>
      <c r="BJ1900" s="389"/>
      <c r="BK1900" s="389"/>
      <c r="BL1900" s="389"/>
      <c r="BM1900" s="342"/>
      <c r="BN1900" s="389"/>
      <c r="BO1900" s="389"/>
      <c r="BP1900" s="389"/>
      <c r="BQ1900" s="389"/>
      <c r="BR1900" s="389"/>
      <c r="BS1900" s="389"/>
      <c r="BT1900" s="389"/>
      <c r="BU1900" s="357"/>
      <c r="BV1900" s="310"/>
      <c r="BW1900" s="310"/>
      <c r="BX1900" s="291">
        <f t="shared" si="138"/>
        <v>0</v>
      </c>
      <c r="BY1900" s="344"/>
      <c r="BZ1900" s="347"/>
      <c r="CA1900" s="347"/>
    </row>
    <row r="1901" spans="1:84" ht="15" customHeight="1" x14ac:dyDescent="0.25">
      <c r="A1901" s="313">
        <v>35</v>
      </c>
      <c r="B1901" s="340" t="s">
        <v>345</v>
      </c>
      <c r="C1901" s="471" t="s">
        <v>1895</v>
      </c>
      <c r="D1901" s="392"/>
      <c r="E1901" s="392"/>
      <c r="F1901" s="392"/>
      <c r="G1901" s="392"/>
      <c r="H1901" s="392"/>
      <c r="I1901" s="392"/>
      <c r="J1901" s="392"/>
      <c r="K1901" s="392"/>
      <c r="L1901" s="392"/>
      <c r="M1901" s="392"/>
      <c r="N1901" s="392"/>
      <c r="O1901" s="392"/>
      <c r="P1901" s="392"/>
      <c r="Q1901" s="392"/>
      <c r="R1901" s="392"/>
      <c r="S1901" s="392"/>
      <c r="T1901" s="392"/>
      <c r="U1901" s="392"/>
      <c r="V1901" s="392"/>
      <c r="W1901" s="393"/>
      <c r="X1901" s="393"/>
      <c r="Y1901" s="393"/>
      <c r="Z1901" s="393"/>
      <c r="AA1901" s="393"/>
      <c r="AB1901" s="393"/>
      <c r="AC1901" s="343"/>
      <c r="AD1901" s="343"/>
      <c r="AE1901" s="343"/>
      <c r="AF1901" s="343"/>
      <c r="AG1901" s="343"/>
      <c r="AH1901" s="343"/>
      <c r="AI1901" s="343"/>
      <c r="AJ1901" s="344"/>
      <c r="AK1901" s="345">
        <f>A1901</f>
        <v>35</v>
      </c>
      <c r="AL1901" s="340" t="s">
        <v>345</v>
      </c>
      <c r="AM1901" s="471" t="s">
        <v>1896</v>
      </c>
      <c r="AN1901" s="392"/>
      <c r="AO1901" s="392"/>
      <c r="AP1901" s="392"/>
      <c r="AQ1901" s="392"/>
      <c r="AR1901" s="392"/>
      <c r="AS1901" s="392"/>
      <c r="AT1901" s="392"/>
      <c r="AU1901" s="392"/>
      <c r="AV1901" s="392"/>
      <c r="AW1901" s="392"/>
      <c r="AX1901" s="392"/>
      <c r="AY1901" s="392"/>
      <c r="AZ1901" s="392"/>
      <c r="BA1901" s="392"/>
      <c r="BB1901" s="392"/>
      <c r="BC1901" s="392"/>
      <c r="BD1901" s="392"/>
      <c r="BE1901" s="392"/>
      <c r="BF1901" s="392"/>
      <c r="BG1901" s="392"/>
      <c r="BH1901" s="392"/>
      <c r="BI1901" s="392"/>
      <c r="BJ1901" s="392"/>
      <c r="BK1901" s="392"/>
      <c r="BL1901" s="392"/>
      <c r="BM1901" s="342"/>
      <c r="BN1901" s="356"/>
      <c r="BO1901" s="356"/>
      <c r="BP1901" s="356"/>
      <c r="BQ1901" s="356"/>
      <c r="BR1901" s="356"/>
      <c r="BS1901" s="356"/>
      <c r="BT1901" s="356"/>
      <c r="BU1901" s="346">
        <f>SUBTOTAL(103,A1901)</f>
        <v>1</v>
      </c>
      <c r="BV1901" s="310"/>
      <c r="BW1901" s="310"/>
      <c r="BX1901" s="291">
        <f t="shared" si="138"/>
        <v>0</v>
      </c>
      <c r="BY1901" s="344"/>
      <c r="BZ1901" s="347"/>
      <c r="CA1901" s="347"/>
    </row>
    <row r="1902" spans="1:84" ht="14.1" customHeight="1" x14ac:dyDescent="0.25">
      <c r="A1902" s="313"/>
      <c r="B1902" s="340"/>
      <c r="C1902" s="471"/>
      <c r="D1902" s="392"/>
      <c r="E1902" s="392"/>
      <c r="F1902" s="392"/>
      <c r="G1902" s="392"/>
      <c r="H1902" s="392"/>
      <c r="I1902" s="392"/>
      <c r="J1902" s="392"/>
      <c r="K1902" s="392"/>
      <c r="L1902" s="392"/>
      <c r="M1902" s="392"/>
      <c r="N1902" s="392"/>
      <c r="O1902" s="392"/>
      <c r="P1902" s="392"/>
      <c r="Q1902" s="392"/>
      <c r="R1902" s="392"/>
      <c r="S1902" s="392"/>
      <c r="T1902" s="392"/>
      <c r="U1902" s="392"/>
      <c r="V1902" s="392"/>
      <c r="W1902" s="393"/>
      <c r="X1902" s="393"/>
      <c r="Y1902" s="393"/>
      <c r="Z1902" s="393"/>
      <c r="AA1902" s="393"/>
      <c r="AB1902" s="393"/>
      <c r="AC1902" s="343"/>
      <c r="AD1902" s="343"/>
      <c r="AE1902" s="343"/>
      <c r="AF1902" s="343"/>
      <c r="AG1902" s="343"/>
      <c r="AH1902" s="343"/>
      <c r="AI1902" s="343"/>
      <c r="AJ1902" s="344"/>
      <c r="AK1902" s="345"/>
      <c r="AL1902" s="340"/>
      <c r="AM1902" s="471"/>
      <c r="AN1902" s="392"/>
      <c r="AO1902" s="392"/>
      <c r="AP1902" s="392"/>
      <c r="AQ1902" s="392"/>
      <c r="AR1902" s="392"/>
      <c r="AS1902" s="392"/>
      <c r="AT1902" s="392"/>
      <c r="AU1902" s="392"/>
      <c r="AV1902" s="392"/>
      <c r="AW1902" s="392"/>
      <c r="AX1902" s="392"/>
      <c r="AY1902" s="392"/>
      <c r="AZ1902" s="392"/>
      <c r="BA1902" s="392"/>
      <c r="BB1902" s="392"/>
      <c r="BC1902" s="392"/>
      <c r="BD1902" s="392"/>
      <c r="BE1902" s="392"/>
      <c r="BF1902" s="392"/>
      <c r="BG1902" s="392"/>
      <c r="BH1902" s="392"/>
      <c r="BI1902" s="392"/>
      <c r="BJ1902" s="392"/>
      <c r="BK1902" s="392"/>
      <c r="BL1902" s="392"/>
      <c r="BM1902" s="342"/>
      <c r="BN1902" s="356"/>
      <c r="BO1902" s="356"/>
      <c r="BP1902" s="356"/>
      <c r="BQ1902" s="356"/>
      <c r="BR1902" s="356"/>
      <c r="BS1902" s="356"/>
      <c r="BT1902" s="356"/>
      <c r="BU1902" s="357"/>
      <c r="BV1902" s="310"/>
      <c r="BW1902" s="310"/>
      <c r="BX1902" s="291">
        <f t="shared" si="138"/>
        <v>0</v>
      </c>
      <c r="BY1902" s="344"/>
      <c r="BZ1902" s="347"/>
      <c r="CA1902" s="347"/>
    </row>
    <row r="1903" spans="1:84" s="423" customFormat="1" ht="29.1" customHeight="1" x14ac:dyDescent="0.25">
      <c r="A1903" s="313"/>
      <c r="B1903" s="340"/>
      <c r="C1903" s="1345" t="str">
        <f>CONCATENATE("Không có sự kiện trọng yếu nào xảy ra sau ngày kết thúc năm tài chính đòi hỏi phải được điều chỉnh hay công bố trên "&amp;Loai_BC_V&amp;" này.")</f>
        <v>Không có sự kiện trọng yếu nào xảy ra sau ngày kết thúc năm tài chính đòi hỏi phải được điều chỉnh hay công bố trên Báo cáo tài chính này.</v>
      </c>
      <c r="D1903" s="1345"/>
      <c r="E1903" s="1345"/>
      <c r="F1903" s="1345"/>
      <c r="G1903" s="1345"/>
      <c r="H1903" s="1345"/>
      <c r="I1903" s="1345"/>
      <c r="J1903" s="1345"/>
      <c r="K1903" s="1345"/>
      <c r="L1903" s="1345"/>
      <c r="M1903" s="1345"/>
      <c r="N1903" s="1345"/>
      <c r="O1903" s="1345"/>
      <c r="P1903" s="1345"/>
      <c r="Q1903" s="1345"/>
      <c r="R1903" s="1345"/>
      <c r="S1903" s="1345"/>
      <c r="T1903" s="1345"/>
      <c r="U1903" s="1345"/>
      <c r="V1903" s="1345"/>
      <c r="W1903" s="1345"/>
      <c r="X1903" s="1345"/>
      <c r="Y1903" s="1345"/>
      <c r="Z1903" s="1345"/>
      <c r="AA1903" s="1345"/>
      <c r="AB1903" s="1345"/>
      <c r="AC1903" s="1345"/>
      <c r="AD1903" s="1345"/>
      <c r="AE1903" s="1345"/>
      <c r="AF1903" s="1345"/>
      <c r="AG1903" s="1345"/>
      <c r="AH1903" s="1345"/>
      <c r="AI1903" s="1345"/>
      <c r="AJ1903" s="342"/>
      <c r="AK1903" s="345"/>
      <c r="AL1903" s="340"/>
      <c r="AM1903" s="1345" t="str">
        <f>"There have been no significant events occurring after the reporting period, which would require adjustments or disclosures to be made in the "&amp;Loai_BC_E&amp;".
(Or: Except from events disclosed at note......, there have been no significant events occurring after the reporting period, which would require adjustments or disclosures to be made in the "&amp;Loai_BC_E&amp;")."</f>
        <v>There have been no significant events occurring after the reporting period, which would require adjustments or disclosures to be made in the Separate Financial Statements.
(Or: Except from events disclosed at note......, there have been no significant events occurring after the reporting period, which would require adjustments or disclosures to be made in the Separate Financial Statements).</v>
      </c>
      <c r="AN1903" s="1344"/>
      <c r="AO1903" s="1344"/>
      <c r="AP1903" s="1344"/>
      <c r="AQ1903" s="1344"/>
      <c r="AR1903" s="1344"/>
      <c r="AS1903" s="1344"/>
      <c r="AT1903" s="1344"/>
      <c r="AU1903" s="1344"/>
      <c r="AV1903" s="1344"/>
      <c r="AW1903" s="1344"/>
      <c r="AX1903" s="1344"/>
      <c r="AY1903" s="1344"/>
      <c r="AZ1903" s="1344"/>
      <c r="BA1903" s="1344"/>
      <c r="BB1903" s="1344"/>
      <c r="BC1903" s="1344"/>
      <c r="BD1903" s="1344"/>
      <c r="BE1903" s="1344"/>
      <c r="BF1903" s="1344"/>
      <c r="BG1903" s="1344"/>
      <c r="BH1903" s="1344"/>
      <c r="BI1903" s="1344"/>
      <c r="BJ1903" s="1344"/>
      <c r="BK1903" s="1344"/>
      <c r="BL1903" s="1344"/>
      <c r="BM1903" s="1344"/>
      <c r="BN1903" s="1344"/>
      <c r="BO1903" s="1344"/>
      <c r="BP1903" s="1344"/>
      <c r="BQ1903" s="1344"/>
      <c r="BR1903" s="1344"/>
      <c r="BS1903" s="1344"/>
      <c r="BT1903" s="342"/>
      <c r="BU1903" s="346"/>
      <c r="BV1903" s="310"/>
      <c r="BW1903" s="310"/>
      <c r="BX1903" s="291">
        <f t="shared" si="138"/>
        <v>0</v>
      </c>
      <c r="BY1903" s="342"/>
      <c r="BZ1903" s="438"/>
      <c r="CA1903" s="438"/>
      <c r="CB1903" s="439"/>
      <c r="CC1903" s="439"/>
      <c r="CD1903" s="439"/>
      <c r="CE1903" s="439"/>
      <c r="CF1903" s="439"/>
    </row>
    <row r="1904" spans="1:84" ht="145.5" hidden="1" customHeight="1" x14ac:dyDescent="0.25">
      <c r="A1904" s="313"/>
      <c r="B1904" s="340"/>
      <c r="C1904" s="1346" t="s">
        <v>1897</v>
      </c>
      <c r="D1904" s="1346"/>
      <c r="E1904" s="1346"/>
      <c r="F1904" s="1346"/>
      <c r="G1904" s="1346"/>
      <c r="H1904" s="1346"/>
      <c r="I1904" s="1346"/>
      <c r="J1904" s="1346"/>
      <c r="K1904" s="1346"/>
      <c r="L1904" s="1346"/>
      <c r="M1904" s="1346"/>
      <c r="N1904" s="1346"/>
      <c r="O1904" s="1346"/>
      <c r="P1904" s="1346"/>
      <c r="Q1904" s="1346"/>
      <c r="R1904" s="1346"/>
      <c r="S1904" s="1346"/>
      <c r="T1904" s="1346"/>
      <c r="U1904" s="1346"/>
      <c r="V1904" s="1346"/>
      <c r="W1904" s="1346"/>
      <c r="X1904" s="1346"/>
      <c r="Y1904" s="1346"/>
      <c r="Z1904" s="1346"/>
      <c r="AA1904" s="1346"/>
      <c r="AB1904" s="1346"/>
      <c r="AC1904" s="1346"/>
      <c r="AD1904" s="1346"/>
      <c r="AE1904" s="1346"/>
      <c r="AF1904" s="1346"/>
      <c r="AG1904" s="1346"/>
      <c r="AH1904" s="1346"/>
      <c r="AI1904" s="1346"/>
      <c r="AJ1904" s="344"/>
      <c r="AK1904" s="345"/>
      <c r="AL1904" s="340"/>
      <c r="AM1904" s="1344" t="s">
        <v>1898</v>
      </c>
      <c r="AN1904" s="1344"/>
      <c r="AO1904" s="1344"/>
      <c r="AP1904" s="1344"/>
      <c r="AQ1904" s="1344"/>
      <c r="AR1904" s="1344"/>
      <c r="AS1904" s="1344"/>
      <c r="AT1904" s="1344"/>
      <c r="AU1904" s="1344"/>
      <c r="AV1904" s="1344"/>
      <c r="AW1904" s="1344"/>
      <c r="AX1904" s="1344"/>
      <c r="AY1904" s="1344"/>
      <c r="AZ1904" s="1344"/>
      <c r="BA1904" s="1344"/>
      <c r="BB1904" s="1344"/>
      <c r="BC1904" s="1344"/>
      <c r="BD1904" s="1344"/>
      <c r="BE1904" s="1344"/>
      <c r="BF1904" s="1344"/>
      <c r="BG1904" s="1344"/>
      <c r="BH1904" s="1344"/>
      <c r="BI1904" s="1344"/>
      <c r="BJ1904" s="1344"/>
      <c r="BK1904" s="1344"/>
      <c r="BL1904" s="1344"/>
      <c r="BM1904" s="1344"/>
      <c r="BN1904" s="1344"/>
      <c r="BO1904" s="1344"/>
      <c r="BP1904" s="1344"/>
      <c r="BQ1904" s="1344"/>
      <c r="BR1904" s="1344"/>
      <c r="BS1904" s="1344"/>
      <c r="BT1904" s="342"/>
      <c r="BU1904" s="346"/>
      <c r="BV1904" s="310"/>
      <c r="BW1904" s="310"/>
      <c r="BX1904" s="291">
        <f t="shared" si="138"/>
        <v>0</v>
      </c>
      <c r="BY1904" s="344"/>
      <c r="BZ1904" s="347"/>
      <c r="CA1904" s="347"/>
    </row>
    <row r="1905" spans="1:84" ht="2.1" hidden="1" customHeight="1" x14ac:dyDescent="0.25">
      <c r="A1905" s="313"/>
      <c r="B1905" s="340"/>
      <c r="C1905" s="341"/>
      <c r="D1905" s="342"/>
      <c r="E1905" s="342"/>
      <c r="F1905" s="342"/>
      <c r="G1905" s="342"/>
      <c r="H1905" s="342"/>
      <c r="I1905" s="342"/>
      <c r="J1905" s="342"/>
      <c r="K1905" s="342"/>
      <c r="L1905" s="342"/>
      <c r="M1905" s="342"/>
      <c r="N1905" s="342"/>
      <c r="O1905" s="342"/>
      <c r="P1905" s="342"/>
      <c r="Q1905" s="342"/>
      <c r="R1905" s="342"/>
      <c r="S1905" s="342"/>
      <c r="T1905" s="342"/>
      <c r="U1905" s="342"/>
      <c r="V1905" s="342"/>
      <c r="W1905" s="343"/>
      <c r="X1905" s="343"/>
      <c r="Y1905" s="343"/>
      <c r="Z1905" s="343"/>
      <c r="AA1905" s="343"/>
      <c r="AB1905" s="343"/>
      <c r="AC1905" s="343"/>
      <c r="AD1905" s="343"/>
      <c r="AE1905" s="343"/>
      <c r="AF1905" s="343"/>
      <c r="AG1905" s="343"/>
      <c r="AH1905" s="343"/>
      <c r="AI1905" s="343"/>
      <c r="AJ1905" s="344"/>
      <c r="AK1905" s="345"/>
      <c r="AL1905" s="340" t="s">
        <v>345</v>
      </c>
      <c r="AM1905" s="341"/>
      <c r="AN1905" s="342"/>
      <c r="AO1905" s="342"/>
      <c r="AP1905" s="342"/>
      <c r="AQ1905" s="342"/>
      <c r="AR1905" s="342"/>
      <c r="AS1905" s="342"/>
      <c r="AT1905" s="342"/>
      <c r="AU1905" s="342"/>
      <c r="AV1905" s="342"/>
      <c r="AW1905" s="342"/>
      <c r="AX1905" s="342"/>
      <c r="AY1905" s="342"/>
      <c r="AZ1905" s="342"/>
      <c r="BA1905" s="342"/>
      <c r="BB1905" s="342"/>
      <c r="BC1905" s="342"/>
      <c r="BD1905" s="342"/>
      <c r="BE1905" s="342"/>
      <c r="BF1905" s="342"/>
      <c r="BG1905" s="342"/>
      <c r="BH1905" s="342"/>
      <c r="BI1905" s="342"/>
      <c r="BJ1905" s="342"/>
      <c r="BK1905" s="342"/>
      <c r="BL1905" s="342"/>
      <c r="BM1905" s="342"/>
      <c r="BN1905" s="342"/>
      <c r="BO1905" s="342"/>
      <c r="BP1905" s="342"/>
      <c r="BQ1905" s="342"/>
      <c r="BR1905" s="342"/>
      <c r="BS1905" s="342"/>
      <c r="BT1905" s="342"/>
      <c r="BU1905" s="346"/>
      <c r="BV1905" s="310"/>
      <c r="BW1905" s="310"/>
      <c r="BX1905" s="291">
        <f t="shared" si="138"/>
        <v>0</v>
      </c>
      <c r="BY1905" s="344"/>
      <c r="BZ1905" s="347"/>
      <c r="CA1905" s="347"/>
    </row>
    <row r="1906" spans="1:84" ht="12.95" customHeight="1" x14ac:dyDescent="0.25">
      <c r="A1906" s="604"/>
      <c r="B1906" s="354"/>
      <c r="C1906" s="342"/>
      <c r="D1906" s="342"/>
      <c r="E1906" s="342"/>
      <c r="F1906" s="342"/>
      <c r="G1906" s="342"/>
      <c r="H1906" s="342"/>
      <c r="I1906" s="342"/>
      <c r="J1906" s="342"/>
      <c r="K1906" s="342"/>
      <c r="L1906" s="342"/>
      <c r="M1906" s="342"/>
      <c r="N1906" s="342"/>
      <c r="O1906" s="342"/>
      <c r="P1906" s="342"/>
      <c r="Q1906" s="342"/>
      <c r="R1906" s="342"/>
      <c r="S1906" s="342"/>
      <c r="T1906" s="342"/>
      <c r="U1906" s="342"/>
      <c r="V1906" s="342"/>
      <c r="W1906" s="1338"/>
      <c r="X1906" s="1338"/>
      <c r="Y1906" s="1338"/>
      <c r="Z1906" s="1338"/>
      <c r="AA1906" s="1338"/>
      <c r="AB1906" s="1338"/>
      <c r="AC1906" s="343"/>
      <c r="AD1906" s="1338"/>
      <c r="AE1906" s="1338"/>
      <c r="AF1906" s="1338"/>
      <c r="AG1906" s="1338"/>
      <c r="AH1906" s="1338"/>
      <c r="AI1906" s="1338"/>
      <c r="AJ1906" s="344"/>
      <c r="AK1906" s="419"/>
      <c r="AL1906" s="354"/>
      <c r="AM1906" s="342"/>
      <c r="AN1906" s="342"/>
      <c r="AO1906" s="342"/>
      <c r="AP1906" s="342"/>
      <c r="AQ1906" s="342"/>
      <c r="AR1906" s="342"/>
      <c r="AS1906" s="342"/>
      <c r="AT1906" s="342"/>
      <c r="AU1906" s="342"/>
      <c r="AV1906" s="342"/>
      <c r="AW1906" s="342"/>
      <c r="AX1906" s="342"/>
      <c r="AY1906" s="342"/>
      <c r="AZ1906" s="342"/>
      <c r="BA1906" s="342"/>
      <c r="BB1906" s="342"/>
      <c r="BC1906" s="342"/>
      <c r="BD1906" s="342"/>
      <c r="BE1906" s="342"/>
      <c r="BF1906" s="342"/>
      <c r="BG1906" s="342"/>
      <c r="BH1906" s="342"/>
      <c r="BI1906" s="342"/>
      <c r="BJ1906" s="342"/>
      <c r="BK1906" s="342"/>
      <c r="BL1906" s="342"/>
      <c r="BM1906" s="342"/>
      <c r="BN1906" s="342"/>
      <c r="BO1906" s="342"/>
      <c r="BP1906" s="342"/>
      <c r="BQ1906" s="342"/>
      <c r="BR1906" s="342"/>
      <c r="BS1906" s="342"/>
      <c r="BT1906" s="342"/>
      <c r="BU1906" s="346"/>
      <c r="BV1906" s="310"/>
      <c r="BW1906" s="310"/>
      <c r="BX1906" s="291">
        <f t="shared" si="138"/>
        <v>0</v>
      </c>
      <c r="BY1906" s="344"/>
      <c r="BZ1906" s="347"/>
      <c r="CA1906" s="347"/>
    </row>
    <row r="1907" spans="1:84" ht="15" customHeight="1" x14ac:dyDescent="0.25">
      <c r="A1907" s="313">
        <v>36</v>
      </c>
      <c r="B1907" s="340" t="s">
        <v>345</v>
      </c>
      <c r="C1907" s="341" t="s">
        <v>1899</v>
      </c>
      <c r="D1907" s="341"/>
      <c r="E1907" s="341"/>
      <c r="F1907" s="341"/>
      <c r="G1907" s="341"/>
      <c r="H1907" s="341"/>
      <c r="I1907" s="341"/>
      <c r="J1907" s="341"/>
      <c r="K1907" s="341"/>
      <c r="L1907" s="341"/>
      <c r="M1907" s="341"/>
      <c r="N1907" s="341"/>
      <c r="O1907" s="341"/>
      <c r="P1907" s="341"/>
      <c r="Q1907" s="341"/>
      <c r="R1907" s="341"/>
      <c r="S1907" s="341"/>
      <c r="T1907" s="341"/>
      <c r="U1907" s="342"/>
      <c r="V1907" s="342"/>
      <c r="W1907" s="343"/>
      <c r="X1907" s="343"/>
      <c r="Y1907" s="343"/>
      <c r="Z1907" s="343"/>
      <c r="AA1907" s="343"/>
      <c r="AB1907" s="343"/>
      <c r="AC1907" s="343"/>
      <c r="AD1907" s="343"/>
      <c r="AE1907" s="343"/>
      <c r="AF1907" s="343"/>
      <c r="AG1907" s="343"/>
      <c r="AH1907" s="343"/>
      <c r="AI1907" s="343"/>
      <c r="AJ1907" s="344"/>
      <c r="AK1907" s="345">
        <f>A1907</f>
        <v>36</v>
      </c>
      <c r="AL1907" s="340" t="s">
        <v>345</v>
      </c>
      <c r="AM1907" s="341" t="s">
        <v>1900</v>
      </c>
      <c r="AN1907" s="341"/>
      <c r="AO1907" s="341"/>
      <c r="AP1907" s="341"/>
      <c r="AQ1907" s="341"/>
      <c r="AR1907" s="341"/>
      <c r="AS1907" s="341"/>
      <c r="AT1907" s="341"/>
      <c r="AU1907" s="341"/>
      <c r="AV1907" s="341"/>
      <c r="AW1907" s="341"/>
      <c r="AX1907" s="341"/>
      <c r="AY1907" s="341"/>
      <c r="AZ1907" s="341"/>
      <c r="BA1907" s="341"/>
      <c r="BB1907" s="341"/>
      <c r="BC1907" s="341"/>
      <c r="BD1907" s="341"/>
      <c r="BE1907" s="342"/>
      <c r="BF1907" s="342"/>
      <c r="BG1907" s="342"/>
      <c r="BH1907" s="342"/>
      <c r="BI1907" s="342"/>
      <c r="BJ1907" s="342"/>
      <c r="BK1907" s="342"/>
      <c r="BL1907" s="342"/>
      <c r="BM1907" s="342"/>
      <c r="BN1907" s="342"/>
      <c r="BO1907" s="342"/>
      <c r="BP1907" s="342"/>
      <c r="BQ1907" s="342"/>
      <c r="BR1907" s="342"/>
      <c r="BS1907" s="342"/>
      <c r="BT1907" s="342"/>
      <c r="BU1907" s="346">
        <f>SUBTOTAL(103,A1907)</f>
        <v>1</v>
      </c>
      <c r="BV1907" s="310"/>
      <c r="BW1907" s="310"/>
      <c r="BX1907" s="291">
        <f t="shared" si="138"/>
        <v>0</v>
      </c>
      <c r="BY1907" s="344"/>
      <c r="BZ1907" s="347"/>
      <c r="CA1907" s="347"/>
    </row>
    <row r="1908" spans="1:84" ht="15" hidden="1" customHeight="1" x14ac:dyDescent="0.25">
      <c r="A1908" s="313"/>
      <c r="B1908" s="340"/>
      <c r="C1908" s="389"/>
      <c r="D1908" s="389"/>
      <c r="E1908" s="389"/>
      <c r="F1908" s="389"/>
      <c r="G1908" s="389"/>
      <c r="H1908" s="389"/>
      <c r="I1908" s="389"/>
      <c r="J1908" s="389"/>
      <c r="K1908" s="389"/>
      <c r="L1908" s="389"/>
      <c r="M1908" s="389"/>
      <c r="N1908" s="389"/>
      <c r="O1908" s="389"/>
      <c r="P1908" s="389"/>
      <c r="Q1908" s="389"/>
      <c r="R1908" s="389"/>
      <c r="S1908" s="389"/>
      <c r="T1908" s="389"/>
      <c r="U1908" s="389"/>
      <c r="V1908" s="389"/>
      <c r="W1908" s="660"/>
      <c r="X1908" s="660"/>
      <c r="Y1908" s="660"/>
      <c r="Z1908" s="660"/>
      <c r="AA1908" s="660"/>
      <c r="AB1908" s="660"/>
      <c r="AC1908" s="437"/>
      <c r="AD1908" s="660"/>
      <c r="AE1908" s="660"/>
      <c r="AF1908" s="660"/>
      <c r="AG1908" s="660"/>
      <c r="AH1908" s="660"/>
      <c r="AI1908" s="660"/>
      <c r="AJ1908" s="344"/>
      <c r="AK1908" s="345"/>
      <c r="AL1908" s="340"/>
      <c r="AM1908" s="774"/>
      <c r="AN1908" s="774"/>
      <c r="AO1908" s="774"/>
      <c r="AP1908" s="774"/>
      <c r="AQ1908" s="774"/>
      <c r="AR1908" s="774"/>
      <c r="AS1908" s="774"/>
      <c r="AT1908" s="774"/>
      <c r="AU1908" s="774"/>
      <c r="AV1908" s="774"/>
      <c r="AW1908" s="774"/>
      <c r="AX1908" s="774"/>
      <c r="AY1908" s="774"/>
      <c r="AZ1908" s="774"/>
      <c r="BA1908" s="774"/>
      <c r="BB1908" s="774"/>
      <c r="BC1908" s="774"/>
      <c r="BD1908" s="774"/>
      <c r="BE1908" s="389"/>
      <c r="BF1908" s="389"/>
      <c r="BG1908" s="664"/>
      <c r="BH1908" s="664"/>
      <c r="BI1908" s="664"/>
      <c r="BJ1908" s="664"/>
      <c r="BK1908" s="664"/>
      <c r="BL1908" s="664"/>
      <c r="BM1908" s="600"/>
      <c r="BN1908" s="664"/>
      <c r="BO1908" s="664"/>
      <c r="BP1908" s="664"/>
      <c r="BQ1908" s="664"/>
      <c r="BR1908" s="664"/>
      <c r="BS1908" s="664"/>
      <c r="BT1908" s="352"/>
      <c r="BU1908" s="353"/>
      <c r="BV1908" s="310"/>
      <c r="BW1908" s="310"/>
      <c r="BX1908" s="291">
        <f t="shared" si="138"/>
        <v>0</v>
      </c>
      <c r="BY1908" s="344"/>
      <c r="BZ1908" s="347"/>
      <c r="CA1908" s="347"/>
    </row>
    <row r="1909" spans="1:84" ht="15" hidden="1" customHeight="1" x14ac:dyDescent="0.25">
      <c r="A1909" s="313"/>
      <c r="B1909" s="340"/>
      <c r="C1909" s="551" t="s">
        <v>1901</v>
      </c>
      <c r="D1909" s="389"/>
      <c r="E1909" s="389"/>
      <c r="F1909" s="389"/>
      <c r="G1909" s="389"/>
      <c r="H1909" s="389"/>
      <c r="I1909" s="389"/>
      <c r="J1909" s="389"/>
      <c r="K1909" s="389"/>
      <c r="L1909" s="389"/>
      <c r="M1909" s="389"/>
      <c r="N1909" s="389"/>
      <c r="O1909" s="389"/>
      <c r="P1909" s="389"/>
      <c r="Q1909" s="389"/>
      <c r="R1909" s="389"/>
      <c r="S1909" s="389"/>
      <c r="T1909" s="389"/>
      <c r="U1909" s="389"/>
      <c r="V1909" s="389"/>
      <c r="W1909" s="660"/>
      <c r="X1909" s="660"/>
      <c r="Y1909" s="660"/>
      <c r="Z1909" s="660"/>
      <c r="AA1909" s="660"/>
      <c r="AB1909" s="660"/>
      <c r="AC1909" s="437"/>
      <c r="AD1909" s="660"/>
      <c r="AE1909" s="660"/>
      <c r="AF1909" s="660"/>
      <c r="AG1909" s="660"/>
      <c r="AH1909" s="660"/>
      <c r="AI1909" s="660"/>
      <c r="AJ1909" s="344"/>
      <c r="AK1909" s="345"/>
      <c r="AL1909" s="340"/>
      <c r="AM1909" s="551" t="s">
        <v>1902</v>
      </c>
      <c r="AN1909" s="774"/>
      <c r="AO1909" s="774"/>
      <c r="AP1909" s="774"/>
      <c r="AQ1909" s="774"/>
      <c r="AR1909" s="774"/>
      <c r="AS1909" s="774"/>
      <c r="AT1909" s="774"/>
      <c r="AU1909" s="774"/>
      <c r="AV1909" s="774"/>
      <c r="AW1909" s="774"/>
      <c r="AX1909" s="774"/>
      <c r="AY1909" s="774"/>
      <c r="AZ1909" s="774"/>
      <c r="BA1909" s="774"/>
      <c r="BB1909" s="774"/>
      <c r="BC1909" s="774"/>
      <c r="BD1909" s="774"/>
      <c r="BE1909" s="389"/>
      <c r="BF1909" s="389"/>
      <c r="BG1909" s="664"/>
      <c r="BH1909" s="664"/>
      <c r="BI1909" s="664"/>
      <c r="BJ1909" s="664"/>
      <c r="BK1909" s="664"/>
      <c r="BL1909" s="664"/>
      <c r="BM1909" s="600"/>
      <c r="BN1909" s="664"/>
      <c r="BO1909" s="664"/>
      <c r="BP1909" s="664"/>
      <c r="BQ1909" s="664"/>
      <c r="BR1909" s="664"/>
      <c r="BS1909" s="664"/>
      <c r="BT1909" s="352"/>
      <c r="BU1909" s="353"/>
      <c r="BV1909" s="310"/>
      <c r="BW1909" s="310"/>
      <c r="BX1909" s="291">
        <f t="shared" si="138"/>
        <v>0</v>
      </c>
      <c r="BY1909" s="344"/>
      <c r="BZ1909" s="347"/>
      <c r="CA1909" s="347"/>
    </row>
    <row r="1910" spans="1:84" ht="12.95" customHeight="1" x14ac:dyDescent="0.25">
      <c r="A1910" s="313"/>
      <c r="B1910" s="340"/>
      <c r="C1910" s="386"/>
      <c r="D1910" s="386"/>
      <c r="E1910" s="386"/>
      <c r="F1910" s="386"/>
      <c r="G1910" s="386"/>
      <c r="H1910" s="386"/>
      <c r="I1910" s="386"/>
      <c r="J1910" s="386"/>
      <c r="K1910" s="386"/>
      <c r="L1910" s="386"/>
      <c r="M1910" s="386"/>
      <c r="N1910" s="386"/>
      <c r="O1910" s="386"/>
      <c r="P1910" s="386"/>
      <c r="Q1910" s="386"/>
      <c r="R1910" s="386"/>
      <c r="S1910" s="386"/>
      <c r="T1910" s="386"/>
      <c r="U1910" s="389"/>
      <c r="V1910" s="389"/>
      <c r="W1910" s="355"/>
      <c r="X1910" s="355"/>
      <c r="Y1910" s="355"/>
      <c r="Z1910" s="355"/>
      <c r="AA1910" s="355"/>
      <c r="AB1910" s="355"/>
      <c r="AC1910" s="355"/>
      <c r="AD1910" s="355"/>
      <c r="AE1910" s="355"/>
      <c r="AF1910" s="355"/>
      <c r="AG1910" s="355"/>
      <c r="AH1910" s="355"/>
      <c r="AI1910" s="355"/>
      <c r="AJ1910" s="344"/>
      <c r="AK1910" s="345"/>
      <c r="AL1910" s="340"/>
      <c r="AM1910" s="386"/>
      <c r="AN1910" s="373"/>
      <c r="AO1910" s="373"/>
      <c r="AP1910" s="373"/>
      <c r="AQ1910" s="373"/>
      <c r="AR1910" s="373"/>
      <c r="AS1910" s="373"/>
      <c r="AT1910" s="373"/>
      <c r="AU1910" s="373"/>
      <c r="AV1910" s="373"/>
      <c r="AW1910" s="373"/>
      <c r="AX1910" s="373"/>
      <c r="AY1910" s="373"/>
      <c r="AZ1910" s="373"/>
      <c r="BA1910" s="373"/>
      <c r="BB1910" s="373"/>
      <c r="BC1910" s="373"/>
      <c r="BD1910" s="373"/>
      <c r="BE1910" s="389"/>
      <c r="BF1910" s="389"/>
      <c r="BG1910" s="355"/>
      <c r="BH1910" s="355"/>
      <c r="BI1910" s="355"/>
      <c r="BJ1910" s="355"/>
      <c r="BK1910" s="355"/>
      <c r="BL1910" s="355"/>
      <c r="BM1910" s="355"/>
      <c r="BN1910" s="355"/>
      <c r="BO1910" s="355"/>
      <c r="BP1910" s="355"/>
      <c r="BQ1910" s="355"/>
      <c r="BR1910" s="355"/>
      <c r="BS1910" s="355"/>
      <c r="BT1910" s="356"/>
      <c r="BU1910" s="357"/>
      <c r="BV1910" s="310"/>
      <c r="BW1910" s="310"/>
      <c r="BX1910" s="291">
        <f t="shared" si="138"/>
        <v>0</v>
      </c>
      <c r="BY1910" s="344"/>
      <c r="BZ1910" s="347"/>
      <c r="CA1910" s="347"/>
    </row>
    <row r="1911" spans="1:84" ht="29.1" customHeight="1" x14ac:dyDescent="0.25">
      <c r="A1911" s="313"/>
      <c r="B1911" s="340"/>
      <c r="C1911" s="1339" t="s">
        <v>1903</v>
      </c>
      <c r="D1911" s="1339"/>
      <c r="E1911" s="1339"/>
      <c r="F1911" s="1339"/>
      <c r="G1911" s="1339"/>
      <c r="H1911" s="1339"/>
      <c r="I1911" s="1339"/>
      <c r="J1911" s="1339"/>
      <c r="K1911" s="1339"/>
      <c r="L1911" s="1339"/>
      <c r="M1911" s="1339"/>
      <c r="N1911" s="1339"/>
      <c r="O1911" s="1339"/>
      <c r="P1911" s="1339"/>
      <c r="Q1911" s="1339"/>
      <c r="R1911" s="1339"/>
      <c r="S1911" s="1339"/>
      <c r="T1911" s="1339"/>
      <c r="U1911" s="1339"/>
      <c r="V1911" s="1339"/>
      <c r="W1911" s="1339"/>
      <c r="X1911" s="1339"/>
      <c r="Y1911" s="1339"/>
      <c r="Z1911" s="1339"/>
      <c r="AA1911" s="1339"/>
      <c r="AB1911" s="1339"/>
      <c r="AC1911" s="1339"/>
      <c r="AD1911" s="1339"/>
      <c r="AE1911" s="1339"/>
      <c r="AF1911" s="1339"/>
      <c r="AG1911" s="1339"/>
      <c r="AH1911" s="1339"/>
      <c r="AI1911" s="1339"/>
      <c r="AJ1911" s="344"/>
      <c r="AK1911" s="345"/>
      <c r="AL1911" s="340"/>
      <c r="AM1911" s="390" t="s">
        <v>1904</v>
      </c>
      <c r="AN1911" s="373"/>
      <c r="AO1911" s="373"/>
      <c r="AP1911" s="373"/>
      <c r="AQ1911" s="373"/>
      <c r="AR1911" s="373"/>
      <c r="AS1911" s="373"/>
      <c r="AT1911" s="373"/>
      <c r="AU1911" s="373"/>
      <c r="AV1911" s="373"/>
      <c r="AW1911" s="373"/>
      <c r="AX1911" s="373"/>
      <c r="AY1911" s="373"/>
      <c r="AZ1911" s="373"/>
      <c r="BA1911" s="373"/>
      <c r="BB1911" s="373"/>
      <c r="BC1911" s="373"/>
      <c r="BD1911" s="373"/>
      <c r="BE1911" s="389"/>
      <c r="BF1911" s="389"/>
      <c r="BG1911" s="355"/>
      <c r="BH1911" s="355"/>
      <c r="BI1911" s="355"/>
      <c r="BJ1911" s="355"/>
      <c r="BK1911" s="355"/>
      <c r="BL1911" s="355"/>
      <c r="BM1911" s="355"/>
      <c r="BN1911" s="355"/>
      <c r="BO1911" s="355"/>
      <c r="BP1911" s="355"/>
      <c r="BQ1911" s="355"/>
      <c r="BR1911" s="355"/>
      <c r="BS1911" s="355"/>
      <c r="BT1911" s="356"/>
      <c r="BU1911" s="357"/>
      <c r="BV1911" s="310"/>
      <c r="BW1911" s="310"/>
      <c r="BX1911" s="291">
        <f t="shared" si="138"/>
        <v>0</v>
      </c>
      <c r="BY1911" s="344"/>
      <c r="BZ1911" s="347"/>
      <c r="CA1911" s="347"/>
    </row>
    <row r="1912" spans="1:84" ht="15" hidden="1" customHeight="1" x14ac:dyDescent="0.25">
      <c r="A1912" s="313"/>
      <c r="B1912" s="340"/>
      <c r="C1912" s="386"/>
      <c r="D1912" s="386"/>
      <c r="E1912" s="386"/>
      <c r="F1912" s="386"/>
      <c r="G1912" s="386"/>
      <c r="H1912" s="386"/>
      <c r="I1912" s="386"/>
      <c r="J1912" s="386"/>
      <c r="K1912" s="386"/>
      <c r="L1912" s="386"/>
      <c r="M1912" s="386"/>
      <c r="N1912" s="386"/>
      <c r="O1912" s="386"/>
      <c r="P1912" s="386"/>
      <c r="Q1912" s="386"/>
      <c r="R1912" s="386"/>
      <c r="S1912" s="386"/>
      <c r="T1912" s="386"/>
      <c r="U1912" s="389"/>
      <c r="V1912" s="389"/>
      <c r="W1912" s="355"/>
      <c r="X1912" s="355"/>
      <c r="Y1912" s="355"/>
      <c r="Z1912" s="355"/>
      <c r="AA1912" s="355"/>
      <c r="AB1912" s="355"/>
      <c r="AC1912" s="355"/>
      <c r="AD1912" s="355"/>
      <c r="AE1912" s="355"/>
      <c r="AF1912" s="355"/>
      <c r="AG1912" s="355"/>
      <c r="AH1912" s="355"/>
      <c r="AI1912" s="355"/>
      <c r="AJ1912" s="344"/>
      <c r="AK1912" s="345"/>
      <c r="AL1912" s="340"/>
      <c r="AM1912" s="386"/>
      <c r="AN1912" s="373"/>
      <c r="AO1912" s="373"/>
      <c r="AP1912" s="373"/>
      <c r="AQ1912" s="373"/>
      <c r="AR1912" s="373"/>
      <c r="AS1912" s="373"/>
      <c r="AT1912" s="373"/>
      <c r="AU1912" s="373"/>
      <c r="AV1912" s="373"/>
      <c r="AW1912" s="373"/>
      <c r="AX1912" s="373"/>
      <c r="AY1912" s="373"/>
      <c r="AZ1912" s="373"/>
      <c r="BA1912" s="373"/>
      <c r="BB1912" s="373"/>
      <c r="BC1912" s="373"/>
      <c r="BD1912" s="373"/>
      <c r="BE1912" s="389"/>
      <c r="BF1912" s="389"/>
      <c r="BG1912" s="355"/>
      <c r="BH1912" s="355"/>
      <c r="BI1912" s="355"/>
      <c r="BJ1912" s="355"/>
      <c r="BK1912" s="355"/>
      <c r="BL1912" s="355"/>
      <c r="BM1912" s="355"/>
      <c r="BN1912" s="355"/>
      <c r="BO1912" s="355"/>
      <c r="BP1912" s="355"/>
      <c r="BQ1912" s="355"/>
      <c r="BR1912" s="355"/>
      <c r="BS1912" s="355"/>
      <c r="BT1912" s="359"/>
      <c r="BU1912" s="346"/>
      <c r="BV1912" s="310"/>
      <c r="BW1912" s="310"/>
      <c r="BX1912" s="291">
        <f t="shared" si="138"/>
        <v>0</v>
      </c>
      <c r="BY1912" s="344"/>
      <c r="BZ1912" s="347"/>
      <c r="CA1912" s="347"/>
    </row>
    <row r="1913" spans="1:84" ht="15" hidden="1" customHeight="1" x14ac:dyDescent="0.25">
      <c r="A1913" s="313"/>
      <c r="B1913" s="340"/>
      <c r="C1913" s="373" t="s">
        <v>1905</v>
      </c>
      <c r="D1913" s="386"/>
      <c r="E1913" s="386"/>
      <c r="F1913" s="386"/>
      <c r="G1913" s="386"/>
      <c r="H1913" s="386"/>
      <c r="I1913" s="386"/>
      <c r="J1913" s="386"/>
      <c r="K1913" s="386"/>
      <c r="L1913" s="386"/>
      <c r="M1913" s="386"/>
      <c r="N1913" s="386"/>
      <c r="O1913" s="386"/>
      <c r="P1913" s="386"/>
      <c r="Q1913" s="386"/>
      <c r="R1913" s="386"/>
      <c r="S1913" s="386"/>
      <c r="T1913" s="386"/>
      <c r="U1913" s="389"/>
      <c r="V1913" s="389"/>
      <c r="W1913" s="355"/>
      <c r="X1913" s="355"/>
      <c r="Y1913" s="355"/>
      <c r="Z1913" s="355"/>
      <c r="AA1913" s="355"/>
      <c r="AB1913" s="355"/>
      <c r="AC1913" s="355"/>
      <c r="AD1913" s="355"/>
      <c r="AE1913" s="355"/>
      <c r="AF1913" s="355"/>
      <c r="AG1913" s="355"/>
      <c r="AH1913" s="355"/>
      <c r="AI1913" s="355"/>
      <c r="AJ1913" s="344"/>
      <c r="AK1913" s="345"/>
      <c r="AL1913" s="340"/>
      <c r="AM1913" s="373" t="s">
        <v>1906</v>
      </c>
      <c r="AN1913" s="373"/>
      <c r="AO1913" s="373"/>
      <c r="AP1913" s="373"/>
      <c r="AQ1913" s="373"/>
      <c r="AR1913" s="373"/>
      <c r="AS1913" s="373"/>
      <c r="AT1913" s="373"/>
      <c r="AU1913" s="373"/>
      <c r="AV1913" s="373"/>
      <c r="AW1913" s="373"/>
      <c r="AX1913" s="373"/>
      <c r="AY1913" s="373"/>
      <c r="AZ1913" s="373"/>
      <c r="BA1913" s="373"/>
      <c r="BB1913" s="373"/>
      <c r="BC1913" s="373"/>
      <c r="BD1913" s="373"/>
      <c r="BE1913" s="389"/>
      <c r="BF1913" s="389"/>
      <c r="BG1913" s="355"/>
      <c r="BH1913" s="355"/>
      <c r="BI1913" s="355"/>
      <c r="BJ1913" s="355"/>
      <c r="BK1913" s="355"/>
      <c r="BL1913" s="355"/>
      <c r="BM1913" s="355"/>
      <c r="BN1913" s="355"/>
      <c r="BO1913" s="355"/>
      <c r="BP1913" s="355"/>
      <c r="BQ1913" s="355"/>
      <c r="BR1913" s="355"/>
      <c r="BS1913" s="355"/>
      <c r="BT1913" s="359"/>
      <c r="BU1913" s="346"/>
      <c r="BV1913" s="310"/>
      <c r="BW1913" s="310"/>
      <c r="BX1913" s="291">
        <f t="shared" si="138"/>
        <v>0</v>
      </c>
      <c r="BY1913" s="344"/>
      <c r="BZ1913" s="347"/>
      <c r="CA1913" s="347"/>
    </row>
    <row r="1914" spans="1:84" ht="15" hidden="1" customHeight="1" x14ac:dyDescent="0.25">
      <c r="A1914" s="313"/>
      <c r="B1914" s="340"/>
      <c r="C1914" s="389"/>
      <c r="D1914" s="389"/>
      <c r="E1914" s="389"/>
      <c r="F1914" s="389"/>
      <c r="G1914" s="389"/>
      <c r="H1914" s="389"/>
      <c r="I1914" s="389"/>
      <c r="J1914" s="389"/>
      <c r="K1914" s="389"/>
      <c r="L1914" s="389"/>
      <c r="M1914" s="389"/>
      <c r="N1914" s="389"/>
      <c r="O1914" s="389"/>
      <c r="P1914" s="389"/>
      <c r="Q1914" s="389"/>
      <c r="R1914" s="389"/>
      <c r="S1914" s="389"/>
      <c r="T1914" s="389"/>
      <c r="U1914" s="389"/>
      <c r="V1914" s="389"/>
      <c r="W1914" s="355"/>
      <c r="X1914" s="355"/>
      <c r="Y1914" s="355"/>
      <c r="Z1914" s="355"/>
      <c r="AA1914" s="355"/>
      <c r="AB1914" s="355"/>
      <c r="AC1914" s="355"/>
      <c r="AD1914" s="355"/>
      <c r="AE1914" s="355"/>
      <c r="AF1914" s="355"/>
      <c r="AG1914" s="355"/>
      <c r="AH1914" s="355"/>
      <c r="AI1914" s="355"/>
      <c r="AJ1914" s="344"/>
      <c r="AK1914" s="345"/>
      <c r="AL1914" s="340"/>
      <c r="AM1914" s="389"/>
      <c r="AN1914" s="389"/>
      <c r="AO1914" s="389"/>
      <c r="AP1914" s="389"/>
      <c r="AQ1914" s="389"/>
      <c r="AR1914" s="389"/>
      <c r="AS1914" s="389"/>
      <c r="AT1914" s="389"/>
      <c r="AU1914" s="389"/>
      <c r="AV1914" s="389"/>
      <c r="AW1914" s="389"/>
      <c r="AX1914" s="389"/>
      <c r="AY1914" s="389"/>
      <c r="AZ1914" s="389"/>
      <c r="BA1914" s="389"/>
      <c r="BB1914" s="389"/>
      <c r="BC1914" s="389"/>
      <c r="BD1914" s="389"/>
      <c r="BE1914" s="389"/>
      <c r="BF1914" s="389"/>
      <c r="BG1914" s="355"/>
      <c r="BH1914" s="355"/>
      <c r="BI1914" s="355"/>
      <c r="BJ1914" s="355"/>
      <c r="BK1914" s="355"/>
      <c r="BL1914" s="355"/>
      <c r="BM1914" s="355"/>
      <c r="BN1914" s="355"/>
      <c r="BO1914" s="355"/>
      <c r="BP1914" s="355"/>
      <c r="BQ1914" s="355"/>
      <c r="BR1914" s="355"/>
      <c r="BS1914" s="355"/>
      <c r="BT1914" s="359"/>
      <c r="BU1914" s="346"/>
      <c r="BV1914" s="310"/>
      <c r="BW1914" s="310"/>
      <c r="BX1914" s="291">
        <f t="shared" si="138"/>
        <v>0</v>
      </c>
      <c r="BY1914" s="344"/>
      <c r="BZ1914" s="347"/>
      <c r="CA1914" s="347"/>
    </row>
    <row r="1915" spans="1:84" ht="15" hidden="1" customHeight="1" x14ac:dyDescent="0.25">
      <c r="A1915" s="313"/>
      <c r="B1915" s="340"/>
      <c r="C1915" s="390" t="s">
        <v>1907</v>
      </c>
      <c r="D1915" s="386"/>
      <c r="E1915" s="386"/>
      <c r="F1915" s="386"/>
      <c r="G1915" s="386"/>
      <c r="H1915" s="386"/>
      <c r="I1915" s="386"/>
      <c r="J1915" s="386"/>
      <c r="K1915" s="386"/>
      <c r="L1915" s="386"/>
      <c r="M1915" s="386"/>
      <c r="N1915" s="386"/>
      <c r="O1915" s="386"/>
      <c r="P1915" s="386"/>
      <c r="Q1915" s="386"/>
      <c r="R1915" s="386"/>
      <c r="S1915" s="386"/>
      <c r="T1915" s="386"/>
      <c r="U1915" s="389"/>
      <c r="V1915" s="389"/>
      <c r="W1915" s="355"/>
      <c r="X1915" s="355"/>
      <c r="Y1915" s="355"/>
      <c r="Z1915" s="355"/>
      <c r="AA1915" s="355"/>
      <c r="AB1915" s="355"/>
      <c r="AC1915" s="355"/>
      <c r="AD1915" s="355"/>
      <c r="AE1915" s="355"/>
      <c r="AF1915" s="355"/>
      <c r="AG1915" s="355"/>
      <c r="AH1915" s="355"/>
      <c r="AI1915" s="355"/>
      <c r="AJ1915" s="344"/>
      <c r="AK1915" s="345"/>
      <c r="AL1915" s="340"/>
      <c r="AM1915" s="390" t="s">
        <v>1907</v>
      </c>
      <c r="AN1915" s="373"/>
      <c r="AO1915" s="373"/>
      <c r="AP1915" s="373"/>
      <c r="AQ1915" s="373"/>
      <c r="AR1915" s="373"/>
      <c r="AS1915" s="373"/>
      <c r="AT1915" s="373"/>
      <c r="AU1915" s="373"/>
      <c r="AV1915" s="373"/>
      <c r="AW1915" s="373"/>
      <c r="AX1915" s="373"/>
      <c r="AY1915" s="373"/>
      <c r="AZ1915" s="373"/>
      <c r="BA1915" s="373"/>
      <c r="BB1915" s="373"/>
      <c r="BC1915" s="373"/>
      <c r="BD1915" s="373"/>
      <c r="BE1915" s="389"/>
      <c r="BF1915" s="389"/>
      <c r="BG1915" s="363"/>
      <c r="BH1915" s="363"/>
      <c r="BI1915" s="363"/>
      <c r="BJ1915" s="363"/>
      <c r="BK1915" s="363"/>
      <c r="BL1915" s="363"/>
      <c r="BM1915" s="355"/>
      <c r="BN1915" s="363"/>
      <c r="BO1915" s="363"/>
      <c r="BP1915" s="363"/>
      <c r="BQ1915" s="363"/>
      <c r="BR1915" s="363"/>
      <c r="BS1915" s="363"/>
      <c r="BT1915" s="361"/>
      <c r="BU1915" s="362"/>
      <c r="BV1915" s="310"/>
      <c r="BW1915" s="310"/>
      <c r="BX1915" s="291">
        <f t="shared" si="138"/>
        <v>0</v>
      </c>
      <c r="BY1915" s="344"/>
      <c r="BZ1915" s="347"/>
      <c r="CA1915" s="347"/>
    </row>
    <row r="1916" spans="1:84" s="423" customFormat="1" ht="212.25" hidden="1" customHeight="1" x14ac:dyDescent="0.25">
      <c r="A1916" s="313"/>
      <c r="B1916" s="340"/>
      <c r="C1916" s="1340" t="s">
        <v>1908</v>
      </c>
      <c r="D1916" s="1341"/>
      <c r="E1916" s="1341"/>
      <c r="F1916" s="1341"/>
      <c r="G1916" s="1341"/>
      <c r="H1916" s="1341"/>
      <c r="I1916" s="1341"/>
      <c r="J1916" s="1341"/>
      <c r="K1916" s="1341"/>
      <c r="L1916" s="1341"/>
      <c r="M1916" s="1341"/>
      <c r="N1916" s="1341"/>
      <c r="O1916" s="1341"/>
      <c r="P1916" s="1341"/>
      <c r="Q1916" s="1341"/>
      <c r="R1916" s="1341"/>
      <c r="S1916" s="1341"/>
      <c r="T1916" s="1341"/>
      <c r="U1916" s="1341"/>
      <c r="V1916" s="1341"/>
      <c r="W1916" s="1341"/>
      <c r="X1916" s="1341"/>
      <c r="Y1916" s="1341"/>
      <c r="Z1916" s="1341"/>
      <c r="AA1916" s="1341"/>
      <c r="AB1916" s="1341"/>
      <c r="AC1916" s="1341"/>
      <c r="AD1916" s="1341"/>
      <c r="AE1916" s="1341"/>
      <c r="AF1916" s="1341"/>
      <c r="AG1916" s="1341"/>
      <c r="AH1916" s="1341"/>
      <c r="AI1916" s="1341"/>
      <c r="AJ1916" s="342"/>
      <c r="AK1916" s="345"/>
      <c r="AL1916" s="340"/>
      <c r="AM1916" s="1340" t="s">
        <v>1909</v>
      </c>
      <c r="AN1916" s="1341"/>
      <c r="AO1916" s="1341"/>
      <c r="AP1916" s="1341"/>
      <c r="AQ1916" s="1341"/>
      <c r="AR1916" s="1341"/>
      <c r="AS1916" s="1341"/>
      <c r="AT1916" s="1341"/>
      <c r="AU1916" s="1341"/>
      <c r="AV1916" s="1341"/>
      <c r="AW1916" s="1341"/>
      <c r="AX1916" s="1341"/>
      <c r="AY1916" s="1341"/>
      <c r="AZ1916" s="1341"/>
      <c r="BA1916" s="1341"/>
      <c r="BB1916" s="1341"/>
      <c r="BC1916" s="1341"/>
      <c r="BD1916" s="1341"/>
      <c r="BE1916" s="1341"/>
      <c r="BF1916" s="1341"/>
      <c r="BG1916" s="1341"/>
      <c r="BH1916" s="1341"/>
      <c r="BI1916" s="1341"/>
      <c r="BJ1916" s="1341"/>
      <c r="BK1916" s="1341"/>
      <c r="BL1916" s="1341"/>
      <c r="BM1916" s="1341"/>
      <c r="BN1916" s="1341"/>
      <c r="BO1916" s="1341"/>
      <c r="BP1916" s="1341"/>
      <c r="BQ1916" s="1341"/>
      <c r="BR1916" s="1341"/>
      <c r="BS1916" s="1341"/>
      <c r="BT1916" s="361"/>
      <c r="BU1916" s="362"/>
      <c r="BV1916" s="310"/>
      <c r="BW1916" s="310"/>
      <c r="BX1916" s="291">
        <f t="shared" si="138"/>
        <v>0</v>
      </c>
      <c r="BY1916" s="342"/>
      <c r="BZ1916" s="438"/>
      <c r="CA1916" s="438"/>
      <c r="CB1916" s="439"/>
      <c r="CC1916" s="439"/>
      <c r="CD1916" s="439"/>
      <c r="CE1916" s="439"/>
      <c r="CF1916" s="439"/>
    </row>
    <row r="1917" spans="1:84" ht="2.1" hidden="1" customHeight="1" x14ac:dyDescent="0.25">
      <c r="A1917" s="313"/>
      <c r="B1917" s="340"/>
      <c r="C1917" s="340"/>
      <c r="D1917" s="340"/>
      <c r="E1917" s="340"/>
      <c r="F1917" s="340"/>
      <c r="G1917" s="340"/>
      <c r="H1917" s="340"/>
      <c r="I1917" s="340"/>
      <c r="J1917" s="340"/>
      <c r="K1917" s="340"/>
      <c r="L1917" s="340"/>
      <c r="M1917" s="340"/>
      <c r="N1917" s="340"/>
      <c r="O1917" s="340"/>
      <c r="P1917" s="340"/>
      <c r="Q1917" s="340"/>
      <c r="R1917" s="340"/>
      <c r="S1917" s="340"/>
      <c r="T1917" s="340"/>
      <c r="U1917" s="342"/>
      <c r="V1917" s="342"/>
      <c r="W1917" s="368"/>
      <c r="X1917" s="368"/>
      <c r="Y1917" s="368"/>
      <c r="Z1917" s="368"/>
      <c r="AA1917" s="368"/>
      <c r="AB1917" s="368"/>
      <c r="AC1917" s="343"/>
      <c r="AD1917" s="368"/>
      <c r="AE1917" s="368"/>
      <c r="AF1917" s="368"/>
      <c r="AG1917" s="368"/>
      <c r="AH1917" s="368"/>
      <c r="AI1917" s="368"/>
      <c r="AJ1917" s="344"/>
      <c r="AK1917" s="345"/>
      <c r="AL1917" s="340"/>
      <c r="AM1917" s="340"/>
      <c r="AN1917" s="340"/>
      <c r="AO1917" s="340"/>
      <c r="AP1917" s="340"/>
      <c r="AQ1917" s="340"/>
      <c r="AR1917" s="340"/>
      <c r="AS1917" s="340"/>
      <c r="AT1917" s="340"/>
      <c r="AU1917" s="340"/>
      <c r="AV1917" s="340"/>
      <c r="AW1917" s="340"/>
      <c r="AX1917" s="340"/>
      <c r="AY1917" s="340"/>
      <c r="AZ1917" s="340"/>
      <c r="BA1917" s="340"/>
      <c r="BB1917" s="340"/>
      <c r="BC1917" s="340"/>
      <c r="BD1917" s="340"/>
      <c r="BE1917" s="342"/>
      <c r="BF1917" s="342"/>
      <c r="BG1917" s="361"/>
      <c r="BH1917" s="361"/>
      <c r="BI1917" s="361"/>
      <c r="BJ1917" s="361"/>
      <c r="BK1917" s="361"/>
      <c r="BL1917" s="361"/>
      <c r="BM1917" s="342"/>
      <c r="BN1917" s="361"/>
      <c r="BO1917" s="361"/>
      <c r="BP1917" s="361"/>
      <c r="BQ1917" s="361"/>
      <c r="BR1917" s="361"/>
      <c r="BS1917" s="361"/>
      <c r="BT1917" s="361"/>
      <c r="BU1917" s="362"/>
      <c r="BV1917" s="310"/>
      <c r="BW1917" s="310"/>
      <c r="BX1917" s="291">
        <f t="shared" si="138"/>
        <v>0</v>
      </c>
      <c r="BY1917" s="344"/>
      <c r="BZ1917" s="347"/>
      <c r="CA1917" s="347"/>
    </row>
    <row r="1918" spans="1:84" ht="12.95" customHeight="1" x14ac:dyDescent="0.25">
      <c r="A1918" s="313"/>
      <c r="B1918" s="340"/>
      <c r="C1918" s="342"/>
      <c r="D1918" s="342"/>
      <c r="E1918" s="342"/>
      <c r="F1918" s="342"/>
      <c r="G1918" s="342"/>
      <c r="H1918" s="342"/>
      <c r="I1918" s="342"/>
      <c r="J1918" s="342"/>
      <c r="K1918" s="342"/>
      <c r="L1918" s="342"/>
      <c r="M1918" s="342"/>
      <c r="N1918" s="342"/>
      <c r="O1918" s="342"/>
      <c r="P1918" s="342"/>
      <c r="Q1918" s="342"/>
      <c r="R1918" s="342"/>
      <c r="S1918" s="342"/>
      <c r="T1918" s="342"/>
      <c r="U1918" s="342"/>
      <c r="V1918" s="342"/>
      <c r="W1918" s="343"/>
      <c r="X1918" s="343"/>
      <c r="Y1918" s="343"/>
      <c r="Z1918" s="343"/>
      <c r="AA1918" s="343"/>
      <c r="AB1918" s="343"/>
      <c r="AC1918" s="343"/>
      <c r="AD1918" s="343"/>
      <c r="AE1918" s="343"/>
      <c r="AF1918" s="343"/>
      <c r="AG1918" s="343"/>
      <c r="AH1918" s="343"/>
      <c r="AI1918" s="343"/>
      <c r="AJ1918" s="344"/>
      <c r="AK1918" s="345"/>
      <c r="AL1918" s="340"/>
      <c r="AM1918" s="342"/>
      <c r="AN1918" s="342"/>
      <c r="AO1918" s="342"/>
      <c r="AP1918" s="342"/>
      <c r="AQ1918" s="342"/>
      <c r="AR1918" s="342"/>
      <c r="AS1918" s="342"/>
      <c r="AT1918" s="342"/>
      <c r="AU1918" s="342"/>
      <c r="AV1918" s="342"/>
      <c r="AW1918" s="342"/>
      <c r="AX1918" s="342"/>
      <c r="AY1918" s="342"/>
      <c r="AZ1918" s="342"/>
      <c r="BA1918" s="342"/>
      <c r="BB1918" s="342"/>
      <c r="BC1918" s="342"/>
      <c r="BD1918" s="342"/>
      <c r="BE1918" s="342"/>
      <c r="BF1918" s="342"/>
      <c r="BG1918" s="342"/>
      <c r="BH1918" s="342"/>
      <c r="BI1918" s="342"/>
      <c r="BJ1918" s="342"/>
      <c r="BK1918" s="342"/>
      <c r="BL1918" s="342"/>
      <c r="BM1918" s="342"/>
      <c r="BN1918" s="342"/>
      <c r="BO1918" s="342"/>
      <c r="BP1918" s="342"/>
      <c r="BQ1918" s="342"/>
      <c r="BR1918" s="342"/>
      <c r="BS1918" s="342"/>
      <c r="BT1918" s="342"/>
      <c r="BU1918" s="346"/>
      <c r="BV1918" s="310"/>
      <c r="BW1918" s="310"/>
      <c r="BX1918" s="291">
        <f t="shared" si="138"/>
        <v>0</v>
      </c>
      <c r="BY1918" s="344"/>
      <c r="BZ1918" s="347"/>
      <c r="CA1918" s="347"/>
    </row>
    <row r="1919" spans="1:84" ht="15" customHeight="1" x14ac:dyDescent="0.25">
      <c r="A1919" s="313">
        <v>37</v>
      </c>
      <c r="B1919" s="340" t="s">
        <v>345</v>
      </c>
      <c r="C1919" s="341" t="s">
        <v>1910</v>
      </c>
      <c r="D1919" s="342"/>
      <c r="E1919" s="342"/>
      <c r="F1919" s="342"/>
      <c r="G1919" s="342"/>
      <c r="H1919" s="342"/>
      <c r="I1919" s="342"/>
      <c r="J1919" s="342"/>
      <c r="K1919" s="342"/>
      <c r="L1919" s="342"/>
      <c r="M1919" s="342"/>
      <c r="N1919" s="342"/>
      <c r="O1919" s="342"/>
      <c r="P1919" s="342"/>
      <c r="Q1919" s="342"/>
      <c r="R1919" s="342"/>
      <c r="S1919" s="342"/>
      <c r="T1919" s="342"/>
      <c r="U1919" s="342"/>
      <c r="V1919" s="342"/>
      <c r="W1919" s="343"/>
      <c r="X1919" s="343"/>
      <c r="Y1919" s="343"/>
      <c r="Z1919" s="343"/>
      <c r="AA1919" s="343"/>
      <c r="AB1919" s="343"/>
      <c r="AC1919" s="343"/>
      <c r="AD1919" s="343"/>
      <c r="AE1919" s="343"/>
      <c r="AF1919" s="343"/>
      <c r="AG1919" s="343"/>
      <c r="AH1919" s="343"/>
      <c r="AI1919" s="343"/>
      <c r="AJ1919" s="344"/>
      <c r="AK1919" s="345">
        <f>A1919</f>
        <v>37</v>
      </c>
      <c r="AL1919" s="340" t="s">
        <v>345</v>
      </c>
      <c r="AM1919" s="341" t="s">
        <v>1911</v>
      </c>
      <c r="AN1919" s="342"/>
      <c r="AO1919" s="342"/>
      <c r="AP1919" s="342"/>
      <c r="AQ1919" s="342"/>
      <c r="AR1919" s="342"/>
      <c r="AS1919" s="342"/>
      <c r="AT1919" s="342"/>
      <c r="AU1919" s="342"/>
      <c r="AV1919" s="342"/>
      <c r="AW1919" s="342"/>
      <c r="AX1919" s="342"/>
      <c r="AY1919" s="342"/>
      <c r="AZ1919" s="342"/>
      <c r="BA1919" s="342"/>
      <c r="BB1919" s="342"/>
      <c r="BC1919" s="342"/>
      <c r="BD1919" s="342"/>
      <c r="BE1919" s="342"/>
      <c r="BF1919" s="342"/>
      <c r="BG1919" s="342"/>
      <c r="BH1919" s="342"/>
      <c r="BI1919" s="342"/>
      <c r="BJ1919" s="342"/>
      <c r="BK1919" s="342"/>
      <c r="BL1919" s="342"/>
      <c r="BM1919" s="342"/>
      <c r="BN1919" s="342"/>
      <c r="BO1919" s="342"/>
      <c r="BP1919" s="342"/>
      <c r="BQ1919" s="342"/>
      <c r="BR1919" s="342"/>
      <c r="BS1919" s="342"/>
      <c r="BT1919" s="342"/>
      <c r="BU1919" s="346">
        <f>SUBTOTAL(103,A1919)</f>
        <v>1</v>
      </c>
      <c r="BV1919" s="310"/>
      <c r="BW1919" s="310"/>
      <c r="BX1919" s="291">
        <f t="shared" si="138"/>
        <v>0</v>
      </c>
      <c r="BY1919" s="344"/>
      <c r="BZ1919" s="347"/>
      <c r="CA1919" s="347"/>
    </row>
    <row r="1920" spans="1:84" ht="12.95" customHeight="1" x14ac:dyDescent="0.25">
      <c r="A1920" s="313"/>
      <c r="B1920" s="340"/>
      <c r="C1920" s="1342"/>
      <c r="D1920" s="1342"/>
      <c r="E1920" s="1342"/>
      <c r="F1920" s="1342"/>
      <c r="G1920" s="1342"/>
      <c r="H1920" s="1342"/>
      <c r="I1920" s="1342"/>
      <c r="J1920" s="1342"/>
      <c r="K1920" s="1342"/>
      <c r="L1920" s="1342"/>
      <c r="M1920" s="1342"/>
      <c r="N1920" s="1342"/>
      <c r="O1920" s="1342"/>
      <c r="P1920" s="1342"/>
      <c r="Q1920" s="1342"/>
      <c r="R1920" s="1342"/>
      <c r="S1920" s="1342"/>
      <c r="T1920" s="1342"/>
      <c r="U1920" s="1342"/>
      <c r="V1920" s="1342"/>
      <c r="W1920" s="1342"/>
      <c r="X1920" s="1342"/>
      <c r="Y1920" s="1342"/>
      <c r="Z1920" s="1342"/>
      <c r="AA1920" s="1342"/>
      <c r="AB1920" s="1342"/>
      <c r="AC1920" s="1342"/>
      <c r="AD1920" s="1342"/>
      <c r="AE1920" s="1342"/>
      <c r="AF1920" s="1342"/>
      <c r="AG1920" s="1342"/>
      <c r="AH1920" s="1342"/>
      <c r="AI1920" s="1342"/>
      <c r="AJ1920" s="344"/>
      <c r="AK1920" s="345"/>
      <c r="AL1920" s="340"/>
      <c r="AM1920" s="342"/>
      <c r="AN1920" s="342"/>
      <c r="AO1920" s="342"/>
      <c r="AP1920" s="342"/>
      <c r="AQ1920" s="342"/>
      <c r="AR1920" s="342"/>
      <c r="AS1920" s="342"/>
      <c r="AT1920" s="342"/>
      <c r="AU1920" s="342"/>
      <c r="AV1920" s="342"/>
      <c r="AW1920" s="342"/>
      <c r="AX1920" s="342"/>
      <c r="AY1920" s="342"/>
      <c r="AZ1920" s="342"/>
      <c r="BA1920" s="342"/>
      <c r="BB1920" s="342"/>
      <c r="BC1920" s="342"/>
      <c r="BD1920" s="342"/>
      <c r="BE1920" s="342"/>
      <c r="BF1920" s="342"/>
      <c r="BG1920" s="342"/>
      <c r="BH1920" s="342"/>
      <c r="BI1920" s="342"/>
      <c r="BJ1920" s="342"/>
      <c r="BK1920" s="342"/>
      <c r="BL1920" s="342"/>
      <c r="BM1920" s="342"/>
      <c r="BN1920" s="342"/>
      <c r="BO1920" s="342"/>
      <c r="BP1920" s="342"/>
      <c r="BQ1920" s="342"/>
      <c r="BR1920" s="342"/>
      <c r="BS1920" s="342"/>
      <c r="BT1920" s="342"/>
      <c r="BU1920" s="346"/>
      <c r="BV1920" s="310"/>
      <c r="BW1920" s="310"/>
      <c r="BX1920" s="291"/>
      <c r="BY1920" s="344"/>
      <c r="BZ1920" s="347"/>
      <c r="CA1920" s="347"/>
    </row>
    <row r="1921" spans="1:84" ht="27.95" customHeight="1" x14ac:dyDescent="0.25">
      <c r="A1921" s="313"/>
      <c r="B1921" s="340"/>
      <c r="C1921" s="1337" t="str">
        <f>CONCATENATE("Trong năm, ",LoaiCT_V," có các giao dịch phát sinh và số dư tại ngày kết thúc kỳ kế toán năm với các bên liên quan như sau:")</f>
        <v>Trong năm, Công ty có các giao dịch phát sinh và số dư tại ngày kết thúc kỳ kế toán năm với các bên liên quan như sau:</v>
      </c>
      <c r="D1921" s="1337"/>
      <c r="E1921" s="1337"/>
      <c r="F1921" s="1337"/>
      <c r="G1921" s="1337"/>
      <c r="H1921" s="1337"/>
      <c r="I1921" s="1337"/>
      <c r="J1921" s="1337"/>
      <c r="K1921" s="1337"/>
      <c r="L1921" s="1337"/>
      <c r="M1921" s="1337"/>
      <c r="N1921" s="1337"/>
      <c r="O1921" s="1337"/>
      <c r="P1921" s="1337"/>
      <c r="Q1921" s="1337"/>
      <c r="R1921" s="1337"/>
      <c r="S1921" s="1337"/>
      <c r="T1921" s="1337"/>
      <c r="U1921" s="1337"/>
      <c r="V1921" s="1337"/>
      <c r="W1921" s="1337"/>
      <c r="X1921" s="1337"/>
      <c r="Y1921" s="1337"/>
      <c r="Z1921" s="1337"/>
      <c r="AA1921" s="1337"/>
      <c r="AB1921" s="1337"/>
      <c r="AC1921" s="1337"/>
      <c r="AD1921" s="1337"/>
      <c r="AE1921" s="1337"/>
      <c r="AF1921" s="1337"/>
      <c r="AG1921" s="1337"/>
      <c r="AH1921" s="1337"/>
      <c r="AI1921" s="1337"/>
      <c r="AJ1921" s="344"/>
      <c r="AK1921" s="345"/>
      <c r="AL1921" s="340"/>
      <c r="AM1921" s="342" t="str">
        <f>CONCATENATE("In the fiscal year, the ",LoaiCT_E," has the transactions and balances with related parties as follows:")</f>
        <v>In the fiscal year, the Corporation has the transactions and balances with related parties as follows:</v>
      </c>
      <c r="AN1921" s="342"/>
      <c r="AO1921" s="342"/>
      <c r="AP1921" s="342"/>
      <c r="AQ1921" s="342"/>
      <c r="AR1921" s="342"/>
      <c r="AS1921" s="342"/>
      <c r="AT1921" s="342"/>
      <c r="AU1921" s="342"/>
      <c r="AV1921" s="342"/>
      <c r="AW1921" s="342"/>
      <c r="AX1921" s="342"/>
      <c r="AY1921" s="342"/>
      <c r="AZ1921" s="342"/>
      <c r="BA1921" s="342"/>
      <c r="BB1921" s="342"/>
      <c r="BC1921" s="342"/>
      <c r="BD1921" s="342"/>
      <c r="BE1921" s="342"/>
      <c r="BF1921" s="342"/>
      <c r="BG1921" s="343"/>
      <c r="BH1921" s="343"/>
      <c r="BI1921" s="343"/>
      <c r="BJ1921" s="343"/>
      <c r="BK1921" s="343"/>
      <c r="BL1921" s="343"/>
      <c r="BM1921" s="343"/>
      <c r="BN1921" s="343"/>
      <c r="BO1921" s="343"/>
      <c r="BP1921" s="343"/>
      <c r="BQ1921" s="343"/>
      <c r="BR1921" s="343"/>
      <c r="BS1921" s="343"/>
      <c r="BT1921" s="342"/>
      <c r="BU1921" s="346"/>
      <c r="BV1921" s="310"/>
      <c r="BW1921" s="310"/>
      <c r="BX1921" s="291">
        <f t="shared" si="138"/>
        <v>0</v>
      </c>
      <c r="BY1921" s="344"/>
      <c r="BZ1921" s="347"/>
      <c r="CA1921" s="347"/>
    </row>
    <row r="1922" spans="1:84" ht="12.95" customHeight="1" x14ac:dyDescent="0.25">
      <c r="A1922" s="313"/>
      <c r="B1922" s="340"/>
      <c r="C1922" s="342"/>
      <c r="D1922" s="342"/>
      <c r="E1922" s="342"/>
      <c r="F1922" s="342"/>
      <c r="G1922" s="342"/>
      <c r="H1922" s="342"/>
      <c r="I1922" s="342"/>
      <c r="J1922" s="342"/>
      <c r="K1922" s="342"/>
      <c r="L1922" s="342"/>
      <c r="M1922" s="342"/>
      <c r="N1922" s="342"/>
      <c r="O1922" s="342"/>
      <c r="P1922" s="342"/>
      <c r="Q1922" s="342"/>
      <c r="R1922" s="342"/>
      <c r="S1922" s="342"/>
      <c r="T1922" s="342"/>
      <c r="U1922" s="342"/>
      <c r="V1922" s="342"/>
      <c r="W1922" s="342"/>
      <c r="X1922" s="342"/>
      <c r="Y1922" s="342"/>
      <c r="Z1922" s="342"/>
      <c r="AA1922" s="342"/>
      <c r="AB1922" s="342"/>
      <c r="AC1922" s="342"/>
      <c r="AD1922" s="342"/>
      <c r="AE1922" s="342"/>
      <c r="AF1922" s="342"/>
      <c r="AG1922" s="342"/>
      <c r="AH1922" s="342"/>
      <c r="AI1922" s="342"/>
      <c r="AJ1922" s="344"/>
      <c r="AK1922" s="345"/>
      <c r="AL1922" s="340"/>
      <c r="AM1922" s="342"/>
      <c r="AN1922" s="342"/>
      <c r="AO1922" s="342"/>
      <c r="AP1922" s="342"/>
      <c r="AQ1922" s="342"/>
      <c r="AR1922" s="342"/>
      <c r="AS1922" s="342"/>
      <c r="AT1922" s="342"/>
      <c r="AU1922" s="342"/>
      <c r="AV1922" s="342"/>
      <c r="AW1922" s="342"/>
      <c r="AX1922" s="342"/>
      <c r="AY1922" s="342"/>
      <c r="AZ1922" s="342"/>
      <c r="BA1922" s="342"/>
      <c r="BB1922" s="342"/>
      <c r="BC1922" s="342"/>
      <c r="BD1922" s="342"/>
      <c r="BE1922" s="342"/>
      <c r="BF1922" s="342"/>
      <c r="BG1922" s="343"/>
      <c r="BH1922" s="343"/>
      <c r="BI1922" s="343"/>
      <c r="BJ1922" s="343"/>
      <c r="BK1922" s="343"/>
      <c r="BL1922" s="343"/>
      <c r="BM1922" s="343"/>
      <c r="BN1922" s="343"/>
      <c r="BO1922" s="343"/>
      <c r="BP1922" s="343"/>
      <c r="BQ1922" s="343"/>
      <c r="BR1922" s="343"/>
      <c r="BS1922" s="343"/>
      <c r="BT1922" s="342"/>
      <c r="BU1922" s="346"/>
      <c r="BV1922" s="310"/>
      <c r="BW1922" s="310"/>
      <c r="BX1922" s="291">
        <f t="shared" si="138"/>
        <v>0</v>
      </c>
      <c r="BY1922" s="344"/>
      <c r="BZ1922" s="347"/>
      <c r="CA1922" s="347"/>
    </row>
    <row r="1923" spans="1:84" ht="15" customHeight="1" x14ac:dyDescent="0.25">
      <c r="A1923" s="313"/>
      <c r="B1923" s="340"/>
      <c r="C1923" s="342" t="s">
        <v>1912</v>
      </c>
      <c r="D1923" s="342"/>
      <c r="E1923" s="342"/>
      <c r="F1923" s="342"/>
      <c r="G1923" s="342"/>
      <c r="H1923" s="342"/>
      <c r="I1923" s="342"/>
      <c r="J1923" s="342"/>
      <c r="K1923" s="342"/>
      <c r="L1923" s="342"/>
      <c r="M1923" s="342"/>
      <c r="N1923" s="342"/>
      <c r="O1923" s="342"/>
      <c r="P1923" s="342"/>
      <c r="Q1923" s="342"/>
      <c r="R1923" s="342"/>
      <c r="S1923" s="342"/>
      <c r="T1923" s="342"/>
      <c r="U1923" s="342"/>
      <c r="V1923" s="342"/>
      <c r="W1923" s="342"/>
      <c r="X1923" s="342"/>
      <c r="Y1923" s="342"/>
      <c r="Z1923" s="342"/>
      <c r="AA1923" s="342"/>
      <c r="AB1923" s="342"/>
      <c r="AC1923" s="342"/>
      <c r="AD1923" s="342"/>
      <c r="AE1923" s="342"/>
      <c r="AF1923" s="342"/>
      <c r="AG1923" s="342"/>
      <c r="AH1923" s="342"/>
      <c r="AI1923" s="342"/>
      <c r="AJ1923" s="344"/>
      <c r="AK1923" s="345"/>
      <c r="AL1923" s="340"/>
      <c r="AM1923" s="342" t="s">
        <v>1913</v>
      </c>
      <c r="AN1923" s="342"/>
      <c r="AO1923" s="342"/>
      <c r="AP1923" s="342"/>
      <c r="AQ1923" s="342"/>
      <c r="AR1923" s="342"/>
      <c r="AS1923" s="342"/>
      <c r="AT1923" s="342"/>
      <c r="AU1923" s="342"/>
      <c r="AV1923" s="342"/>
      <c r="AW1923" s="342"/>
      <c r="AX1923" s="342"/>
      <c r="AY1923" s="342"/>
      <c r="AZ1923" s="342"/>
      <c r="BA1923" s="342"/>
      <c r="BB1923" s="342"/>
      <c r="BC1923" s="342"/>
      <c r="BD1923" s="342"/>
      <c r="BE1923" s="342"/>
      <c r="BF1923" s="342"/>
      <c r="BG1923" s="343"/>
      <c r="BH1923" s="343"/>
      <c r="BI1923" s="343"/>
      <c r="BJ1923" s="343"/>
      <c r="BK1923" s="343"/>
      <c r="BL1923" s="343"/>
      <c r="BM1923" s="343"/>
      <c r="BN1923" s="343"/>
      <c r="BO1923" s="343"/>
      <c r="BP1923" s="343"/>
      <c r="BQ1923" s="343"/>
      <c r="BR1923" s="343"/>
      <c r="BS1923" s="343"/>
      <c r="BT1923" s="342"/>
      <c r="BU1923" s="346"/>
      <c r="BV1923" s="310"/>
      <c r="BW1923" s="310"/>
      <c r="BX1923" s="291">
        <f t="shared" si="138"/>
        <v>0</v>
      </c>
      <c r="BY1923" s="344"/>
      <c r="BZ1923" s="347"/>
      <c r="CA1923" s="347"/>
    </row>
    <row r="1924" spans="1:84" s="423" customFormat="1" ht="15" customHeight="1" x14ac:dyDescent="0.25">
      <c r="A1924" s="369"/>
      <c r="B1924" s="354"/>
      <c r="C1924" s="342"/>
      <c r="D1924" s="342"/>
      <c r="E1924" s="342"/>
      <c r="F1924" s="342"/>
      <c r="G1924" s="342"/>
      <c r="H1924" s="342"/>
      <c r="I1924" s="342"/>
      <c r="J1924" s="342"/>
      <c r="K1924" s="342"/>
      <c r="L1924" s="342"/>
      <c r="M1924" s="342"/>
      <c r="N1924" s="342"/>
      <c r="O1924" s="1332" t="s">
        <v>1914</v>
      </c>
      <c r="P1924" s="1332"/>
      <c r="Q1924" s="1332"/>
      <c r="R1924" s="1332"/>
      <c r="S1924" s="1332"/>
      <c r="T1924" s="1332"/>
      <c r="U1924" s="1332"/>
      <c r="V1924" s="342"/>
      <c r="W1924" s="1324" t="str">
        <f>Ky_Nay2_V</f>
        <v>Năm 2017</v>
      </c>
      <c r="X1924" s="1324"/>
      <c r="Y1924" s="1324"/>
      <c r="Z1924" s="1324"/>
      <c r="AA1924" s="1324"/>
      <c r="AB1924" s="1324"/>
      <c r="AC1924" s="681"/>
      <c r="AD1924" s="1324" t="str">
        <f>Ky_Truoc2_V</f>
        <v>Năm 2016</v>
      </c>
      <c r="AE1924" s="1324"/>
      <c r="AF1924" s="1324"/>
      <c r="AG1924" s="1324"/>
      <c r="AH1924" s="1324"/>
      <c r="AI1924" s="1324"/>
      <c r="AJ1924" s="342"/>
      <c r="AK1924" s="419"/>
      <c r="AL1924" s="354"/>
      <c r="AM1924" s="342"/>
      <c r="AN1924" s="342"/>
      <c r="AO1924" s="342"/>
      <c r="AP1924" s="342"/>
      <c r="AQ1924" s="342"/>
      <c r="AR1924" s="342"/>
      <c r="AS1924" s="342"/>
      <c r="AT1924" s="342"/>
      <c r="AU1924" s="342"/>
      <c r="AV1924" s="342"/>
      <c r="AW1924" s="342"/>
      <c r="AX1924" s="342"/>
      <c r="AY1924" s="1333" t="s">
        <v>1915</v>
      </c>
      <c r="AZ1924" s="1333"/>
      <c r="BA1924" s="1333"/>
      <c r="BB1924" s="1333"/>
      <c r="BC1924" s="1333"/>
      <c r="BD1924" s="1333"/>
      <c r="BE1924" s="1333"/>
      <c r="BF1924" s="346"/>
      <c r="BG1924" s="1325" t="str">
        <f>Ky_Nay2_E</f>
        <v>Year 2016</v>
      </c>
      <c r="BH1924" s="1325"/>
      <c r="BI1924" s="1325"/>
      <c r="BJ1924" s="1325"/>
      <c r="BK1924" s="1325"/>
      <c r="BL1924" s="1325"/>
      <c r="BM1924" s="351"/>
      <c r="BN1924" s="1325" t="str">
        <f>Ky_Truoc2_E</f>
        <v>Year 2015</v>
      </c>
      <c r="BO1924" s="1325"/>
      <c r="BP1924" s="1325"/>
      <c r="BQ1924" s="1325"/>
      <c r="BR1924" s="1325"/>
      <c r="BS1924" s="1325"/>
      <c r="BT1924" s="342"/>
      <c r="BU1924" s="346"/>
      <c r="BV1924" s="310"/>
      <c r="BW1924" s="310"/>
      <c r="BX1924" s="300">
        <f t="shared" si="138"/>
        <v>0</v>
      </c>
      <c r="BY1924" s="342"/>
      <c r="BZ1924" s="438"/>
      <c r="CA1924" s="438"/>
      <c r="CB1924" s="439"/>
      <c r="CC1924" s="439"/>
      <c r="CD1924" s="439"/>
      <c r="CE1924" s="439"/>
      <c r="CF1924" s="439"/>
    </row>
    <row r="1925" spans="1:84" ht="15" customHeight="1" x14ac:dyDescent="0.25">
      <c r="A1925" s="313"/>
      <c r="B1925" s="340"/>
      <c r="C1925" s="342"/>
      <c r="D1925" s="342"/>
      <c r="E1925" s="342"/>
      <c r="F1925" s="342"/>
      <c r="G1925" s="342"/>
      <c r="H1925" s="342"/>
      <c r="I1925" s="342"/>
      <c r="J1925" s="342"/>
      <c r="K1925" s="342"/>
      <c r="L1925" s="342"/>
      <c r="M1925" s="342"/>
      <c r="N1925" s="342"/>
      <c r="O1925" s="1326"/>
      <c r="P1925" s="1326"/>
      <c r="Q1925" s="1326"/>
      <c r="R1925" s="1326"/>
      <c r="S1925" s="1326"/>
      <c r="T1925" s="1326"/>
      <c r="U1925" s="1326"/>
      <c r="V1925" s="342"/>
      <c r="W1925" s="1327" t="str">
        <f>Don_Vi_Tinh_V</f>
        <v>VND</v>
      </c>
      <c r="X1925" s="1327"/>
      <c r="Y1925" s="1327"/>
      <c r="Z1925" s="1327"/>
      <c r="AA1925" s="1327"/>
      <c r="AB1925" s="1327"/>
      <c r="AC1925" s="351"/>
      <c r="AD1925" s="1327" t="str">
        <f>Don_Vi_Tinh_V</f>
        <v>VND</v>
      </c>
      <c r="AE1925" s="1327"/>
      <c r="AF1925" s="1327"/>
      <c r="AG1925" s="1327"/>
      <c r="AH1925" s="1327"/>
      <c r="AI1925" s="1327"/>
      <c r="AJ1925" s="344"/>
      <c r="AK1925" s="345"/>
      <c r="AL1925" s="340"/>
      <c r="AM1925" s="342"/>
      <c r="AN1925" s="342"/>
      <c r="AO1925" s="342"/>
      <c r="AP1925" s="342"/>
      <c r="AQ1925" s="342"/>
      <c r="AR1925" s="342"/>
      <c r="AS1925" s="342"/>
      <c r="AT1925" s="342"/>
      <c r="AU1925" s="342"/>
      <c r="AV1925" s="342"/>
      <c r="AW1925" s="342"/>
      <c r="AX1925" s="342"/>
      <c r="AY1925" s="1331"/>
      <c r="AZ1925" s="1331"/>
      <c r="BA1925" s="1331"/>
      <c r="BB1925" s="1331"/>
      <c r="BC1925" s="1331"/>
      <c r="BD1925" s="1331"/>
      <c r="BE1925" s="1331"/>
      <c r="BF1925" s="346"/>
      <c r="BG1925" s="1327" t="str">
        <f>Don_Vi_Tinh_V</f>
        <v>VND</v>
      </c>
      <c r="BH1925" s="1327"/>
      <c r="BI1925" s="1327"/>
      <c r="BJ1925" s="1327"/>
      <c r="BK1925" s="1327"/>
      <c r="BL1925" s="1327"/>
      <c r="BM1925" s="351"/>
      <c r="BN1925" s="1327" t="str">
        <f>Don_Vi_Tinh_V</f>
        <v>VND</v>
      </c>
      <c r="BO1925" s="1327"/>
      <c r="BP1925" s="1327"/>
      <c r="BQ1925" s="1327"/>
      <c r="BR1925" s="1327"/>
      <c r="BS1925" s="1327"/>
      <c r="BT1925" s="342"/>
      <c r="BU1925" s="346"/>
      <c r="BV1925" s="310"/>
      <c r="BW1925" s="310"/>
      <c r="BX1925" s="291">
        <f t="shared" si="138"/>
        <v>0</v>
      </c>
      <c r="BY1925" s="344"/>
      <c r="BZ1925" s="347"/>
      <c r="CA1925" s="347"/>
    </row>
    <row r="1926" spans="1:84" ht="15" customHeight="1" x14ac:dyDescent="0.25">
      <c r="A1926" s="313"/>
      <c r="B1926" s="340"/>
      <c r="C1926" s="1322" t="s">
        <v>1916</v>
      </c>
      <c r="D1926" s="1322"/>
      <c r="E1926" s="1322"/>
      <c r="F1926" s="1322"/>
      <c r="G1926" s="1322"/>
      <c r="H1926" s="1322"/>
      <c r="I1926" s="1322"/>
      <c r="J1926" s="1322"/>
      <c r="K1926" s="1322"/>
      <c r="L1926" s="1322"/>
      <c r="M1926" s="1322"/>
      <c r="N1926" s="775"/>
      <c r="O1926" s="1321" t="s">
        <v>1917</v>
      </c>
      <c r="P1926" s="1321"/>
      <c r="Q1926" s="1321"/>
      <c r="R1926" s="1321"/>
      <c r="S1926" s="1321"/>
      <c r="T1926" s="1321"/>
      <c r="U1926" s="1321"/>
      <c r="V1926" s="389"/>
      <c r="W1926" s="1318"/>
      <c r="X1926" s="1318"/>
      <c r="Y1926" s="1318"/>
      <c r="Z1926" s="1318"/>
      <c r="AA1926" s="1318"/>
      <c r="AB1926" s="1318"/>
      <c r="AC1926" s="355"/>
      <c r="AD1926" s="1318"/>
      <c r="AE1926" s="1318"/>
      <c r="AF1926" s="1318"/>
      <c r="AG1926" s="1318"/>
      <c r="AH1926" s="1318"/>
      <c r="AI1926" s="1318"/>
      <c r="AJ1926" s="344"/>
      <c r="AK1926" s="345"/>
      <c r="AL1926" s="340"/>
      <c r="AM1926" s="1322" t="s">
        <v>1918</v>
      </c>
      <c r="AN1926" s="1322"/>
      <c r="AO1926" s="1322"/>
      <c r="AP1926" s="1322"/>
      <c r="AQ1926" s="1322"/>
      <c r="AR1926" s="1322"/>
      <c r="AS1926" s="1322"/>
      <c r="AT1926" s="1322"/>
      <c r="AU1926" s="1322"/>
      <c r="AV1926" s="1322"/>
      <c r="AW1926" s="1322"/>
      <c r="AX1926" s="775"/>
      <c r="AY1926" s="1321"/>
      <c r="AZ1926" s="1321"/>
      <c r="BA1926" s="1321"/>
      <c r="BB1926" s="1321"/>
      <c r="BC1926" s="1321"/>
      <c r="BD1926" s="1321"/>
      <c r="BE1926" s="1321"/>
      <c r="BF1926" s="342"/>
      <c r="BG1926" s="1318"/>
      <c r="BH1926" s="1318"/>
      <c r="BI1926" s="1318"/>
      <c r="BJ1926" s="1318"/>
      <c r="BK1926" s="1318"/>
      <c r="BL1926" s="1318"/>
      <c r="BM1926" s="355"/>
      <c r="BN1926" s="1318"/>
      <c r="BO1926" s="1318"/>
      <c r="BP1926" s="1318"/>
      <c r="BQ1926" s="1318"/>
      <c r="BR1926" s="1318"/>
      <c r="BS1926" s="1318"/>
      <c r="BT1926" s="342"/>
      <c r="BU1926" s="346"/>
      <c r="BV1926" s="310"/>
      <c r="BW1926" s="310"/>
      <c r="BX1926" s="291">
        <f t="shared" si="138"/>
        <v>0</v>
      </c>
      <c r="BY1926" s="344"/>
      <c r="BZ1926" s="347"/>
      <c r="CA1926" s="347" t="s">
        <v>1678</v>
      </c>
      <c r="CB1926" s="348" t="s">
        <v>1679</v>
      </c>
    </row>
    <row r="1927" spans="1:84" ht="15" customHeight="1" x14ac:dyDescent="0.25">
      <c r="A1927" s="313"/>
      <c r="B1927" s="340"/>
      <c r="C1927" s="1328" t="s">
        <v>1919</v>
      </c>
      <c r="D1927" s="1320"/>
      <c r="E1927" s="1320"/>
      <c r="F1927" s="1320"/>
      <c r="G1927" s="1320"/>
      <c r="H1927" s="1320"/>
      <c r="I1927" s="1320"/>
      <c r="J1927" s="1320"/>
      <c r="K1927" s="1320"/>
      <c r="L1927" s="1320"/>
      <c r="M1927" s="1320"/>
      <c r="N1927" s="776"/>
      <c r="O1927" s="1320"/>
      <c r="P1927" s="1320"/>
      <c r="Q1927" s="1320"/>
      <c r="R1927" s="1320"/>
      <c r="S1927" s="1320"/>
      <c r="T1927" s="1320"/>
      <c r="U1927" s="1320"/>
      <c r="V1927" s="341"/>
      <c r="W1927" s="1318">
        <v>14987500</v>
      </c>
      <c r="X1927" s="1318"/>
      <c r="Y1927" s="1318"/>
      <c r="Z1927" s="1318"/>
      <c r="AA1927" s="1318"/>
      <c r="AB1927" s="1318"/>
      <c r="AC1927" s="355"/>
      <c r="AD1927" s="1318">
        <v>15840000</v>
      </c>
      <c r="AE1927" s="1318"/>
      <c r="AF1927" s="1318"/>
      <c r="AG1927" s="1318"/>
      <c r="AH1927" s="1318"/>
      <c r="AI1927" s="1318"/>
      <c r="AJ1927" s="344"/>
      <c r="AK1927" s="345"/>
      <c r="AL1927" s="340"/>
      <c r="AM1927" s="1328" t="s">
        <v>1920</v>
      </c>
      <c r="AN1927" s="1320"/>
      <c r="AO1927" s="1320"/>
      <c r="AP1927" s="1320"/>
      <c r="AQ1927" s="1320"/>
      <c r="AR1927" s="1320"/>
      <c r="AS1927" s="1320"/>
      <c r="AT1927" s="1320"/>
      <c r="AU1927" s="1320"/>
      <c r="AV1927" s="1320"/>
      <c r="AW1927" s="1320"/>
      <c r="AX1927" s="776"/>
      <c r="AY1927" s="1320" t="s">
        <v>1921</v>
      </c>
      <c r="AZ1927" s="1320"/>
      <c r="BA1927" s="1320"/>
      <c r="BB1927" s="1320"/>
      <c r="BC1927" s="1320"/>
      <c r="BD1927" s="1320"/>
      <c r="BE1927" s="1320"/>
      <c r="BF1927" s="341"/>
      <c r="BG1927" s="1318">
        <f t="shared" ref="BG1927:BG1940" si="139">W1927</f>
        <v>14987500</v>
      </c>
      <c r="BH1927" s="1318"/>
      <c r="BI1927" s="1318"/>
      <c r="BJ1927" s="1318"/>
      <c r="BK1927" s="1318"/>
      <c r="BL1927" s="1318"/>
      <c r="BM1927" s="355"/>
      <c r="BN1927" s="1318">
        <f t="shared" ref="BN1927:BN1940" si="140">AD1927</f>
        <v>15840000</v>
      </c>
      <c r="BO1927" s="1318"/>
      <c r="BP1927" s="1318"/>
      <c r="BQ1927" s="1318"/>
      <c r="BR1927" s="1318"/>
      <c r="BS1927" s="1318"/>
      <c r="BT1927" s="342"/>
      <c r="BU1927" s="346"/>
      <c r="BV1927" s="310"/>
      <c r="BW1927" s="310"/>
      <c r="BX1927" s="291">
        <f t="shared" si="138"/>
        <v>0</v>
      </c>
      <c r="BY1927" s="344"/>
      <c r="BZ1927" s="347">
        <f>SUM(CA1927:CB1927)</f>
        <v>0</v>
      </c>
      <c r="CA1927" s="347"/>
    </row>
    <row r="1928" spans="1:84" ht="15" customHeight="1" x14ac:dyDescent="0.25">
      <c r="A1928" s="313"/>
      <c r="B1928" s="340"/>
      <c r="C1928" s="1328" t="s">
        <v>1922</v>
      </c>
      <c r="D1928" s="1320"/>
      <c r="E1928" s="1320"/>
      <c r="F1928" s="1320"/>
      <c r="G1928" s="1320"/>
      <c r="H1928" s="1320"/>
      <c r="I1928" s="1320"/>
      <c r="J1928" s="1320"/>
      <c r="K1928" s="1320"/>
      <c r="L1928" s="1320"/>
      <c r="M1928" s="1320"/>
      <c r="N1928" s="775"/>
      <c r="O1928" s="1321"/>
      <c r="P1928" s="1321"/>
      <c r="Q1928" s="1321"/>
      <c r="R1928" s="1321"/>
      <c r="S1928" s="1321"/>
      <c r="T1928" s="1321"/>
      <c r="U1928" s="1321"/>
      <c r="V1928" s="389"/>
      <c r="W1928" s="1318">
        <v>223676200</v>
      </c>
      <c r="X1928" s="1318"/>
      <c r="Y1928" s="1318"/>
      <c r="Z1928" s="1318"/>
      <c r="AA1928" s="1318"/>
      <c r="AB1928" s="1318"/>
      <c r="AC1928" s="355"/>
      <c r="AD1928" s="1318">
        <v>194698900</v>
      </c>
      <c r="AE1928" s="1318"/>
      <c r="AF1928" s="1318"/>
      <c r="AG1928" s="1318"/>
      <c r="AH1928" s="1318"/>
      <c r="AI1928" s="1318"/>
      <c r="AJ1928" s="344"/>
      <c r="AK1928" s="345"/>
      <c r="AL1928" s="340"/>
      <c r="AM1928" s="1328" t="s">
        <v>918</v>
      </c>
      <c r="AN1928" s="1320"/>
      <c r="AO1928" s="1320"/>
      <c r="AP1928" s="1320"/>
      <c r="AQ1928" s="1320"/>
      <c r="AR1928" s="1320"/>
      <c r="AS1928" s="1320"/>
      <c r="AT1928" s="1320"/>
      <c r="AU1928" s="1320"/>
      <c r="AV1928" s="1320"/>
      <c r="AW1928" s="1320"/>
      <c r="AX1928" s="775"/>
      <c r="AY1928" s="1321" t="s">
        <v>1921</v>
      </c>
      <c r="AZ1928" s="1321"/>
      <c r="BA1928" s="1321"/>
      <c r="BB1928" s="1321"/>
      <c r="BC1928" s="1321"/>
      <c r="BD1928" s="1321"/>
      <c r="BE1928" s="1321"/>
      <c r="BF1928" s="389"/>
      <c r="BG1928" s="1318">
        <f t="shared" si="139"/>
        <v>223676200</v>
      </c>
      <c r="BH1928" s="1318"/>
      <c r="BI1928" s="1318"/>
      <c r="BJ1928" s="1318"/>
      <c r="BK1928" s="1318"/>
      <c r="BL1928" s="1318"/>
      <c r="BM1928" s="355"/>
      <c r="BN1928" s="1318">
        <f t="shared" si="140"/>
        <v>194698900</v>
      </c>
      <c r="BO1928" s="1318"/>
      <c r="BP1928" s="1318"/>
      <c r="BQ1928" s="1318"/>
      <c r="BR1928" s="1318"/>
      <c r="BS1928" s="1318"/>
      <c r="BT1928" s="342"/>
      <c r="BU1928" s="346"/>
      <c r="BV1928" s="310"/>
      <c r="BW1928" s="310"/>
      <c r="BX1928" s="291">
        <f t="shared" si="138"/>
        <v>0</v>
      </c>
      <c r="BY1928" s="344"/>
      <c r="BZ1928" s="347">
        <f>SUM(CA1928:CB1928)</f>
        <v>0</v>
      </c>
      <c r="CA1928" s="347"/>
    </row>
    <row r="1929" spans="1:84" ht="15" customHeight="1" x14ac:dyDescent="0.25">
      <c r="A1929" s="313"/>
      <c r="B1929" s="340"/>
      <c r="C1929" s="1336" t="s">
        <v>1923</v>
      </c>
      <c r="D1929" s="1336"/>
      <c r="E1929" s="1336"/>
      <c r="F1929" s="1336"/>
      <c r="G1929" s="1336"/>
      <c r="H1929" s="1336"/>
      <c r="I1929" s="1336"/>
      <c r="J1929" s="1336"/>
      <c r="K1929" s="1336"/>
      <c r="L1929" s="1336"/>
      <c r="M1929" s="342"/>
      <c r="N1929" s="342"/>
      <c r="O1929" s="1321" t="s">
        <v>1924</v>
      </c>
      <c r="P1929" s="1321"/>
      <c r="Q1929" s="1321"/>
      <c r="R1929" s="1321"/>
      <c r="S1929" s="1321"/>
      <c r="T1929" s="1321"/>
      <c r="U1929" s="1321"/>
      <c r="V1929" s="342"/>
      <c r="W1929" s="1318"/>
      <c r="X1929" s="1318"/>
      <c r="Y1929" s="1318"/>
      <c r="Z1929" s="1318"/>
      <c r="AA1929" s="1318"/>
      <c r="AB1929" s="1318"/>
      <c r="AC1929" s="355"/>
      <c r="AD1929" s="1318"/>
      <c r="AE1929" s="1318"/>
      <c r="AF1929" s="1318"/>
      <c r="AG1929" s="1318"/>
      <c r="AH1929" s="1318"/>
      <c r="AI1929" s="1318"/>
      <c r="AJ1929" s="344"/>
      <c r="AK1929" s="345"/>
      <c r="AL1929" s="340"/>
      <c r="AM1929" s="1336" t="s">
        <v>1918</v>
      </c>
      <c r="AN1929" s="1336"/>
      <c r="AO1929" s="1336"/>
      <c r="AP1929" s="1336"/>
      <c r="AQ1929" s="1336"/>
      <c r="AR1929" s="1336"/>
      <c r="AS1929" s="1336"/>
      <c r="AT1929" s="1336"/>
      <c r="AU1929" s="1336"/>
      <c r="AV1929" s="1336"/>
      <c r="AW1929" s="342"/>
      <c r="AX1929" s="342"/>
      <c r="AY1929" s="1321"/>
      <c r="AZ1929" s="1321"/>
      <c r="BA1929" s="1321"/>
      <c r="BB1929" s="1321"/>
      <c r="BC1929" s="1321"/>
      <c r="BD1929" s="1321"/>
      <c r="BE1929" s="1321"/>
      <c r="BF1929" s="342"/>
      <c r="BG1929" s="1318"/>
      <c r="BH1929" s="1318"/>
      <c r="BI1929" s="1318"/>
      <c r="BJ1929" s="1318"/>
      <c r="BK1929" s="1318"/>
      <c r="BL1929" s="1318"/>
      <c r="BM1929" s="355"/>
      <c r="BN1929" s="1318"/>
      <c r="BO1929" s="1318"/>
      <c r="BP1929" s="1318"/>
      <c r="BQ1929" s="1318"/>
      <c r="BR1929" s="1318"/>
      <c r="BS1929" s="1318"/>
      <c r="BT1929" s="342"/>
      <c r="BU1929" s="346"/>
      <c r="BV1929" s="310"/>
      <c r="BW1929" s="310"/>
      <c r="BX1929" s="291">
        <f t="shared" si="138"/>
        <v>0</v>
      </c>
      <c r="BY1929" s="344"/>
      <c r="BZ1929" s="347"/>
      <c r="CA1929" s="347"/>
    </row>
    <row r="1930" spans="1:84" ht="15" customHeight="1" x14ac:dyDescent="0.25">
      <c r="A1930" s="313"/>
      <c r="B1930" s="340"/>
      <c r="C1930" s="1328" t="s">
        <v>1925</v>
      </c>
      <c r="D1930" s="1320"/>
      <c r="E1930" s="1320"/>
      <c r="F1930" s="1320"/>
      <c r="G1930" s="1320"/>
      <c r="H1930" s="1320"/>
      <c r="I1930" s="1320"/>
      <c r="J1930" s="1320"/>
      <c r="K1930" s="1320"/>
      <c r="L1930" s="1320"/>
      <c r="M1930" s="1320"/>
      <c r="N1930" s="776"/>
      <c r="O1930" s="1320"/>
      <c r="P1930" s="1320"/>
      <c r="Q1930" s="1320"/>
      <c r="R1930" s="1320"/>
      <c r="S1930" s="1320"/>
      <c r="T1930" s="1320"/>
      <c r="U1930" s="1320"/>
      <c r="V1930" s="341"/>
      <c r="W1930" s="1318">
        <v>247500000</v>
      </c>
      <c r="X1930" s="1318"/>
      <c r="Y1930" s="1318"/>
      <c r="Z1930" s="1318"/>
      <c r="AA1930" s="1318"/>
      <c r="AB1930" s="1318"/>
      <c r="AC1930" s="355"/>
      <c r="AD1930" s="1318">
        <v>0</v>
      </c>
      <c r="AE1930" s="1318"/>
      <c r="AF1930" s="1318"/>
      <c r="AG1930" s="1318"/>
      <c r="AH1930" s="1318"/>
      <c r="AI1930" s="1318"/>
      <c r="AJ1930" s="344"/>
      <c r="AK1930" s="345"/>
      <c r="AL1930" s="340"/>
      <c r="AM1930" s="1328" t="s">
        <v>1920</v>
      </c>
      <c r="AN1930" s="1320"/>
      <c r="AO1930" s="1320"/>
      <c r="AP1930" s="1320"/>
      <c r="AQ1930" s="1320"/>
      <c r="AR1930" s="1320"/>
      <c r="AS1930" s="1320"/>
      <c r="AT1930" s="1320"/>
      <c r="AU1930" s="1320"/>
      <c r="AV1930" s="1320"/>
      <c r="AW1930" s="1320"/>
      <c r="AX1930" s="776"/>
      <c r="AY1930" s="1320" t="s">
        <v>1921</v>
      </c>
      <c r="AZ1930" s="1320"/>
      <c r="BA1930" s="1320"/>
      <c r="BB1930" s="1320"/>
      <c r="BC1930" s="1320"/>
      <c r="BD1930" s="1320"/>
      <c r="BE1930" s="1320"/>
      <c r="BF1930" s="341"/>
      <c r="BG1930" s="1318">
        <f t="shared" si="139"/>
        <v>247500000</v>
      </c>
      <c r="BH1930" s="1318"/>
      <c r="BI1930" s="1318"/>
      <c r="BJ1930" s="1318"/>
      <c r="BK1930" s="1318"/>
      <c r="BL1930" s="1318"/>
      <c r="BM1930" s="355"/>
      <c r="BN1930" s="1318">
        <f t="shared" si="140"/>
        <v>0</v>
      </c>
      <c r="BO1930" s="1318"/>
      <c r="BP1930" s="1318"/>
      <c r="BQ1930" s="1318"/>
      <c r="BR1930" s="1318"/>
      <c r="BS1930" s="1318"/>
      <c r="BT1930" s="342"/>
      <c r="BU1930" s="346"/>
      <c r="BV1930" s="310"/>
      <c r="BW1930" s="310"/>
      <c r="BX1930" s="291">
        <f t="shared" si="138"/>
        <v>0</v>
      </c>
      <c r="BY1930" s="344"/>
      <c r="BZ1930" s="347"/>
      <c r="CA1930" s="347">
        <v>7500000</v>
      </c>
    </row>
    <row r="1931" spans="1:84" ht="15" hidden="1" customHeight="1" x14ac:dyDescent="0.25">
      <c r="A1931" s="313"/>
      <c r="B1931" s="340"/>
      <c r="C1931" s="1328" t="s">
        <v>918</v>
      </c>
      <c r="D1931" s="1320"/>
      <c r="E1931" s="1320"/>
      <c r="F1931" s="1320"/>
      <c r="G1931" s="1320"/>
      <c r="H1931" s="1320"/>
      <c r="I1931" s="1320"/>
      <c r="J1931" s="1320"/>
      <c r="K1931" s="1320"/>
      <c r="L1931" s="1320"/>
      <c r="M1931" s="1320"/>
      <c r="N1931" s="775"/>
      <c r="O1931" s="1320" t="s">
        <v>1389</v>
      </c>
      <c r="P1931" s="1320"/>
      <c r="Q1931" s="1320"/>
      <c r="R1931" s="1320"/>
      <c r="S1931" s="1320"/>
      <c r="T1931" s="1320"/>
      <c r="U1931" s="1320"/>
      <c r="V1931" s="342"/>
      <c r="W1931" s="1318">
        <v>0</v>
      </c>
      <c r="X1931" s="1318"/>
      <c r="Y1931" s="1318"/>
      <c r="Z1931" s="1318"/>
      <c r="AA1931" s="1318"/>
      <c r="AB1931" s="1318"/>
      <c r="AC1931" s="355"/>
      <c r="AD1931" s="1318">
        <v>0</v>
      </c>
      <c r="AE1931" s="1318"/>
      <c r="AF1931" s="1318"/>
      <c r="AG1931" s="1318"/>
      <c r="AH1931" s="1318"/>
      <c r="AI1931" s="1318"/>
      <c r="AJ1931" s="344"/>
      <c r="AK1931" s="345"/>
      <c r="AL1931" s="340"/>
      <c r="AM1931" s="1328" t="s">
        <v>918</v>
      </c>
      <c r="AN1931" s="1320"/>
      <c r="AO1931" s="1320"/>
      <c r="AP1931" s="1320"/>
      <c r="AQ1931" s="1320"/>
      <c r="AR1931" s="1320"/>
      <c r="AS1931" s="1320"/>
      <c r="AT1931" s="1320"/>
      <c r="AU1931" s="1320"/>
      <c r="AV1931" s="1320"/>
      <c r="AW1931" s="1320"/>
      <c r="AX1931" s="775"/>
      <c r="AY1931" s="1320" t="s">
        <v>1926</v>
      </c>
      <c r="AZ1931" s="1320"/>
      <c r="BA1931" s="1320"/>
      <c r="BB1931" s="1320"/>
      <c r="BC1931" s="1320"/>
      <c r="BD1931" s="1320"/>
      <c r="BE1931" s="1320"/>
      <c r="BF1931" s="342"/>
      <c r="BG1931" s="1318">
        <f t="shared" si="139"/>
        <v>0</v>
      </c>
      <c r="BH1931" s="1318"/>
      <c r="BI1931" s="1318"/>
      <c r="BJ1931" s="1318"/>
      <c r="BK1931" s="1318"/>
      <c r="BL1931" s="1318"/>
      <c r="BM1931" s="355"/>
      <c r="BN1931" s="1318">
        <f t="shared" si="140"/>
        <v>0</v>
      </c>
      <c r="BO1931" s="1318"/>
      <c r="BP1931" s="1318"/>
      <c r="BQ1931" s="1318"/>
      <c r="BR1931" s="1318"/>
      <c r="BS1931" s="1318"/>
      <c r="BT1931" s="342"/>
      <c r="BU1931" s="346"/>
      <c r="BV1931" s="310"/>
      <c r="BW1931" s="310"/>
      <c r="BX1931" s="291">
        <f t="shared" si="138"/>
        <v>0</v>
      </c>
      <c r="BY1931" s="344"/>
      <c r="BZ1931" s="347"/>
      <c r="CA1931" s="347"/>
    </row>
    <row r="1932" spans="1:84" ht="15" hidden="1" customHeight="1" x14ac:dyDescent="0.25">
      <c r="A1932" s="313"/>
      <c r="B1932" s="340"/>
      <c r="C1932" s="1336" t="s">
        <v>1927</v>
      </c>
      <c r="D1932" s="1336"/>
      <c r="E1932" s="1336"/>
      <c r="F1932" s="1336"/>
      <c r="G1932" s="1336"/>
      <c r="H1932" s="1336"/>
      <c r="I1932" s="1336"/>
      <c r="J1932" s="1336"/>
      <c r="K1932" s="1336"/>
      <c r="L1932" s="1336"/>
      <c r="M1932" s="1335"/>
      <c r="N1932" s="1335"/>
      <c r="O1932" s="1335"/>
      <c r="P1932" s="1335"/>
      <c r="Q1932" s="1335"/>
      <c r="R1932" s="1335"/>
      <c r="S1932" s="1335"/>
      <c r="T1932" s="1335"/>
      <c r="U1932" s="342"/>
      <c r="V1932" s="342"/>
      <c r="W1932" s="1318"/>
      <c r="X1932" s="1318"/>
      <c r="Y1932" s="1318"/>
      <c r="Z1932" s="1318"/>
      <c r="AA1932" s="1318"/>
      <c r="AB1932" s="1318"/>
      <c r="AC1932" s="355"/>
      <c r="AD1932" s="1318"/>
      <c r="AE1932" s="1318"/>
      <c r="AF1932" s="1318"/>
      <c r="AG1932" s="1318"/>
      <c r="AH1932" s="1318"/>
      <c r="AI1932" s="1318"/>
      <c r="AJ1932" s="344"/>
      <c r="AK1932" s="345"/>
      <c r="AL1932" s="340"/>
      <c r="AM1932" s="1336" t="s">
        <v>1918</v>
      </c>
      <c r="AN1932" s="1336"/>
      <c r="AO1932" s="1336"/>
      <c r="AP1932" s="1336"/>
      <c r="AQ1932" s="1336"/>
      <c r="AR1932" s="1336"/>
      <c r="AS1932" s="1336"/>
      <c r="AT1932" s="1336"/>
      <c r="AU1932" s="1336"/>
      <c r="AV1932" s="1336"/>
      <c r="AW1932" s="1335"/>
      <c r="AX1932" s="1335"/>
      <c r="AY1932" s="1335"/>
      <c r="AZ1932" s="1335"/>
      <c r="BA1932" s="1335"/>
      <c r="BB1932" s="1335"/>
      <c r="BC1932" s="1335"/>
      <c r="BD1932" s="1335"/>
      <c r="BE1932" s="342"/>
      <c r="BF1932" s="342"/>
      <c r="BG1932" s="1318"/>
      <c r="BH1932" s="1318"/>
      <c r="BI1932" s="1318"/>
      <c r="BJ1932" s="1318"/>
      <c r="BK1932" s="1318"/>
      <c r="BL1932" s="1318"/>
      <c r="BM1932" s="355"/>
      <c r="BN1932" s="1318"/>
      <c r="BO1932" s="1318"/>
      <c r="BP1932" s="1318"/>
      <c r="BQ1932" s="1318"/>
      <c r="BR1932" s="1318"/>
      <c r="BS1932" s="1318"/>
      <c r="BT1932" s="342"/>
      <c r="BU1932" s="346"/>
      <c r="BV1932" s="310"/>
      <c r="BW1932" s="310"/>
      <c r="BX1932" s="291">
        <f t="shared" si="138"/>
        <v>0</v>
      </c>
      <c r="BY1932" s="344"/>
      <c r="BZ1932" s="347"/>
      <c r="CA1932" s="347"/>
    </row>
    <row r="1933" spans="1:84" ht="15" hidden="1" customHeight="1" x14ac:dyDescent="0.25">
      <c r="A1933" s="313"/>
      <c r="B1933" s="340"/>
      <c r="C1933" s="1328" t="s">
        <v>1920</v>
      </c>
      <c r="D1933" s="1320"/>
      <c r="E1933" s="1320"/>
      <c r="F1933" s="1320"/>
      <c r="G1933" s="1320"/>
      <c r="H1933" s="1320"/>
      <c r="I1933" s="1320"/>
      <c r="J1933" s="1320"/>
      <c r="K1933" s="1320"/>
      <c r="L1933" s="1320"/>
      <c r="M1933" s="1320"/>
      <c r="N1933" s="776"/>
      <c r="O1933" s="1320" t="s">
        <v>1389</v>
      </c>
      <c r="P1933" s="1320"/>
      <c r="Q1933" s="1320"/>
      <c r="R1933" s="1320"/>
      <c r="S1933" s="1320"/>
      <c r="T1933" s="1320"/>
      <c r="U1933" s="1320"/>
      <c r="V1933" s="341"/>
      <c r="W1933" s="1318">
        <v>0</v>
      </c>
      <c r="X1933" s="1318"/>
      <c r="Y1933" s="1318"/>
      <c r="Z1933" s="1318"/>
      <c r="AA1933" s="1318"/>
      <c r="AB1933" s="1318"/>
      <c r="AC1933" s="355"/>
      <c r="AD1933" s="1318">
        <v>0</v>
      </c>
      <c r="AE1933" s="1318"/>
      <c r="AF1933" s="1318"/>
      <c r="AG1933" s="1318"/>
      <c r="AH1933" s="1318"/>
      <c r="AI1933" s="1318"/>
      <c r="AJ1933" s="344"/>
      <c r="AK1933" s="345"/>
      <c r="AL1933" s="340"/>
      <c r="AM1933" s="1328" t="s">
        <v>1920</v>
      </c>
      <c r="AN1933" s="1320"/>
      <c r="AO1933" s="1320"/>
      <c r="AP1933" s="1320"/>
      <c r="AQ1933" s="1320"/>
      <c r="AR1933" s="1320"/>
      <c r="AS1933" s="1320"/>
      <c r="AT1933" s="1320"/>
      <c r="AU1933" s="1320"/>
      <c r="AV1933" s="1320"/>
      <c r="AW1933" s="1320"/>
      <c r="AX1933" s="776"/>
      <c r="AY1933" s="1320" t="s">
        <v>1921</v>
      </c>
      <c r="AZ1933" s="1320"/>
      <c r="BA1933" s="1320"/>
      <c r="BB1933" s="1320"/>
      <c r="BC1933" s="1320"/>
      <c r="BD1933" s="1320"/>
      <c r="BE1933" s="1320"/>
      <c r="BF1933" s="341"/>
      <c r="BG1933" s="1318">
        <f t="shared" si="139"/>
        <v>0</v>
      </c>
      <c r="BH1933" s="1318"/>
      <c r="BI1933" s="1318"/>
      <c r="BJ1933" s="1318"/>
      <c r="BK1933" s="1318"/>
      <c r="BL1933" s="1318"/>
      <c r="BM1933" s="355"/>
      <c r="BN1933" s="1318">
        <f t="shared" si="140"/>
        <v>0</v>
      </c>
      <c r="BO1933" s="1318"/>
      <c r="BP1933" s="1318"/>
      <c r="BQ1933" s="1318"/>
      <c r="BR1933" s="1318"/>
      <c r="BS1933" s="1318"/>
      <c r="BT1933" s="342"/>
      <c r="BU1933" s="346"/>
      <c r="BV1933" s="310"/>
      <c r="BW1933" s="310"/>
      <c r="BX1933" s="291">
        <f t="shared" si="138"/>
        <v>0</v>
      </c>
      <c r="BY1933" s="344"/>
      <c r="BZ1933" s="347"/>
      <c r="CA1933" s="347"/>
    </row>
    <row r="1934" spans="1:84" ht="15" hidden="1" customHeight="1" x14ac:dyDescent="0.25">
      <c r="A1934" s="313"/>
      <c r="B1934" s="340"/>
      <c r="C1934" s="1328" t="s">
        <v>918</v>
      </c>
      <c r="D1934" s="1320"/>
      <c r="E1934" s="1320"/>
      <c r="F1934" s="1320"/>
      <c r="G1934" s="1320"/>
      <c r="H1934" s="1320"/>
      <c r="I1934" s="1320"/>
      <c r="J1934" s="1320"/>
      <c r="K1934" s="1320"/>
      <c r="L1934" s="1320"/>
      <c r="M1934" s="1320"/>
      <c r="N1934" s="775"/>
      <c r="O1934" s="1320" t="s">
        <v>1389</v>
      </c>
      <c r="P1934" s="1320"/>
      <c r="Q1934" s="1320"/>
      <c r="R1934" s="1320"/>
      <c r="S1934" s="1320"/>
      <c r="T1934" s="1320"/>
      <c r="U1934" s="1320"/>
      <c r="V1934" s="342"/>
      <c r="W1934" s="1318">
        <v>0</v>
      </c>
      <c r="X1934" s="1318"/>
      <c r="Y1934" s="1318"/>
      <c r="Z1934" s="1318"/>
      <c r="AA1934" s="1318"/>
      <c r="AB1934" s="1318"/>
      <c r="AC1934" s="355"/>
      <c r="AD1934" s="1318">
        <v>0</v>
      </c>
      <c r="AE1934" s="1318"/>
      <c r="AF1934" s="1318"/>
      <c r="AG1934" s="1318"/>
      <c r="AH1934" s="1318"/>
      <c r="AI1934" s="1318"/>
      <c r="AJ1934" s="344"/>
      <c r="AK1934" s="345"/>
      <c r="AL1934" s="340"/>
      <c r="AM1934" s="1328" t="s">
        <v>918</v>
      </c>
      <c r="AN1934" s="1320"/>
      <c r="AO1934" s="1320"/>
      <c r="AP1934" s="1320"/>
      <c r="AQ1934" s="1320"/>
      <c r="AR1934" s="1320"/>
      <c r="AS1934" s="1320"/>
      <c r="AT1934" s="1320"/>
      <c r="AU1934" s="1320"/>
      <c r="AV1934" s="1320"/>
      <c r="AW1934" s="1320"/>
      <c r="AX1934" s="775"/>
      <c r="AY1934" s="1320" t="s">
        <v>1928</v>
      </c>
      <c r="AZ1934" s="1320"/>
      <c r="BA1934" s="1320"/>
      <c r="BB1934" s="1320"/>
      <c r="BC1934" s="1320"/>
      <c r="BD1934" s="1320"/>
      <c r="BE1934" s="1320"/>
      <c r="BF1934" s="342"/>
      <c r="BG1934" s="1318">
        <f t="shared" si="139"/>
        <v>0</v>
      </c>
      <c r="BH1934" s="1318"/>
      <c r="BI1934" s="1318"/>
      <c r="BJ1934" s="1318"/>
      <c r="BK1934" s="1318"/>
      <c r="BL1934" s="1318"/>
      <c r="BM1934" s="355"/>
      <c r="BN1934" s="1318">
        <f t="shared" si="140"/>
        <v>0</v>
      </c>
      <c r="BO1934" s="1318"/>
      <c r="BP1934" s="1318"/>
      <c r="BQ1934" s="1318"/>
      <c r="BR1934" s="1318"/>
      <c r="BS1934" s="1318"/>
      <c r="BT1934" s="342"/>
      <c r="BU1934" s="346"/>
      <c r="BV1934" s="310"/>
      <c r="BW1934" s="310"/>
      <c r="BX1934" s="291">
        <f t="shared" si="138"/>
        <v>0</v>
      </c>
      <c r="BY1934" s="344"/>
      <c r="BZ1934" s="347"/>
      <c r="CA1934" s="347"/>
    </row>
    <row r="1935" spans="1:84" ht="15" hidden="1" customHeight="1" x14ac:dyDescent="0.25">
      <c r="A1935" s="313"/>
      <c r="B1935" s="340"/>
      <c r="C1935" s="1336" t="s">
        <v>1927</v>
      </c>
      <c r="D1935" s="1336"/>
      <c r="E1935" s="1336"/>
      <c r="F1935" s="1336"/>
      <c r="G1935" s="1336"/>
      <c r="H1935" s="1336"/>
      <c r="I1935" s="1336"/>
      <c r="J1935" s="1336"/>
      <c r="K1935" s="1336"/>
      <c r="L1935" s="1336"/>
      <c r="M1935" s="1335"/>
      <c r="N1935" s="1335"/>
      <c r="O1935" s="1335"/>
      <c r="P1935" s="1335"/>
      <c r="Q1935" s="1335"/>
      <c r="R1935" s="1335"/>
      <c r="S1935" s="1335"/>
      <c r="T1935" s="1335"/>
      <c r="U1935" s="342"/>
      <c r="V1935" s="342"/>
      <c r="W1935" s="1318"/>
      <c r="X1935" s="1318"/>
      <c r="Y1935" s="1318"/>
      <c r="Z1935" s="1318"/>
      <c r="AA1935" s="1318"/>
      <c r="AB1935" s="1318"/>
      <c r="AC1935" s="355"/>
      <c r="AD1935" s="1318"/>
      <c r="AE1935" s="1318"/>
      <c r="AF1935" s="1318"/>
      <c r="AG1935" s="1318"/>
      <c r="AH1935" s="1318"/>
      <c r="AI1935" s="1318"/>
      <c r="AJ1935" s="344"/>
      <c r="AK1935" s="345"/>
      <c r="AL1935" s="340"/>
      <c r="AM1935" s="1336" t="s">
        <v>1918</v>
      </c>
      <c r="AN1935" s="1336"/>
      <c r="AO1935" s="1336"/>
      <c r="AP1935" s="1336"/>
      <c r="AQ1935" s="1336"/>
      <c r="AR1935" s="1336"/>
      <c r="AS1935" s="1336"/>
      <c r="AT1935" s="1336"/>
      <c r="AU1935" s="1336"/>
      <c r="AV1935" s="1336"/>
      <c r="AW1935" s="1335"/>
      <c r="AX1935" s="1335"/>
      <c r="AY1935" s="1335"/>
      <c r="AZ1935" s="1335"/>
      <c r="BA1935" s="1335"/>
      <c r="BB1935" s="1335"/>
      <c r="BC1935" s="1335"/>
      <c r="BD1935" s="1335"/>
      <c r="BE1935" s="342"/>
      <c r="BF1935" s="342"/>
      <c r="BG1935" s="1318"/>
      <c r="BH1935" s="1318"/>
      <c r="BI1935" s="1318"/>
      <c r="BJ1935" s="1318"/>
      <c r="BK1935" s="1318"/>
      <c r="BL1935" s="1318"/>
      <c r="BM1935" s="355"/>
      <c r="BN1935" s="1318"/>
      <c r="BO1935" s="1318"/>
      <c r="BP1935" s="1318"/>
      <c r="BQ1935" s="1318"/>
      <c r="BR1935" s="1318"/>
      <c r="BS1935" s="1318"/>
      <c r="BT1935" s="342"/>
      <c r="BU1935" s="346"/>
      <c r="BV1935" s="310"/>
      <c r="BW1935" s="310"/>
      <c r="BX1935" s="291">
        <f t="shared" si="138"/>
        <v>0</v>
      </c>
      <c r="BY1935" s="344"/>
      <c r="BZ1935" s="347"/>
      <c r="CA1935" s="347"/>
    </row>
    <row r="1936" spans="1:84" ht="15" hidden="1" customHeight="1" x14ac:dyDescent="0.25">
      <c r="A1936" s="313"/>
      <c r="B1936" s="340"/>
      <c r="C1936" s="1328" t="s">
        <v>1929</v>
      </c>
      <c r="D1936" s="1320"/>
      <c r="E1936" s="1320"/>
      <c r="F1936" s="1320"/>
      <c r="G1936" s="1320"/>
      <c r="H1936" s="1320"/>
      <c r="I1936" s="1320"/>
      <c r="J1936" s="1320"/>
      <c r="K1936" s="1320"/>
      <c r="L1936" s="1320"/>
      <c r="M1936" s="1320"/>
      <c r="N1936" s="776"/>
      <c r="O1936" s="1320" t="s">
        <v>1930</v>
      </c>
      <c r="P1936" s="1320"/>
      <c r="Q1936" s="1320"/>
      <c r="R1936" s="1320"/>
      <c r="S1936" s="1320"/>
      <c r="T1936" s="1320"/>
      <c r="U1936" s="1320"/>
      <c r="V1936" s="341"/>
      <c r="W1936" s="1318">
        <v>0</v>
      </c>
      <c r="X1936" s="1318"/>
      <c r="Y1936" s="1318"/>
      <c r="Z1936" s="1318"/>
      <c r="AA1936" s="1318"/>
      <c r="AB1936" s="1318"/>
      <c r="AC1936" s="355"/>
      <c r="AD1936" s="1318">
        <v>0</v>
      </c>
      <c r="AE1936" s="1318"/>
      <c r="AF1936" s="1318"/>
      <c r="AG1936" s="1318"/>
      <c r="AH1936" s="1318"/>
      <c r="AI1936" s="1318"/>
      <c r="AJ1936" s="344"/>
      <c r="AK1936" s="345"/>
      <c r="AL1936" s="340"/>
      <c r="AM1936" s="1328" t="s">
        <v>1929</v>
      </c>
      <c r="AN1936" s="1320"/>
      <c r="AO1936" s="1320"/>
      <c r="AP1936" s="1320"/>
      <c r="AQ1936" s="1320"/>
      <c r="AR1936" s="1320"/>
      <c r="AS1936" s="1320"/>
      <c r="AT1936" s="1320"/>
      <c r="AU1936" s="1320"/>
      <c r="AV1936" s="1320"/>
      <c r="AW1936" s="1320"/>
      <c r="AX1936" s="776"/>
      <c r="AY1936" s="1320" t="s">
        <v>1931</v>
      </c>
      <c r="AZ1936" s="1320"/>
      <c r="BA1936" s="1320"/>
      <c r="BB1936" s="1320"/>
      <c r="BC1936" s="1320"/>
      <c r="BD1936" s="1320"/>
      <c r="BE1936" s="1320"/>
      <c r="BF1936" s="341"/>
      <c r="BG1936" s="1318">
        <f t="shared" si="139"/>
        <v>0</v>
      </c>
      <c r="BH1936" s="1318"/>
      <c r="BI1936" s="1318"/>
      <c r="BJ1936" s="1318"/>
      <c r="BK1936" s="1318"/>
      <c r="BL1936" s="1318"/>
      <c r="BM1936" s="355"/>
      <c r="BN1936" s="1318">
        <f t="shared" si="140"/>
        <v>0</v>
      </c>
      <c r="BO1936" s="1318"/>
      <c r="BP1936" s="1318"/>
      <c r="BQ1936" s="1318"/>
      <c r="BR1936" s="1318"/>
      <c r="BS1936" s="1318"/>
      <c r="BT1936" s="342"/>
      <c r="BU1936" s="346"/>
      <c r="BV1936" s="310"/>
      <c r="BW1936" s="310"/>
      <c r="BX1936" s="291">
        <f t="shared" si="138"/>
        <v>0</v>
      </c>
      <c r="BY1936" s="344"/>
      <c r="BZ1936" s="347"/>
      <c r="CA1936" s="347"/>
    </row>
    <row r="1937" spans="1:84" ht="15" hidden="1" customHeight="1" x14ac:dyDescent="0.25">
      <c r="A1937" s="313"/>
      <c r="B1937" s="340"/>
      <c r="C1937" s="1328" t="s">
        <v>1932</v>
      </c>
      <c r="D1937" s="1320"/>
      <c r="E1937" s="1320"/>
      <c r="F1937" s="1320"/>
      <c r="G1937" s="1320"/>
      <c r="H1937" s="1320"/>
      <c r="I1937" s="1320"/>
      <c r="J1937" s="1320"/>
      <c r="K1937" s="1320"/>
      <c r="L1937" s="1320"/>
      <c r="M1937" s="1320"/>
      <c r="N1937" s="775"/>
      <c r="O1937" s="1320" t="s">
        <v>1933</v>
      </c>
      <c r="P1937" s="1320"/>
      <c r="Q1937" s="1320"/>
      <c r="R1937" s="1320"/>
      <c r="S1937" s="1320"/>
      <c r="T1937" s="1320"/>
      <c r="U1937" s="1320"/>
      <c r="V1937" s="342"/>
      <c r="W1937" s="1318">
        <v>0</v>
      </c>
      <c r="X1937" s="1318"/>
      <c r="Y1937" s="1318"/>
      <c r="Z1937" s="1318"/>
      <c r="AA1937" s="1318"/>
      <c r="AB1937" s="1318"/>
      <c r="AC1937" s="355"/>
      <c r="AD1937" s="1318">
        <v>0</v>
      </c>
      <c r="AE1937" s="1318"/>
      <c r="AF1937" s="1318"/>
      <c r="AG1937" s="1318"/>
      <c r="AH1937" s="1318"/>
      <c r="AI1937" s="1318"/>
      <c r="AJ1937" s="344"/>
      <c r="AK1937" s="345"/>
      <c r="AL1937" s="340"/>
      <c r="AM1937" s="1328" t="s">
        <v>1932</v>
      </c>
      <c r="AN1937" s="1320"/>
      <c r="AO1937" s="1320"/>
      <c r="AP1937" s="1320"/>
      <c r="AQ1937" s="1320"/>
      <c r="AR1937" s="1320"/>
      <c r="AS1937" s="1320"/>
      <c r="AT1937" s="1320"/>
      <c r="AU1937" s="1320"/>
      <c r="AV1937" s="1320"/>
      <c r="AW1937" s="1320"/>
      <c r="AX1937" s="775"/>
      <c r="AY1937" s="1320" t="s">
        <v>1934</v>
      </c>
      <c r="AZ1937" s="1320"/>
      <c r="BA1937" s="1320"/>
      <c r="BB1937" s="1320"/>
      <c r="BC1937" s="1320"/>
      <c r="BD1937" s="1320"/>
      <c r="BE1937" s="1320"/>
      <c r="BF1937" s="342"/>
      <c r="BG1937" s="1318">
        <f t="shared" si="139"/>
        <v>0</v>
      </c>
      <c r="BH1937" s="1318"/>
      <c r="BI1937" s="1318"/>
      <c r="BJ1937" s="1318"/>
      <c r="BK1937" s="1318"/>
      <c r="BL1937" s="1318"/>
      <c r="BM1937" s="355"/>
      <c r="BN1937" s="1318">
        <f t="shared" si="140"/>
        <v>0</v>
      </c>
      <c r="BO1937" s="1318"/>
      <c r="BP1937" s="1318"/>
      <c r="BQ1937" s="1318"/>
      <c r="BR1937" s="1318"/>
      <c r="BS1937" s="1318"/>
      <c r="BT1937" s="342"/>
      <c r="BU1937" s="346"/>
      <c r="BV1937" s="310"/>
      <c r="BW1937" s="310"/>
      <c r="BX1937" s="291">
        <f t="shared" si="138"/>
        <v>0</v>
      </c>
      <c r="BY1937" s="344"/>
      <c r="BZ1937" s="347"/>
      <c r="CA1937" s="347"/>
    </row>
    <row r="1938" spans="1:84" ht="15" hidden="1" customHeight="1" x14ac:dyDescent="0.25">
      <c r="A1938" s="313"/>
      <c r="B1938" s="340"/>
      <c r="C1938" s="1334" t="s">
        <v>1927</v>
      </c>
      <c r="D1938" s="1334"/>
      <c r="E1938" s="1334"/>
      <c r="F1938" s="1334"/>
      <c r="G1938" s="1334"/>
      <c r="H1938" s="1334"/>
      <c r="I1938" s="1334"/>
      <c r="J1938" s="1334"/>
      <c r="K1938" s="1334"/>
      <c r="L1938" s="1334"/>
      <c r="M1938" s="1335"/>
      <c r="N1938" s="1335"/>
      <c r="O1938" s="1335"/>
      <c r="P1938" s="1335"/>
      <c r="Q1938" s="1335"/>
      <c r="R1938" s="1335"/>
      <c r="S1938" s="1335"/>
      <c r="T1938" s="1335"/>
      <c r="U1938" s="342"/>
      <c r="V1938" s="342"/>
      <c r="W1938" s="1318"/>
      <c r="X1938" s="1318"/>
      <c r="Y1938" s="1318"/>
      <c r="Z1938" s="1318"/>
      <c r="AA1938" s="1318"/>
      <c r="AB1938" s="1318"/>
      <c r="AC1938" s="355"/>
      <c r="AD1938" s="1318"/>
      <c r="AE1938" s="1318"/>
      <c r="AF1938" s="1318"/>
      <c r="AG1938" s="1318"/>
      <c r="AH1938" s="1318"/>
      <c r="AI1938" s="1318"/>
      <c r="AJ1938" s="344"/>
      <c r="AK1938" s="345"/>
      <c r="AL1938" s="340"/>
      <c r="AM1938" s="1336" t="s">
        <v>1918</v>
      </c>
      <c r="AN1938" s="1336"/>
      <c r="AO1938" s="1336"/>
      <c r="AP1938" s="1336"/>
      <c r="AQ1938" s="1336"/>
      <c r="AR1938" s="1336"/>
      <c r="AS1938" s="1336"/>
      <c r="AT1938" s="1336"/>
      <c r="AU1938" s="1336"/>
      <c r="AV1938" s="1336"/>
      <c r="AW1938" s="1335"/>
      <c r="AX1938" s="1335"/>
      <c r="AY1938" s="1335"/>
      <c r="AZ1938" s="1335"/>
      <c r="BA1938" s="1335"/>
      <c r="BB1938" s="1335"/>
      <c r="BC1938" s="1335"/>
      <c r="BD1938" s="1335"/>
      <c r="BE1938" s="342"/>
      <c r="BF1938" s="342"/>
      <c r="BG1938" s="1318"/>
      <c r="BH1938" s="1318"/>
      <c r="BI1938" s="1318"/>
      <c r="BJ1938" s="1318"/>
      <c r="BK1938" s="1318"/>
      <c r="BL1938" s="1318"/>
      <c r="BM1938" s="355"/>
      <c r="BN1938" s="1318"/>
      <c r="BO1938" s="1318"/>
      <c r="BP1938" s="1318"/>
      <c r="BQ1938" s="1318"/>
      <c r="BR1938" s="1318"/>
      <c r="BS1938" s="1318"/>
      <c r="BT1938" s="342"/>
      <c r="BU1938" s="346"/>
      <c r="BV1938" s="310"/>
      <c r="BW1938" s="310"/>
      <c r="BX1938" s="291">
        <f t="shared" si="138"/>
        <v>0</v>
      </c>
      <c r="BY1938" s="344"/>
      <c r="BZ1938" s="347"/>
      <c r="CA1938" s="347"/>
    </row>
    <row r="1939" spans="1:84" ht="15" hidden="1" customHeight="1" x14ac:dyDescent="0.25">
      <c r="A1939" s="313"/>
      <c r="B1939" s="340"/>
      <c r="C1939" s="1328" t="s">
        <v>1935</v>
      </c>
      <c r="D1939" s="1320"/>
      <c r="E1939" s="1320"/>
      <c r="F1939" s="1320"/>
      <c r="G1939" s="1320"/>
      <c r="H1939" s="1320"/>
      <c r="I1939" s="1320"/>
      <c r="J1939" s="1320"/>
      <c r="K1939" s="1320"/>
      <c r="L1939" s="1320"/>
      <c r="M1939" s="1320"/>
      <c r="N1939" s="776"/>
      <c r="O1939" s="1320" t="s">
        <v>1936</v>
      </c>
      <c r="P1939" s="1320"/>
      <c r="Q1939" s="1320"/>
      <c r="R1939" s="1320"/>
      <c r="S1939" s="1320"/>
      <c r="T1939" s="1320"/>
      <c r="U1939" s="1320"/>
      <c r="V1939" s="341"/>
      <c r="W1939" s="1318">
        <v>0</v>
      </c>
      <c r="X1939" s="1318"/>
      <c r="Y1939" s="1318"/>
      <c r="Z1939" s="1318"/>
      <c r="AA1939" s="1318"/>
      <c r="AB1939" s="1318"/>
      <c r="AC1939" s="355"/>
      <c r="AD1939" s="1318">
        <v>0</v>
      </c>
      <c r="AE1939" s="1318"/>
      <c r="AF1939" s="1318"/>
      <c r="AG1939" s="1318"/>
      <c r="AH1939" s="1318"/>
      <c r="AI1939" s="1318"/>
      <c r="AJ1939" s="344"/>
      <c r="AK1939" s="345"/>
      <c r="AL1939" s="340"/>
      <c r="AM1939" s="1328" t="s">
        <v>1935</v>
      </c>
      <c r="AN1939" s="1320"/>
      <c r="AO1939" s="1320"/>
      <c r="AP1939" s="1320"/>
      <c r="AQ1939" s="1320"/>
      <c r="AR1939" s="1320"/>
      <c r="AS1939" s="1320"/>
      <c r="AT1939" s="1320"/>
      <c r="AU1939" s="1320"/>
      <c r="AV1939" s="1320"/>
      <c r="AW1939" s="1320"/>
      <c r="AX1939" s="776"/>
      <c r="AY1939" s="1320" t="s">
        <v>1931</v>
      </c>
      <c r="AZ1939" s="1320"/>
      <c r="BA1939" s="1320"/>
      <c r="BB1939" s="1320"/>
      <c r="BC1939" s="1320"/>
      <c r="BD1939" s="1320"/>
      <c r="BE1939" s="1320"/>
      <c r="BF1939" s="341"/>
      <c r="BG1939" s="1318">
        <f t="shared" si="139"/>
        <v>0</v>
      </c>
      <c r="BH1939" s="1318"/>
      <c r="BI1939" s="1318"/>
      <c r="BJ1939" s="1318"/>
      <c r="BK1939" s="1318"/>
      <c r="BL1939" s="1318"/>
      <c r="BM1939" s="355"/>
      <c r="BN1939" s="1318">
        <f t="shared" si="140"/>
        <v>0</v>
      </c>
      <c r="BO1939" s="1318"/>
      <c r="BP1939" s="1318"/>
      <c r="BQ1939" s="1318"/>
      <c r="BR1939" s="1318"/>
      <c r="BS1939" s="1318"/>
      <c r="BT1939" s="342"/>
      <c r="BU1939" s="346"/>
      <c r="BV1939" s="310"/>
      <c r="BW1939" s="310"/>
      <c r="BX1939" s="291">
        <f t="shared" si="138"/>
        <v>0</v>
      </c>
      <c r="BY1939" s="344"/>
      <c r="BZ1939" s="347"/>
      <c r="CA1939" s="347"/>
    </row>
    <row r="1940" spans="1:84" ht="15" hidden="1" customHeight="1" x14ac:dyDescent="0.25">
      <c r="A1940" s="313"/>
      <c r="B1940" s="340"/>
      <c r="C1940" s="1328" t="s">
        <v>1937</v>
      </c>
      <c r="D1940" s="1320"/>
      <c r="E1940" s="1320"/>
      <c r="F1940" s="1320"/>
      <c r="G1940" s="1320"/>
      <c r="H1940" s="1320"/>
      <c r="I1940" s="1320"/>
      <c r="J1940" s="1320"/>
      <c r="K1940" s="1320"/>
      <c r="L1940" s="1320"/>
      <c r="M1940" s="1320"/>
      <c r="N1940" s="775"/>
      <c r="O1940" s="1320" t="s">
        <v>1933</v>
      </c>
      <c r="P1940" s="1320"/>
      <c r="Q1940" s="1320"/>
      <c r="R1940" s="1320"/>
      <c r="S1940" s="1320"/>
      <c r="T1940" s="1320"/>
      <c r="U1940" s="1320"/>
      <c r="V1940" s="342"/>
      <c r="W1940" s="1318">
        <v>0</v>
      </c>
      <c r="X1940" s="1318"/>
      <c r="Y1940" s="1318"/>
      <c r="Z1940" s="1318"/>
      <c r="AA1940" s="1318"/>
      <c r="AB1940" s="1318"/>
      <c r="AC1940" s="355"/>
      <c r="AD1940" s="1318">
        <v>0</v>
      </c>
      <c r="AE1940" s="1318"/>
      <c r="AF1940" s="1318"/>
      <c r="AG1940" s="1318"/>
      <c r="AH1940" s="1318"/>
      <c r="AI1940" s="1318"/>
      <c r="AJ1940" s="344"/>
      <c r="AK1940" s="345"/>
      <c r="AL1940" s="340"/>
      <c r="AM1940" s="1328" t="s">
        <v>1937</v>
      </c>
      <c r="AN1940" s="1320"/>
      <c r="AO1940" s="1320"/>
      <c r="AP1940" s="1320"/>
      <c r="AQ1940" s="1320"/>
      <c r="AR1940" s="1320"/>
      <c r="AS1940" s="1320"/>
      <c r="AT1940" s="1320"/>
      <c r="AU1940" s="1320"/>
      <c r="AV1940" s="1320"/>
      <c r="AW1940" s="1320"/>
      <c r="AX1940" s="775"/>
      <c r="AY1940" s="1320" t="s">
        <v>1934</v>
      </c>
      <c r="AZ1940" s="1320"/>
      <c r="BA1940" s="1320"/>
      <c r="BB1940" s="1320"/>
      <c r="BC1940" s="1320"/>
      <c r="BD1940" s="1320"/>
      <c r="BE1940" s="1320"/>
      <c r="BF1940" s="342"/>
      <c r="BG1940" s="1318">
        <f t="shared" si="139"/>
        <v>0</v>
      </c>
      <c r="BH1940" s="1318"/>
      <c r="BI1940" s="1318"/>
      <c r="BJ1940" s="1318"/>
      <c r="BK1940" s="1318"/>
      <c r="BL1940" s="1318"/>
      <c r="BM1940" s="355"/>
      <c r="BN1940" s="1318">
        <f t="shared" si="140"/>
        <v>0</v>
      </c>
      <c r="BO1940" s="1318"/>
      <c r="BP1940" s="1318"/>
      <c r="BQ1940" s="1318"/>
      <c r="BR1940" s="1318"/>
      <c r="BS1940" s="1318"/>
      <c r="BT1940" s="342"/>
      <c r="BU1940" s="346"/>
      <c r="BV1940" s="310"/>
      <c r="BW1940" s="310"/>
      <c r="BX1940" s="291">
        <f t="shared" si="138"/>
        <v>0</v>
      </c>
      <c r="BY1940" s="344"/>
      <c r="BZ1940" s="347"/>
      <c r="CA1940" s="347"/>
    </row>
    <row r="1941" spans="1:84" ht="12.95" customHeight="1" x14ac:dyDescent="0.25">
      <c r="A1941" s="313"/>
      <c r="B1941" s="340"/>
      <c r="C1941" s="342"/>
      <c r="D1941" s="342"/>
      <c r="E1941" s="342"/>
      <c r="F1941" s="342"/>
      <c r="G1941" s="342"/>
      <c r="H1941" s="342"/>
      <c r="I1941" s="342"/>
      <c r="J1941" s="342"/>
      <c r="K1941" s="342"/>
      <c r="L1941" s="342"/>
      <c r="M1941" s="342"/>
      <c r="N1941" s="342"/>
      <c r="O1941" s="342"/>
      <c r="P1941" s="342"/>
      <c r="Q1941" s="342"/>
      <c r="R1941" s="342"/>
      <c r="S1941" s="342"/>
      <c r="T1941" s="342"/>
      <c r="U1941" s="342"/>
      <c r="V1941" s="342"/>
      <c r="W1941" s="343"/>
      <c r="X1941" s="343"/>
      <c r="Y1941" s="343"/>
      <c r="Z1941" s="343"/>
      <c r="AA1941" s="343"/>
      <c r="AB1941" s="343"/>
      <c r="AC1941" s="343"/>
      <c r="AD1941" s="343"/>
      <c r="AE1941" s="343"/>
      <c r="AF1941" s="343"/>
      <c r="AG1941" s="343"/>
      <c r="AH1941" s="343"/>
      <c r="AI1941" s="343"/>
      <c r="AJ1941" s="344"/>
      <c r="AK1941" s="345"/>
      <c r="AL1941" s="340"/>
      <c r="AM1941" s="342"/>
      <c r="AN1941" s="342"/>
      <c r="AO1941" s="342"/>
      <c r="AP1941" s="342"/>
      <c r="AQ1941" s="342"/>
      <c r="AR1941" s="342"/>
      <c r="AS1941" s="342"/>
      <c r="AT1941" s="342"/>
      <c r="AU1941" s="342"/>
      <c r="AV1941" s="342"/>
      <c r="AW1941" s="342"/>
      <c r="AX1941" s="342"/>
      <c r="AY1941" s="342"/>
      <c r="AZ1941" s="342"/>
      <c r="BA1941" s="342"/>
      <c r="BB1941" s="342"/>
      <c r="BC1941" s="342"/>
      <c r="BD1941" s="342"/>
      <c r="BE1941" s="342"/>
      <c r="BF1941" s="342"/>
      <c r="BG1941" s="343"/>
      <c r="BH1941" s="343"/>
      <c r="BI1941" s="343"/>
      <c r="BJ1941" s="343"/>
      <c r="BK1941" s="343"/>
      <c r="BL1941" s="343"/>
      <c r="BM1941" s="343"/>
      <c r="BN1941" s="343"/>
      <c r="BO1941" s="343"/>
      <c r="BP1941" s="343"/>
      <c r="BQ1941" s="343"/>
      <c r="BR1941" s="343"/>
      <c r="BS1941" s="343"/>
      <c r="BT1941" s="342"/>
      <c r="BU1941" s="346"/>
      <c r="BV1941" s="310"/>
      <c r="BW1941" s="310"/>
      <c r="BX1941" s="291">
        <f t="shared" si="138"/>
        <v>0</v>
      </c>
      <c r="BY1941" s="344"/>
      <c r="BZ1941" s="347"/>
      <c r="CA1941" s="347"/>
    </row>
    <row r="1942" spans="1:84" ht="15" customHeight="1" x14ac:dyDescent="0.25">
      <c r="A1942" s="313"/>
      <c r="B1942" s="340"/>
      <c r="C1942" s="342" t="s">
        <v>1938</v>
      </c>
      <c r="D1942" s="342"/>
      <c r="E1942" s="342"/>
      <c r="F1942" s="342"/>
      <c r="G1942" s="342"/>
      <c r="H1942" s="342"/>
      <c r="I1942" s="342"/>
      <c r="J1942" s="342"/>
      <c r="K1942" s="342"/>
      <c r="L1942" s="342"/>
      <c r="M1942" s="342"/>
      <c r="N1942" s="342"/>
      <c r="O1942" s="342"/>
      <c r="P1942" s="342"/>
      <c r="Q1942" s="342"/>
      <c r="R1942" s="342"/>
      <c r="S1942" s="342"/>
      <c r="T1942" s="342"/>
      <c r="U1942" s="342"/>
      <c r="V1942" s="342"/>
      <c r="W1942" s="343"/>
      <c r="X1942" s="343"/>
      <c r="Y1942" s="343"/>
      <c r="Z1942" s="343"/>
      <c r="AA1942" s="343"/>
      <c r="AB1942" s="343"/>
      <c r="AC1942" s="343"/>
      <c r="AD1942" s="343"/>
      <c r="AE1942" s="343"/>
      <c r="AF1942" s="343"/>
      <c r="AG1942" s="343"/>
      <c r="AH1942" s="343"/>
      <c r="AI1942" s="343"/>
      <c r="AJ1942" s="344"/>
      <c r="AK1942" s="345"/>
      <c r="AL1942" s="340"/>
      <c r="AM1942" s="342" t="s">
        <v>1939</v>
      </c>
      <c r="AN1942" s="342"/>
      <c r="AO1942" s="342"/>
      <c r="AP1942" s="342"/>
      <c r="AQ1942" s="342"/>
      <c r="AR1942" s="342"/>
      <c r="AS1942" s="342"/>
      <c r="AT1942" s="342"/>
      <c r="AU1942" s="342"/>
      <c r="AV1942" s="342"/>
      <c r="AW1942" s="342"/>
      <c r="AX1942" s="342"/>
      <c r="AY1942" s="342"/>
      <c r="AZ1942" s="342"/>
      <c r="BA1942" s="342"/>
      <c r="BB1942" s="342"/>
      <c r="BC1942" s="342"/>
      <c r="BD1942" s="342"/>
      <c r="BE1942" s="342"/>
      <c r="BF1942" s="342"/>
      <c r="BG1942" s="343"/>
      <c r="BH1942" s="343"/>
      <c r="BI1942" s="343"/>
      <c r="BJ1942" s="343"/>
      <c r="BK1942" s="343"/>
      <c r="BL1942" s="343"/>
      <c r="BM1942" s="343"/>
      <c r="BN1942" s="343"/>
      <c r="BO1942" s="343"/>
      <c r="BP1942" s="343"/>
      <c r="BQ1942" s="343"/>
      <c r="BR1942" s="343"/>
      <c r="BS1942" s="343"/>
      <c r="BT1942" s="342"/>
      <c r="BU1942" s="346"/>
      <c r="BV1942" s="310"/>
      <c r="BW1942" s="310"/>
      <c r="BX1942" s="291">
        <f t="shared" si="138"/>
        <v>0</v>
      </c>
      <c r="BY1942" s="344"/>
      <c r="BZ1942" s="347"/>
      <c r="CA1942" s="347"/>
    </row>
    <row r="1943" spans="1:84" s="423" customFormat="1" ht="15" customHeight="1" x14ac:dyDescent="0.25">
      <c r="A1943" s="369"/>
      <c r="B1943" s="354"/>
      <c r="C1943" s="342"/>
      <c r="D1943" s="342"/>
      <c r="E1943" s="342"/>
      <c r="F1943" s="342"/>
      <c r="G1943" s="342"/>
      <c r="H1943" s="342"/>
      <c r="I1943" s="342"/>
      <c r="J1943" s="342"/>
      <c r="K1943" s="342"/>
      <c r="L1943" s="342"/>
      <c r="M1943" s="342"/>
      <c r="N1943" s="342"/>
      <c r="O1943" s="1332" t="s">
        <v>1914</v>
      </c>
      <c r="P1943" s="1332"/>
      <c r="Q1943" s="1332"/>
      <c r="R1943" s="1332"/>
      <c r="S1943" s="1332"/>
      <c r="T1943" s="1332"/>
      <c r="U1943" s="1332"/>
      <c r="V1943" s="342"/>
      <c r="W1943" s="1325" t="str">
        <f>Ky_Nay1_V</f>
        <v>31/12/2017</v>
      </c>
      <c r="X1943" s="1325"/>
      <c r="Y1943" s="1325"/>
      <c r="Z1943" s="1325"/>
      <c r="AA1943" s="1325"/>
      <c r="AB1943" s="1325"/>
      <c r="AC1943" s="351"/>
      <c r="AD1943" s="1325" t="str">
        <f>Ky_Truoc1_V</f>
        <v>01/01/2017</v>
      </c>
      <c r="AE1943" s="1325"/>
      <c r="AF1943" s="1325"/>
      <c r="AG1943" s="1325"/>
      <c r="AH1943" s="1325"/>
      <c r="AI1943" s="1325"/>
      <c r="AJ1943" s="342"/>
      <c r="AK1943" s="419"/>
      <c r="AL1943" s="354"/>
      <c r="AM1943" s="342"/>
      <c r="AN1943" s="342"/>
      <c r="AO1943" s="342"/>
      <c r="AP1943" s="342"/>
      <c r="AQ1943" s="342"/>
      <c r="AR1943" s="342"/>
      <c r="AS1943" s="342"/>
      <c r="AT1943" s="342"/>
      <c r="AU1943" s="342"/>
      <c r="AV1943" s="342"/>
      <c r="AW1943" s="342"/>
      <c r="AX1943" s="342"/>
      <c r="AY1943" s="1333" t="s">
        <v>1915</v>
      </c>
      <c r="AZ1943" s="1333"/>
      <c r="BA1943" s="1333"/>
      <c r="BB1943" s="1333"/>
      <c r="BC1943" s="1333"/>
      <c r="BD1943" s="1333"/>
      <c r="BE1943" s="1333"/>
      <c r="BF1943" s="346"/>
      <c r="BG1943" s="1325" t="str">
        <f>Ky_Nay1_E</f>
        <v>31/12/2017</v>
      </c>
      <c r="BH1943" s="1325"/>
      <c r="BI1943" s="1325"/>
      <c r="BJ1943" s="1325"/>
      <c r="BK1943" s="1325"/>
      <c r="BL1943" s="1325"/>
      <c r="BM1943" s="351"/>
      <c r="BN1943" s="1325" t="str">
        <f>Ky_Truoc1_E</f>
        <v>01/01/2017</v>
      </c>
      <c r="BO1943" s="1325"/>
      <c r="BP1943" s="1325"/>
      <c r="BQ1943" s="1325"/>
      <c r="BR1943" s="1325"/>
      <c r="BS1943" s="1325"/>
      <c r="BT1943" s="342"/>
      <c r="BU1943" s="346"/>
      <c r="BV1943" s="310"/>
      <c r="BW1943" s="310"/>
      <c r="BX1943" s="300">
        <f t="shared" si="138"/>
        <v>0</v>
      </c>
      <c r="BY1943" s="342"/>
      <c r="BZ1943" s="438"/>
      <c r="CA1943" s="438"/>
      <c r="CB1943" s="439"/>
      <c r="CC1943" s="439"/>
      <c r="CD1943" s="439"/>
      <c r="CE1943" s="439"/>
      <c r="CF1943" s="439"/>
    </row>
    <row r="1944" spans="1:84" ht="15" customHeight="1" x14ac:dyDescent="0.25">
      <c r="A1944" s="313"/>
      <c r="B1944" s="340"/>
      <c r="C1944" s="342"/>
      <c r="D1944" s="342"/>
      <c r="E1944" s="342"/>
      <c r="F1944" s="342"/>
      <c r="G1944" s="342"/>
      <c r="H1944" s="342"/>
      <c r="I1944" s="342"/>
      <c r="J1944" s="342"/>
      <c r="K1944" s="342"/>
      <c r="L1944" s="342"/>
      <c r="M1944" s="342"/>
      <c r="N1944" s="342"/>
      <c r="O1944" s="1326"/>
      <c r="P1944" s="1326"/>
      <c r="Q1944" s="1326"/>
      <c r="R1944" s="1326"/>
      <c r="S1944" s="1326"/>
      <c r="T1944" s="1326"/>
      <c r="U1944" s="1326"/>
      <c r="V1944" s="342"/>
      <c r="W1944" s="1327" t="str">
        <f>Don_Vi_Tinh_V</f>
        <v>VND</v>
      </c>
      <c r="X1944" s="1327"/>
      <c r="Y1944" s="1327"/>
      <c r="Z1944" s="1327"/>
      <c r="AA1944" s="1327"/>
      <c r="AB1944" s="1327"/>
      <c r="AC1944" s="351"/>
      <c r="AD1944" s="1327" t="str">
        <f>Don_Vi_Tinh_V</f>
        <v>VND</v>
      </c>
      <c r="AE1944" s="1327"/>
      <c r="AF1944" s="1327"/>
      <c r="AG1944" s="1327"/>
      <c r="AH1944" s="1327"/>
      <c r="AI1944" s="1327"/>
      <c r="AJ1944" s="344"/>
      <c r="AK1944" s="345"/>
      <c r="AL1944" s="340"/>
      <c r="AM1944" s="342"/>
      <c r="AN1944" s="342"/>
      <c r="AO1944" s="342"/>
      <c r="AP1944" s="342"/>
      <c r="AQ1944" s="342"/>
      <c r="AR1944" s="342"/>
      <c r="AS1944" s="342"/>
      <c r="AT1944" s="342"/>
      <c r="AU1944" s="342"/>
      <c r="AV1944" s="342"/>
      <c r="AW1944" s="342"/>
      <c r="AX1944" s="342"/>
      <c r="AY1944" s="1331"/>
      <c r="AZ1944" s="1331"/>
      <c r="BA1944" s="1331"/>
      <c r="BB1944" s="1331"/>
      <c r="BC1944" s="1331"/>
      <c r="BD1944" s="1331"/>
      <c r="BE1944" s="1331"/>
      <c r="BF1944" s="346"/>
      <c r="BG1944" s="1327" t="str">
        <f>Don_Vi_Tinh_E</f>
        <v>VND</v>
      </c>
      <c r="BH1944" s="1327"/>
      <c r="BI1944" s="1327"/>
      <c r="BJ1944" s="1327"/>
      <c r="BK1944" s="1327"/>
      <c r="BL1944" s="1327"/>
      <c r="BM1944" s="351"/>
      <c r="BN1944" s="1327" t="str">
        <f>Don_Vi_Tinh_E</f>
        <v>VND</v>
      </c>
      <c r="BO1944" s="1327"/>
      <c r="BP1944" s="1327"/>
      <c r="BQ1944" s="1327"/>
      <c r="BR1944" s="1327"/>
      <c r="BS1944" s="1327"/>
      <c r="BT1944" s="342"/>
      <c r="BU1944" s="346"/>
      <c r="BV1944" s="310"/>
      <c r="BW1944" s="310"/>
      <c r="BX1944" s="291">
        <f t="shared" si="138"/>
        <v>0</v>
      </c>
      <c r="BY1944" s="344"/>
      <c r="BZ1944" s="347"/>
      <c r="CA1944" s="347"/>
    </row>
    <row r="1945" spans="1:84" ht="15" customHeight="1" x14ac:dyDescent="0.25">
      <c r="A1945" s="313"/>
      <c r="B1945" s="340"/>
      <c r="C1945" s="1322" t="s">
        <v>1916</v>
      </c>
      <c r="D1945" s="1322"/>
      <c r="E1945" s="1322"/>
      <c r="F1945" s="1322"/>
      <c r="G1945" s="1322"/>
      <c r="H1945" s="1322"/>
      <c r="I1945" s="1322"/>
      <c r="J1945" s="1322"/>
      <c r="K1945" s="1322"/>
      <c r="L1945" s="1322"/>
      <c r="M1945" s="1322"/>
      <c r="N1945" s="775"/>
      <c r="O1945" s="1320" t="s">
        <v>1917</v>
      </c>
      <c r="P1945" s="1320"/>
      <c r="Q1945" s="1320"/>
      <c r="R1945" s="1320"/>
      <c r="S1945" s="1320"/>
      <c r="T1945" s="1320"/>
      <c r="U1945" s="1320"/>
      <c r="V1945" s="342"/>
      <c r="W1945" s="1318"/>
      <c r="X1945" s="1318"/>
      <c r="Y1945" s="1318"/>
      <c r="Z1945" s="1318"/>
      <c r="AA1945" s="1318"/>
      <c r="AB1945" s="1318"/>
      <c r="AC1945" s="355"/>
      <c r="AD1945" s="1318"/>
      <c r="AE1945" s="1318"/>
      <c r="AF1945" s="1318"/>
      <c r="AG1945" s="1318"/>
      <c r="AH1945" s="1318"/>
      <c r="AI1945" s="1318"/>
      <c r="AJ1945" s="344"/>
      <c r="AK1945" s="345"/>
      <c r="AL1945" s="340"/>
      <c r="AM1945" s="1322" t="s">
        <v>1940</v>
      </c>
      <c r="AN1945" s="1322"/>
      <c r="AO1945" s="1322"/>
      <c r="AP1945" s="1322"/>
      <c r="AQ1945" s="1322"/>
      <c r="AR1945" s="1322"/>
      <c r="AS1945" s="1322"/>
      <c r="AT1945" s="1322"/>
      <c r="AU1945" s="1322"/>
      <c r="AV1945" s="1322"/>
      <c r="AW1945" s="1322"/>
      <c r="AX1945" s="775"/>
      <c r="AY1945" s="1321"/>
      <c r="AZ1945" s="1321"/>
      <c r="BA1945" s="1321"/>
      <c r="BB1945" s="1321"/>
      <c r="BC1945" s="1321"/>
      <c r="BD1945" s="1321"/>
      <c r="BE1945" s="1321"/>
      <c r="BF1945" s="342"/>
      <c r="BG1945" s="1318"/>
      <c r="BH1945" s="1318"/>
      <c r="BI1945" s="1318"/>
      <c r="BJ1945" s="1318"/>
      <c r="BK1945" s="1318"/>
      <c r="BL1945" s="1318"/>
      <c r="BM1945" s="355"/>
      <c r="BN1945" s="1318"/>
      <c r="BO1945" s="1318"/>
      <c r="BP1945" s="1318"/>
      <c r="BQ1945" s="1318"/>
      <c r="BR1945" s="1318"/>
      <c r="BS1945" s="1318"/>
      <c r="BT1945" s="342"/>
      <c r="BU1945" s="346"/>
      <c r="BV1945" s="310">
        <f>SUM(W1946:AB1947)-W558</f>
        <v>205395460</v>
      </c>
      <c r="BW1945" s="310">
        <f>SUM(AD1946:AI1947)-AD558</f>
        <v>279038160</v>
      </c>
      <c r="BX1945" s="291">
        <f t="shared" si="138"/>
        <v>0</v>
      </c>
      <c r="BY1945" s="344"/>
      <c r="BZ1945" s="347"/>
      <c r="CA1945" s="347"/>
    </row>
    <row r="1946" spans="1:84" ht="15" customHeight="1" x14ac:dyDescent="0.25">
      <c r="A1946" s="313"/>
      <c r="B1946" s="340"/>
      <c r="C1946" s="1328" t="s">
        <v>1941</v>
      </c>
      <c r="D1946" s="1320"/>
      <c r="E1946" s="1320"/>
      <c r="F1946" s="1320"/>
      <c r="G1946" s="1320"/>
      <c r="H1946" s="1320"/>
      <c r="I1946" s="1320"/>
      <c r="J1946" s="1320"/>
      <c r="K1946" s="1320"/>
      <c r="L1946" s="1320"/>
      <c r="M1946" s="1320"/>
      <c r="N1946" s="776"/>
      <c r="O1946" s="1320"/>
      <c r="P1946" s="1320"/>
      <c r="Q1946" s="1320"/>
      <c r="R1946" s="1320"/>
      <c r="S1946" s="1320"/>
      <c r="T1946" s="1320"/>
      <c r="U1946" s="1320"/>
      <c r="V1946" s="341"/>
      <c r="W1946" s="1318">
        <f>W1149</f>
        <v>205395460</v>
      </c>
      <c r="X1946" s="1318"/>
      <c r="Y1946" s="1318"/>
      <c r="Z1946" s="1318"/>
      <c r="AA1946" s="1318"/>
      <c r="AB1946" s="1318"/>
      <c r="AC1946" s="355"/>
      <c r="AD1946" s="1318">
        <v>279038160</v>
      </c>
      <c r="AE1946" s="1318"/>
      <c r="AF1946" s="1318"/>
      <c r="AG1946" s="1318"/>
      <c r="AH1946" s="1318"/>
      <c r="AI1946" s="1318"/>
      <c r="AJ1946" s="344"/>
      <c r="AK1946" s="345"/>
      <c r="AL1946" s="340"/>
      <c r="AM1946" s="1328" t="s">
        <v>1920</v>
      </c>
      <c r="AN1946" s="1320"/>
      <c r="AO1946" s="1320"/>
      <c r="AP1946" s="1320"/>
      <c r="AQ1946" s="1320"/>
      <c r="AR1946" s="1320"/>
      <c r="AS1946" s="1320"/>
      <c r="AT1946" s="1320"/>
      <c r="AU1946" s="1320"/>
      <c r="AV1946" s="1320"/>
      <c r="AW1946" s="1320"/>
      <c r="AX1946" s="776"/>
      <c r="AY1946" s="1320" t="s">
        <v>1921</v>
      </c>
      <c r="AZ1946" s="1320"/>
      <c r="BA1946" s="1320"/>
      <c r="BB1946" s="1320"/>
      <c r="BC1946" s="1320"/>
      <c r="BD1946" s="1320"/>
      <c r="BE1946" s="1320"/>
      <c r="BF1946" s="341"/>
      <c r="BG1946" s="1318">
        <f>W1946</f>
        <v>205395460</v>
      </c>
      <c r="BH1946" s="1318"/>
      <c r="BI1946" s="1318"/>
      <c r="BJ1946" s="1318"/>
      <c r="BK1946" s="1318"/>
      <c r="BL1946" s="1318"/>
      <c r="BM1946" s="355"/>
      <c r="BN1946" s="1318">
        <f>AD1946</f>
        <v>279038160</v>
      </c>
      <c r="BO1946" s="1318"/>
      <c r="BP1946" s="1318"/>
      <c r="BQ1946" s="1318"/>
      <c r="BR1946" s="1318"/>
      <c r="BS1946" s="1318"/>
      <c r="BT1946" s="342"/>
      <c r="BU1946" s="346"/>
      <c r="BV1946" s="310"/>
      <c r="BW1946" s="310"/>
      <c r="BX1946" s="291">
        <f t="shared" si="138"/>
        <v>0</v>
      </c>
      <c r="BY1946" s="344"/>
      <c r="BZ1946" s="347"/>
      <c r="CA1946" s="347"/>
    </row>
    <row r="1947" spans="1:84" ht="15" hidden="1" customHeight="1" x14ac:dyDescent="0.25">
      <c r="A1947" s="313"/>
      <c r="B1947" s="340"/>
      <c r="C1947" s="1328" t="s">
        <v>918</v>
      </c>
      <c r="D1947" s="1320"/>
      <c r="E1947" s="1320"/>
      <c r="F1947" s="1320"/>
      <c r="G1947" s="1320"/>
      <c r="H1947" s="1320"/>
      <c r="I1947" s="1320"/>
      <c r="J1947" s="1320"/>
      <c r="K1947" s="1320"/>
      <c r="L1947" s="1320"/>
      <c r="M1947" s="1320"/>
      <c r="N1947" s="775"/>
      <c r="O1947" s="1321" t="s">
        <v>1389</v>
      </c>
      <c r="P1947" s="1321"/>
      <c r="Q1947" s="1321"/>
      <c r="R1947" s="1321"/>
      <c r="S1947" s="1321"/>
      <c r="T1947" s="1321"/>
      <c r="U1947" s="1321"/>
      <c r="V1947" s="389"/>
      <c r="W1947" s="1318">
        <v>0</v>
      </c>
      <c r="X1947" s="1318"/>
      <c r="Y1947" s="1318"/>
      <c r="Z1947" s="1318"/>
      <c r="AA1947" s="1318"/>
      <c r="AB1947" s="1318"/>
      <c r="AC1947" s="355"/>
      <c r="AD1947" s="1318">
        <v>0</v>
      </c>
      <c r="AE1947" s="1318"/>
      <c r="AF1947" s="1318"/>
      <c r="AG1947" s="1318"/>
      <c r="AH1947" s="1318"/>
      <c r="AI1947" s="1318"/>
      <c r="AJ1947" s="344"/>
      <c r="AK1947" s="345"/>
      <c r="AL1947" s="340"/>
      <c r="AM1947" s="1328" t="s">
        <v>918</v>
      </c>
      <c r="AN1947" s="1320"/>
      <c r="AO1947" s="1320"/>
      <c r="AP1947" s="1320"/>
      <c r="AQ1947" s="1320"/>
      <c r="AR1947" s="1320"/>
      <c r="AS1947" s="1320"/>
      <c r="AT1947" s="1320"/>
      <c r="AU1947" s="1320"/>
      <c r="AV1947" s="1320"/>
      <c r="AW1947" s="1320"/>
      <c r="AX1947" s="775"/>
      <c r="AY1947" s="1321" t="s">
        <v>1926</v>
      </c>
      <c r="AZ1947" s="1321"/>
      <c r="BA1947" s="1321"/>
      <c r="BB1947" s="1321"/>
      <c r="BC1947" s="1321"/>
      <c r="BD1947" s="1321"/>
      <c r="BE1947" s="1321"/>
      <c r="BF1947" s="389"/>
      <c r="BG1947" s="1318">
        <f>W1947</f>
        <v>0</v>
      </c>
      <c r="BH1947" s="1318"/>
      <c r="BI1947" s="1318"/>
      <c r="BJ1947" s="1318"/>
      <c r="BK1947" s="1318"/>
      <c r="BL1947" s="1318"/>
      <c r="BM1947" s="355"/>
      <c r="BN1947" s="1318">
        <f>AD1947</f>
        <v>0</v>
      </c>
      <c r="BO1947" s="1318"/>
      <c r="BP1947" s="1318"/>
      <c r="BQ1947" s="1318"/>
      <c r="BR1947" s="1318"/>
      <c r="BS1947" s="1318"/>
      <c r="BT1947" s="342"/>
      <c r="BU1947" s="346"/>
      <c r="BV1947" s="310"/>
      <c r="BW1947" s="310"/>
      <c r="BX1947" s="291">
        <f t="shared" si="138"/>
        <v>0</v>
      </c>
      <c r="BY1947" s="344"/>
      <c r="BZ1947" s="347"/>
      <c r="CA1947" s="347"/>
    </row>
    <row r="1948" spans="1:84" ht="15" customHeight="1" x14ac:dyDescent="0.25">
      <c r="A1948" s="313"/>
      <c r="B1948" s="340"/>
      <c r="C1948" s="341" t="s">
        <v>847</v>
      </c>
      <c r="D1948" s="341"/>
      <c r="E1948" s="341"/>
      <c r="F1948" s="341"/>
      <c r="G1948" s="341"/>
      <c r="H1948" s="341"/>
      <c r="I1948" s="341"/>
      <c r="J1948" s="341"/>
      <c r="K1948" s="341"/>
      <c r="L1948" s="341"/>
      <c r="M1948" s="342"/>
      <c r="N1948" s="342"/>
      <c r="O1948" s="1321" t="s">
        <v>1924</v>
      </c>
      <c r="P1948" s="1321"/>
      <c r="Q1948" s="1321"/>
      <c r="R1948" s="1321"/>
      <c r="S1948" s="1321"/>
      <c r="T1948" s="1321"/>
      <c r="U1948" s="1321"/>
      <c r="V1948" s="342"/>
      <c r="W1948" s="1318"/>
      <c r="X1948" s="1318"/>
      <c r="Y1948" s="1318"/>
      <c r="Z1948" s="1318"/>
      <c r="AA1948" s="1318"/>
      <c r="AB1948" s="1318"/>
      <c r="AC1948" s="355"/>
      <c r="AD1948" s="1318"/>
      <c r="AE1948" s="1318"/>
      <c r="AF1948" s="1318"/>
      <c r="AG1948" s="1318"/>
      <c r="AH1948" s="1318"/>
      <c r="AI1948" s="1318"/>
      <c r="AJ1948" s="344"/>
      <c r="AK1948" s="345"/>
      <c r="AL1948" s="340"/>
      <c r="AM1948" s="341" t="s">
        <v>1942</v>
      </c>
      <c r="AN1948" s="341"/>
      <c r="AO1948" s="341"/>
      <c r="AP1948" s="341"/>
      <c r="AQ1948" s="341"/>
      <c r="AR1948" s="341"/>
      <c r="AS1948" s="341"/>
      <c r="AT1948" s="341"/>
      <c r="AU1948" s="341"/>
      <c r="AV1948" s="341"/>
      <c r="AW1948" s="342"/>
      <c r="AX1948" s="342"/>
      <c r="AY1948" s="1321"/>
      <c r="AZ1948" s="1321"/>
      <c r="BA1948" s="1321"/>
      <c r="BB1948" s="1321"/>
      <c r="BC1948" s="1321"/>
      <c r="BD1948" s="1321"/>
      <c r="BE1948" s="1321"/>
      <c r="BF1948" s="342"/>
      <c r="BG1948" s="1318"/>
      <c r="BH1948" s="1318"/>
      <c r="BI1948" s="1318"/>
      <c r="BJ1948" s="1318"/>
      <c r="BK1948" s="1318"/>
      <c r="BL1948" s="1318"/>
      <c r="BM1948" s="355"/>
      <c r="BN1948" s="1318"/>
      <c r="BO1948" s="1318"/>
      <c r="BP1948" s="1318"/>
      <c r="BQ1948" s="1318"/>
      <c r="BR1948" s="1318"/>
      <c r="BS1948" s="1318"/>
      <c r="BT1948" s="342"/>
      <c r="BU1948" s="346"/>
      <c r="BV1948" s="310"/>
      <c r="BW1948" s="310"/>
      <c r="BX1948" s="291">
        <f t="shared" si="138"/>
        <v>0</v>
      </c>
      <c r="BY1948" s="344"/>
      <c r="BZ1948" s="347"/>
      <c r="CA1948" s="347"/>
    </row>
    <row r="1949" spans="1:84" ht="15" customHeight="1" x14ac:dyDescent="0.25">
      <c r="A1949" s="313"/>
      <c r="B1949" s="340"/>
      <c r="C1949" s="1328" t="s">
        <v>1943</v>
      </c>
      <c r="D1949" s="1320"/>
      <c r="E1949" s="1320"/>
      <c r="F1949" s="1320"/>
      <c r="G1949" s="1320"/>
      <c r="H1949" s="1320"/>
      <c r="I1949" s="1320"/>
      <c r="J1949" s="1320"/>
      <c r="K1949" s="1320"/>
      <c r="L1949" s="1320"/>
      <c r="M1949" s="1320"/>
      <c r="N1949" s="776"/>
      <c r="O1949" s="1320"/>
      <c r="P1949" s="1320"/>
      <c r="Q1949" s="1320"/>
      <c r="R1949" s="1320"/>
      <c r="S1949" s="1320"/>
      <c r="T1949" s="1320"/>
      <c r="U1949" s="1320"/>
      <c r="V1949" s="341"/>
      <c r="W1949" s="1318">
        <v>0</v>
      </c>
      <c r="X1949" s="1318"/>
      <c r="Y1949" s="1318"/>
      <c r="Z1949" s="1318"/>
      <c r="AA1949" s="1318"/>
      <c r="AB1949" s="1318"/>
      <c r="AC1949" s="355"/>
      <c r="AD1949" s="1318">
        <v>100000000</v>
      </c>
      <c r="AE1949" s="1318"/>
      <c r="AF1949" s="1318"/>
      <c r="AG1949" s="1318"/>
      <c r="AH1949" s="1318"/>
      <c r="AI1949" s="1318"/>
      <c r="AJ1949" s="344"/>
      <c r="AK1949" s="345"/>
      <c r="AL1949" s="340"/>
      <c r="AM1949" s="1328" t="s">
        <v>1920</v>
      </c>
      <c r="AN1949" s="1320"/>
      <c r="AO1949" s="1320"/>
      <c r="AP1949" s="1320"/>
      <c r="AQ1949" s="1320"/>
      <c r="AR1949" s="1320"/>
      <c r="AS1949" s="1320"/>
      <c r="AT1949" s="1320"/>
      <c r="AU1949" s="1320"/>
      <c r="AV1949" s="1320"/>
      <c r="AW1949" s="1320"/>
      <c r="AX1949" s="776"/>
      <c r="AY1949" s="1320" t="s">
        <v>1921</v>
      </c>
      <c r="AZ1949" s="1320"/>
      <c r="BA1949" s="1320"/>
      <c r="BB1949" s="1320"/>
      <c r="BC1949" s="1320"/>
      <c r="BD1949" s="1320"/>
      <c r="BE1949" s="1320"/>
      <c r="BF1949" s="341"/>
      <c r="BG1949" s="1318">
        <f>W1949</f>
        <v>0</v>
      </c>
      <c r="BH1949" s="1318"/>
      <c r="BI1949" s="1318"/>
      <c r="BJ1949" s="1318"/>
      <c r="BK1949" s="1318"/>
      <c r="BL1949" s="1318"/>
      <c r="BM1949" s="355"/>
      <c r="BN1949" s="1318">
        <f>AD1949</f>
        <v>100000000</v>
      </c>
      <c r="BO1949" s="1318"/>
      <c r="BP1949" s="1318"/>
      <c r="BQ1949" s="1318"/>
      <c r="BR1949" s="1318"/>
      <c r="BS1949" s="1318"/>
      <c r="BT1949" s="342"/>
      <c r="BU1949" s="346"/>
      <c r="BV1949" s="310"/>
      <c r="BW1949" s="310"/>
      <c r="BX1949" s="291">
        <f t="shared" si="138"/>
        <v>0</v>
      </c>
      <c r="BY1949" s="344"/>
      <c r="BZ1949" s="347"/>
      <c r="CA1949" s="347"/>
    </row>
    <row r="1950" spans="1:84" ht="15" customHeight="1" x14ac:dyDescent="0.25">
      <c r="A1950" s="313"/>
      <c r="B1950" s="340"/>
      <c r="C1950" s="1328" t="s">
        <v>1944</v>
      </c>
      <c r="D1950" s="1320"/>
      <c r="E1950" s="1320"/>
      <c r="F1950" s="1320"/>
      <c r="G1950" s="1320"/>
      <c r="H1950" s="1320"/>
      <c r="I1950" s="1320"/>
      <c r="J1950" s="1320"/>
      <c r="K1950" s="1320"/>
      <c r="L1950" s="1320"/>
      <c r="M1950" s="1320"/>
      <c r="N1950" s="776"/>
      <c r="O1950" s="1320"/>
      <c r="P1950" s="1320"/>
      <c r="Q1950" s="1320"/>
      <c r="R1950" s="1320"/>
      <c r="S1950" s="1320"/>
      <c r="T1950" s="1320"/>
      <c r="U1950" s="1320"/>
      <c r="V1950" s="341"/>
      <c r="W1950" s="1318">
        <f>K583</f>
        <v>33816521</v>
      </c>
      <c r="X1950" s="1318"/>
      <c r="Y1950" s="1318"/>
      <c r="Z1950" s="1318"/>
      <c r="AA1950" s="1318"/>
      <c r="AB1950" s="1318"/>
      <c r="AC1950" s="355"/>
      <c r="AD1950" s="1318">
        <v>277763661</v>
      </c>
      <c r="AE1950" s="1318"/>
      <c r="AF1950" s="1318"/>
      <c r="AG1950" s="1318"/>
      <c r="AH1950" s="1318"/>
      <c r="AI1950" s="1318"/>
      <c r="AJ1950" s="344"/>
      <c r="AK1950" s="345"/>
      <c r="AL1950" s="340"/>
      <c r="AM1950" s="1328" t="s">
        <v>1920</v>
      </c>
      <c r="AN1950" s="1320"/>
      <c r="AO1950" s="1320"/>
      <c r="AP1950" s="1320"/>
      <c r="AQ1950" s="1320"/>
      <c r="AR1950" s="1320"/>
      <c r="AS1950" s="1320"/>
      <c r="AT1950" s="1320"/>
      <c r="AU1950" s="1320"/>
      <c r="AV1950" s="1320"/>
      <c r="AW1950" s="1320"/>
      <c r="AX1950" s="776"/>
      <c r="AY1950" s="1320" t="s">
        <v>1921</v>
      </c>
      <c r="AZ1950" s="1320"/>
      <c r="BA1950" s="1320"/>
      <c r="BB1950" s="1320"/>
      <c r="BC1950" s="1320"/>
      <c r="BD1950" s="1320"/>
      <c r="BE1950" s="1320"/>
      <c r="BF1950" s="341"/>
      <c r="BG1950" s="1318">
        <f>W1950</f>
        <v>33816521</v>
      </c>
      <c r="BH1950" s="1318"/>
      <c r="BI1950" s="1318"/>
      <c r="BJ1950" s="1318"/>
      <c r="BK1950" s="1318"/>
      <c r="BL1950" s="1318"/>
      <c r="BM1950" s="355"/>
      <c r="BN1950" s="1318">
        <f>AD1950</f>
        <v>277763661</v>
      </c>
      <c r="BO1950" s="1318"/>
      <c r="BP1950" s="1318"/>
      <c r="BQ1950" s="1318"/>
      <c r="BR1950" s="1318"/>
      <c r="BS1950" s="1318"/>
      <c r="BT1950" s="342"/>
      <c r="BU1950" s="346"/>
      <c r="BV1950" s="310"/>
      <c r="BW1950" s="310"/>
      <c r="BX1950" s="291">
        <f>IF(ISNONTEXT($C1950),0,SUM(D1950:AI1950)-SUM(AN1950:BS1950))</f>
        <v>0</v>
      </c>
      <c r="BY1950" s="344"/>
      <c r="BZ1950" s="347"/>
      <c r="CA1950" s="347"/>
    </row>
    <row r="1951" spans="1:84" ht="15" customHeight="1" x14ac:dyDescent="0.25">
      <c r="A1951" s="313"/>
      <c r="B1951" s="340"/>
      <c r="C1951" s="1328" t="s">
        <v>1945</v>
      </c>
      <c r="D1951" s="1320"/>
      <c r="E1951" s="1320"/>
      <c r="F1951" s="1320"/>
      <c r="G1951" s="1320"/>
      <c r="H1951" s="1320"/>
      <c r="I1951" s="1320"/>
      <c r="J1951" s="1320"/>
      <c r="K1951" s="1320"/>
      <c r="L1951" s="1320"/>
      <c r="M1951" s="1320"/>
      <c r="N1951" s="775"/>
      <c r="O1951" s="1320"/>
      <c r="P1951" s="1320"/>
      <c r="Q1951" s="1320"/>
      <c r="R1951" s="1320"/>
      <c r="S1951" s="1320"/>
      <c r="T1951" s="1320"/>
      <c r="U1951" s="1320"/>
      <c r="V1951" s="342"/>
      <c r="W1951" s="1318">
        <v>0</v>
      </c>
      <c r="X1951" s="1318"/>
      <c r="Y1951" s="1318"/>
      <c r="Z1951" s="1318"/>
      <c r="AA1951" s="1318"/>
      <c r="AB1951" s="1318"/>
      <c r="AC1951" s="355"/>
      <c r="AD1951" s="1318">
        <v>321331078</v>
      </c>
      <c r="AE1951" s="1318"/>
      <c r="AF1951" s="1318"/>
      <c r="AG1951" s="1318"/>
      <c r="AH1951" s="1318"/>
      <c r="AI1951" s="1318"/>
      <c r="AJ1951" s="344"/>
      <c r="AK1951" s="345"/>
      <c r="AL1951" s="340"/>
      <c r="AM1951" s="1328" t="s">
        <v>918</v>
      </c>
      <c r="AN1951" s="1320"/>
      <c r="AO1951" s="1320"/>
      <c r="AP1951" s="1320"/>
      <c r="AQ1951" s="1320"/>
      <c r="AR1951" s="1320"/>
      <c r="AS1951" s="1320"/>
      <c r="AT1951" s="1320"/>
      <c r="AU1951" s="1320"/>
      <c r="AV1951" s="1320"/>
      <c r="AW1951" s="1320"/>
      <c r="AX1951" s="775"/>
      <c r="AY1951" s="1320" t="s">
        <v>1928</v>
      </c>
      <c r="AZ1951" s="1320"/>
      <c r="BA1951" s="1320"/>
      <c r="BB1951" s="1320"/>
      <c r="BC1951" s="1320"/>
      <c r="BD1951" s="1320"/>
      <c r="BE1951" s="1320"/>
      <c r="BF1951" s="342"/>
      <c r="BG1951" s="1318">
        <f>W1951</f>
        <v>0</v>
      </c>
      <c r="BH1951" s="1318"/>
      <c r="BI1951" s="1318"/>
      <c r="BJ1951" s="1318"/>
      <c r="BK1951" s="1318"/>
      <c r="BL1951" s="1318"/>
      <c r="BM1951" s="355"/>
      <c r="BN1951" s="1318">
        <f>AD1951</f>
        <v>321331078</v>
      </c>
      <c r="BO1951" s="1318"/>
      <c r="BP1951" s="1318"/>
      <c r="BQ1951" s="1318"/>
      <c r="BR1951" s="1318"/>
      <c r="BS1951" s="1318"/>
      <c r="BT1951" s="342"/>
      <c r="BU1951" s="346"/>
      <c r="BV1951" s="310"/>
      <c r="BW1951" s="310"/>
      <c r="BX1951" s="291">
        <f t="shared" si="138"/>
        <v>0</v>
      </c>
      <c r="BY1951" s="344"/>
      <c r="BZ1951" s="347"/>
      <c r="CA1951" s="347"/>
    </row>
    <row r="1952" spans="1:84" s="385" customFormat="1" ht="15" hidden="1" customHeight="1" x14ac:dyDescent="0.25">
      <c r="A1952" s="313"/>
      <c r="B1952" s="340"/>
      <c r="C1952" s="1329" t="s">
        <v>865</v>
      </c>
      <c r="D1952" s="1322"/>
      <c r="E1952" s="1322"/>
      <c r="F1952" s="1322"/>
      <c r="G1952" s="1322"/>
      <c r="H1952" s="1322"/>
      <c r="I1952" s="1322"/>
      <c r="J1952" s="1322"/>
      <c r="K1952" s="1322"/>
      <c r="L1952" s="1322"/>
      <c r="M1952" s="1322"/>
      <c r="N1952" s="776"/>
      <c r="O1952" s="1322"/>
      <c r="P1952" s="1322"/>
      <c r="Q1952" s="1322"/>
      <c r="R1952" s="1322"/>
      <c r="S1952" s="1322"/>
      <c r="T1952" s="1322"/>
      <c r="U1952" s="1322"/>
      <c r="V1952" s="341"/>
      <c r="W1952" s="1330"/>
      <c r="X1952" s="1330"/>
      <c r="Y1952" s="1330"/>
      <c r="Z1952" s="1330"/>
      <c r="AA1952" s="1330"/>
      <c r="AB1952" s="1330"/>
      <c r="AC1952" s="363"/>
      <c r="AD1952" s="1330"/>
      <c r="AE1952" s="1330"/>
      <c r="AF1952" s="1330"/>
      <c r="AG1952" s="1330"/>
      <c r="AH1952" s="1330"/>
      <c r="AI1952" s="1330"/>
      <c r="AJ1952" s="374"/>
      <c r="AK1952" s="345"/>
      <c r="AL1952" s="340"/>
      <c r="AM1952" s="1329" t="s">
        <v>880</v>
      </c>
      <c r="AN1952" s="1322"/>
      <c r="AO1952" s="1322"/>
      <c r="AP1952" s="1322"/>
      <c r="AQ1952" s="1322"/>
      <c r="AR1952" s="1322"/>
      <c r="AS1952" s="1322"/>
      <c r="AT1952" s="1322"/>
      <c r="AU1952" s="1322"/>
      <c r="AV1952" s="1322"/>
      <c r="AW1952" s="1322"/>
      <c r="AX1952" s="776"/>
      <c r="AY1952" s="1322"/>
      <c r="AZ1952" s="1322"/>
      <c r="BA1952" s="1322"/>
      <c r="BB1952" s="1322"/>
      <c r="BC1952" s="1322"/>
      <c r="BD1952" s="1322"/>
      <c r="BE1952" s="1322"/>
      <c r="BF1952" s="341"/>
      <c r="BG1952" s="1330"/>
      <c r="BH1952" s="1330"/>
      <c r="BI1952" s="1330"/>
      <c r="BJ1952" s="1330"/>
      <c r="BK1952" s="1330"/>
      <c r="BL1952" s="1330"/>
      <c r="BM1952" s="363"/>
      <c r="BN1952" s="1330"/>
      <c r="BO1952" s="1330"/>
      <c r="BP1952" s="1330"/>
      <c r="BQ1952" s="1330"/>
      <c r="BR1952" s="1330"/>
      <c r="BS1952" s="1330"/>
      <c r="BT1952" s="341"/>
      <c r="BU1952" s="550"/>
      <c r="BV1952" s="425"/>
      <c r="BW1952" s="425"/>
      <c r="BX1952" s="426">
        <f t="shared" ref="BX1952:BX1979" si="141">IF(ISNONTEXT($C1952),0,SUM(D1952:AI1952)-SUM(AN1952:BS1952))</f>
        <v>0</v>
      </c>
      <c r="BY1952" s="374"/>
      <c r="BZ1952" s="383"/>
      <c r="CA1952" s="383"/>
      <c r="CB1952" s="384"/>
      <c r="CC1952" s="384"/>
      <c r="CD1952" s="384"/>
      <c r="CE1952" s="384"/>
      <c r="CF1952" s="384"/>
    </row>
    <row r="1953" spans="1:84" ht="15" hidden="1" customHeight="1" x14ac:dyDescent="0.25">
      <c r="A1953" s="313"/>
      <c r="B1953" s="340"/>
      <c r="C1953" s="1328" t="s">
        <v>1920</v>
      </c>
      <c r="D1953" s="1320"/>
      <c r="E1953" s="1320"/>
      <c r="F1953" s="1320"/>
      <c r="G1953" s="1320"/>
      <c r="H1953" s="1320"/>
      <c r="I1953" s="1320"/>
      <c r="J1953" s="1320"/>
      <c r="K1953" s="1320"/>
      <c r="L1953" s="1320"/>
      <c r="M1953" s="1320"/>
      <c r="N1953" s="776"/>
      <c r="O1953" s="1320" t="s">
        <v>1389</v>
      </c>
      <c r="P1953" s="1320"/>
      <c r="Q1953" s="1320"/>
      <c r="R1953" s="1320"/>
      <c r="S1953" s="1320"/>
      <c r="T1953" s="1320"/>
      <c r="U1953" s="1320"/>
      <c r="V1953" s="342"/>
      <c r="W1953" s="1318">
        <v>0</v>
      </c>
      <c r="X1953" s="1318"/>
      <c r="Y1953" s="1318"/>
      <c r="Z1953" s="1318"/>
      <c r="AA1953" s="1318"/>
      <c r="AB1953" s="1318"/>
      <c r="AC1953" s="355"/>
      <c r="AD1953" s="1318">
        <v>0</v>
      </c>
      <c r="AE1953" s="1318"/>
      <c r="AF1953" s="1318"/>
      <c r="AG1953" s="1318"/>
      <c r="AH1953" s="1318"/>
      <c r="AI1953" s="1318"/>
      <c r="AJ1953" s="344"/>
      <c r="AK1953" s="345"/>
      <c r="AL1953" s="340"/>
      <c r="AM1953" s="1328" t="s">
        <v>1920</v>
      </c>
      <c r="AN1953" s="1320"/>
      <c r="AO1953" s="1320"/>
      <c r="AP1953" s="1320"/>
      <c r="AQ1953" s="1320"/>
      <c r="AR1953" s="1320"/>
      <c r="AS1953" s="1320"/>
      <c r="AT1953" s="1320"/>
      <c r="AU1953" s="1320"/>
      <c r="AV1953" s="1320"/>
      <c r="AW1953" s="1320"/>
      <c r="AX1953" s="775"/>
      <c r="AY1953" s="1320" t="s">
        <v>1921</v>
      </c>
      <c r="AZ1953" s="1320"/>
      <c r="BA1953" s="1320"/>
      <c r="BB1953" s="1320"/>
      <c r="BC1953" s="1320"/>
      <c r="BD1953" s="1320"/>
      <c r="BE1953" s="1320"/>
      <c r="BF1953" s="341"/>
      <c r="BG1953" s="1318">
        <f>W1953</f>
        <v>0</v>
      </c>
      <c r="BH1953" s="1318"/>
      <c r="BI1953" s="1318"/>
      <c r="BJ1953" s="1318"/>
      <c r="BK1953" s="1318"/>
      <c r="BL1953" s="1318"/>
      <c r="BM1953" s="355"/>
      <c r="BN1953" s="1318">
        <f>AD1953</f>
        <v>0</v>
      </c>
      <c r="BO1953" s="1318"/>
      <c r="BP1953" s="1318"/>
      <c r="BQ1953" s="1318"/>
      <c r="BR1953" s="1318"/>
      <c r="BS1953" s="1318"/>
      <c r="BT1953" s="342"/>
      <c r="BU1953" s="346"/>
      <c r="BV1953" s="310"/>
      <c r="BW1953" s="310"/>
      <c r="BX1953" s="291">
        <f t="shared" si="141"/>
        <v>0</v>
      </c>
      <c r="BY1953" s="344"/>
      <c r="BZ1953" s="347"/>
      <c r="CA1953" s="347"/>
    </row>
    <row r="1954" spans="1:84" ht="15" hidden="1" customHeight="1" x14ac:dyDescent="0.25">
      <c r="A1954" s="313"/>
      <c r="B1954" s="340"/>
      <c r="C1954" s="1328" t="s">
        <v>918</v>
      </c>
      <c r="D1954" s="1320"/>
      <c r="E1954" s="1320"/>
      <c r="F1954" s="1320"/>
      <c r="G1954" s="1320"/>
      <c r="H1954" s="1320"/>
      <c r="I1954" s="1320"/>
      <c r="J1954" s="1320"/>
      <c r="K1954" s="1320"/>
      <c r="L1954" s="1320"/>
      <c r="M1954" s="1320"/>
      <c r="N1954" s="775"/>
      <c r="O1954" s="1321" t="s">
        <v>1389</v>
      </c>
      <c r="P1954" s="1321"/>
      <c r="Q1954" s="1321"/>
      <c r="R1954" s="1321"/>
      <c r="S1954" s="1321"/>
      <c r="T1954" s="1321"/>
      <c r="U1954" s="1321"/>
      <c r="V1954" s="342"/>
      <c r="W1954" s="1318">
        <v>0</v>
      </c>
      <c r="X1954" s="1318"/>
      <c r="Y1954" s="1318"/>
      <c r="Z1954" s="1318"/>
      <c r="AA1954" s="1318"/>
      <c r="AB1954" s="1318"/>
      <c r="AC1954" s="355"/>
      <c r="AD1954" s="1318">
        <v>0</v>
      </c>
      <c r="AE1954" s="1318"/>
      <c r="AF1954" s="1318"/>
      <c r="AG1954" s="1318"/>
      <c r="AH1954" s="1318"/>
      <c r="AI1954" s="1318"/>
      <c r="AJ1954" s="344"/>
      <c r="AK1954" s="345"/>
      <c r="AL1954" s="340"/>
      <c r="AM1954" s="1328" t="s">
        <v>918</v>
      </c>
      <c r="AN1954" s="1320"/>
      <c r="AO1954" s="1320"/>
      <c r="AP1954" s="1320"/>
      <c r="AQ1954" s="1320"/>
      <c r="AR1954" s="1320"/>
      <c r="AS1954" s="1320"/>
      <c r="AT1954" s="1320"/>
      <c r="AU1954" s="1320"/>
      <c r="AV1954" s="1320"/>
      <c r="AW1954" s="1320"/>
      <c r="AX1954" s="775"/>
      <c r="AY1954" s="1320" t="s">
        <v>1928</v>
      </c>
      <c r="AZ1954" s="1320"/>
      <c r="BA1954" s="1320"/>
      <c r="BB1954" s="1320"/>
      <c r="BC1954" s="1320"/>
      <c r="BD1954" s="1320"/>
      <c r="BE1954" s="1320"/>
      <c r="BF1954" s="342"/>
      <c r="BG1954" s="1318">
        <f>W1954</f>
        <v>0</v>
      </c>
      <c r="BH1954" s="1318"/>
      <c r="BI1954" s="1318"/>
      <c r="BJ1954" s="1318"/>
      <c r="BK1954" s="1318"/>
      <c r="BL1954" s="1318"/>
      <c r="BM1954" s="355"/>
      <c r="BN1954" s="1318">
        <f>AD1954</f>
        <v>0</v>
      </c>
      <c r="BO1954" s="1318"/>
      <c r="BP1954" s="1318"/>
      <c r="BQ1954" s="1318"/>
      <c r="BR1954" s="1318"/>
      <c r="BS1954" s="1318"/>
      <c r="BT1954" s="342"/>
      <c r="BU1954" s="346"/>
      <c r="BV1954" s="310"/>
      <c r="BW1954" s="310"/>
      <c r="BX1954" s="291">
        <f t="shared" si="141"/>
        <v>0</v>
      </c>
      <c r="BY1954" s="344"/>
      <c r="BZ1954" s="347"/>
      <c r="CA1954" s="347"/>
    </row>
    <row r="1955" spans="1:84" s="385" customFormat="1" ht="15" hidden="1" customHeight="1" x14ac:dyDescent="0.25">
      <c r="A1955" s="313"/>
      <c r="B1955" s="340"/>
      <c r="C1955" s="1329" t="s">
        <v>1946</v>
      </c>
      <c r="D1955" s="1322"/>
      <c r="E1955" s="1322"/>
      <c r="F1955" s="1322"/>
      <c r="G1955" s="1322"/>
      <c r="H1955" s="1322"/>
      <c r="I1955" s="1322"/>
      <c r="J1955" s="1322"/>
      <c r="K1955" s="1322"/>
      <c r="L1955" s="1322"/>
      <c r="M1955" s="1322"/>
      <c r="N1955" s="776"/>
      <c r="O1955" s="1322"/>
      <c r="P1955" s="1322"/>
      <c r="Q1955" s="1322"/>
      <c r="R1955" s="1322"/>
      <c r="S1955" s="1322"/>
      <c r="T1955" s="1322"/>
      <c r="U1955" s="1322"/>
      <c r="V1955" s="341"/>
      <c r="W1955" s="1330"/>
      <c r="X1955" s="1330"/>
      <c r="Y1955" s="1330"/>
      <c r="Z1955" s="1330"/>
      <c r="AA1955" s="1330"/>
      <c r="AB1955" s="1330"/>
      <c r="AC1955" s="363"/>
      <c r="AD1955" s="1330"/>
      <c r="AE1955" s="1330"/>
      <c r="AF1955" s="1330"/>
      <c r="AG1955" s="1330"/>
      <c r="AH1955" s="1330"/>
      <c r="AI1955" s="1330"/>
      <c r="AJ1955" s="374"/>
      <c r="AK1955" s="345"/>
      <c r="AL1955" s="340"/>
      <c r="AM1955" s="1329" t="s">
        <v>1947</v>
      </c>
      <c r="AN1955" s="1322"/>
      <c r="AO1955" s="1322"/>
      <c r="AP1955" s="1322"/>
      <c r="AQ1955" s="1322"/>
      <c r="AR1955" s="1322"/>
      <c r="AS1955" s="1322"/>
      <c r="AT1955" s="1322"/>
      <c r="AU1955" s="1322"/>
      <c r="AV1955" s="1322"/>
      <c r="AW1955" s="1322"/>
      <c r="AX1955" s="776"/>
      <c r="AY1955" s="1322"/>
      <c r="AZ1955" s="1322"/>
      <c r="BA1955" s="1322"/>
      <c r="BB1955" s="1322"/>
      <c r="BC1955" s="1322"/>
      <c r="BD1955" s="1322"/>
      <c r="BE1955" s="1322"/>
      <c r="BF1955" s="341"/>
      <c r="BG1955" s="1330"/>
      <c r="BH1955" s="1330"/>
      <c r="BI1955" s="1330"/>
      <c r="BJ1955" s="1330"/>
      <c r="BK1955" s="1330"/>
      <c r="BL1955" s="1330"/>
      <c r="BM1955" s="363"/>
      <c r="BN1955" s="1330"/>
      <c r="BO1955" s="1330"/>
      <c r="BP1955" s="1330"/>
      <c r="BQ1955" s="1330"/>
      <c r="BR1955" s="1330"/>
      <c r="BS1955" s="1330"/>
      <c r="BT1955" s="341"/>
      <c r="BU1955" s="550"/>
      <c r="BV1955" s="425">
        <f>SUM(W1956:AB1957)-M1029</f>
        <v>0</v>
      </c>
      <c r="BW1955" s="425">
        <f>SUM(AD1956:AI1957)-Y1029</f>
        <v>0</v>
      </c>
      <c r="BX1955" s="426">
        <f t="shared" si="141"/>
        <v>0</v>
      </c>
      <c r="BY1955" s="374"/>
      <c r="BZ1955" s="383"/>
      <c r="CA1955" s="383"/>
      <c r="CB1955" s="384"/>
      <c r="CC1955" s="384"/>
      <c r="CD1955" s="384"/>
      <c r="CE1955" s="384"/>
      <c r="CF1955" s="384"/>
    </row>
    <row r="1956" spans="1:84" ht="15" hidden="1" customHeight="1" x14ac:dyDescent="0.25">
      <c r="A1956" s="313"/>
      <c r="B1956" s="340"/>
      <c r="C1956" s="1328" t="s">
        <v>1920</v>
      </c>
      <c r="D1956" s="1320"/>
      <c r="E1956" s="1320"/>
      <c r="F1956" s="1320"/>
      <c r="G1956" s="1320"/>
      <c r="H1956" s="1320"/>
      <c r="I1956" s="1320"/>
      <c r="J1956" s="1320"/>
      <c r="K1956" s="1320"/>
      <c r="L1956" s="1320"/>
      <c r="M1956" s="1320"/>
      <c r="N1956" s="776"/>
      <c r="O1956" s="1320" t="s">
        <v>1389</v>
      </c>
      <c r="P1956" s="1320"/>
      <c r="Q1956" s="1320"/>
      <c r="R1956" s="1320"/>
      <c r="S1956" s="1320"/>
      <c r="T1956" s="1320"/>
      <c r="U1956" s="1320"/>
      <c r="V1956" s="342"/>
      <c r="W1956" s="1318">
        <v>0</v>
      </c>
      <c r="X1956" s="1318"/>
      <c r="Y1956" s="1318"/>
      <c r="Z1956" s="1318"/>
      <c r="AA1956" s="1318"/>
      <c r="AB1956" s="1318"/>
      <c r="AC1956" s="355"/>
      <c r="AD1956" s="1318">
        <v>0</v>
      </c>
      <c r="AE1956" s="1318"/>
      <c r="AF1956" s="1318"/>
      <c r="AG1956" s="1318"/>
      <c r="AH1956" s="1318"/>
      <c r="AI1956" s="1318"/>
      <c r="AJ1956" s="344"/>
      <c r="AK1956" s="345"/>
      <c r="AL1956" s="340"/>
      <c r="AM1956" s="1328" t="s">
        <v>1920</v>
      </c>
      <c r="AN1956" s="1320"/>
      <c r="AO1956" s="1320"/>
      <c r="AP1956" s="1320"/>
      <c r="AQ1956" s="1320"/>
      <c r="AR1956" s="1320"/>
      <c r="AS1956" s="1320"/>
      <c r="AT1956" s="1320"/>
      <c r="AU1956" s="1320"/>
      <c r="AV1956" s="1320"/>
      <c r="AW1956" s="1320"/>
      <c r="AX1956" s="775"/>
      <c r="AY1956" s="1320" t="s">
        <v>1921</v>
      </c>
      <c r="AZ1956" s="1320"/>
      <c r="BA1956" s="1320"/>
      <c r="BB1956" s="1320"/>
      <c r="BC1956" s="1320"/>
      <c r="BD1956" s="1320"/>
      <c r="BE1956" s="1320"/>
      <c r="BF1956" s="341"/>
      <c r="BG1956" s="1318">
        <f>W1956</f>
        <v>0</v>
      </c>
      <c r="BH1956" s="1318"/>
      <c r="BI1956" s="1318"/>
      <c r="BJ1956" s="1318"/>
      <c r="BK1956" s="1318"/>
      <c r="BL1956" s="1318"/>
      <c r="BM1956" s="355"/>
      <c r="BN1956" s="1318">
        <f>AD1956</f>
        <v>0</v>
      </c>
      <c r="BO1956" s="1318"/>
      <c r="BP1956" s="1318"/>
      <c r="BQ1956" s="1318"/>
      <c r="BR1956" s="1318"/>
      <c r="BS1956" s="1318"/>
      <c r="BT1956" s="342"/>
      <c r="BU1956" s="346"/>
      <c r="BV1956" s="310"/>
      <c r="BW1956" s="310"/>
      <c r="BX1956" s="291">
        <f t="shared" si="141"/>
        <v>0</v>
      </c>
      <c r="BY1956" s="344"/>
      <c r="BZ1956" s="347"/>
      <c r="CA1956" s="347"/>
    </row>
    <row r="1957" spans="1:84" ht="15" hidden="1" customHeight="1" x14ac:dyDescent="0.25">
      <c r="A1957" s="313"/>
      <c r="B1957" s="340"/>
      <c r="C1957" s="1328" t="s">
        <v>918</v>
      </c>
      <c r="D1957" s="1320"/>
      <c r="E1957" s="1320"/>
      <c r="F1957" s="1320"/>
      <c r="G1957" s="1320"/>
      <c r="H1957" s="1320"/>
      <c r="I1957" s="1320"/>
      <c r="J1957" s="1320"/>
      <c r="K1957" s="1320"/>
      <c r="L1957" s="1320"/>
      <c r="M1957" s="1320"/>
      <c r="N1957" s="775"/>
      <c r="O1957" s="1321" t="s">
        <v>1389</v>
      </c>
      <c r="P1957" s="1321"/>
      <c r="Q1957" s="1321"/>
      <c r="R1957" s="1321"/>
      <c r="S1957" s="1321"/>
      <c r="T1957" s="1321"/>
      <c r="U1957" s="1321"/>
      <c r="V1957" s="342"/>
      <c r="W1957" s="1318">
        <v>0</v>
      </c>
      <c r="X1957" s="1318"/>
      <c r="Y1957" s="1318"/>
      <c r="Z1957" s="1318"/>
      <c r="AA1957" s="1318"/>
      <c r="AB1957" s="1318"/>
      <c r="AC1957" s="355"/>
      <c r="AD1957" s="1318">
        <v>0</v>
      </c>
      <c r="AE1957" s="1318"/>
      <c r="AF1957" s="1318"/>
      <c r="AG1957" s="1318"/>
      <c r="AH1957" s="1318"/>
      <c r="AI1957" s="1318"/>
      <c r="AJ1957" s="344"/>
      <c r="AK1957" s="345"/>
      <c r="AL1957" s="340"/>
      <c r="AM1957" s="1328" t="s">
        <v>918</v>
      </c>
      <c r="AN1957" s="1320"/>
      <c r="AO1957" s="1320"/>
      <c r="AP1957" s="1320"/>
      <c r="AQ1957" s="1320"/>
      <c r="AR1957" s="1320"/>
      <c r="AS1957" s="1320"/>
      <c r="AT1957" s="1320"/>
      <c r="AU1957" s="1320"/>
      <c r="AV1957" s="1320"/>
      <c r="AW1957" s="1320"/>
      <c r="AX1957" s="775"/>
      <c r="AY1957" s="1320" t="s">
        <v>1928</v>
      </c>
      <c r="AZ1957" s="1320"/>
      <c r="BA1957" s="1320"/>
      <c r="BB1957" s="1320"/>
      <c r="BC1957" s="1320"/>
      <c r="BD1957" s="1320"/>
      <c r="BE1957" s="1320"/>
      <c r="BF1957" s="342"/>
      <c r="BG1957" s="1318">
        <f>W1957</f>
        <v>0</v>
      </c>
      <c r="BH1957" s="1318"/>
      <c r="BI1957" s="1318"/>
      <c r="BJ1957" s="1318"/>
      <c r="BK1957" s="1318"/>
      <c r="BL1957" s="1318"/>
      <c r="BM1957" s="355"/>
      <c r="BN1957" s="1318">
        <f>AD1957</f>
        <v>0</v>
      </c>
      <c r="BO1957" s="1318"/>
      <c r="BP1957" s="1318"/>
      <c r="BQ1957" s="1318"/>
      <c r="BR1957" s="1318"/>
      <c r="BS1957" s="1318"/>
      <c r="BT1957" s="342"/>
      <c r="BU1957" s="346"/>
      <c r="BV1957" s="310"/>
      <c r="BW1957" s="310"/>
      <c r="BX1957" s="291">
        <f t="shared" si="141"/>
        <v>0</v>
      </c>
      <c r="BY1957" s="344"/>
      <c r="BZ1957" s="347"/>
      <c r="CA1957" s="347"/>
    </row>
    <row r="1958" spans="1:84" s="385" customFormat="1" ht="15" hidden="1" customHeight="1" x14ac:dyDescent="0.25">
      <c r="A1958" s="313"/>
      <c r="B1958" s="340"/>
      <c r="C1958" s="1329" t="s">
        <v>1948</v>
      </c>
      <c r="D1958" s="1322"/>
      <c r="E1958" s="1322"/>
      <c r="F1958" s="1322"/>
      <c r="G1958" s="1322"/>
      <c r="H1958" s="1322"/>
      <c r="I1958" s="1322"/>
      <c r="J1958" s="1322"/>
      <c r="K1958" s="1322"/>
      <c r="L1958" s="1322"/>
      <c r="M1958" s="1322"/>
      <c r="N1958" s="776"/>
      <c r="O1958" s="1322"/>
      <c r="P1958" s="1322"/>
      <c r="Q1958" s="1322"/>
      <c r="R1958" s="1322"/>
      <c r="S1958" s="1322"/>
      <c r="T1958" s="1322"/>
      <c r="U1958" s="1322"/>
      <c r="V1958" s="341"/>
      <c r="W1958" s="1330"/>
      <c r="X1958" s="1330"/>
      <c r="Y1958" s="1330"/>
      <c r="Z1958" s="1330"/>
      <c r="AA1958" s="1330"/>
      <c r="AB1958" s="1330"/>
      <c r="AC1958" s="363"/>
      <c r="AD1958" s="1330"/>
      <c r="AE1958" s="1330"/>
      <c r="AF1958" s="1330"/>
      <c r="AG1958" s="1330"/>
      <c r="AH1958" s="1330"/>
      <c r="AI1958" s="1330"/>
      <c r="AJ1958" s="374"/>
      <c r="AK1958" s="345"/>
      <c r="AL1958" s="340"/>
      <c r="AM1958" s="777" t="s">
        <v>1949</v>
      </c>
      <c r="AN1958" s="776"/>
      <c r="AO1958" s="776"/>
      <c r="AP1958" s="776"/>
      <c r="AQ1958" s="776"/>
      <c r="AR1958" s="776"/>
      <c r="AS1958" s="776"/>
      <c r="AT1958" s="776"/>
      <c r="AU1958" s="776"/>
      <c r="AV1958" s="776"/>
      <c r="AW1958" s="776"/>
      <c r="AX1958" s="776"/>
      <c r="AY1958" s="776"/>
      <c r="AZ1958" s="776"/>
      <c r="BA1958" s="776"/>
      <c r="BB1958" s="776"/>
      <c r="BC1958" s="776"/>
      <c r="BD1958" s="776"/>
      <c r="BE1958" s="776"/>
      <c r="BF1958" s="341"/>
      <c r="BG1958" s="1330"/>
      <c r="BH1958" s="1330"/>
      <c r="BI1958" s="1330"/>
      <c r="BJ1958" s="1330"/>
      <c r="BK1958" s="1330"/>
      <c r="BL1958" s="1330"/>
      <c r="BM1958" s="363"/>
      <c r="BN1958" s="1330"/>
      <c r="BO1958" s="1330"/>
      <c r="BP1958" s="1330"/>
      <c r="BQ1958" s="1330"/>
      <c r="BR1958" s="1330"/>
      <c r="BS1958" s="1330"/>
      <c r="BT1958" s="341"/>
      <c r="BU1958" s="550"/>
      <c r="BV1958" s="425"/>
      <c r="BW1958" s="425"/>
      <c r="BX1958" s="426">
        <f t="shared" si="141"/>
        <v>0</v>
      </c>
      <c r="BY1958" s="374"/>
      <c r="BZ1958" s="383"/>
      <c r="CA1958" s="383"/>
      <c r="CB1958" s="384"/>
      <c r="CC1958" s="384"/>
      <c r="CD1958" s="384"/>
      <c r="CE1958" s="384"/>
      <c r="CF1958" s="384"/>
    </row>
    <row r="1959" spans="1:84" ht="15" hidden="1" customHeight="1" x14ac:dyDescent="0.25">
      <c r="A1959" s="313"/>
      <c r="B1959" s="340"/>
      <c r="C1959" s="1328" t="s">
        <v>1920</v>
      </c>
      <c r="D1959" s="1320"/>
      <c r="E1959" s="1320"/>
      <c r="F1959" s="1320"/>
      <c r="G1959" s="1320"/>
      <c r="H1959" s="1320"/>
      <c r="I1959" s="1320"/>
      <c r="J1959" s="1320"/>
      <c r="K1959" s="1320"/>
      <c r="L1959" s="1320"/>
      <c r="M1959" s="1320"/>
      <c r="N1959" s="776"/>
      <c r="O1959" s="1320" t="s">
        <v>1389</v>
      </c>
      <c r="P1959" s="1320"/>
      <c r="Q1959" s="1320"/>
      <c r="R1959" s="1320"/>
      <c r="S1959" s="1320"/>
      <c r="T1959" s="1320"/>
      <c r="U1959" s="1320"/>
      <c r="V1959" s="342"/>
      <c r="W1959" s="1318">
        <v>0</v>
      </c>
      <c r="X1959" s="1318"/>
      <c r="Y1959" s="1318"/>
      <c r="Z1959" s="1318"/>
      <c r="AA1959" s="1318"/>
      <c r="AB1959" s="1318"/>
      <c r="AC1959" s="355"/>
      <c r="AD1959" s="1318">
        <v>0</v>
      </c>
      <c r="AE1959" s="1318"/>
      <c r="AF1959" s="1318"/>
      <c r="AG1959" s="1318"/>
      <c r="AH1959" s="1318"/>
      <c r="AI1959" s="1318"/>
      <c r="AJ1959" s="344"/>
      <c r="AK1959" s="345"/>
      <c r="AL1959" s="340"/>
      <c r="AM1959" s="1328" t="s">
        <v>1920</v>
      </c>
      <c r="AN1959" s="1320"/>
      <c r="AO1959" s="1320"/>
      <c r="AP1959" s="1320"/>
      <c r="AQ1959" s="1320"/>
      <c r="AR1959" s="1320"/>
      <c r="AS1959" s="1320"/>
      <c r="AT1959" s="1320"/>
      <c r="AU1959" s="1320"/>
      <c r="AV1959" s="1320"/>
      <c r="AW1959" s="1320"/>
      <c r="AX1959" s="775"/>
      <c r="AY1959" s="1320" t="s">
        <v>1921</v>
      </c>
      <c r="AZ1959" s="1320"/>
      <c r="BA1959" s="1320"/>
      <c r="BB1959" s="1320"/>
      <c r="BC1959" s="1320"/>
      <c r="BD1959" s="1320"/>
      <c r="BE1959" s="1320"/>
      <c r="BF1959" s="341"/>
      <c r="BG1959" s="1318">
        <f>W1959</f>
        <v>0</v>
      </c>
      <c r="BH1959" s="1318"/>
      <c r="BI1959" s="1318"/>
      <c r="BJ1959" s="1318"/>
      <c r="BK1959" s="1318"/>
      <c r="BL1959" s="1318"/>
      <c r="BM1959" s="355"/>
      <c r="BN1959" s="1318">
        <f>AD1959</f>
        <v>0</v>
      </c>
      <c r="BO1959" s="1318"/>
      <c r="BP1959" s="1318"/>
      <c r="BQ1959" s="1318"/>
      <c r="BR1959" s="1318"/>
      <c r="BS1959" s="1318"/>
      <c r="BT1959" s="342"/>
      <c r="BU1959" s="346"/>
      <c r="BV1959" s="310"/>
      <c r="BW1959" s="310"/>
      <c r="BX1959" s="291">
        <f t="shared" si="141"/>
        <v>0</v>
      </c>
      <c r="BY1959" s="344"/>
      <c r="BZ1959" s="347"/>
      <c r="CA1959" s="347"/>
    </row>
    <row r="1960" spans="1:84" ht="15" hidden="1" customHeight="1" x14ac:dyDescent="0.25">
      <c r="A1960" s="313"/>
      <c r="B1960" s="340"/>
      <c r="C1960" s="1328" t="s">
        <v>918</v>
      </c>
      <c r="D1960" s="1320"/>
      <c r="E1960" s="1320"/>
      <c r="F1960" s="1320"/>
      <c r="G1960" s="1320"/>
      <c r="H1960" s="1320"/>
      <c r="I1960" s="1320"/>
      <c r="J1960" s="1320"/>
      <c r="K1960" s="1320"/>
      <c r="L1960" s="1320"/>
      <c r="M1960" s="1320"/>
      <c r="N1960" s="775"/>
      <c r="O1960" s="1321" t="s">
        <v>1389</v>
      </c>
      <c r="P1960" s="1321"/>
      <c r="Q1960" s="1321"/>
      <c r="R1960" s="1321"/>
      <c r="S1960" s="1321"/>
      <c r="T1960" s="1321"/>
      <c r="U1960" s="1321"/>
      <c r="V1960" s="342"/>
      <c r="W1960" s="1318">
        <v>0</v>
      </c>
      <c r="X1960" s="1318"/>
      <c r="Y1960" s="1318"/>
      <c r="Z1960" s="1318"/>
      <c r="AA1960" s="1318"/>
      <c r="AB1960" s="1318"/>
      <c r="AC1960" s="355"/>
      <c r="AD1960" s="1318">
        <v>0</v>
      </c>
      <c r="AE1960" s="1318"/>
      <c r="AF1960" s="1318"/>
      <c r="AG1960" s="1318"/>
      <c r="AH1960" s="1318"/>
      <c r="AI1960" s="1318"/>
      <c r="AJ1960" s="344"/>
      <c r="AK1960" s="345"/>
      <c r="AL1960" s="340"/>
      <c r="AM1960" s="1328" t="s">
        <v>918</v>
      </c>
      <c r="AN1960" s="1320"/>
      <c r="AO1960" s="1320"/>
      <c r="AP1960" s="1320"/>
      <c r="AQ1960" s="1320"/>
      <c r="AR1960" s="1320"/>
      <c r="AS1960" s="1320"/>
      <c r="AT1960" s="1320"/>
      <c r="AU1960" s="1320"/>
      <c r="AV1960" s="1320"/>
      <c r="AW1960" s="1320"/>
      <c r="AX1960" s="775"/>
      <c r="AY1960" s="1320" t="s">
        <v>1928</v>
      </c>
      <c r="AZ1960" s="1320"/>
      <c r="BA1960" s="1320"/>
      <c r="BB1960" s="1320"/>
      <c r="BC1960" s="1320"/>
      <c r="BD1960" s="1320"/>
      <c r="BE1960" s="1320"/>
      <c r="BF1960" s="342"/>
      <c r="BG1960" s="1318">
        <f>W1960</f>
        <v>0</v>
      </c>
      <c r="BH1960" s="1318"/>
      <c r="BI1960" s="1318"/>
      <c r="BJ1960" s="1318"/>
      <c r="BK1960" s="1318"/>
      <c r="BL1960" s="1318"/>
      <c r="BM1960" s="355"/>
      <c r="BN1960" s="1318">
        <f>AD1960</f>
        <v>0</v>
      </c>
      <c r="BO1960" s="1318"/>
      <c r="BP1960" s="1318"/>
      <c r="BQ1960" s="1318"/>
      <c r="BR1960" s="1318"/>
      <c r="BS1960" s="1318"/>
      <c r="BT1960" s="342"/>
      <c r="BU1960" s="346"/>
      <c r="BV1960" s="310"/>
      <c r="BW1960" s="310"/>
      <c r="BX1960" s="291">
        <f t="shared" si="141"/>
        <v>0</v>
      </c>
      <c r="BY1960" s="344"/>
      <c r="BZ1960" s="347"/>
      <c r="CA1960" s="347"/>
    </row>
    <row r="1961" spans="1:84" s="385" customFormat="1" ht="15" hidden="1" customHeight="1" x14ac:dyDescent="0.25">
      <c r="A1961" s="313"/>
      <c r="B1961" s="340"/>
      <c r="C1961" s="1329" t="s">
        <v>1233</v>
      </c>
      <c r="D1961" s="1322"/>
      <c r="E1961" s="1322"/>
      <c r="F1961" s="1322"/>
      <c r="G1961" s="1322"/>
      <c r="H1961" s="1322"/>
      <c r="I1961" s="1322"/>
      <c r="J1961" s="1322"/>
      <c r="K1961" s="1322"/>
      <c r="L1961" s="1322"/>
      <c r="M1961" s="1322"/>
      <c r="N1961" s="776"/>
      <c r="O1961" s="1322"/>
      <c r="P1961" s="1322"/>
      <c r="Q1961" s="1322"/>
      <c r="R1961" s="1322"/>
      <c r="S1961" s="1322"/>
      <c r="T1961" s="1322"/>
      <c r="U1961" s="1322"/>
      <c r="V1961" s="341"/>
      <c r="W1961" s="1330"/>
      <c r="X1961" s="1330"/>
      <c r="Y1961" s="1330"/>
      <c r="Z1961" s="1330"/>
      <c r="AA1961" s="1330"/>
      <c r="AB1961" s="1330"/>
      <c r="AC1961" s="363"/>
      <c r="AD1961" s="1330"/>
      <c r="AE1961" s="1330"/>
      <c r="AF1961" s="1330"/>
      <c r="AG1961" s="1330"/>
      <c r="AH1961" s="1330"/>
      <c r="AI1961" s="1330"/>
      <c r="AJ1961" s="374"/>
      <c r="AK1961" s="345"/>
      <c r="AL1961" s="340"/>
      <c r="AM1961" s="1329" t="s">
        <v>1950</v>
      </c>
      <c r="AN1961" s="1322"/>
      <c r="AO1961" s="1322"/>
      <c r="AP1961" s="1322"/>
      <c r="AQ1961" s="1322"/>
      <c r="AR1961" s="1322"/>
      <c r="AS1961" s="1322"/>
      <c r="AT1961" s="1322"/>
      <c r="AU1961" s="1322"/>
      <c r="AV1961" s="1322"/>
      <c r="AW1961" s="1322"/>
      <c r="AX1961" s="776"/>
      <c r="AY1961" s="1322"/>
      <c r="AZ1961" s="1322"/>
      <c r="BA1961" s="1322"/>
      <c r="BB1961" s="1322"/>
      <c r="BC1961" s="1322"/>
      <c r="BD1961" s="1322"/>
      <c r="BE1961" s="1322"/>
      <c r="BF1961" s="341"/>
      <c r="BG1961" s="1330"/>
      <c r="BH1961" s="1330"/>
      <c r="BI1961" s="1330"/>
      <c r="BJ1961" s="1330"/>
      <c r="BK1961" s="1330"/>
      <c r="BL1961" s="1330"/>
      <c r="BM1961" s="363"/>
      <c r="BN1961" s="1330"/>
      <c r="BO1961" s="1330"/>
      <c r="BP1961" s="1330"/>
      <c r="BQ1961" s="1330"/>
      <c r="BR1961" s="1330"/>
      <c r="BS1961" s="1330"/>
      <c r="BT1961" s="341"/>
      <c r="BU1961" s="550"/>
      <c r="BV1961" s="425"/>
      <c r="BW1961" s="425"/>
      <c r="BX1961" s="426">
        <f t="shared" si="141"/>
        <v>0</v>
      </c>
      <c r="BY1961" s="374"/>
      <c r="BZ1961" s="383"/>
      <c r="CA1961" s="383"/>
      <c r="CB1961" s="384"/>
      <c r="CC1961" s="384"/>
      <c r="CD1961" s="384"/>
      <c r="CE1961" s="384"/>
      <c r="CF1961" s="384"/>
    </row>
    <row r="1962" spans="1:84" ht="15" hidden="1" customHeight="1" x14ac:dyDescent="0.25">
      <c r="A1962" s="313"/>
      <c r="B1962" s="340"/>
      <c r="C1962" s="1328" t="s">
        <v>1920</v>
      </c>
      <c r="D1962" s="1320"/>
      <c r="E1962" s="1320"/>
      <c r="F1962" s="1320"/>
      <c r="G1962" s="1320"/>
      <c r="H1962" s="1320"/>
      <c r="I1962" s="1320"/>
      <c r="J1962" s="1320"/>
      <c r="K1962" s="1320"/>
      <c r="L1962" s="1320"/>
      <c r="M1962" s="1320"/>
      <c r="N1962" s="776"/>
      <c r="O1962" s="1320" t="s">
        <v>1389</v>
      </c>
      <c r="P1962" s="1320"/>
      <c r="Q1962" s="1320"/>
      <c r="R1962" s="1320"/>
      <c r="S1962" s="1320"/>
      <c r="T1962" s="1320"/>
      <c r="U1962" s="1320"/>
      <c r="V1962" s="342"/>
      <c r="W1962" s="1318">
        <v>0</v>
      </c>
      <c r="X1962" s="1318"/>
      <c r="Y1962" s="1318"/>
      <c r="Z1962" s="1318"/>
      <c r="AA1962" s="1318"/>
      <c r="AB1962" s="1318"/>
      <c r="AC1962" s="355"/>
      <c r="AD1962" s="1318">
        <v>0</v>
      </c>
      <c r="AE1962" s="1318"/>
      <c r="AF1962" s="1318"/>
      <c r="AG1962" s="1318"/>
      <c r="AH1962" s="1318"/>
      <c r="AI1962" s="1318"/>
      <c r="AJ1962" s="344"/>
      <c r="AK1962" s="345"/>
      <c r="AL1962" s="340"/>
      <c r="AM1962" s="1328" t="s">
        <v>1920</v>
      </c>
      <c r="AN1962" s="1320"/>
      <c r="AO1962" s="1320"/>
      <c r="AP1962" s="1320"/>
      <c r="AQ1962" s="1320"/>
      <c r="AR1962" s="1320"/>
      <c r="AS1962" s="1320"/>
      <c r="AT1962" s="1320"/>
      <c r="AU1962" s="1320"/>
      <c r="AV1962" s="1320"/>
      <c r="AW1962" s="1320"/>
      <c r="AX1962" s="775"/>
      <c r="AY1962" s="1320" t="s">
        <v>1921</v>
      </c>
      <c r="AZ1962" s="1320"/>
      <c r="BA1962" s="1320"/>
      <c r="BB1962" s="1320"/>
      <c r="BC1962" s="1320"/>
      <c r="BD1962" s="1320"/>
      <c r="BE1962" s="1320"/>
      <c r="BF1962" s="341"/>
      <c r="BG1962" s="1318">
        <f>W1962</f>
        <v>0</v>
      </c>
      <c r="BH1962" s="1318"/>
      <c r="BI1962" s="1318"/>
      <c r="BJ1962" s="1318"/>
      <c r="BK1962" s="1318"/>
      <c r="BL1962" s="1318"/>
      <c r="BM1962" s="355"/>
      <c r="BN1962" s="1318">
        <f>AD1962</f>
        <v>0</v>
      </c>
      <c r="BO1962" s="1318"/>
      <c r="BP1962" s="1318"/>
      <c r="BQ1962" s="1318"/>
      <c r="BR1962" s="1318"/>
      <c r="BS1962" s="1318"/>
      <c r="BT1962" s="342"/>
      <c r="BU1962" s="346"/>
      <c r="BV1962" s="310"/>
      <c r="BW1962" s="310"/>
      <c r="BX1962" s="291">
        <f t="shared" si="141"/>
        <v>0</v>
      </c>
      <c r="BY1962" s="344"/>
      <c r="BZ1962" s="347"/>
      <c r="CA1962" s="347"/>
    </row>
    <row r="1963" spans="1:84" ht="15" hidden="1" customHeight="1" x14ac:dyDescent="0.25">
      <c r="A1963" s="313"/>
      <c r="B1963" s="340"/>
      <c r="C1963" s="1328" t="s">
        <v>918</v>
      </c>
      <c r="D1963" s="1320"/>
      <c r="E1963" s="1320"/>
      <c r="F1963" s="1320"/>
      <c r="G1963" s="1320"/>
      <c r="H1963" s="1320"/>
      <c r="I1963" s="1320"/>
      <c r="J1963" s="1320"/>
      <c r="K1963" s="1320"/>
      <c r="L1963" s="1320"/>
      <c r="M1963" s="1320"/>
      <c r="N1963" s="775"/>
      <c r="O1963" s="1321" t="s">
        <v>1389</v>
      </c>
      <c r="P1963" s="1321"/>
      <c r="Q1963" s="1321"/>
      <c r="R1963" s="1321"/>
      <c r="S1963" s="1321"/>
      <c r="T1963" s="1321"/>
      <c r="U1963" s="1321"/>
      <c r="V1963" s="342"/>
      <c r="W1963" s="1318">
        <v>0</v>
      </c>
      <c r="X1963" s="1318"/>
      <c r="Y1963" s="1318"/>
      <c r="Z1963" s="1318"/>
      <c r="AA1963" s="1318"/>
      <c r="AB1963" s="1318"/>
      <c r="AC1963" s="355"/>
      <c r="AD1963" s="1318">
        <v>0</v>
      </c>
      <c r="AE1963" s="1318"/>
      <c r="AF1963" s="1318"/>
      <c r="AG1963" s="1318"/>
      <c r="AH1963" s="1318"/>
      <c r="AI1963" s="1318"/>
      <c r="AJ1963" s="344"/>
      <c r="AK1963" s="345"/>
      <c r="AL1963" s="340"/>
      <c r="AM1963" s="1328" t="s">
        <v>918</v>
      </c>
      <c r="AN1963" s="1320"/>
      <c r="AO1963" s="1320"/>
      <c r="AP1963" s="1320"/>
      <c r="AQ1963" s="1320"/>
      <c r="AR1963" s="1320"/>
      <c r="AS1963" s="1320"/>
      <c r="AT1963" s="1320"/>
      <c r="AU1963" s="1320"/>
      <c r="AV1963" s="1320"/>
      <c r="AW1963" s="1320"/>
      <c r="AX1963" s="775"/>
      <c r="AY1963" s="1320" t="s">
        <v>1928</v>
      </c>
      <c r="AZ1963" s="1320"/>
      <c r="BA1963" s="1320"/>
      <c r="BB1963" s="1320"/>
      <c r="BC1963" s="1320"/>
      <c r="BD1963" s="1320"/>
      <c r="BE1963" s="1320"/>
      <c r="BF1963" s="342"/>
      <c r="BG1963" s="1318">
        <f>W1963</f>
        <v>0</v>
      </c>
      <c r="BH1963" s="1318"/>
      <c r="BI1963" s="1318"/>
      <c r="BJ1963" s="1318"/>
      <c r="BK1963" s="1318"/>
      <c r="BL1963" s="1318"/>
      <c r="BM1963" s="355"/>
      <c r="BN1963" s="1318">
        <f>AD1963</f>
        <v>0</v>
      </c>
      <c r="BO1963" s="1318"/>
      <c r="BP1963" s="1318"/>
      <c r="BQ1963" s="1318"/>
      <c r="BR1963" s="1318"/>
      <c r="BS1963" s="1318"/>
      <c r="BT1963" s="342"/>
      <c r="BU1963" s="346"/>
      <c r="BV1963" s="310"/>
      <c r="BW1963" s="310"/>
      <c r="BX1963" s="291">
        <f t="shared" si="141"/>
        <v>0</v>
      </c>
      <c r="BY1963" s="344"/>
      <c r="BZ1963" s="347"/>
      <c r="CA1963" s="347"/>
    </row>
    <row r="1964" spans="1:84" s="385" customFormat="1" ht="15" hidden="1" customHeight="1" x14ac:dyDescent="0.25">
      <c r="A1964" s="313"/>
      <c r="B1964" s="340"/>
      <c r="C1964" s="1329" t="s">
        <v>1951</v>
      </c>
      <c r="D1964" s="1322"/>
      <c r="E1964" s="1322"/>
      <c r="F1964" s="1322"/>
      <c r="G1964" s="1322"/>
      <c r="H1964" s="1322"/>
      <c r="I1964" s="1322"/>
      <c r="J1964" s="1322"/>
      <c r="K1964" s="1322"/>
      <c r="L1964" s="1322"/>
      <c r="M1964" s="1322"/>
      <c r="N1964" s="776"/>
      <c r="O1964" s="1322"/>
      <c r="P1964" s="1322"/>
      <c r="Q1964" s="1322"/>
      <c r="R1964" s="1322"/>
      <c r="S1964" s="1322"/>
      <c r="T1964" s="1322"/>
      <c r="U1964" s="1322"/>
      <c r="V1964" s="341"/>
      <c r="W1964" s="1330"/>
      <c r="X1964" s="1330"/>
      <c r="Y1964" s="1330"/>
      <c r="Z1964" s="1330"/>
      <c r="AA1964" s="1330"/>
      <c r="AB1964" s="1330"/>
      <c r="AC1964" s="363"/>
      <c r="AD1964" s="1330"/>
      <c r="AE1964" s="1330"/>
      <c r="AF1964" s="1330"/>
      <c r="AG1964" s="1330"/>
      <c r="AH1964" s="1330"/>
      <c r="AI1964" s="1330"/>
      <c r="AJ1964" s="374"/>
      <c r="AK1964" s="345"/>
      <c r="AL1964" s="340"/>
      <c r="AM1964" s="1329" t="s">
        <v>1952</v>
      </c>
      <c r="AN1964" s="1322"/>
      <c r="AO1964" s="1322"/>
      <c r="AP1964" s="1322"/>
      <c r="AQ1964" s="1322"/>
      <c r="AR1964" s="1322"/>
      <c r="AS1964" s="1322"/>
      <c r="AT1964" s="1322"/>
      <c r="AU1964" s="1322"/>
      <c r="AV1964" s="1322"/>
      <c r="AW1964" s="1322"/>
      <c r="AX1964" s="776"/>
      <c r="AY1964" s="1322"/>
      <c r="AZ1964" s="1322"/>
      <c r="BA1964" s="1322"/>
      <c r="BB1964" s="1322"/>
      <c r="BC1964" s="1322"/>
      <c r="BD1964" s="1322"/>
      <c r="BE1964" s="1322"/>
      <c r="BF1964" s="341"/>
      <c r="BG1964" s="1330"/>
      <c r="BH1964" s="1330"/>
      <c r="BI1964" s="1330"/>
      <c r="BJ1964" s="1330"/>
      <c r="BK1964" s="1330"/>
      <c r="BL1964" s="1330"/>
      <c r="BM1964" s="363"/>
      <c r="BN1964" s="1330"/>
      <c r="BO1964" s="1330"/>
      <c r="BP1964" s="1330"/>
      <c r="BQ1964" s="1330"/>
      <c r="BR1964" s="1330"/>
      <c r="BS1964" s="1330"/>
      <c r="BT1964" s="341"/>
      <c r="BU1964" s="550"/>
      <c r="BV1964" s="425"/>
      <c r="BW1964" s="425"/>
      <c r="BX1964" s="426">
        <f t="shared" si="141"/>
        <v>0</v>
      </c>
      <c r="BY1964" s="374"/>
      <c r="BZ1964" s="383"/>
      <c r="CA1964" s="383"/>
      <c r="CB1964" s="384"/>
      <c r="CC1964" s="384"/>
      <c r="CD1964" s="384"/>
      <c r="CE1964" s="384"/>
      <c r="CF1964" s="384"/>
    </row>
    <row r="1965" spans="1:84" ht="15" hidden="1" customHeight="1" x14ac:dyDescent="0.25">
      <c r="A1965" s="313"/>
      <c r="B1965" s="340"/>
      <c r="C1965" s="1328" t="s">
        <v>1920</v>
      </c>
      <c r="D1965" s="1320"/>
      <c r="E1965" s="1320"/>
      <c r="F1965" s="1320"/>
      <c r="G1965" s="1320"/>
      <c r="H1965" s="1320"/>
      <c r="I1965" s="1320"/>
      <c r="J1965" s="1320"/>
      <c r="K1965" s="1320"/>
      <c r="L1965" s="1320"/>
      <c r="M1965" s="1320"/>
      <c r="N1965" s="776"/>
      <c r="O1965" s="1320" t="s">
        <v>1389</v>
      </c>
      <c r="P1965" s="1320"/>
      <c r="Q1965" s="1320"/>
      <c r="R1965" s="1320"/>
      <c r="S1965" s="1320"/>
      <c r="T1965" s="1320"/>
      <c r="U1965" s="1320"/>
      <c r="V1965" s="342"/>
      <c r="W1965" s="1318">
        <v>0</v>
      </c>
      <c r="X1965" s="1318"/>
      <c r="Y1965" s="1318"/>
      <c r="Z1965" s="1318"/>
      <c r="AA1965" s="1318"/>
      <c r="AB1965" s="1318"/>
      <c r="AC1965" s="355"/>
      <c r="AD1965" s="1318">
        <v>0</v>
      </c>
      <c r="AE1965" s="1318"/>
      <c r="AF1965" s="1318"/>
      <c r="AG1965" s="1318"/>
      <c r="AH1965" s="1318"/>
      <c r="AI1965" s="1318"/>
      <c r="AJ1965" s="344"/>
      <c r="AK1965" s="345"/>
      <c r="AL1965" s="340"/>
      <c r="AM1965" s="1328" t="s">
        <v>1920</v>
      </c>
      <c r="AN1965" s="1320"/>
      <c r="AO1965" s="1320"/>
      <c r="AP1965" s="1320"/>
      <c r="AQ1965" s="1320"/>
      <c r="AR1965" s="1320"/>
      <c r="AS1965" s="1320"/>
      <c r="AT1965" s="1320"/>
      <c r="AU1965" s="1320"/>
      <c r="AV1965" s="1320"/>
      <c r="AW1965" s="1320"/>
      <c r="AX1965" s="775"/>
      <c r="AY1965" s="1320" t="s">
        <v>1921</v>
      </c>
      <c r="AZ1965" s="1320"/>
      <c r="BA1965" s="1320"/>
      <c r="BB1965" s="1320"/>
      <c r="BC1965" s="1320"/>
      <c r="BD1965" s="1320"/>
      <c r="BE1965" s="1320"/>
      <c r="BF1965" s="341"/>
      <c r="BG1965" s="1318">
        <f>W1965</f>
        <v>0</v>
      </c>
      <c r="BH1965" s="1318"/>
      <c r="BI1965" s="1318"/>
      <c r="BJ1965" s="1318"/>
      <c r="BK1965" s="1318"/>
      <c r="BL1965" s="1318"/>
      <c r="BM1965" s="355"/>
      <c r="BN1965" s="1318">
        <f>AD1965</f>
        <v>0</v>
      </c>
      <c r="BO1965" s="1318"/>
      <c r="BP1965" s="1318"/>
      <c r="BQ1965" s="1318"/>
      <c r="BR1965" s="1318"/>
      <c r="BS1965" s="1318"/>
      <c r="BT1965" s="342"/>
      <c r="BU1965" s="346"/>
      <c r="BV1965" s="310"/>
      <c r="BW1965" s="310"/>
      <c r="BX1965" s="291">
        <f t="shared" si="141"/>
        <v>0</v>
      </c>
      <c r="BY1965" s="344"/>
      <c r="BZ1965" s="347"/>
      <c r="CA1965" s="347"/>
    </row>
    <row r="1966" spans="1:84" ht="15" hidden="1" customHeight="1" x14ac:dyDescent="0.25">
      <c r="A1966" s="313"/>
      <c r="B1966" s="340"/>
      <c r="C1966" s="1328" t="s">
        <v>918</v>
      </c>
      <c r="D1966" s="1320"/>
      <c r="E1966" s="1320"/>
      <c r="F1966" s="1320"/>
      <c r="G1966" s="1320"/>
      <c r="H1966" s="1320"/>
      <c r="I1966" s="1320"/>
      <c r="J1966" s="1320"/>
      <c r="K1966" s="1320"/>
      <c r="L1966" s="1320"/>
      <c r="M1966" s="1320"/>
      <c r="N1966" s="775"/>
      <c r="O1966" s="1321" t="s">
        <v>1389</v>
      </c>
      <c r="P1966" s="1321"/>
      <c r="Q1966" s="1321"/>
      <c r="R1966" s="1321"/>
      <c r="S1966" s="1321"/>
      <c r="T1966" s="1321"/>
      <c r="U1966" s="1321"/>
      <c r="V1966" s="342"/>
      <c r="W1966" s="1318">
        <v>0</v>
      </c>
      <c r="X1966" s="1318"/>
      <c r="Y1966" s="1318"/>
      <c r="Z1966" s="1318"/>
      <c r="AA1966" s="1318"/>
      <c r="AB1966" s="1318"/>
      <c r="AC1966" s="355"/>
      <c r="AD1966" s="1318">
        <v>0</v>
      </c>
      <c r="AE1966" s="1318"/>
      <c r="AF1966" s="1318"/>
      <c r="AG1966" s="1318"/>
      <c r="AH1966" s="1318"/>
      <c r="AI1966" s="1318"/>
      <c r="AJ1966" s="344"/>
      <c r="AK1966" s="345"/>
      <c r="AL1966" s="340"/>
      <c r="AM1966" s="1328" t="s">
        <v>918</v>
      </c>
      <c r="AN1966" s="1320"/>
      <c r="AO1966" s="1320"/>
      <c r="AP1966" s="1320"/>
      <c r="AQ1966" s="1320"/>
      <c r="AR1966" s="1320"/>
      <c r="AS1966" s="1320"/>
      <c r="AT1966" s="1320"/>
      <c r="AU1966" s="1320"/>
      <c r="AV1966" s="1320"/>
      <c r="AW1966" s="1320"/>
      <c r="AX1966" s="775"/>
      <c r="AY1966" s="1320" t="s">
        <v>1928</v>
      </c>
      <c r="AZ1966" s="1320"/>
      <c r="BA1966" s="1320"/>
      <c r="BB1966" s="1320"/>
      <c r="BC1966" s="1320"/>
      <c r="BD1966" s="1320"/>
      <c r="BE1966" s="1320"/>
      <c r="BF1966" s="342"/>
      <c r="BG1966" s="1318">
        <f>W1966</f>
        <v>0</v>
      </c>
      <c r="BH1966" s="1318"/>
      <c r="BI1966" s="1318"/>
      <c r="BJ1966" s="1318"/>
      <c r="BK1966" s="1318"/>
      <c r="BL1966" s="1318"/>
      <c r="BM1966" s="355"/>
      <c r="BN1966" s="1318">
        <f>AD1966</f>
        <v>0</v>
      </c>
      <c r="BO1966" s="1318"/>
      <c r="BP1966" s="1318"/>
      <c r="BQ1966" s="1318"/>
      <c r="BR1966" s="1318"/>
      <c r="BS1966" s="1318"/>
      <c r="BT1966" s="342"/>
      <c r="BU1966" s="346"/>
      <c r="BV1966" s="310"/>
      <c r="BW1966" s="310"/>
      <c r="BX1966" s="291">
        <f t="shared" si="141"/>
        <v>0</v>
      </c>
      <c r="BY1966" s="344"/>
      <c r="BZ1966" s="347"/>
      <c r="CA1966" s="347"/>
    </row>
    <row r="1967" spans="1:84" ht="12.95" customHeight="1" x14ac:dyDescent="0.25">
      <c r="A1967" s="313"/>
      <c r="B1967" s="340"/>
      <c r="C1967" s="389"/>
      <c r="D1967" s="389"/>
      <c r="E1967" s="389"/>
      <c r="F1967" s="389"/>
      <c r="G1967" s="389"/>
      <c r="H1967" s="389"/>
      <c r="I1967" s="389"/>
      <c r="J1967" s="389"/>
      <c r="K1967" s="389"/>
      <c r="L1967" s="389"/>
      <c r="M1967" s="389"/>
      <c r="N1967" s="389"/>
      <c r="O1967" s="389"/>
      <c r="P1967" s="389"/>
      <c r="Q1967" s="389"/>
      <c r="R1967" s="389"/>
      <c r="S1967" s="389"/>
      <c r="T1967" s="389"/>
      <c r="U1967" s="389"/>
      <c r="V1967" s="389"/>
      <c r="W1967" s="355"/>
      <c r="X1967" s="355"/>
      <c r="Y1967" s="355"/>
      <c r="Z1967" s="355"/>
      <c r="AA1967" s="355"/>
      <c r="AB1967" s="355"/>
      <c r="AC1967" s="355"/>
      <c r="AD1967" s="355"/>
      <c r="AE1967" s="355"/>
      <c r="AF1967" s="355"/>
      <c r="AG1967" s="355"/>
      <c r="AH1967" s="355"/>
      <c r="AI1967" s="355"/>
      <c r="AJ1967" s="344"/>
      <c r="AK1967" s="345"/>
      <c r="AL1967" s="340"/>
      <c r="AM1967" s="342"/>
      <c r="AN1967" s="342"/>
      <c r="AO1967" s="342"/>
      <c r="AP1967" s="342"/>
      <c r="AQ1967" s="342"/>
      <c r="AR1967" s="342"/>
      <c r="AS1967" s="342"/>
      <c r="AT1967" s="342"/>
      <c r="AU1967" s="342"/>
      <c r="AV1967" s="342"/>
      <c r="AW1967" s="342"/>
      <c r="AX1967" s="342"/>
      <c r="AY1967" s="342"/>
      <c r="AZ1967" s="342"/>
      <c r="BA1967" s="342"/>
      <c r="BB1967" s="342"/>
      <c r="BC1967" s="342"/>
      <c r="BD1967" s="342"/>
      <c r="BE1967" s="342"/>
      <c r="BF1967" s="342"/>
      <c r="BG1967" s="342"/>
      <c r="BH1967" s="342"/>
      <c r="BI1967" s="342"/>
      <c r="BJ1967" s="342"/>
      <c r="BK1967" s="342"/>
      <c r="BL1967" s="342"/>
      <c r="BM1967" s="342"/>
      <c r="BN1967" s="342"/>
      <c r="BO1967" s="342"/>
      <c r="BP1967" s="342"/>
      <c r="BQ1967" s="342"/>
      <c r="BR1967" s="342"/>
      <c r="BS1967" s="342"/>
      <c r="BT1967" s="342"/>
      <c r="BU1967" s="346"/>
      <c r="BV1967" s="310"/>
      <c r="BW1967" s="310"/>
      <c r="BX1967" s="291">
        <f t="shared" si="141"/>
        <v>0</v>
      </c>
      <c r="BY1967" s="344"/>
      <c r="BZ1967" s="347"/>
      <c r="CA1967" s="347"/>
    </row>
    <row r="1968" spans="1:84" ht="15" customHeight="1" x14ac:dyDescent="0.25">
      <c r="A1968" s="313"/>
      <c r="B1968" s="340"/>
      <c r="C1968" s="342" t="s">
        <v>1953</v>
      </c>
      <c r="D1968" s="342"/>
      <c r="E1968" s="342"/>
      <c r="F1968" s="342"/>
      <c r="G1968" s="342"/>
      <c r="H1968" s="342"/>
      <c r="I1968" s="342"/>
      <c r="J1968" s="342"/>
      <c r="K1968" s="342"/>
      <c r="L1968" s="342"/>
      <c r="M1968" s="342"/>
      <c r="N1968" s="342"/>
      <c r="O1968" s="342"/>
      <c r="P1968" s="342"/>
      <c r="Q1968" s="342"/>
      <c r="R1968" s="342"/>
      <c r="S1968" s="342"/>
      <c r="T1968" s="342"/>
      <c r="U1968" s="342"/>
      <c r="V1968" s="342"/>
      <c r="W1968" s="343"/>
      <c r="X1968" s="343"/>
      <c r="Y1968" s="343"/>
      <c r="Z1968" s="343"/>
      <c r="AA1968" s="343"/>
      <c r="AB1968" s="343"/>
      <c r="AC1968" s="343"/>
      <c r="AD1968" s="343"/>
      <c r="AE1968" s="343"/>
      <c r="AF1968" s="343"/>
      <c r="AG1968" s="343"/>
      <c r="AH1968" s="343"/>
      <c r="AI1968" s="343"/>
      <c r="AJ1968" s="344"/>
      <c r="AK1968" s="345"/>
      <c r="AL1968" s="340"/>
      <c r="AM1968" s="342" t="s">
        <v>1954</v>
      </c>
      <c r="AN1968" s="342"/>
      <c r="AO1968" s="342"/>
      <c r="AP1968" s="342"/>
      <c r="AQ1968" s="342"/>
      <c r="AR1968" s="342"/>
      <c r="AS1968" s="342"/>
      <c r="AT1968" s="342"/>
      <c r="AU1968" s="342"/>
      <c r="AV1968" s="342"/>
      <c r="AW1968" s="342"/>
      <c r="AX1968" s="342"/>
      <c r="AY1968" s="342"/>
      <c r="AZ1968" s="342"/>
      <c r="BA1968" s="342"/>
      <c r="BB1968" s="342"/>
      <c r="BC1968" s="342"/>
      <c r="BD1968" s="342"/>
      <c r="BE1968" s="342"/>
      <c r="BF1968" s="342"/>
      <c r="BG1968" s="343"/>
      <c r="BH1968" s="343"/>
      <c r="BI1968" s="343"/>
      <c r="BJ1968" s="343"/>
      <c r="BK1968" s="343"/>
      <c r="BL1968" s="343"/>
      <c r="BM1968" s="343"/>
      <c r="BN1968" s="343"/>
      <c r="BO1968" s="343"/>
      <c r="BP1968" s="343"/>
      <c r="BQ1968" s="343"/>
      <c r="BR1968" s="343"/>
      <c r="BS1968" s="343"/>
      <c r="BT1968" s="342"/>
      <c r="BU1968" s="346"/>
      <c r="BV1968" s="310"/>
      <c r="BW1968" s="310"/>
      <c r="BX1968" s="291">
        <f t="shared" si="141"/>
        <v>0</v>
      </c>
      <c r="BY1968" s="344"/>
      <c r="BZ1968" s="347"/>
      <c r="CA1968" s="347"/>
    </row>
    <row r="1969" spans="1:84" s="423" customFormat="1" ht="15" customHeight="1" x14ac:dyDescent="0.25">
      <c r="A1969" s="313"/>
      <c r="B1969" s="340"/>
      <c r="C1969" s="341"/>
      <c r="D1969" s="342"/>
      <c r="E1969" s="342"/>
      <c r="F1969" s="342"/>
      <c r="G1969" s="342"/>
      <c r="H1969" s="342"/>
      <c r="I1969" s="342"/>
      <c r="J1969" s="342"/>
      <c r="K1969" s="342"/>
      <c r="L1969" s="342"/>
      <c r="M1969" s="342"/>
      <c r="N1969" s="342"/>
      <c r="O1969" s="1323"/>
      <c r="P1969" s="1323"/>
      <c r="Q1969" s="1323"/>
      <c r="R1969" s="1323"/>
      <c r="S1969" s="1323"/>
      <c r="T1969" s="1323"/>
      <c r="U1969" s="1323"/>
      <c r="V1969" s="341"/>
      <c r="W1969" s="1324" t="str">
        <f>Ky_Nay2_V</f>
        <v>Năm 2017</v>
      </c>
      <c r="X1969" s="1324"/>
      <c r="Y1969" s="1324"/>
      <c r="Z1969" s="1324"/>
      <c r="AA1969" s="1324"/>
      <c r="AB1969" s="1324"/>
      <c r="AC1969" s="681"/>
      <c r="AD1969" s="1324" t="str">
        <f>Ky_Truoc2_V</f>
        <v>Năm 2016</v>
      </c>
      <c r="AE1969" s="1324"/>
      <c r="AF1969" s="1324"/>
      <c r="AG1969" s="1324"/>
      <c r="AH1969" s="1324"/>
      <c r="AI1969" s="1324"/>
      <c r="AJ1969" s="342"/>
      <c r="AK1969" s="419"/>
      <c r="AL1969" s="354"/>
      <c r="AM1969" s="342"/>
      <c r="AN1969" s="342"/>
      <c r="AO1969" s="342"/>
      <c r="AP1969" s="342"/>
      <c r="AQ1969" s="342"/>
      <c r="AR1969" s="342"/>
      <c r="AS1969" s="342"/>
      <c r="AT1969" s="342"/>
      <c r="AU1969" s="342"/>
      <c r="AV1969" s="342"/>
      <c r="AW1969" s="342"/>
      <c r="AX1969" s="342"/>
      <c r="AY1969" s="357"/>
      <c r="AZ1969" s="357"/>
      <c r="BA1969" s="357"/>
      <c r="BB1969" s="357"/>
      <c r="BC1969" s="357"/>
      <c r="BD1969" s="357"/>
      <c r="BE1969" s="357"/>
      <c r="BF1969" s="346"/>
      <c r="BG1969" s="1325" t="str">
        <f>Ky_Nay2_E</f>
        <v>Year 2016</v>
      </c>
      <c r="BH1969" s="1325"/>
      <c r="BI1969" s="1325"/>
      <c r="BJ1969" s="1325"/>
      <c r="BK1969" s="1325"/>
      <c r="BL1969" s="1325"/>
      <c r="BM1969" s="351"/>
      <c r="BN1969" s="1325" t="str">
        <f>Ky_Truoc2_E</f>
        <v>Year 2015</v>
      </c>
      <c r="BO1969" s="1325"/>
      <c r="BP1969" s="1325"/>
      <c r="BQ1969" s="1325"/>
      <c r="BR1969" s="1325"/>
      <c r="BS1969" s="1325"/>
      <c r="BT1969" s="342"/>
      <c r="BU1969" s="346"/>
      <c r="BV1969" s="310"/>
      <c r="BW1969" s="310"/>
      <c r="BX1969" s="300">
        <f t="shared" si="141"/>
        <v>0</v>
      </c>
      <c r="BY1969" s="342"/>
      <c r="BZ1969" s="438"/>
      <c r="CA1969" s="438"/>
      <c r="CB1969" s="439"/>
      <c r="CC1969" s="439"/>
      <c r="CD1969" s="439"/>
      <c r="CE1969" s="439"/>
      <c r="CF1969" s="439"/>
    </row>
    <row r="1970" spans="1:84" s="423" customFormat="1" ht="15" customHeight="1" x14ac:dyDescent="0.25">
      <c r="A1970" s="313"/>
      <c r="B1970" s="340"/>
      <c r="C1970" s="342"/>
      <c r="D1970" s="342"/>
      <c r="E1970" s="342"/>
      <c r="F1970" s="342"/>
      <c r="G1970" s="342"/>
      <c r="H1970" s="342"/>
      <c r="I1970" s="342"/>
      <c r="J1970" s="342"/>
      <c r="K1970" s="342"/>
      <c r="L1970" s="342"/>
      <c r="M1970" s="342"/>
      <c r="N1970" s="342"/>
      <c r="O1970" s="1326"/>
      <c r="P1970" s="1326"/>
      <c r="Q1970" s="1326"/>
      <c r="R1970" s="1326"/>
      <c r="S1970" s="1326"/>
      <c r="T1970" s="1326"/>
      <c r="U1970" s="1326"/>
      <c r="V1970" s="342"/>
      <c r="W1970" s="1327" t="str">
        <f>Don_Vi_Tinh_V</f>
        <v>VND</v>
      </c>
      <c r="X1970" s="1327"/>
      <c r="Y1970" s="1327"/>
      <c r="Z1970" s="1327"/>
      <c r="AA1970" s="1327"/>
      <c r="AB1970" s="1327"/>
      <c r="AC1970" s="351"/>
      <c r="AD1970" s="1327" t="str">
        <f>Don_Vi_Tinh_V</f>
        <v>VND</v>
      </c>
      <c r="AE1970" s="1327"/>
      <c r="AF1970" s="1327"/>
      <c r="AG1970" s="1327"/>
      <c r="AH1970" s="1327"/>
      <c r="AI1970" s="1327"/>
      <c r="AJ1970" s="342"/>
      <c r="AK1970" s="345"/>
      <c r="AL1970" s="340"/>
      <c r="AM1970" s="342"/>
      <c r="AN1970" s="342"/>
      <c r="AO1970" s="342"/>
      <c r="AP1970" s="342"/>
      <c r="AQ1970" s="342"/>
      <c r="AR1970" s="342"/>
      <c r="AS1970" s="342"/>
      <c r="AT1970" s="342"/>
      <c r="AU1970" s="342"/>
      <c r="AV1970" s="342"/>
      <c r="AW1970" s="342"/>
      <c r="AX1970" s="342"/>
      <c r="AY1970" s="357"/>
      <c r="AZ1970" s="357"/>
      <c r="BA1970" s="357"/>
      <c r="BB1970" s="357"/>
      <c r="BC1970" s="357"/>
      <c r="BD1970" s="357"/>
      <c r="BE1970" s="357"/>
      <c r="BF1970" s="346"/>
      <c r="BG1970" s="1327" t="str">
        <f>Don_Vi_Tinh_E</f>
        <v>VND</v>
      </c>
      <c r="BH1970" s="1327"/>
      <c r="BI1970" s="1327"/>
      <c r="BJ1970" s="1327"/>
      <c r="BK1970" s="1327"/>
      <c r="BL1970" s="1327"/>
      <c r="BM1970" s="351"/>
      <c r="BN1970" s="1327" t="str">
        <f>Don_Vi_Tinh_E</f>
        <v>VND</v>
      </c>
      <c r="BO1970" s="1327"/>
      <c r="BP1970" s="1327"/>
      <c r="BQ1970" s="1327"/>
      <c r="BR1970" s="1327"/>
      <c r="BS1970" s="1327"/>
      <c r="BT1970" s="342"/>
      <c r="BU1970" s="346"/>
      <c r="BV1970" s="310"/>
      <c r="BW1970" s="310"/>
      <c r="BX1970" s="300">
        <f t="shared" si="141"/>
        <v>0</v>
      </c>
      <c r="BY1970" s="342"/>
      <c r="BZ1970" s="438"/>
      <c r="CA1970" s="438"/>
      <c r="CB1970" s="439"/>
      <c r="CC1970" s="439"/>
      <c r="CD1970" s="439"/>
      <c r="CE1970" s="439"/>
      <c r="CF1970" s="439"/>
    </row>
    <row r="1971" spans="1:84" s="423" customFormat="1" ht="15" customHeight="1" x14ac:dyDescent="0.25">
      <c r="A1971" s="313"/>
      <c r="B1971" s="1186"/>
      <c r="C1971" s="342"/>
      <c r="D1971" s="342"/>
      <c r="E1971" s="342"/>
      <c r="F1971" s="342"/>
      <c r="G1971" s="342"/>
      <c r="H1971" s="342"/>
      <c r="I1971" s="342"/>
      <c r="J1971" s="342"/>
      <c r="K1971" s="342"/>
      <c r="L1971" s="342"/>
      <c r="M1971" s="342"/>
      <c r="N1971" s="342"/>
      <c r="O1971" s="1191"/>
      <c r="P1971" s="1191"/>
      <c r="Q1971" s="1191"/>
      <c r="R1971" s="1191"/>
      <c r="S1971" s="1191"/>
      <c r="T1971" s="1191"/>
      <c r="U1971" s="1191"/>
      <c r="V1971" s="342"/>
      <c r="W1971" s="1185"/>
      <c r="X1971" s="1185"/>
      <c r="Y1971" s="1185"/>
      <c r="Z1971" s="1185"/>
      <c r="AA1971" s="1185"/>
      <c r="AB1971" s="1185"/>
      <c r="AC1971" s="1189"/>
      <c r="AD1971" s="1185"/>
      <c r="AE1971" s="1185"/>
      <c r="AF1971" s="1185"/>
      <c r="AG1971" s="1185"/>
      <c r="AH1971" s="1185"/>
      <c r="AI1971" s="1185"/>
      <c r="AJ1971" s="342"/>
      <c r="AK1971" s="345"/>
      <c r="AL1971" s="1186"/>
      <c r="AM1971" s="342"/>
      <c r="AN1971" s="342"/>
      <c r="AO1971" s="342"/>
      <c r="AP1971" s="342"/>
      <c r="AQ1971" s="342"/>
      <c r="AR1971" s="342"/>
      <c r="AS1971" s="342"/>
      <c r="AT1971" s="342"/>
      <c r="AU1971" s="342"/>
      <c r="AV1971" s="342"/>
      <c r="AW1971" s="342"/>
      <c r="AX1971" s="342"/>
      <c r="AY1971" s="357"/>
      <c r="AZ1971" s="357"/>
      <c r="BA1971" s="357"/>
      <c r="BB1971" s="357"/>
      <c r="BC1971" s="357"/>
      <c r="BD1971" s="357"/>
      <c r="BE1971" s="357"/>
      <c r="BF1971" s="346"/>
      <c r="BG1971" s="1185"/>
      <c r="BH1971" s="1185"/>
      <c r="BI1971" s="1185"/>
      <c r="BJ1971" s="1185"/>
      <c r="BK1971" s="1185"/>
      <c r="BL1971" s="1185"/>
      <c r="BM1971" s="1189"/>
      <c r="BN1971" s="1185"/>
      <c r="BO1971" s="1185"/>
      <c r="BP1971" s="1185"/>
      <c r="BQ1971" s="1185"/>
      <c r="BR1971" s="1185"/>
      <c r="BS1971" s="1185"/>
      <c r="BT1971" s="342"/>
      <c r="BU1971" s="346"/>
      <c r="BV1971" s="310"/>
      <c r="BW1971" s="310"/>
      <c r="BX1971" s="300"/>
      <c r="BY1971" s="342"/>
      <c r="BZ1971" s="438"/>
      <c r="CA1971" s="438"/>
      <c r="CB1971" s="439"/>
      <c r="CC1971" s="439"/>
      <c r="CD1971" s="439"/>
      <c r="CE1971" s="439"/>
      <c r="CF1971" s="439"/>
    </row>
    <row r="1972" spans="1:84" ht="12.95" customHeight="1" x14ac:dyDescent="0.25">
      <c r="A1972" s="313"/>
      <c r="B1972" s="340"/>
      <c r="C1972" s="1320" t="s">
        <v>2138</v>
      </c>
      <c r="D1972" s="1320"/>
      <c r="E1972" s="1320"/>
      <c r="F1972" s="1320"/>
      <c r="G1972" s="1320"/>
      <c r="H1972" s="1320"/>
      <c r="I1972" s="1320"/>
      <c r="J1972" s="1320"/>
      <c r="K1972" s="1320"/>
      <c r="L1972" s="1320"/>
      <c r="M1972" s="1320"/>
      <c r="N1972" s="775"/>
      <c r="O1972" s="1321"/>
      <c r="P1972" s="1321"/>
      <c r="Q1972" s="1321"/>
      <c r="R1972" s="1321"/>
      <c r="S1972" s="1321"/>
      <c r="T1972" s="1321"/>
      <c r="U1972" s="1321"/>
      <c r="V1972" s="342"/>
      <c r="W1972" s="1318">
        <v>501621404</v>
      </c>
      <c r="X1972" s="1318"/>
      <c r="Y1972" s="1318"/>
      <c r="Z1972" s="1318"/>
      <c r="AA1972" s="1318"/>
      <c r="AB1972" s="1318"/>
      <c r="AC1972" s="355"/>
      <c r="AD1972" s="1318">
        <v>429659111</v>
      </c>
      <c r="AE1972" s="1318"/>
      <c r="AF1972" s="1318"/>
      <c r="AG1972" s="1318"/>
      <c r="AH1972" s="1318"/>
      <c r="AI1972" s="1318"/>
      <c r="AJ1972" s="344"/>
      <c r="AK1972" s="345"/>
      <c r="AL1972" s="340"/>
      <c r="AM1972" s="1322"/>
      <c r="AN1972" s="1322"/>
      <c r="AO1972" s="1322"/>
      <c r="AP1972" s="1322"/>
      <c r="AQ1972" s="1322"/>
      <c r="AR1972" s="1322"/>
      <c r="AS1972" s="1322"/>
      <c r="AT1972" s="1322"/>
      <c r="AU1972" s="1322"/>
      <c r="AV1972" s="1322"/>
      <c r="AW1972" s="1322"/>
      <c r="AX1972" s="775"/>
      <c r="AY1972" s="778"/>
      <c r="AZ1972" s="778"/>
      <c r="BA1972" s="778"/>
      <c r="BB1972" s="778"/>
      <c r="BC1972" s="778"/>
      <c r="BD1972" s="778"/>
      <c r="BE1972" s="778"/>
      <c r="BF1972" s="342"/>
      <c r="BG1972" s="1318"/>
      <c r="BH1972" s="1318"/>
      <c r="BI1972" s="1318"/>
      <c r="BJ1972" s="1318"/>
      <c r="BK1972" s="1318"/>
      <c r="BL1972" s="1318"/>
      <c r="BM1972" s="355"/>
      <c r="BN1972" s="1318"/>
      <c r="BO1972" s="1318"/>
      <c r="BP1972" s="1318"/>
      <c r="BQ1972" s="1318"/>
      <c r="BR1972" s="1318"/>
      <c r="BS1972" s="1318"/>
      <c r="BT1972" s="342"/>
      <c r="BU1972" s="346"/>
      <c r="BV1972" s="310"/>
      <c r="BW1972" s="310"/>
      <c r="BX1972" s="291">
        <f t="shared" si="141"/>
        <v>931280515</v>
      </c>
      <c r="BY1972" s="344"/>
      <c r="BZ1972" s="347"/>
      <c r="CA1972" s="779" t="s">
        <v>1955</v>
      </c>
      <c r="CB1972" s="780" t="s">
        <v>1956</v>
      </c>
    </row>
    <row r="1973" spans="1:84" ht="2.1" customHeight="1" x14ac:dyDescent="0.25">
      <c r="A1973" s="313"/>
      <c r="B1973" s="340"/>
      <c r="C1973" s="389"/>
      <c r="D1973" s="389"/>
      <c r="E1973" s="389"/>
      <c r="F1973" s="389"/>
      <c r="G1973" s="389"/>
      <c r="H1973" s="389"/>
      <c r="I1973" s="389"/>
      <c r="J1973" s="389"/>
      <c r="K1973" s="389"/>
      <c r="L1973" s="389"/>
      <c r="M1973" s="389"/>
      <c r="N1973" s="389"/>
      <c r="O1973" s="389"/>
      <c r="P1973" s="389"/>
      <c r="Q1973" s="389"/>
      <c r="R1973" s="389"/>
      <c r="S1973" s="389"/>
      <c r="T1973" s="389"/>
      <c r="U1973" s="389"/>
      <c r="V1973" s="389"/>
      <c r="W1973" s="355"/>
      <c r="X1973" s="355"/>
      <c r="Y1973" s="355"/>
      <c r="Z1973" s="355"/>
      <c r="AA1973" s="355"/>
      <c r="AB1973" s="355"/>
      <c r="AC1973" s="355"/>
      <c r="AD1973" s="355"/>
      <c r="AE1973" s="355"/>
      <c r="AF1973" s="355"/>
      <c r="AG1973" s="355"/>
      <c r="AH1973" s="355"/>
      <c r="AI1973" s="355"/>
      <c r="AJ1973" s="344"/>
      <c r="AK1973" s="345"/>
      <c r="AL1973" s="340"/>
      <c r="AM1973" s="342"/>
      <c r="AN1973" s="342"/>
      <c r="AO1973" s="342"/>
      <c r="AP1973" s="342"/>
      <c r="AQ1973" s="342"/>
      <c r="AR1973" s="342"/>
      <c r="AS1973" s="342"/>
      <c r="AT1973" s="342"/>
      <c r="AU1973" s="342"/>
      <c r="AV1973" s="342"/>
      <c r="AW1973" s="342"/>
      <c r="AX1973" s="342"/>
      <c r="AY1973" s="342"/>
      <c r="AZ1973" s="342"/>
      <c r="BA1973" s="342"/>
      <c r="BB1973" s="342"/>
      <c r="BC1973" s="342"/>
      <c r="BD1973" s="342"/>
      <c r="BE1973" s="342"/>
      <c r="BF1973" s="342"/>
      <c r="BG1973" s="342"/>
      <c r="BH1973" s="342"/>
      <c r="BI1973" s="342"/>
      <c r="BJ1973" s="342"/>
      <c r="BK1973" s="342"/>
      <c r="BL1973" s="342"/>
      <c r="BM1973" s="342"/>
      <c r="BN1973" s="342"/>
      <c r="BO1973" s="342"/>
      <c r="BP1973" s="342"/>
      <c r="BQ1973" s="342"/>
      <c r="BR1973" s="342"/>
      <c r="BS1973" s="342"/>
      <c r="BT1973" s="342"/>
      <c r="BU1973" s="346"/>
      <c r="BV1973" s="781"/>
      <c r="BW1973" s="781"/>
      <c r="BX1973" s="291">
        <f t="shared" si="141"/>
        <v>0</v>
      </c>
      <c r="BY1973" s="344"/>
      <c r="BZ1973" s="347"/>
      <c r="CA1973" s="347"/>
    </row>
    <row r="1974" spans="1:84" ht="10.5" customHeight="1" x14ac:dyDescent="0.25">
      <c r="A1974" s="313"/>
      <c r="B1974" s="340"/>
      <c r="C1974" s="342"/>
      <c r="D1974" s="342"/>
      <c r="E1974" s="342"/>
      <c r="F1974" s="342"/>
      <c r="G1974" s="342"/>
      <c r="H1974" s="342"/>
      <c r="I1974" s="342"/>
      <c r="J1974" s="342"/>
      <c r="K1974" s="342"/>
      <c r="L1974" s="342"/>
      <c r="M1974" s="342"/>
      <c r="N1974" s="342"/>
      <c r="O1974" s="342"/>
      <c r="P1974" s="342"/>
      <c r="Q1974" s="342"/>
      <c r="R1974" s="342"/>
      <c r="S1974" s="342"/>
      <c r="T1974" s="342"/>
      <c r="U1974" s="342"/>
      <c r="V1974" s="342"/>
      <c r="W1974" s="355"/>
      <c r="X1974" s="355"/>
      <c r="Y1974" s="355"/>
      <c r="Z1974" s="355"/>
      <c r="AA1974" s="355"/>
      <c r="AB1974" s="355"/>
      <c r="AC1974" s="355"/>
      <c r="AD1974" s="355"/>
      <c r="AE1974" s="355"/>
      <c r="AF1974" s="355"/>
      <c r="AG1974" s="355"/>
      <c r="AH1974" s="355"/>
      <c r="AI1974" s="355"/>
      <c r="AJ1974" s="344"/>
      <c r="AK1974" s="345"/>
      <c r="AL1974" s="340"/>
      <c r="AM1974" s="342"/>
      <c r="AN1974" s="342"/>
      <c r="AO1974" s="342"/>
      <c r="AP1974" s="342"/>
      <c r="AQ1974" s="342"/>
      <c r="AR1974" s="342"/>
      <c r="AS1974" s="342"/>
      <c r="AT1974" s="342"/>
      <c r="AU1974" s="342"/>
      <c r="AV1974" s="342"/>
      <c r="AW1974" s="342"/>
      <c r="AX1974" s="342"/>
      <c r="AY1974" s="342"/>
      <c r="AZ1974" s="342"/>
      <c r="BA1974" s="342"/>
      <c r="BB1974" s="342"/>
      <c r="BC1974" s="342"/>
      <c r="BD1974" s="342"/>
      <c r="BE1974" s="342"/>
      <c r="BF1974" s="342"/>
      <c r="BG1974" s="389"/>
      <c r="BH1974" s="389"/>
      <c r="BI1974" s="389"/>
      <c r="BJ1974" s="389"/>
      <c r="BK1974" s="389"/>
      <c r="BL1974" s="389"/>
      <c r="BM1974" s="342"/>
      <c r="BN1974" s="389"/>
      <c r="BO1974" s="389"/>
      <c r="BP1974" s="389"/>
      <c r="BQ1974" s="389"/>
      <c r="BR1974" s="389"/>
      <c r="BS1974" s="389"/>
      <c r="BT1974" s="389"/>
      <c r="BU1974" s="357"/>
      <c r="BV1974" s="781"/>
      <c r="BW1974" s="781"/>
      <c r="BX1974" s="291">
        <f t="shared" si="141"/>
        <v>0</v>
      </c>
      <c r="BY1974" s="344"/>
      <c r="BZ1974" s="347"/>
      <c r="CA1974" s="347">
        <v>302819859</v>
      </c>
      <c r="CB1974" s="348" t="e">
        <f>#REF!-CA1974</f>
        <v>#REF!</v>
      </c>
    </row>
    <row r="1975" spans="1:84" ht="15" customHeight="1" x14ac:dyDescent="0.25">
      <c r="A1975" s="313">
        <v>38</v>
      </c>
      <c r="B1975" s="340" t="s">
        <v>345</v>
      </c>
      <c r="C1975" s="471" t="s">
        <v>1957</v>
      </c>
      <c r="D1975" s="392"/>
      <c r="E1975" s="392"/>
      <c r="F1975" s="392"/>
      <c r="G1975" s="392"/>
      <c r="H1975" s="392"/>
      <c r="I1975" s="392"/>
      <c r="J1975" s="392"/>
      <c r="K1975" s="392"/>
      <c r="L1975" s="392"/>
      <c r="M1975" s="392"/>
      <c r="N1975" s="392"/>
      <c r="O1975" s="392"/>
      <c r="P1975" s="392"/>
      <c r="Q1975" s="392"/>
      <c r="R1975" s="392"/>
      <c r="S1975" s="392"/>
      <c r="T1975" s="392"/>
      <c r="U1975" s="392"/>
      <c r="V1975" s="392"/>
      <c r="W1975" s="393"/>
      <c r="X1975" s="393"/>
      <c r="Y1975" s="393"/>
      <c r="Z1975" s="393"/>
      <c r="AA1975" s="393"/>
      <c r="AB1975" s="393"/>
      <c r="AC1975" s="343"/>
      <c r="AD1975" s="343"/>
      <c r="AE1975" s="343"/>
      <c r="AF1975" s="343"/>
      <c r="AG1975" s="343"/>
      <c r="AH1975" s="343"/>
      <c r="AI1975" s="343"/>
      <c r="AJ1975" s="344"/>
      <c r="AK1975" s="345">
        <f>A1975</f>
        <v>38</v>
      </c>
      <c r="AL1975" s="340" t="s">
        <v>345</v>
      </c>
      <c r="AM1975" s="471" t="s">
        <v>1958</v>
      </c>
      <c r="AN1975" s="392"/>
      <c r="AO1975" s="392"/>
      <c r="AP1975" s="392"/>
      <c r="AQ1975" s="392"/>
      <c r="AR1975" s="392"/>
      <c r="AS1975" s="392"/>
      <c r="AT1975" s="392"/>
      <c r="AU1975" s="392"/>
      <c r="AV1975" s="392"/>
      <c r="AW1975" s="392"/>
      <c r="AX1975" s="392"/>
      <c r="AY1975" s="392"/>
      <c r="AZ1975" s="392"/>
      <c r="BA1975" s="392"/>
      <c r="BB1975" s="392"/>
      <c r="BC1975" s="392"/>
      <c r="BD1975" s="392"/>
      <c r="BE1975" s="392"/>
      <c r="BF1975" s="392"/>
      <c r="BG1975" s="392"/>
      <c r="BH1975" s="392"/>
      <c r="BI1975" s="392"/>
      <c r="BJ1975" s="392"/>
      <c r="BK1975" s="392"/>
      <c r="BL1975" s="392"/>
      <c r="BM1975" s="342"/>
      <c r="BN1975" s="356"/>
      <c r="BO1975" s="356"/>
      <c r="BP1975" s="356"/>
      <c r="BQ1975" s="356"/>
      <c r="BR1975" s="356"/>
      <c r="BS1975" s="356"/>
      <c r="BT1975" s="356"/>
      <c r="BU1975" s="346">
        <f>SUBTOTAL(103,A1975)</f>
        <v>1</v>
      </c>
      <c r="BV1975" s="781"/>
      <c r="BW1975" s="781"/>
      <c r="BX1975" s="291">
        <f t="shared" si="141"/>
        <v>0</v>
      </c>
      <c r="BY1975" s="344"/>
      <c r="BZ1975" s="347"/>
      <c r="CA1975" s="347"/>
    </row>
    <row r="1976" spans="1:84" ht="15" customHeight="1" x14ac:dyDescent="0.25">
      <c r="A1976" s="313"/>
      <c r="B1976" s="340"/>
      <c r="C1976" s="782"/>
      <c r="D1976" s="392"/>
      <c r="E1976" s="392"/>
      <c r="F1976" s="392"/>
      <c r="G1976" s="392"/>
      <c r="H1976" s="392"/>
      <c r="I1976" s="392"/>
      <c r="J1976" s="392"/>
      <c r="K1976" s="392"/>
      <c r="L1976" s="392"/>
      <c r="M1976" s="392"/>
      <c r="N1976" s="392"/>
      <c r="O1976" s="392"/>
      <c r="P1976" s="392"/>
      <c r="Q1976" s="392"/>
      <c r="R1976" s="392"/>
      <c r="S1976" s="392"/>
      <c r="T1976" s="392"/>
      <c r="U1976" s="392"/>
      <c r="V1976" s="392"/>
      <c r="W1976" s="393"/>
      <c r="X1976" s="393"/>
      <c r="Y1976" s="393"/>
      <c r="Z1976" s="393"/>
      <c r="AA1976" s="393"/>
      <c r="AB1976" s="393"/>
      <c r="AC1976" s="343"/>
      <c r="AD1976" s="343"/>
      <c r="AE1976" s="343"/>
      <c r="AF1976" s="343"/>
      <c r="AG1976" s="343"/>
      <c r="AH1976" s="343"/>
      <c r="AI1976" s="343"/>
      <c r="AJ1976" s="344"/>
      <c r="AK1976" s="345"/>
      <c r="AL1976" s="340"/>
      <c r="AM1976" s="471"/>
      <c r="AN1976" s="392"/>
      <c r="AO1976" s="392"/>
      <c r="AP1976" s="392"/>
      <c r="AQ1976" s="392"/>
      <c r="AR1976" s="392"/>
      <c r="AS1976" s="392"/>
      <c r="AT1976" s="392"/>
      <c r="AU1976" s="392"/>
      <c r="AV1976" s="392"/>
      <c r="AW1976" s="392"/>
      <c r="AX1976" s="392"/>
      <c r="AY1976" s="392"/>
      <c r="AZ1976" s="392"/>
      <c r="BA1976" s="392"/>
      <c r="BB1976" s="392"/>
      <c r="BC1976" s="392"/>
      <c r="BD1976" s="392"/>
      <c r="BE1976" s="392"/>
      <c r="BF1976" s="392"/>
      <c r="BG1976" s="392"/>
      <c r="BH1976" s="392"/>
      <c r="BI1976" s="392"/>
      <c r="BJ1976" s="392"/>
      <c r="BK1976" s="392"/>
      <c r="BL1976" s="392"/>
      <c r="BM1976" s="342"/>
      <c r="BN1976" s="356"/>
      <c r="BO1976" s="356"/>
      <c r="BP1976" s="356"/>
      <c r="BQ1976" s="356"/>
      <c r="BR1976" s="356"/>
      <c r="BS1976" s="356"/>
      <c r="BT1976" s="356"/>
      <c r="BU1976" s="357"/>
      <c r="BV1976" s="781"/>
      <c r="BW1976" s="781"/>
      <c r="BX1976" s="291">
        <f t="shared" si="141"/>
        <v>0</v>
      </c>
      <c r="BY1976" s="344"/>
      <c r="BZ1976" s="347"/>
      <c r="CA1976" s="347"/>
    </row>
    <row r="1977" spans="1:84" s="423" customFormat="1" ht="29.25" customHeight="1" x14ac:dyDescent="0.25">
      <c r="A1977" s="313"/>
      <c r="B1977" s="340"/>
      <c r="C1977" s="1319" t="str">
        <f>CONCATENATE("Số liệu so sánh là số liệu trên Báo cáo tài chính",Loai_Baocao," cho năm tài chính kết thúc ngày 31 tháng 12 năm 2016 đã được Công ty TNHH Hãng Kiểm toán AASC kiểm toán. ")</f>
        <v xml:space="preserve">Số liệu so sánh là số liệu trên Báo cáo tài chính cho năm tài chính kết thúc ngày 31 tháng 12 năm 2016 đã được Công ty TNHH Hãng Kiểm toán AASC kiểm toán. </v>
      </c>
      <c r="D1977" s="1319"/>
      <c r="E1977" s="1319"/>
      <c r="F1977" s="1319"/>
      <c r="G1977" s="1319"/>
      <c r="H1977" s="1319"/>
      <c r="I1977" s="1319"/>
      <c r="J1977" s="1319"/>
      <c r="K1977" s="1319"/>
      <c r="L1977" s="1319"/>
      <c r="M1977" s="1319"/>
      <c r="N1977" s="1319"/>
      <c r="O1977" s="1319"/>
      <c r="P1977" s="1319"/>
      <c r="Q1977" s="1319"/>
      <c r="R1977" s="1319"/>
      <c r="S1977" s="1319"/>
      <c r="T1977" s="1319"/>
      <c r="U1977" s="1319"/>
      <c r="V1977" s="1319"/>
      <c r="W1977" s="1319"/>
      <c r="X1977" s="1319"/>
      <c r="Y1977" s="1319"/>
      <c r="Z1977" s="1319"/>
      <c r="AA1977" s="1319"/>
      <c r="AB1977" s="1319"/>
      <c r="AC1977" s="1319"/>
      <c r="AD1977" s="1319"/>
      <c r="AE1977" s="1319"/>
      <c r="AF1977" s="1319"/>
      <c r="AG1977" s="1319"/>
      <c r="AH1977" s="1319"/>
      <c r="AI1977" s="1319"/>
      <c r="AJ1977" s="342"/>
      <c r="AK1977" s="345"/>
      <c r="AL1977" s="340"/>
      <c r="AM1977" s="1303" t="str">
        <f>CONCATENATE("The corresponding figures are figures in the ",Loai_BC_E," for the fiscal year ended as at 31 December 2015, which was audited by AASC Auditing Firm Company Limited.")</f>
        <v>The corresponding figures are figures in the Separate Financial Statements for the fiscal year ended as at 31 December 2015, which was audited by AASC Auditing Firm Company Limited.</v>
      </c>
      <c r="AN1977" s="1303"/>
      <c r="AO1977" s="1303"/>
      <c r="AP1977" s="1303"/>
      <c r="AQ1977" s="1303"/>
      <c r="AR1977" s="1303"/>
      <c r="AS1977" s="1303"/>
      <c r="AT1977" s="1303"/>
      <c r="AU1977" s="1303"/>
      <c r="AV1977" s="1303"/>
      <c r="AW1977" s="1303"/>
      <c r="AX1977" s="1303"/>
      <c r="AY1977" s="1303"/>
      <c r="AZ1977" s="1303"/>
      <c r="BA1977" s="1303"/>
      <c r="BB1977" s="1303"/>
      <c r="BC1977" s="1303"/>
      <c r="BD1977" s="1303"/>
      <c r="BE1977" s="1303"/>
      <c r="BF1977" s="1303"/>
      <c r="BG1977" s="1303"/>
      <c r="BH1977" s="1303"/>
      <c r="BI1977" s="1303"/>
      <c r="BJ1977" s="1303"/>
      <c r="BK1977" s="1303"/>
      <c r="BL1977" s="1303"/>
      <c r="BM1977" s="1303"/>
      <c r="BN1977" s="1303"/>
      <c r="BO1977" s="1303"/>
      <c r="BP1977" s="1303"/>
      <c r="BQ1977" s="1303"/>
      <c r="BR1977" s="1303"/>
      <c r="BS1977" s="1303"/>
      <c r="BT1977" s="342"/>
      <c r="BU1977" s="346"/>
      <c r="BV1977" s="781"/>
      <c r="BW1977" s="781"/>
      <c r="BX1977" s="291">
        <f t="shared" si="141"/>
        <v>0</v>
      </c>
      <c r="BY1977" s="342"/>
      <c r="BZ1977" s="438"/>
      <c r="CA1977" s="438"/>
      <c r="CB1977" s="439"/>
      <c r="CC1977" s="439"/>
      <c r="CD1977" s="439"/>
      <c r="CE1977" s="439"/>
      <c r="CF1977" s="439"/>
    </row>
    <row r="1978" spans="1:84" s="423" customFormat="1" ht="9.75" customHeight="1" x14ac:dyDescent="0.25">
      <c r="A1978" s="313"/>
      <c r="B1978" s="340"/>
      <c r="C1978" s="440"/>
      <c r="D1978" s="440"/>
      <c r="E1978" s="440"/>
      <c r="F1978" s="440"/>
      <c r="G1978" s="440"/>
      <c r="H1978" s="440"/>
      <c r="I1978" s="440"/>
      <c r="J1978" s="440"/>
      <c r="K1978" s="440"/>
      <c r="L1978" s="440"/>
      <c r="M1978" s="440"/>
      <c r="N1978" s="440"/>
      <c r="O1978" s="440"/>
      <c r="P1978" s="440"/>
      <c r="Q1978" s="440"/>
      <c r="R1978" s="440"/>
      <c r="S1978" s="440"/>
      <c r="T1978" s="440"/>
      <c r="U1978" s="440"/>
      <c r="V1978" s="440"/>
      <c r="W1978" s="440"/>
      <c r="X1978" s="440"/>
      <c r="Y1978" s="440"/>
      <c r="Z1978" s="440"/>
      <c r="AA1978" s="440"/>
      <c r="AB1978" s="440"/>
      <c r="AC1978" s="440"/>
      <c r="AD1978" s="440"/>
      <c r="AE1978" s="440"/>
      <c r="AF1978" s="440"/>
      <c r="AG1978" s="440"/>
      <c r="AH1978" s="440"/>
      <c r="AI1978" s="440"/>
      <c r="AJ1978" s="342"/>
      <c r="AK1978" s="345"/>
      <c r="AL1978" s="340"/>
      <c r="AM1978" s="795"/>
      <c r="AN1978" s="795"/>
      <c r="AO1978" s="795"/>
      <c r="AP1978" s="795"/>
      <c r="AQ1978" s="795"/>
      <c r="AR1978" s="795"/>
      <c r="AS1978" s="795"/>
      <c r="AT1978" s="795"/>
      <c r="AU1978" s="795"/>
      <c r="AV1978" s="795"/>
      <c r="AW1978" s="795"/>
      <c r="AX1978" s="795"/>
      <c r="AY1978" s="795"/>
      <c r="AZ1978" s="795"/>
      <c r="BA1978" s="795"/>
      <c r="BB1978" s="795"/>
      <c r="BC1978" s="795"/>
      <c r="BD1978" s="795"/>
      <c r="BE1978" s="795"/>
      <c r="BF1978" s="795"/>
      <c r="BG1978" s="795"/>
      <c r="BH1978" s="795"/>
      <c r="BI1978" s="795"/>
      <c r="BJ1978" s="795"/>
      <c r="BK1978" s="795"/>
      <c r="BL1978" s="795"/>
      <c r="BM1978" s="795"/>
      <c r="BN1978" s="795"/>
      <c r="BO1978" s="795"/>
      <c r="BP1978" s="795"/>
      <c r="BQ1978" s="795"/>
      <c r="BR1978" s="795"/>
      <c r="BS1978" s="795"/>
      <c r="BT1978" s="342"/>
      <c r="BU1978" s="346"/>
      <c r="BV1978" s="781"/>
      <c r="BW1978" s="781"/>
      <c r="BX1978" s="291"/>
      <c r="BY1978" s="342"/>
      <c r="BZ1978" s="438"/>
      <c r="CA1978" s="438"/>
      <c r="CB1978" s="439"/>
      <c r="CC1978" s="439"/>
      <c r="CD1978" s="439"/>
      <c r="CE1978" s="439"/>
      <c r="CF1978" s="439"/>
    </row>
    <row r="1979" spans="1:84" ht="12.95" customHeight="1" x14ac:dyDescent="0.25">
      <c r="A1979" s="340"/>
      <c r="B1979" s="340"/>
      <c r="C1979" s="341"/>
      <c r="D1979" s="342"/>
      <c r="E1979" s="342"/>
      <c r="F1979" s="342"/>
      <c r="G1979" s="342"/>
      <c r="H1979" s="342"/>
      <c r="I1979" s="342"/>
      <c r="J1979" s="342"/>
      <c r="K1979" s="342"/>
      <c r="L1979" s="342"/>
      <c r="M1979" s="342"/>
      <c r="N1979" s="342"/>
      <c r="O1979" s="342"/>
      <c r="P1979" s="342"/>
      <c r="Q1979" s="342"/>
      <c r="R1979" s="342"/>
      <c r="S1979" s="342"/>
      <c r="T1979" s="342"/>
      <c r="U1979" s="342"/>
      <c r="V1979" s="1207" t="s">
        <v>2139</v>
      </c>
      <c r="W1979" s="1207"/>
      <c r="X1979" s="1207"/>
      <c r="Y1979" s="1207"/>
      <c r="Z1979" s="1207"/>
      <c r="AA1979" s="1207"/>
      <c r="AB1979" s="1207"/>
      <c r="AC1979" s="1207"/>
      <c r="AD1979" s="1207"/>
      <c r="AE1979" s="1207"/>
      <c r="AF1979" s="1207"/>
      <c r="AG1979" s="1207"/>
      <c r="AH1979" s="1207"/>
      <c r="AI1979" s="1207"/>
      <c r="AJ1979" s="1207"/>
      <c r="AK1979" s="345"/>
      <c r="AL1979" s="340" t="s">
        <v>345</v>
      </c>
      <c r="AM1979" s="341"/>
      <c r="AN1979" s="342"/>
      <c r="AO1979" s="342"/>
      <c r="AP1979" s="342"/>
      <c r="AQ1979" s="342"/>
      <c r="AR1979" s="342"/>
      <c r="AS1979" s="342"/>
      <c r="AT1979" s="342"/>
      <c r="AU1979" s="342"/>
      <c r="AV1979" s="342"/>
      <c r="AW1979" s="342"/>
      <c r="AX1979" s="342"/>
      <c r="AY1979" s="342"/>
      <c r="AZ1979" s="342"/>
      <c r="BA1979" s="342"/>
      <c r="BB1979" s="342"/>
      <c r="BC1979" s="783"/>
      <c r="BD1979" s="783"/>
      <c r="BE1979" s="783"/>
      <c r="BF1979" s="342"/>
      <c r="BG1979" s="342"/>
      <c r="BH1979" s="342"/>
      <c r="BI1979" s="342"/>
      <c r="BJ1979" s="342"/>
      <c r="BK1979" s="342"/>
      <c r="BL1979" s="342"/>
      <c r="BM1979" s="342"/>
      <c r="BN1979" s="342"/>
      <c r="BO1979" s="342"/>
      <c r="BP1979" s="342"/>
      <c r="BQ1979" s="342"/>
      <c r="BR1979" s="342"/>
      <c r="BS1979" s="342"/>
      <c r="BT1979" s="342"/>
      <c r="BU1979" s="346"/>
      <c r="BV1979" s="781"/>
      <c r="BW1979" s="781"/>
      <c r="BX1979" s="291">
        <f t="shared" si="141"/>
        <v>0</v>
      </c>
      <c r="BY1979" s="344"/>
      <c r="BZ1979" s="347"/>
      <c r="CA1979" s="347"/>
    </row>
    <row r="1980" spans="1:84" s="789" customFormat="1" ht="15" hidden="1" customHeight="1" outlineLevel="2" x14ac:dyDescent="0.25">
      <c r="A1980" s="313"/>
      <c r="B1980" s="340"/>
      <c r="C1980" s="1303" t="s">
        <v>1959</v>
      </c>
      <c r="D1980" s="1303"/>
      <c r="E1980" s="1303"/>
      <c r="F1980" s="1303"/>
      <c r="G1980" s="1303"/>
      <c r="H1980" s="1303"/>
      <c r="I1980" s="1303"/>
      <c r="J1980" s="1303"/>
      <c r="K1980" s="1303"/>
      <c r="L1980" s="1303"/>
      <c r="M1980" s="1303"/>
      <c r="N1980" s="1303"/>
      <c r="O1980" s="1303"/>
      <c r="P1980" s="1303"/>
      <c r="Q1980" s="1303"/>
      <c r="R1980" s="1303"/>
      <c r="S1980" s="1303"/>
      <c r="T1980" s="1303"/>
      <c r="U1980" s="1303"/>
      <c r="V1980" s="1303"/>
      <c r="W1980" s="1303"/>
      <c r="X1980" s="1303"/>
      <c r="Y1980" s="1303"/>
      <c r="Z1980" s="1303"/>
      <c r="AA1980" s="1303"/>
      <c r="AB1980" s="1303"/>
      <c r="AC1980" s="1303"/>
      <c r="AD1980" s="1303"/>
      <c r="AE1980" s="1303"/>
      <c r="AF1980" s="1303"/>
      <c r="AG1980" s="1303"/>
      <c r="AH1980" s="1303"/>
      <c r="AI1980" s="1303"/>
      <c r="AJ1980" s="344"/>
      <c r="AK1980" s="345"/>
      <c r="AL1980" s="340"/>
      <c r="AM1980" s="1303" t="s">
        <v>1960</v>
      </c>
      <c r="AN1980" s="1303"/>
      <c r="AO1980" s="1303"/>
      <c r="AP1980" s="1303"/>
      <c r="AQ1980" s="1303"/>
      <c r="AR1980" s="1303"/>
      <c r="AS1980" s="1303"/>
      <c r="AT1980" s="1303"/>
      <c r="AU1980" s="1303"/>
      <c r="AV1980" s="1303"/>
      <c r="AW1980" s="1303"/>
      <c r="AX1980" s="1303"/>
      <c r="AY1980" s="1303"/>
      <c r="AZ1980" s="1303"/>
      <c r="BA1980" s="1303"/>
      <c r="BB1980" s="1303"/>
      <c r="BC1980" s="1303"/>
      <c r="BD1980" s="1303"/>
      <c r="BE1980" s="1303"/>
      <c r="BF1980" s="1303"/>
      <c r="BG1980" s="1303"/>
      <c r="BH1980" s="1303"/>
      <c r="BI1980" s="1303"/>
      <c r="BJ1980" s="1303"/>
      <c r="BK1980" s="1303"/>
      <c r="BL1980" s="1303"/>
      <c r="BM1980" s="1303"/>
      <c r="BN1980" s="1303"/>
      <c r="BO1980" s="1303"/>
      <c r="BP1980" s="1303"/>
      <c r="BQ1980" s="1303"/>
      <c r="BR1980" s="1303"/>
      <c r="BS1980" s="1303"/>
      <c r="BT1980" s="784"/>
      <c r="BU1980" s="346"/>
      <c r="BV1980" s="781"/>
      <c r="BW1980" s="781"/>
      <c r="BX1980" s="785"/>
      <c r="BY1980" s="786"/>
      <c r="BZ1980" s="787"/>
      <c r="CA1980" s="787"/>
      <c r="CB1980" s="788"/>
      <c r="CC1980" s="788"/>
      <c r="CD1980" s="788"/>
      <c r="CE1980" s="788"/>
      <c r="CF1980" s="788"/>
    </row>
    <row r="1981" spans="1:84" s="789" customFormat="1" ht="35.25" hidden="1" customHeight="1" outlineLevel="2" x14ac:dyDescent="0.2">
      <c r="A1981" s="313"/>
      <c r="B1981" s="340"/>
      <c r="C1981" s="790"/>
      <c r="D1981" s="790"/>
      <c r="E1981" s="790"/>
      <c r="F1981" s="790"/>
      <c r="G1981" s="790"/>
      <c r="H1981" s="790"/>
      <c r="I1981" s="790"/>
      <c r="J1981" s="790"/>
      <c r="K1981" s="790"/>
      <c r="L1981" s="790"/>
      <c r="M1981" s="790"/>
      <c r="N1981" s="790"/>
      <c r="O1981" s="790"/>
      <c r="P1981" s="790"/>
      <c r="Q1981" s="790"/>
      <c r="R1981" s="790"/>
      <c r="S1981" s="1312" t="s">
        <v>4</v>
      </c>
      <c r="T1981" s="1312"/>
      <c r="U1981" s="1312"/>
      <c r="V1981" s="791"/>
      <c r="W1981" s="1313" t="s">
        <v>1961</v>
      </c>
      <c r="X1981" s="1314"/>
      <c r="Y1981" s="1314"/>
      <c r="Z1981" s="1314"/>
      <c r="AA1981" s="1314"/>
      <c r="AB1981" s="1314"/>
      <c r="AC1981" s="351"/>
      <c r="AD1981" s="1315" t="s">
        <v>1962</v>
      </c>
      <c r="AE1981" s="1316"/>
      <c r="AF1981" s="1316"/>
      <c r="AG1981" s="1316"/>
      <c r="AH1981" s="1316"/>
      <c r="AI1981" s="1316"/>
      <c r="AJ1981" s="344"/>
      <c r="AK1981" s="345"/>
      <c r="AL1981" s="340"/>
      <c r="AM1981" s="790"/>
      <c r="AN1981" s="790"/>
      <c r="AO1981" s="790"/>
      <c r="AP1981" s="790"/>
      <c r="AQ1981" s="790"/>
      <c r="AR1981" s="790"/>
      <c r="AS1981" s="790"/>
      <c r="AT1981" s="790"/>
      <c r="AU1981" s="790"/>
      <c r="AV1981" s="790"/>
      <c r="AW1981" s="790"/>
      <c r="AX1981" s="790"/>
      <c r="AY1981" s="790"/>
      <c r="AZ1981" s="790"/>
      <c r="BA1981" s="790"/>
      <c r="BB1981" s="790"/>
      <c r="BC1981" s="1317" t="s">
        <v>7</v>
      </c>
      <c r="BD1981" s="1317"/>
      <c r="BE1981" s="1317"/>
      <c r="BF1981" s="790"/>
      <c r="BG1981" s="1313" t="s">
        <v>1963</v>
      </c>
      <c r="BH1981" s="1314"/>
      <c r="BI1981" s="1314"/>
      <c r="BJ1981" s="1314"/>
      <c r="BK1981" s="1314"/>
      <c r="BL1981" s="1314"/>
      <c r="BM1981" s="351"/>
      <c r="BN1981" s="1315" t="s">
        <v>1964</v>
      </c>
      <c r="BO1981" s="1316"/>
      <c r="BP1981" s="1316"/>
      <c r="BQ1981" s="1316"/>
      <c r="BR1981" s="1316"/>
      <c r="BS1981" s="1316"/>
      <c r="BT1981" s="784"/>
      <c r="BU1981" s="346"/>
      <c r="BV1981" s="781"/>
      <c r="BW1981" s="781"/>
      <c r="BX1981" s="785"/>
      <c r="BY1981" s="786"/>
      <c r="BZ1981" s="787"/>
      <c r="CA1981" s="787"/>
      <c r="CB1981" s="788"/>
      <c r="CC1981" s="788"/>
      <c r="CD1981" s="788"/>
      <c r="CE1981" s="788"/>
      <c r="CF1981" s="788"/>
    </row>
    <row r="1982" spans="1:84" s="789" customFormat="1" ht="15" hidden="1" customHeight="1" outlineLevel="2" x14ac:dyDescent="0.2">
      <c r="A1982" s="313"/>
      <c r="B1982" s="340"/>
      <c r="C1982" s="790"/>
      <c r="D1982" s="790"/>
      <c r="E1982" s="790"/>
      <c r="F1982" s="790"/>
      <c r="G1982" s="790"/>
      <c r="H1982" s="790"/>
      <c r="I1982" s="790"/>
      <c r="J1982" s="790"/>
      <c r="K1982" s="790"/>
      <c r="L1982" s="790"/>
      <c r="M1982" s="790"/>
      <c r="N1982" s="790"/>
      <c r="O1982" s="790"/>
      <c r="P1982" s="790"/>
      <c r="Q1982" s="790"/>
      <c r="R1982" s="790"/>
      <c r="S1982" s="792"/>
      <c r="T1982" s="792"/>
      <c r="U1982" s="792"/>
      <c r="V1982" s="793"/>
      <c r="W1982" s="1310" t="str">
        <f>Don_Vi_Tinh_V</f>
        <v>VND</v>
      </c>
      <c r="X1982" s="1310"/>
      <c r="Y1982" s="1310"/>
      <c r="Z1982" s="1310"/>
      <c r="AA1982" s="1310"/>
      <c r="AB1982" s="1310"/>
      <c r="AC1982" s="559"/>
      <c r="AD1982" s="1310" t="str">
        <f>Don_Vi_Tinh_V</f>
        <v>VND</v>
      </c>
      <c r="AE1982" s="1310"/>
      <c r="AF1982" s="1310"/>
      <c r="AG1982" s="1310"/>
      <c r="AH1982" s="1310"/>
      <c r="AI1982" s="1310"/>
      <c r="AJ1982" s="344"/>
      <c r="AK1982" s="345"/>
      <c r="AL1982" s="340"/>
      <c r="AM1982" s="790"/>
      <c r="AN1982" s="790"/>
      <c r="AO1982" s="790"/>
      <c r="AP1982" s="790"/>
      <c r="AQ1982" s="790"/>
      <c r="AR1982" s="790"/>
      <c r="AS1982" s="790"/>
      <c r="AT1982" s="790"/>
      <c r="AU1982" s="790"/>
      <c r="AV1982" s="790"/>
      <c r="AW1982" s="790"/>
      <c r="AX1982" s="790"/>
      <c r="AY1982" s="790"/>
      <c r="AZ1982" s="790"/>
      <c r="BA1982" s="790"/>
      <c r="BB1982" s="790"/>
      <c r="BC1982" s="794"/>
      <c r="BD1982" s="794"/>
      <c r="BE1982" s="794"/>
      <c r="BF1982" s="790"/>
      <c r="BG1982" s="1310" t="str">
        <f>Don_Vi_Tinh_E</f>
        <v>VND</v>
      </c>
      <c r="BH1982" s="1310"/>
      <c r="BI1982" s="1310"/>
      <c r="BJ1982" s="1310"/>
      <c r="BK1982" s="1310"/>
      <c r="BL1982" s="1310"/>
      <c r="BM1982" s="559"/>
      <c r="BN1982" s="1310" t="str">
        <f>Don_Vi_Tinh_E</f>
        <v>VND</v>
      </c>
      <c r="BO1982" s="1310"/>
      <c r="BP1982" s="1310"/>
      <c r="BQ1982" s="1310"/>
      <c r="BR1982" s="1310"/>
      <c r="BS1982" s="1310"/>
      <c r="BT1982" s="784"/>
      <c r="BU1982" s="346"/>
      <c r="BV1982" s="781"/>
      <c r="BW1982" s="781"/>
      <c r="BX1982" s="785"/>
      <c r="BY1982" s="786"/>
      <c r="BZ1982" s="787"/>
      <c r="CA1982" s="787"/>
      <c r="CB1982" s="788"/>
      <c r="CC1982" s="788"/>
      <c r="CD1982" s="788"/>
      <c r="CE1982" s="788"/>
      <c r="CF1982" s="788"/>
    </row>
    <row r="1983" spans="1:84" s="789" customFormat="1" ht="15" hidden="1" customHeight="1" outlineLevel="2" x14ac:dyDescent="0.25">
      <c r="A1983" s="313"/>
      <c r="B1983" s="340"/>
      <c r="C1983" s="1306" t="str">
        <f>CONCATENATE("a) Bảng Cân đối kế toán",Loai_Baocao)</f>
        <v>a) Bảng Cân đối kế toán</v>
      </c>
      <c r="D1983" s="1306"/>
      <c r="E1983" s="1306"/>
      <c r="F1983" s="1306"/>
      <c r="G1983" s="1306"/>
      <c r="H1983" s="1306"/>
      <c r="I1983" s="1306"/>
      <c r="J1983" s="1306"/>
      <c r="K1983" s="1306"/>
      <c r="L1983" s="1306"/>
      <c r="M1983" s="1306"/>
      <c r="N1983" s="1306"/>
      <c r="O1983" s="1306"/>
      <c r="P1983" s="1306"/>
      <c r="Q1983" s="1306"/>
      <c r="R1983" s="1306"/>
      <c r="S1983" s="1307"/>
      <c r="T1983" s="1307"/>
      <c r="U1983" s="1307"/>
      <c r="V1983" s="795"/>
      <c r="W1983" s="1308"/>
      <c r="X1983" s="1308"/>
      <c r="Y1983" s="1308"/>
      <c r="Z1983" s="1308"/>
      <c r="AA1983" s="1308"/>
      <c r="AB1983" s="1308"/>
      <c r="AC1983" s="796"/>
      <c r="AD1983" s="1308"/>
      <c r="AE1983" s="1308"/>
      <c r="AF1983" s="1308"/>
      <c r="AG1983" s="1308"/>
      <c r="AH1983" s="1308"/>
      <c r="AI1983" s="1308"/>
      <c r="AJ1983" s="344"/>
      <c r="AK1983" s="345"/>
      <c r="AL1983" s="340"/>
      <c r="AM1983" s="1306" t="s">
        <v>1965</v>
      </c>
      <c r="AN1983" s="1306"/>
      <c r="AO1983" s="1306"/>
      <c r="AP1983" s="1306"/>
      <c r="AQ1983" s="1306"/>
      <c r="AR1983" s="1306"/>
      <c r="AS1983" s="1306"/>
      <c r="AT1983" s="1306"/>
      <c r="AU1983" s="1306"/>
      <c r="AV1983" s="1306"/>
      <c r="AW1983" s="1306"/>
      <c r="AX1983" s="1306"/>
      <c r="AY1983" s="1306"/>
      <c r="AZ1983" s="1306"/>
      <c r="BA1983" s="1306"/>
      <c r="BB1983" s="1306"/>
      <c r="BC1983" s="1311" t="str">
        <f>TEXT(S1983,"###")</f>
        <v/>
      </c>
      <c r="BD1983" s="1311"/>
      <c r="BE1983" s="1311"/>
      <c r="BF1983" s="795"/>
      <c r="BG1983" s="1309"/>
      <c r="BH1983" s="1309"/>
      <c r="BI1983" s="1309"/>
      <c r="BJ1983" s="1309"/>
      <c r="BK1983" s="1309"/>
      <c r="BL1983" s="1309"/>
      <c r="BM1983" s="797"/>
      <c r="BN1983" s="1309"/>
      <c r="BO1983" s="1309"/>
      <c r="BP1983" s="1309"/>
      <c r="BQ1983" s="1309"/>
      <c r="BR1983" s="1309"/>
      <c r="BS1983" s="1309"/>
      <c r="BT1983" s="784"/>
      <c r="BU1983" s="346"/>
      <c r="BV1983" s="781"/>
      <c r="BW1983" s="781"/>
      <c r="BX1983" s="785">
        <f t="shared" ref="BX1983:BX1991" si="142">IF(ISNONTEXT($C1983),0,SUM(D1983:AI1983)-SUM(AN1983:BS1983))</f>
        <v>0</v>
      </c>
      <c r="BY1983" s="786"/>
      <c r="BZ1983" s="787"/>
      <c r="CA1983" s="787"/>
      <c r="CB1983" s="788"/>
      <c r="CC1983" s="788"/>
      <c r="CD1983" s="788"/>
      <c r="CE1983" s="788"/>
      <c r="CF1983" s="788"/>
    </row>
    <row r="1984" spans="1:84" s="789" customFormat="1" ht="15" hidden="1" customHeight="1" outlineLevel="2" x14ac:dyDescent="0.25">
      <c r="A1984" s="313"/>
      <c r="B1984" s="340"/>
      <c r="C1984" s="1302" t="s">
        <v>1966</v>
      </c>
      <c r="D1984" s="1303"/>
      <c r="E1984" s="1303"/>
      <c r="F1984" s="1303"/>
      <c r="G1984" s="1303"/>
      <c r="H1984" s="1303"/>
      <c r="I1984" s="1303"/>
      <c r="J1984" s="1303"/>
      <c r="K1984" s="1303"/>
      <c r="L1984" s="1303"/>
      <c r="M1984" s="1303"/>
      <c r="N1984" s="1303"/>
      <c r="O1984" s="1303"/>
      <c r="P1984" s="1303"/>
      <c r="Q1984" s="1303"/>
      <c r="R1984" s="1303"/>
      <c r="S1984" s="1304" t="s">
        <v>126</v>
      </c>
      <c r="T1984" s="1304"/>
      <c r="U1984" s="1304"/>
      <c r="V1984" s="795"/>
      <c r="W1984" s="1305">
        <v>0</v>
      </c>
      <c r="X1984" s="1305"/>
      <c r="Y1984" s="1305"/>
      <c r="Z1984" s="1305"/>
      <c r="AA1984" s="1305"/>
      <c r="AB1984" s="1305"/>
      <c r="AC1984" s="796"/>
      <c r="AD1984" s="1305">
        <v>27727273</v>
      </c>
      <c r="AE1984" s="1305"/>
      <c r="AF1984" s="1305"/>
      <c r="AG1984" s="1305"/>
      <c r="AH1984" s="1305"/>
      <c r="AI1984" s="1305"/>
      <c r="AJ1984" s="344"/>
      <c r="AK1984" s="345"/>
      <c r="AL1984" s="340"/>
      <c r="AM1984" s="1302" t="s">
        <v>1967</v>
      </c>
      <c r="AN1984" s="1303"/>
      <c r="AO1984" s="1303"/>
      <c r="AP1984" s="1303"/>
      <c r="AQ1984" s="1303"/>
      <c r="AR1984" s="1303"/>
      <c r="AS1984" s="1303"/>
      <c r="AT1984" s="1303"/>
      <c r="AU1984" s="1303"/>
      <c r="AV1984" s="1303"/>
      <c r="AW1984" s="1303"/>
      <c r="AX1984" s="1303"/>
      <c r="AY1984" s="1303"/>
      <c r="AZ1984" s="1303"/>
      <c r="BA1984" s="1303"/>
      <c r="BB1984" s="1303"/>
      <c r="BC1984" s="1304" t="str">
        <f t="shared" ref="BC1984:BC1991" si="143">TEXT(S1984,"###")</f>
        <v>319</v>
      </c>
      <c r="BD1984" s="1304"/>
      <c r="BE1984" s="1304"/>
      <c r="BF1984" s="795"/>
      <c r="BG1984" s="1301">
        <f t="shared" ref="BG1984:BG1991" si="144">W1984</f>
        <v>0</v>
      </c>
      <c r="BH1984" s="1301"/>
      <c r="BI1984" s="1301"/>
      <c r="BJ1984" s="1301"/>
      <c r="BK1984" s="1301"/>
      <c r="BL1984" s="1301"/>
      <c r="BM1984" s="797"/>
      <c r="BN1984" s="1301">
        <f t="shared" ref="BN1984:BN1991" si="145">AD1984</f>
        <v>27727273</v>
      </c>
      <c r="BO1984" s="1301"/>
      <c r="BP1984" s="1301"/>
      <c r="BQ1984" s="1301"/>
      <c r="BR1984" s="1301"/>
      <c r="BS1984" s="1301"/>
      <c r="BT1984" s="784"/>
      <c r="BU1984" s="346"/>
      <c r="BV1984" s="781"/>
      <c r="BW1984" s="781"/>
      <c r="BX1984" s="785">
        <f t="shared" si="142"/>
        <v>0</v>
      </c>
      <c r="BY1984" s="786"/>
      <c r="BZ1984" s="787"/>
      <c r="CA1984" s="787"/>
      <c r="CB1984" s="788"/>
      <c r="CC1984" s="788"/>
      <c r="CD1984" s="788"/>
      <c r="CE1984" s="788"/>
      <c r="CF1984" s="788"/>
    </row>
    <row r="1985" spans="1:84" s="789" customFormat="1" ht="15" hidden="1" customHeight="1" outlineLevel="2" x14ac:dyDescent="0.25">
      <c r="A1985" s="313"/>
      <c r="B1985" s="340"/>
      <c r="C1985" s="1302" t="s">
        <v>1968</v>
      </c>
      <c r="D1985" s="1303"/>
      <c r="E1985" s="1303"/>
      <c r="F1985" s="1303"/>
      <c r="G1985" s="1303"/>
      <c r="H1985" s="1303"/>
      <c r="I1985" s="1303"/>
      <c r="J1985" s="1303"/>
      <c r="K1985" s="1303"/>
      <c r="L1985" s="1303"/>
      <c r="M1985" s="1303"/>
      <c r="N1985" s="1303"/>
      <c r="O1985" s="1303"/>
      <c r="P1985" s="1303"/>
      <c r="Q1985" s="1303"/>
      <c r="R1985" s="1303"/>
      <c r="S1985" s="1307" t="s">
        <v>120</v>
      </c>
      <c r="T1985" s="1307"/>
      <c r="U1985" s="1307"/>
      <c r="V1985" s="798"/>
      <c r="W1985" s="1308">
        <v>22727273</v>
      </c>
      <c r="X1985" s="1308"/>
      <c r="Y1985" s="1308"/>
      <c r="Z1985" s="1308"/>
      <c r="AA1985" s="1308"/>
      <c r="AB1985" s="1308"/>
      <c r="AC1985" s="380"/>
      <c r="AD1985" s="1308">
        <v>0</v>
      </c>
      <c r="AE1985" s="1308"/>
      <c r="AF1985" s="1308"/>
      <c r="AG1985" s="1308"/>
      <c r="AH1985" s="1308"/>
      <c r="AI1985" s="1308"/>
      <c r="AJ1985" s="344"/>
      <c r="AK1985" s="345"/>
      <c r="AL1985" s="340"/>
      <c r="AM1985" s="1302" t="s">
        <v>1969</v>
      </c>
      <c r="AN1985" s="1303"/>
      <c r="AO1985" s="1303"/>
      <c r="AP1985" s="1303"/>
      <c r="AQ1985" s="1303"/>
      <c r="AR1985" s="1303"/>
      <c r="AS1985" s="1303"/>
      <c r="AT1985" s="1303"/>
      <c r="AU1985" s="1303"/>
      <c r="AV1985" s="1303"/>
      <c r="AW1985" s="1303"/>
      <c r="AX1985" s="1303"/>
      <c r="AY1985" s="1303"/>
      <c r="AZ1985" s="1303"/>
      <c r="BA1985" s="1303"/>
      <c r="BB1985" s="1303"/>
      <c r="BC1985" s="1307" t="str">
        <f t="shared" si="143"/>
        <v>313</v>
      </c>
      <c r="BD1985" s="1307"/>
      <c r="BE1985" s="1307"/>
      <c r="BF1985" s="798"/>
      <c r="BG1985" s="1309">
        <f t="shared" si="144"/>
        <v>22727273</v>
      </c>
      <c r="BH1985" s="1309"/>
      <c r="BI1985" s="1309"/>
      <c r="BJ1985" s="1309"/>
      <c r="BK1985" s="1309"/>
      <c r="BL1985" s="1309"/>
      <c r="BM1985" s="799"/>
      <c r="BN1985" s="1309">
        <f t="shared" si="145"/>
        <v>0</v>
      </c>
      <c r="BO1985" s="1309"/>
      <c r="BP1985" s="1309"/>
      <c r="BQ1985" s="1309"/>
      <c r="BR1985" s="1309"/>
      <c r="BS1985" s="1309"/>
      <c r="BT1985" s="784"/>
      <c r="BU1985" s="346"/>
      <c r="BV1985" s="781"/>
      <c r="BW1985" s="781"/>
      <c r="BX1985" s="785">
        <f t="shared" si="142"/>
        <v>0</v>
      </c>
      <c r="BY1985" s="786"/>
      <c r="BZ1985" s="787"/>
      <c r="CA1985" s="787"/>
      <c r="CB1985" s="788"/>
      <c r="CC1985" s="788"/>
      <c r="CD1985" s="788"/>
      <c r="CE1985" s="788"/>
      <c r="CF1985" s="788"/>
    </row>
    <row r="1986" spans="1:84" s="789" customFormat="1" ht="15" hidden="1" customHeight="1" outlineLevel="2" x14ac:dyDescent="0.25">
      <c r="A1986" s="313"/>
      <c r="B1986" s="340"/>
      <c r="C1986" s="1306" t="str">
        <f>CONCATENATE("b) Báo cáo Kết quả hoạt động kinh doanh",Loai_Baocao)</f>
        <v>b) Báo cáo Kết quả hoạt động kinh doanh</v>
      </c>
      <c r="D1986" s="1306"/>
      <c r="E1986" s="1306"/>
      <c r="F1986" s="1306"/>
      <c r="G1986" s="1306"/>
      <c r="H1986" s="1306"/>
      <c r="I1986" s="1306"/>
      <c r="J1986" s="1306"/>
      <c r="K1986" s="1306"/>
      <c r="L1986" s="1306"/>
      <c r="M1986" s="1306"/>
      <c r="N1986" s="1306"/>
      <c r="O1986" s="1306"/>
      <c r="P1986" s="1306"/>
      <c r="Q1986" s="1306"/>
      <c r="R1986" s="1306"/>
      <c r="S1986" s="1307"/>
      <c r="T1986" s="1307"/>
      <c r="U1986" s="1307"/>
      <c r="V1986" s="798"/>
      <c r="W1986" s="1308"/>
      <c r="X1986" s="1308"/>
      <c r="Y1986" s="1308"/>
      <c r="Z1986" s="1308"/>
      <c r="AA1986" s="1308"/>
      <c r="AB1986" s="1308"/>
      <c r="AC1986" s="380"/>
      <c r="AD1986" s="1308"/>
      <c r="AE1986" s="1308"/>
      <c r="AF1986" s="1308"/>
      <c r="AG1986" s="1308"/>
      <c r="AH1986" s="1308"/>
      <c r="AI1986" s="1308"/>
      <c r="AJ1986" s="344"/>
      <c r="AK1986" s="345"/>
      <c r="AL1986" s="340"/>
      <c r="AM1986" s="1306" t="s">
        <v>1970</v>
      </c>
      <c r="AN1986" s="1306"/>
      <c r="AO1986" s="1306"/>
      <c r="AP1986" s="1306"/>
      <c r="AQ1986" s="1306"/>
      <c r="AR1986" s="1306"/>
      <c r="AS1986" s="1306"/>
      <c r="AT1986" s="1306"/>
      <c r="AU1986" s="1306"/>
      <c r="AV1986" s="1306"/>
      <c r="AW1986" s="1306"/>
      <c r="AX1986" s="1306"/>
      <c r="AY1986" s="1306"/>
      <c r="AZ1986" s="1306"/>
      <c r="BA1986" s="1306"/>
      <c r="BB1986" s="1306"/>
      <c r="BC1986" s="1307" t="str">
        <f t="shared" si="143"/>
        <v/>
      </c>
      <c r="BD1986" s="1307"/>
      <c r="BE1986" s="1307"/>
      <c r="BF1986" s="798"/>
      <c r="BG1986" s="1309"/>
      <c r="BH1986" s="1309"/>
      <c r="BI1986" s="1309"/>
      <c r="BJ1986" s="1309"/>
      <c r="BK1986" s="1309"/>
      <c r="BL1986" s="1309"/>
      <c r="BM1986" s="799"/>
      <c r="BN1986" s="1309"/>
      <c r="BO1986" s="1309"/>
      <c r="BP1986" s="1309"/>
      <c r="BQ1986" s="1309"/>
      <c r="BR1986" s="1309"/>
      <c r="BS1986" s="1309"/>
      <c r="BT1986" s="784"/>
      <c r="BU1986" s="346"/>
      <c r="BV1986" s="781"/>
      <c r="BW1986" s="781"/>
      <c r="BX1986" s="785">
        <f t="shared" si="142"/>
        <v>0</v>
      </c>
      <c r="BY1986" s="786"/>
      <c r="BZ1986" s="787"/>
      <c r="CA1986" s="787"/>
      <c r="CB1986" s="788"/>
      <c r="CC1986" s="788"/>
      <c r="CD1986" s="788"/>
      <c r="CE1986" s="788"/>
      <c r="CF1986" s="788"/>
    </row>
    <row r="1987" spans="1:84" s="789" customFormat="1" ht="15" hidden="1" customHeight="1" outlineLevel="2" x14ac:dyDescent="0.25">
      <c r="A1987" s="313"/>
      <c r="B1987" s="340"/>
      <c r="C1987" s="1302" t="s">
        <v>1971</v>
      </c>
      <c r="D1987" s="1303"/>
      <c r="E1987" s="1303"/>
      <c r="F1987" s="1303"/>
      <c r="G1987" s="1303"/>
      <c r="H1987" s="1303"/>
      <c r="I1987" s="1303"/>
      <c r="J1987" s="1303"/>
      <c r="K1987" s="1303"/>
      <c r="L1987" s="1303"/>
      <c r="M1987" s="1303"/>
      <c r="N1987" s="1303"/>
      <c r="O1987" s="1303"/>
      <c r="P1987" s="1303"/>
      <c r="Q1987" s="1303"/>
      <c r="R1987" s="1303"/>
      <c r="S1987" s="1307"/>
      <c r="T1987" s="1307"/>
      <c r="U1987" s="1307"/>
      <c r="V1987" s="798"/>
      <c r="W1987" s="1308"/>
      <c r="X1987" s="1308"/>
      <c r="Y1987" s="1308"/>
      <c r="Z1987" s="1308"/>
      <c r="AA1987" s="1308"/>
      <c r="AB1987" s="1308"/>
      <c r="AC1987" s="380"/>
      <c r="AD1987" s="1308"/>
      <c r="AE1987" s="1308"/>
      <c r="AF1987" s="1308"/>
      <c r="AG1987" s="1308"/>
      <c r="AH1987" s="1308"/>
      <c r="AI1987" s="1308"/>
      <c r="AJ1987" s="344"/>
      <c r="AK1987" s="345"/>
      <c r="AL1987" s="340"/>
      <c r="AM1987" s="1302" t="s">
        <v>1971</v>
      </c>
      <c r="AN1987" s="1303"/>
      <c r="AO1987" s="1303"/>
      <c r="AP1987" s="1303"/>
      <c r="AQ1987" s="1303"/>
      <c r="AR1987" s="1303"/>
      <c r="AS1987" s="1303"/>
      <c r="AT1987" s="1303"/>
      <c r="AU1987" s="1303"/>
      <c r="AV1987" s="1303"/>
      <c r="AW1987" s="1303"/>
      <c r="AX1987" s="1303"/>
      <c r="AY1987" s="1303"/>
      <c r="AZ1987" s="1303"/>
      <c r="BA1987" s="1303"/>
      <c r="BB1987" s="1303"/>
      <c r="BC1987" s="1307" t="str">
        <f t="shared" si="143"/>
        <v/>
      </c>
      <c r="BD1987" s="1307"/>
      <c r="BE1987" s="1307"/>
      <c r="BF1987" s="798"/>
      <c r="BG1987" s="1309">
        <f t="shared" si="144"/>
        <v>0</v>
      </c>
      <c r="BH1987" s="1309"/>
      <c r="BI1987" s="1309"/>
      <c r="BJ1987" s="1309"/>
      <c r="BK1987" s="1309"/>
      <c r="BL1987" s="1309"/>
      <c r="BM1987" s="799"/>
      <c r="BN1987" s="1309">
        <f t="shared" si="145"/>
        <v>0</v>
      </c>
      <c r="BO1987" s="1309"/>
      <c r="BP1987" s="1309"/>
      <c r="BQ1987" s="1309"/>
      <c r="BR1987" s="1309"/>
      <c r="BS1987" s="1309"/>
      <c r="BT1987" s="784"/>
      <c r="BU1987" s="346"/>
      <c r="BV1987" s="781"/>
      <c r="BW1987" s="781"/>
      <c r="BX1987" s="785">
        <f t="shared" si="142"/>
        <v>0</v>
      </c>
      <c r="BY1987" s="786"/>
      <c r="BZ1987" s="787"/>
      <c r="CA1987" s="787"/>
      <c r="CB1987" s="788"/>
      <c r="CC1987" s="788"/>
      <c r="CD1987" s="788"/>
      <c r="CE1987" s="788"/>
      <c r="CF1987" s="788"/>
    </row>
    <row r="1988" spans="1:84" s="789" customFormat="1" ht="15" hidden="1" customHeight="1" outlineLevel="2" x14ac:dyDescent="0.25">
      <c r="A1988" s="313"/>
      <c r="B1988" s="340"/>
      <c r="C1988" s="1302" t="s">
        <v>1971</v>
      </c>
      <c r="D1988" s="1303"/>
      <c r="E1988" s="1303"/>
      <c r="F1988" s="1303"/>
      <c r="G1988" s="1303"/>
      <c r="H1988" s="1303"/>
      <c r="I1988" s="1303"/>
      <c r="J1988" s="1303"/>
      <c r="K1988" s="1303"/>
      <c r="L1988" s="1303"/>
      <c r="M1988" s="1303"/>
      <c r="N1988" s="1303"/>
      <c r="O1988" s="1303"/>
      <c r="P1988" s="1303"/>
      <c r="Q1988" s="1303"/>
      <c r="R1988" s="1303"/>
      <c r="S1988" s="1307"/>
      <c r="T1988" s="1307"/>
      <c r="U1988" s="1307"/>
      <c r="V1988" s="798"/>
      <c r="W1988" s="1308"/>
      <c r="X1988" s="1308"/>
      <c r="Y1988" s="1308"/>
      <c r="Z1988" s="1308"/>
      <c r="AA1988" s="1308"/>
      <c r="AB1988" s="1308"/>
      <c r="AC1988" s="380"/>
      <c r="AD1988" s="1308"/>
      <c r="AE1988" s="1308"/>
      <c r="AF1988" s="1308"/>
      <c r="AG1988" s="1308"/>
      <c r="AH1988" s="1308"/>
      <c r="AI1988" s="1308"/>
      <c r="AJ1988" s="344"/>
      <c r="AK1988" s="345"/>
      <c r="AL1988" s="340"/>
      <c r="AM1988" s="1302" t="s">
        <v>1971</v>
      </c>
      <c r="AN1988" s="1303"/>
      <c r="AO1988" s="1303"/>
      <c r="AP1988" s="1303"/>
      <c r="AQ1988" s="1303"/>
      <c r="AR1988" s="1303"/>
      <c r="AS1988" s="1303"/>
      <c r="AT1988" s="1303"/>
      <c r="AU1988" s="1303"/>
      <c r="AV1988" s="1303"/>
      <c r="AW1988" s="1303"/>
      <c r="AX1988" s="1303"/>
      <c r="AY1988" s="1303"/>
      <c r="AZ1988" s="1303"/>
      <c r="BA1988" s="1303"/>
      <c r="BB1988" s="1303"/>
      <c r="BC1988" s="1307" t="str">
        <f t="shared" si="143"/>
        <v/>
      </c>
      <c r="BD1988" s="1307"/>
      <c r="BE1988" s="1307"/>
      <c r="BF1988" s="798"/>
      <c r="BG1988" s="1309">
        <f t="shared" si="144"/>
        <v>0</v>
      </c>
      <c r="BH1988" s="1309"/>
      <c r="BI1988" s="1309"/>
      <c r="BJ1988" s="1309"/>
      <c r="BK1988" s="1309"/>
      <c r="BL1988" s="1309"/>
      <c r="BM1988" s="799"/>
      <c r="BN1988" s="1309">
        <f t="shared" si="145"/>
        <v>0</v>
      </c>
      <c r="BO1988" s="1309"/>
      <c r="BP1988" s="1309"/>
      <c r="BQ1988" s="1309"/>
      <c r="BR1988" s="1309"/>
      <c r="BS1988" s="1309"/>
      <c r="BT1988" s="784"/>
      <c r="BU1988" s="346"/>
      <c r="BV1988" s="781"/>
      <c r="BW1988" s="781"/>
      <c r="BX1988" s="785">
        <f t="shared" si="142"/>
        <v>0</v>
      </c>
      <c r="BY1988" s="786"/>
      <c r="BZ1988" s="787"/>
      <c r="CA1988" s="787"/>
      <c r="CB1988" s="788"/>
      <c r="CC1988" s="788"/>
      <c r="CD1988" s="788"/>
      <c r="CE1988" s="788"/>
      <c r="CF1988" s="788"/>
    </row>
    <row r="1989" spans="1:84" s="789" customFormat="1" ht="15" hidden="1" customHeight="1" outlineLevel="2" x14ac:dyDescent="0.25">
      <c r="A1989" s="313"/>
      <c r="B1989" s="340"/>
      <c r="C1989" s="1306" t="str">
        <f>CONCATENATE("c) Báo cáo Lưu chuyển tiền tệ",Loai_Baocao)</f>
        <v>c) Báo cáo Lưu chuyển tiền tệ</v>
      </c>
      <c r="D1989" s="1306"/>
      <c r="E1989" s="1306"/>
      <c r="F1989" s="1306"/>
      <c r="G1989" s="1306"/>
      <c r="H1989" s="1306"/>
      <c r="I1989" s="1306"/>
      <c r="J1989" s="1306"/>
      <c r="K1989" s="1306"/>
      <c r="L1989" s="1306"/>
      <c r="M1989" s="1306"/>
      <c r="N1989" s="1306"/>
      <c r="O1989" s="1306"/>
      <c r="P1989" s="1306"/>
      <c r="Q1989" s="1306"/>
      <c r="R1989" s="1306"/>
      <c r="S1989" s="1307"/>
      <c r="T1989" s="1307"/>
      <c r="U1989" s="1307"/>
      <c r="V1989" s="798"/>
      <c r="W1989" s="1308"/>
      <c r="X1989" s="1308"/>
      <c r="Y1989" s="1308"/>
      <c r="Z1989" s="1308"/>
      <c r="AA1989" s="1308"/>
      <c r="AB1989" s="1308"/>
      <c r="AC1989" s="380"/>
      <c r="AD1989" s="1308"/>
      <c r="AE1989" s="1308"/>
      <c r="AF1989" s="1308"/>
      <c r="AG1989" s="1308"/>
      <c r="AH1989" s="1308"/>
      <c r="AI1989" s="1308"/>
      <c r="AJ1989" s="344"/>
      <c r="AK1989" s="345"/>
      <c r="AL1989" s="340"/>
      <c r="AM1989" s="1306" t="s">
        <v>1972</v>
      </c>
      <c r="AN1989" s="1306"/>
      <c r="AO1989" s="1306"/>
      <c r="AP1989" s="1306"/>
      <c r="AQ1989" s="1306"/>
      <c r="AR1989" s="1306"/>
      <c r="AS1989" s="1306"/>
      <c r="AT1989" s="1306"/>
      <c r="AU1989" s="1306"/>
      <c r="AV1989" s="1306"/>
      <c r="AW1989" s="1306"/>
      <c r="AX1989" s="1306"/>
      <c r="AY1989" s="1306"/>
      <c r="AZ1989" s="1306"/>
      <c r="BA1989" s="1306"/>
      <c r="BB1989" s="1306"/>
      <c r="BC1989" s="1307" t="str">
        <f t="shared" si="143"/>
        <v/>
      </c>
      <c r="BD1989" s="1307"/>
      <c r="BE1989" s="1307"/>
      <c r="BF1989" s="798"/>
      <c r="BG1989" s="1309"/>
      <c r="BH1989" s="1309"/>
      <c r="BI1989" s="1309"/>
      <c r="BJ1989" s="1309"/>
      <c r="BK1989" s="1309"/>
      <c r="BL1989" s="1309"/>
      <c r="BM1989" s="799"/>
      <c r="BN1989" s="1309"/>
      <c r="BO1989" s="1309"/>
      <c r="BP1989" s="1309"/>
      <c r="BQ1989" s="1309"/>
      <c r="BR1989" s="1309"/>
      <c r="BS1989" s="1309"/>
      <c r="BT1989" s="784"/>
      <c r="BU1989" s="346"/>
      <c r="BV1989" s="781"/>
      <c r="BW1989" s="781"/>
      <c r="BX1989" s="785">
        <f t="shared" si="142"/>
        <v>0</v>
      </c>
      <c r="BY1989" s="786"/>
      <c r="BZ1989" s="787"/>
      <c r="CA1989" s="787"/>
      <c r="CB1989" s="788"/>
      <c r="CC1989" s="788"/>
      <c r="CD1989" s="788"/>
      <c r="CE1989" s="788"/>
      <c r="CF1989" s="788"/>
    </row>
    <row r="1990" spans="1:84" s="789" customFormat="1" ht="15" hidden="1" customHeight="1" outlineLevel="2" x14ac:dyDescent="0.25">
      <c r="A1990" s="313"/>
      <c r="B1990" s="340"/>
      <c r="C1990" s="1302" t="s">
        <v>1971</v>
      </c>
      <c r="D1990" s="1303"/>
      <c r="E1990" s="1303"/>
      <c r="F1990" s="1303"/>
      <c r="G1990" s="1303"/>
      <c r="H1990" s="1303"/>
      <c r="I1990" s="1303"/>
      <c r="J1990" s="1303"/>
      <c r="K1990" s="1303"/>
      <c r="L1990" s="1303"/>
      <c r="M1990" s="1303"/>
      <c r="N1990" s="1303"/>
      <c r="O1990" s="1303"/>
      <c r="P1990" s="1303"/>
      <c r="Q1990" s="1303"/>
      <c r="R1990" s="1303"/>
      <c r="S1990" s="1304"/>
      <c r="T1990" s="1304"/>
      <c r="U1990" s="1304"/>
      <c r="V1990" s="795"/>
      <c r="W1990" s="1305"/>
      <c r="X1990" s="1305"/>
      <c r="Y1990" s="1305"/>
      <c r="Z1990" s="1305"/>
      <c r="AA1990" s="1305"/>
      <c r="AB1990" s="1305"/>
      <c r="AC1990" s="796"/>
      <c r="AD1990" s="1305"/>
      <c r="AE1990" s="1305"/>
      <c r="AF1990" s="1305"/>
      <c r="AG1990" s="1305"/>
      <c r="AH1990" s="1305"/>
      <c r="AI1990" s="1305"/>
      <c r="AJ1990" s="344"/>
      <c r="AK1990" s="345"/>
      <c r="AL1990" s="340"/>
      <c r="AM1990" s="1302" t="s">
        <v>1971</v>
      </c>
      <c r="AN1990" s="1303"/>
      <c r="AO1990" s="1303"/>
      <c r="AP1990" s="1303"/>
      <c r="AQ1990" s="1303"/>
      <c r="AR1990" s="1303"/>
      <c r="AS1990" s="1303"/>
      <c r="AT1990" s="1303"/>
      <c r="AU1990" s="1303"/>
      <c r="AV1990" s="1303"/>
      <c r="AW1990" s="1303"/>
      <c r="AX1990" s="1303"/>
      <c r="AY1990" s="1303"/>
      <c r="AZ1990" s="1303"/>
      <c r="BA1990" s="1303"/>
      <c r="BB1990" s="1303"/>
      <c r="BC1990" s="1304" t="str">
        <f t="shared" si="143"/>
        <v/>
      </c>
      <c r="BD1990" s="1304"/>
      <c r="BE1990" s="1304"/>
      <c r="BF1990" s="795"/>
      <c r="BG1990" s="1301">
        <f t="shared" si="144"/>
        <v>0</v>
      </c>
      <c r="BH1990" s="1301"/>
      <c r="BI1990" s="1301"/>
      <c r="BJ1990" s="1301"/>
      <c r="BK1990" s="1301"/>
      <c r="BL1990" s="1301"/>
      <c r="BM1990" s="797"/>
      <c r="BN1990" s="1301">
        <f t="shared" si="145"/>
        <v>0</v>
      </c>
      <c r="BO1990" s="1301"/>
      <c r="BP1990" s="1301"/>
      <c r="BQ1990" s="1301"/>
      <c r="BR1990" s="1301"/>
      <c r="BS1990" s="1301"/>
      <c r="BT1990" s="784"/>
      <c r="BU1990" s="346"/>
      <c r="BV1990" s="781"/>
      <c r="BW1990" s="781"/>
      <c r="BX1990" s="785">
        <f t="shared" si="142"/>
        <v>0</v>
      </c>
      <c r="BY1990" s="786"/>
      <c r="BZ1990" s="787"/>
      <c r="CA1990" s="787"/>
      <c r="CB1990" s="788"/>
      <c r="CC1990" s="788"/>
      <c r="CD1990" s="788"/>
      <c r="CE1990" s="788"/>
      <c r="CF1990" s="788"/>
    </row>
    <row r="1991" spans="1:84" s="789" customFormat="1" ht="15" hidden="1" customHeight="1" outlineLevel="2" x14ac:dyDescent="0.25">
      <c r="A1991" s="340"/>
      <c r="B1991" s="340"/>
      <c r="C1991" s="1302" t="s">
        <v>1971</v>
      </c>
      <c r="D1991" s="1303"/>
      <c r="E1991" s="1303"/>
      <c r="F1991" s="1303"/>
      <c r="G1991" s="1303"/>
      <c r="H1991" s="1303"/>
      <c r="I1991" s="1303"/>
      <c r="J1991" s="1303"/>
      <c r="K1991" s="1303"/>
      <c r="L1991" s="1303"/>
      <c r="M1991" s="1303"/>
      <c r="N1991" s="1303"/>
      <c r="O1991" s="1303"/>
      <c r="P1991" s="1303"/>
      <c r="Q1991" s="1303"/>
      <c r="R1991" s="1303"/>
      <c r="S1991" s="1304"/>
      <c r="T1991" s="1304"/>
      <c r="U1991" s="1304"/>
      <c r="V1991" s="795"/>
      <c r="W1991" s="1305"/>
      <c r="X1991" s="1305"/>
      <c r="Y1991" s="1305"/>
      <c r="Z1991" s="1305"/>
      <c r="AA1991" s="1305"/>
      <c r="AB1991" s="1305"/>
      <c r="AC1991" s="796"/>
      <c r="AD1991" s="1305"/>
      <c r="AE1991" s="1305"/>
      <c r="AF1991" s="1305"/>
      <c r="AG1991" s="1305"/>
      <c r="AH1991" s="1305"/>
      <c r="AI1991" s="1305"/>
      <c r="AJ1991" s="344"/>
      <c r="AK1991" s="345"/>
      <c r="AL1991" s="340"/>
      <c r="AM1991" s="1302" t="s">
        <v>1971</v>
      </c>
      <c r="AN1991" s="1303"/>
      <c r="AO1991" s="1303"/>
      <c r="AP1991" s="1303"/>
      <c r="AQ1991" s="1303"/>
      <c r="AR1991" s="1303"/>
      <c r="AS1991" s="1303"/>
      <c r="AT1991" s="1303"/>
      <c r="AU1991" s="1303"/>
      <c r="AV1991" s="1303"/>
      <c r="AW1991" s="1303"/>
      <c r="AX1991" s="1303"/>
      <c r="AY1991" s="1303"/>
      <c r="AZ1991" s="1303"/>
      <c r="BA1991" s="1303"/>
      <c r="BB1991" s="1303"/>
      <c r="BC1991" s="1304" t="str">
        <f t="shared" si="143"/>
        <v/>
      </c>
      <c r="BD1991" s="1304"/>
      <c r="BE1991" s="1304"/>
      <c r="BF1991" s="795"/>
      <c r="BG1991" s="1301">
        <f t="shared" si="144"/>
        <v>0</v>
      </c>
      <c r="BH1991" s="1301"/>
      <c r="BI1991" s="1301"/>
      <c r="BJ1991" s="1301"/>
      <c r="BK1991" s="1301"/>
      <c r="BL1991" s="1301"/>
      <c r="BM1991" s="797"/>
      <c r="BN1991" s="1301">
        <f t="shared" si="145"/>
        <v>0</v>
      </c>
      <c r="BO1991" s="1301"/>
      <c r="BP1991" s="1301"/>
      <c r="BQ1991" s="1301"/>
      <c r="BR1991" s="1301"/>
      <c r="BS1991" s="1301"/>
      <c r="BT1991" s="784"/>
      <c r="BU1991" s="346"/>
      <c r="BV1991" s="781"/>
      <c r="BW1991" s="781"/>
      <c r="BX1991" s="785">
        <f t="shared" si="142"/>
        <v>0</v>
      </c>
      <c r="BY1991" s="786"/>
      <c r="BZ1991" s="787"/>
      <c r="CA1991" s="787"/>
      <c r="CB1991" s="788"/>
      <c r="CC1991" s="788"/>
      <c r="CD1991" s="788"/>
      <c r="CE1991" s="788"/>
      <c r="CF1991" s="788"/>
    </row>
    <row r="1992" spans="1:84" s="789" customFormat="1" ht="15" hidden="1" customHeight="1" outlineLevel="2" x14ac:dyDescent="0.25">
      <c r="A1992" s="313"/>
      <c r="B1992" s="340"/>
      <c r="C1992" s="1306" t="str">
        <f>CONCATENATE("d) Thuyết minh ",Loai_BC_V)</f>
        <v>d) Thuyết minh Báo cáo tài chính</v>
      </c>
      <c r="D1992" s="1306"/>
      <c r="E1992" s="1306"/>
      <c r="F1992" s="1306"/>
      <c r="G1992" s="1306"/>
      <c r="H1992" s="1306"/>
      <c r="I1992" s="1306"/>
      <c r="J1992" s="1306"/>
      <c r="K1992" s="1306"/>
      <c r="L1992" s="1306"/>
      <c r="M1992" s="1306"/>
      <c r="N1992" s="1306"/>
      <c r="O1992" s="1306"/>
      <c r="P1992" s="1306"/>
      <c r="Q1992" s="1306"/>
      <c r="R1992" s="1306"/>
      <c r="S1992" s="1307"/>
      <c r="T1992" s="1307"/>
      <c r="U1992" s="1307"/>
      <c r="V1992" s="798"/>
      <c r="W1992" s="1308"/>
      <c r="X1992" s="1308"/>
      <c r="Y1992" s="1308"/>
      <c r="Z1992" s="1308"/>
      <c r="AA1992" s="1308"/>
      <c r="AB1992" s="1308"/>
      <c r="AC1992" s="380"/>
      <c r="AD1992" s="1308"/>
      <c r="AE1992" s="1308"/>
      <c r="AF1992" s="1308"/>
      <c r="AG1992" s="1308"/>
      <c r="AH1992" s="1308"/>
      <c r="AI1992" s="1308"/>
      <c r="AJ1992" s="344"/>
      <c r="AK1992" s="345"/>
      <c r="AL1992" s="340"/>
      <c r="AM1992" s="1306" t="s">
        <v>1973</v>
      </c>
      <c r="AN1992" s="1306"/>
      <c r="AO1992" s="1306"/>
      <c r="AP1992" s="1306"/>
      <c r="AQ1992" s="1306"/>
      <c r="AR1992" s="1306"/>
      <c r="AS1992" s="1306"/>
      <c r="AT1992" s="1306"/>
      <c r="AU1992" s="1306"/>
      <c r="AV1992" s="1306"/>
      <c r="AW1992" s="1306"/>
      <c r="AX1992" s="1306"/>
      <c r="AY1992" s="1306"/>
      <c r="AZ1992" s="1306"/>
      <c r="BA1992" s="1306"/>
      <c r="BB1992" s="1306"/>
      <c r="BC1992" s="1307" t="str">
        <f>TEXT(S1992,"###")</f>
        <v/>
      </c>
      <c r="BD1992" s="1307"/>
      <c r="BE1992" s="1307"/>
      <c r="BF1992" s="798"/>
      <c r="BG1992" s="1309"/>
      <c r="BH1992" s="1309"/>
      <c r="BI1992" s="1309"/>
      <c r="BJ1992" s="1309"/>
      <c r="BK1992" s="1309"/>
      <c r="BL1992" s="1309"/>
      <c r="BM1992" s="799"/>
      <c r="BN1992" s="1309"/>
      <c r="BO1992" s="1309"/>
      <c r="BP1992" s="1309"/>
      <c r="BQ1992" s="1309"/>
      <c r="BR1992" s="1309"/>
      <c r="BS1992" s="1309"/>
      <c r="BT1992" s="784"/>
      <c r="BU1992" s="346"/>
      <c r="BV1992" s="781"/>
      <c r="BW1992" s="781"/>
      <c r="BX1992" s="785">
        <f>IF(ISNONTEXT($C1992),0,SUM(D1992:AI1992)-SUM(AN1992:BS1992))</f>
        <v>0</v>
      </c>
      <c r="BY1992" s="786"/>
      <c r="BZ1992" s="787"/>
      <c r="CA1992" s="787"/>
      <c r="CB1992" s="788"/>
      <c r="CC1992" s="788"/>
      <c r="CD1992" s="788"/>
      <c r="CE1992" s="788"/>
      <c r="CF1992" s="788"/>
    </row>
    <row r="1993" spans="1:84" s="789" customFormat="1" ht="15" hidden="1" customHeight="1" outlineLevel="2" x14ac:dyDescent="0.25">
      <c r="A1993" s="313"/>
      <c r="B1993" s="340"/>
      <c r="C1993" s="1302" t="s">
        <v>1971</v>
      </c>
      <c r="D1993" s="1303"/>
      <c r="E1993" s="1303"/>
      <c r="F1993" s="1303"/>
      <c r="G1993" s="1303"/>
      <c r="H1993" s="1303"/>
      <c r="I1993" s="1303"/>
      <c r="J1993" s="1303"/>
      <c r="K1993" s="1303"/>
      <c r="L1993" s="1303"/>
      <c r="M1993" s="1303"/>
      <c r="N1993" s="1303"/>
      <c r="O1993" s="1303"/>
      <c r="P1993" s="1303"/>
      <c r="Q1993" s="1303"/>
      <c r="R1993" s="1303"/>
      <c r="S1993" s="1304"/>
      <c r="T1993" s="1304"/>
      <c r="U1993" s="1304"/>
      <c r="V1993" s="795"/>
      <c r="W1993" s="1305"/>
      <c r="X1993" s="1305"/>
      <c r="Y1993" s="1305"/>
      <c r="Z1993" s="1305"/>
      <c r="AA1993" s="1305"/>
      <c r="AB1993" s="1305"/>
      <c r="AC1993" s="796"/>
      <c r="AD1993" s="1305"/>
      <c r="AE1993" s="1305"/>
      <c r="AF1993" s="1305"/>
      <c r="AG1993" s="1305"/>
      <c r="AH1993" s="1305"/>
      <c r="AI1993" s="1305"/>
      <c r="AJ1993" s="344"/>
      <c r="AK1993" s="345"/>
      <c r="AL1993" s="340"/>
      <c r="AM1993" s="1302" t="s">
        <v>1971</v>
      </c>
      <c r="AN1993" s="1303"/>
      <c r="AO1993" s="1303"/>
      <c r="AP1993" s="1303"/>
      <c r="AQ1993" s="1303"/>
      <c r="AR1993" s="1303"/>
      <c r="AS1993" s="1303"/>
      <c r="AT1993" s="1303"/>
      <c r="AU1993" s="1303"/>
      <c r="AV1993" s="1303"/>
      <c r="AW1993" s="1303"/>
      <c r="AX1993" s="1303"/>
      <c r="AY1993" s="1303"/>
      <c r="AZ1993" s="1303"/>
      <c r="BA1993" s="1303"/>
      <c r="BB1993" s="1303"/>
      <c r="BC1993" s="1304" t="str">
        <f>TEXT(S1993,"###")</f>
        <v/>
      </c>
      <c r="BD1993" s="1304"/>
      <c r="BE1993" s="1304"/>
      <c r="BF1993" s="795"/>
      <c r="BG1993" s="1301">
        <f>W1993</f>
        <v>0</v>
      </c>
      <c r="BH1993" s="1301"/>
      <c r="BI1993" s="1301"/>
      <c r="BJ1993" s="1301"/>
      <c r="BK1993" s="1301"/>
      <c r="BL1993" s="1301"/>
      <c r="BM1993" s="797"/>
      <c r="BN1993" s="1301">
        <f>AD1993</f>
        <v>0</v>
      </c>
      <c r="BO1993" s="1301"/>
      <c r="BP1993" s="1301"/>
      <c r="BQ1993" s="1301"/>
      <c r="BR1993" s="1301"/>
      <c r="BS1993" s="1301"/>
      <c r="BT1993" s="784"/>
      <c r="BU1993" s="346"/>
      <c r="BV1993" s="781"/>
      <c r="BW1993" s="781"/>
      <c r="BX1993" s="785">
        <f>IF(ISNONTEXT($C1993),0,SUM(D1993:AI1993)-SUM(AN1993:BS1993))</f>
        <v>0</v>
      </c>
      <c r="BY1993" s="786"/>
      <c r="BZ1993" s="787"/>
      <c r="CA1993" s="787"/>
      <c r="CB1993" s="788"/>
      <c r="CC1993" s="788"/>
      <c r="CD1993" s="788"/>
      <c r="CE1993" s="788"/>
      <c r="CF1993" s="788"/>
    </row>
    <row r="1994" spans="1:84" s="789" customFormat="1" ht="15" hidden="1" customHeight="1" outlineLevel="2" x14ac:dyDescent="0.25">
      <c r="A1994" s="340"/>
      <c r="B1994" s="340"/>
      <c r="C1994" s="1302" t="s">
        <v>1971</v>
      </c>
      <c r="D1994" s="1303"/>
      <c r="E1994" s="1303"/>
      <c r="F1994" s="1303"/>
      <c r="G1994" s="1303"/>
      <c r="H1994" s="1303"/>
      <c r="I1994" s="1303"/>
      <c r="J1994" s="1303"/>
      <c r="K1994" s="1303"/>
      <c r="L1994" s="1303"/>
      <c r="M1994" s="1303"/>
      <c r="N1994" s="1303"/>
      <c r="O1994" s="1303"/>
      <c r="P1994" s="1303"/>
      <c r="Q1994" s="1303"/>
      <c r="R1994" s="1303"/>
      <c r="S1994" s="1304"/>
      <c r="T1994" s="1304"/>
      <c r="U1994" s="1304"/>
      <c r="V1994" s="795"/>
      <c r="W1994" s="1305"/>
      <c r="X1994" s="1305"/>
      <c r="Y1994" s="1305"/>
      <c r="Z1994" s="1305"/>
      <c r="AA1994" s="1305"/>
      <c r="AB1994" s="1305"/>
      <c r="AC1994" s="796"/>
      <c r="AD1994" s="1305"/>
      <c r="AE1994" s="1305"/>
      <c r="AF1994" s="1305"/>
      <c r="AG1994" s="1305"/>
      <c r="AH1994" s="1305"/>
      <c r="AI1994" s="1305"/>
      <c r="AJ1994" s="344"/>
      <c r="AK1994" s="345"/>
      <c r="AL1994" s="340"/>
      <c r="AM1994" s="1302" t="s">
        <v>1971</v>
      </c>
      <c r="AN1994" s="1303"/>
      <c r="AO1994" s="1303"/>
      <c r="AP1994" s="1303"/>
      <c r="AQ1994" s="1303"/>
      <c r="AR1994" s="1303"/>
      <c r="AS1994" s="1303"/>
      <c r="AT1994" s="1303"/>
      <c r="AU1994" s="1303"/>
      <c r="AV1994" s="1303"/>
      <c r="AW1994" s="1303"/>
      <c r="AX1994" s="1303"/>
      <c r="AY1994" s="1303"/>
      <c r="AZ1994" s="1303"/>
      <c r="BA1994" s="1303"/>
      <c r="BB1994" s="1303"/>
      <c r="BC1994" s="1304" t="str">
        <f>TEXT(S1994,"###")</f>
        <v/>
      </c>
      <c r="BD1994" s="1304"/>
      <c r="BE1994" s="1304"/>
      <c r="BF1994" s="795"/>
      <c r="BG1994" s="1301">
        <f>W1994</f>
        <v>0</v>
      </c>
      <c r="BH1994" s="1301"/>
      <c r="BI1994" s="1301"/>
      <c r="BJ1994" s="1301"/>
      <c r="BK1994" s="1301"/>
      <c r="BL1994" s="1301"/>
      <c r="BM1994" s="797"/>
      <c r="BN1994" s="1301">
        <f>AD1994</f>
        <v>0</v>
      </c>
      <c r="BO1994" s="1301"/>
      <c r="BP1994" s="1301"/>
      <c r="BQ1994" s="1301"/>
      <c r="BR1994" s="1301"/>
      <c r="BS1994" s="1301"/>
      <c r="BT1994" s="784"/>
      <c r="BU1994" s="346"/>
      <c r="BV1994" s="781"/>
      <c r="BW1994" s="781"/>
      <c r="BX1994" s="785">
        <f>IF(ISNONTEXT($C1994),0,SUM(D1994:AI1994)-SUM(AN1994:BS1994))</f>
        <v>0</v>
      </c>
      <c r="BY1994" s="786"/>
      <c r="BZ1994" s="787"/>
      <c r="CA1994" s="787"/>
      <c r="CB1994" s="788"/>
      <c r="CC1994" s="788"/>
      <c r="CD1994" s="788"/>
      <c r="CE1994" s="788"/>
      <c r="CF1994" s="788"/>
    </row>
    <row r="1995" spans="1:84" s="789" customFormat="1" ht="57" hidden="1" customHeight="1" outlineLevel="2" x14ac:dyDescent="0.25">
      <c r="A1995" s="340"/>
      <c r="B1995" s="340"/>
      <c r="C1995" s="1297" t="s">
        <v>1974</v>
      </c>
      <c r="D1995" s="1298"/>
      <c r="E1995" s="1298"/>
      <c r="F1995" s="1298"/>
      <c r="G1995" s="1298"/>
      <c r="H1995" s="1298"/>
      <c r="I1995" s="1298"/>
      <c r="J1995" s="1298"/>
      <c r="K1995" s="1298"/>
      <c r="L1995" s="1298"/>
      <c r="M1995" s="1298"/>
      <c r="N1995" s="1298"/>
      <c r="O1995" s="1298"/>
      <c r="P1995" s="1298"/>
      <c r="Q1995" s="1298"/>
      <c r="R1995" s="1298"/>
      <c r="S1995" s="1298"/>
      <c r="T1995" s="1298"/>
      <c r="U1995" s="1298"/>
      <c r="V1995" s="1298"/>
      <c r="W1995" s="1298"/>
      <c r="X1995" s="1298"/>
      <c r="Y1995" s="1298"/>
      <c r="Z1995" s="1298"/>
      <c r="AA1995" s="1298"/>
      <c r="AB1995" s="1298"/>
      <c r="AC1995" s="1298"/>
      <c r="AD1995" s="1298"/>
      <c r="AE1995" s="1298"/>
      <c r="AF1995" s="1298"/>
      <c r="AG1995" s="1298"/>
      <c r="AH1995" s="1298"/>
      <c r="AI1995" s="1298"/>
      <c r="AJ1995" s="344"/>
      <c r="AK1995" s="345"/>
      <c r="AL1995" s="340"/>
      <c r="AM1995" s="800"/>
      <c r="AN1995" s="795"/>
      <c r="AO1995" s="795"/>
      <c r="AP1995" s="795"/>
      <c r="AQ1995" s="795"/>
      <c r="AR1995" s="795"/>
      <c r="AS1995" s="795"/>
      <c r="AT1995" s="795"/>
      <c r="AU1995" s="795"/>
      <c r="AV1995" s="795"/>
      <c r="AW1995" s="795"/>
      <c r="AX1995" s="795"/>
      <c r="AY1995" s="795"/>
      <c r="AZ1995" s="795"/>
      <c r="BA1995" s="795"/>
      <c r="BB1995" s="795"/>
      <c r="BC1995" s="801"/>
      <c r="BD1995" s="801"/>
      <c r="BE1995" s="801"/>
      <c r="BF1995" s="795"/>
      <c r="BG1995" s="797"/>
      <c r="BH1995" s="797"/>
      <c r="BI1995" s="797"/>
      <c r="BJ1995" s="797"/>
      <c r="BK1995" s="797"/>
      <c r="BL1995" s="797"/>
      <c r="BM1995" s="797"/>
      <c r="BN1995" s="797"/>
      <c r="BO1995" s="797"/>
      <c r="BP1995" s="797"/>
      <c r="BQ1995" s="797"/>
      <c r="BR1995" s="797"/>
      <c r="BS1995" s="797"/>
      <c r="BT1995" s="784"/>
      <c r="BU1995" s="346"/>
      <c r="BV1995" s="781"/>
      <c r="BW1995" s="781"/>
      <c r="BX1995" s="785"/>
      <c r="BY1995" s="786"/>
      <c r="BZ1995" s="787"/>
      <c r="CA1995" s="787"/>
      <c r="CB1995" s="788"/>
      <c r="CC1995" s="788"/>
      <c r="CD1995" s="788"/>
      <c r="CE1995" s="788"/>
      <c r="CF1995" s="788"/>
    </row>
    <row r="1996" spans="1:84" ht="15" customHeight="1" collapsed="1" x14ac:dyDescent="0.25">
      <c r="A1996" s="321"/>
      <c r="B1996" s="354"/>
      <c r="C1996" s="340"/>
      <c r="D1996" s="804"/>
      <c r="E1996" s="804" t="str">
        <f>IF(Kieu_chan_ky="Kiểu 1",ChucDanh_NguoiLap_V,"")</f>
        <v>Người lập biểu</v>
      </c>
      <c r="F1996" s="768"/>
      <c r="G1996" s="768"/>
      <c r="H1996" s="804"/>
      <c r="I1996" s="768"/>
      <c r="J1996" s="768"/>
      <c r="K1996" s="802"/>
      <c r="L1996" s="804"/>
      <c r="M1996" s="768"/>
      <c r="N1996" s="768"/>
      <c r="O1996" s="768"/>
      <c r="P1996" s="804"/>
      <c r="Q1996" s="768"/>
      <c r="R1996" s="804" t="str">
        <f>IF(Kieu_chan_ky="Kiểu 1",ChucDanh_KTT_V,"")</f>
        <v>TP.TCKT</v>
      </c>
      <c r="S1996" s="802"/>
      <c r="T1996" s="768"/>
      <c r="U1996" s="768"/>
      <c r="V1996" s="438"/>
      <c r="W1996" s="438"/>
      <c r="X1996" s="438"/>
      <c r="Y1996" s="438"/>
      <c r="Z1996" s="438"/>
      <c r="AA1996" s="805"/>
      <c r="AB1996" s="768"/>
      <c r="AC1996" s="802"/>
      <c r="AD1996" s="805" t="str">
        <f>IF(Kieu_chan_ky="Kiểu 1",ChucDanh_ThuTruong_V,"")</f>
        <v>Giám đốc</v>
      </c>
      <c r="AE1996" s="768"/>
      <c r="AF1996" s="768"/>
      <c r="AG1996" s="768"/>
      <c r="AH1996" s="768"/>
      <c r="AI1996" s="343"/>
      <c r="AJ1996" s="768"/>
      <c r="AK1996" s="340"/>
      <c r="AL1996" s="340"/>
      <c r="AM1996" s="340"/>
      <c r="AN1996" s="804"/>
      <c r="AO1996" s="804" t="str">
        <f>IF(Kieu_chan_ky="Kiểu 1",ChucDanh_NguoiLap_E,"")</f>
        <v>Preparer</v>
      </c>
      <c r="AP1996" s="768"/>
      <c r="AQ1996" s="768"/>
      <c r="AR1996" s="804"/>
      <c r="AS1996" s="768"/>
      <c r="AT1996" s="768"/>
      <c r="AU1996" s="802"/>
      <c r="AV1996" s="804"/>
      <c r="AW1996" s="768"/>
      <c r="AX1996" s="768"/>
      <c r="AY1996" s="768"/>
      <c r="AZ1996" s="804"/>
      <c r="BA1996" s="768"/>
      <c r="BB1996" s="804" t="str">
        <f>IF(Kieu_chan_ky="Kiểu 1",ChucDanh_KTT_E,"")</f>
        <v>Chief Accountant</v>
      </c>
      <c r="BC1996" s="802"/>
      <c r="BD1996" s="768"/>
      <c r="BE1996" s="768"/>
      <c r="BF1996" s="438"/>
      <c r="BG1996" s="438"/>
      <c r="BH1996" s="438"/>
      <c r="BI1996" s="438"/>
      <c r="BJ1996" s="438"/>
      <c r="BK1996" s="805"/>
      <c r="BL1996" s="768"/>
      <c r="BM1996" s="802"/>
      <c r="BN1996" s="805" t="str">
        <f>IF(Kieu_chan_ky="Kiểu 1",ChucDanh_ThuTruong_E,"")</f>
        <v>General Director</v>
      </c>
      <c r="BO1996" s="768"/>
      <c r="BP1996" s="768"/>
      <c r="BQ1996" s="768"/>
      <c r="BR1996" s="768"/>
      <c r="BS1996" s="343"/>
      <c r="BT1996" s="768"/>
      <c r="BU1996" s="346"/>
      <c r="BV1996" s="358"/>
      <c r="BW1996" s="358"/>
      <c r="BX1996" s="803"/>
      <c r="BY1996" s="344"/>
      <c r="BZ1996" s="347"/>
      <c r="CA1996" s="347"/>
    </row>
    <row r="1997" spans="1:84" ht="12.95" customHeight="1" x14ac:dyDescent="0.25">
      <c r="A1997" s="321"/>
      <c r="B1997" s="354"/>
      <c r="C1997" s="340"/>
      <c r="D1997" s="768"/>
      <c r="E1997" s="768"/>
      <c r="F1997" s="768"/>
      <c r="G1997" s="768"/>
      <c r="H1997" s="768"/>
      <c r="I1997" s="768"/>
      <c r="J1997" s="768"/>
      <c r="K1997" s="802"/>
      <c r="L1997" s="768"/>
      <c r="M1997" s="768"/>
      <c r="N1997" s="768"/>
      <c r="O1997" s="768"/>
      <c r="P1997" s="768"/>
      <c r="Q1997" s="768"/>
      <c r="R1997" s="768"/>
      <c r="S1997" s="802"/>
      <c r="T1997" s="768"/>
      <c r="U1997" s="768"/>
      <c r="V1997" s="438"/>
      <c r="W1997" s="343"/>
      <c r="X1997" s="343"/>
      <c r="Y1997" s="343"/>
      <c r="Z1997" s="343"/>
      <c r="AA1997" s="343"/>
      <c r="AB1997" s="343"/>
      <c r="AC1997" s="806"/>
      <c r="AD1997" s="343"/>
      <c r="AE1997" s="343"/>
      <c r="AF1997" s="343"/>
      <c r="AG1997" s="343"/>
      <c r="AH1997" s="343"/>
      <c r="AI1997" s="343"/>
      <c r="AJ1997" s="768"/>
      <c r="AK1997" s="340"/>
      <c r="AL1997" s="340"/>
      <c r="AM1997" s="340"/>
      <c r="AN1997" s="768"/>
      <c r="AO1997" s="768"/>
      <c r="AP1997" s="768"/>
      <c r="AQ1997" s="768"/>
      <c r="AR1997" s="768"/>
      <c r="AS1997" s="768"/>
      <c r="AT1997" s="768"/>
      <c r="AU1997" s="802"/>
      <c r="AV1997" s="768"/>
      <c r="AW1997" s="768"/>
      <c r="AX1997" s="768"/>
      <c r="AY1997" s="768"/>
      <c r="AZ1997" s="768"/>
      <c r="BA1997" s="768"/>
      <c r="BB1997" s="768"/>
      <c r="BC1997" s="802"/>
      <c r="BD1997" s="768"/>
      <c r="BE1997" s="768"/>
      <c r="BF1997" s="438"/>
      <c r="BG1997" s="343"/>
      <c r="BH1997" s="343"/>
      <c r="BI1997" s="343"/>
      <c r="BJ1997" s="343"/>
      <c r="BK1997" s="343"/>
      <c r="BL1997" s="343"/>
      <c r="BM1997" s="806"/>
      <c r="BN1997" s="343"/>
      <c r="BO1997" s="343"/>
      <c r="BP1997" s="343"/>
      <c r="BQ1997" s="343"/>
      <c r="BR1997" s="343"/>
      <c r="BS1997" s="343"/>
      <c r="BT1997" s="768"/>
      <c r="BU1997" s="346"/>
      <c r="BV1997" s="358"/>
      <c r="BW1997" s="358"/>
      <c r="BX1997" s="803"/>
      <c r="BY1997" s="344"/>
      <c r="BZ1997" s="347"/>
      <c r="CA1997" s="347"/>
    </row>
    <row r="1998" spans="1:84" ht="12.95" customHeight="1" x14ac:dyDescent="0.25">
      <c r="A1998" s="321"/>
      <c r="B1998" s="354"/>
      <c r="C1998" s="340"/>
      <c r="D1998" s="768"/>
      <c r="E1998" s="768"/>
      <c r="F1998" s="768"/>
      <c r="G1998" s="768"/>
      <c r="H1998" s="768"/>
      <c r="I1998" s="768"/>
      <c r="J1998" s="768"/>
      <c r="K1998" s="802"/>
      <c r="L1998" s="768"/>
      <c r="M1998" s="768"/>
      <c r="N1998" s="768"/>
      <c r="O1998" s="768"/>
      <c r="P1998" s="768"/>
      <c r="Q1998" s="768"/>
      <c r="R1998" s="768"/>
      <c r="S1998" s="802"/>
      <c r="T1998" s="768"/>
      <c r="U1998" s="768"/>
      <c r="V1998" s="438"/>
      <c r="W1998" s="343"/>
      <c r="X1998" s="343"/>
      <c r="Y1998" s="343"/>
      <c r="Z1998" s="343"/>
      <c r="AA1998" s="343"/>
      <c r="AB1998" s="343"/>
      <c r="AC1998" s="806"/>
      <c r="AD1998" s="343"/>
      <c r="AE1998" s="343"/>
      <c r="AF1998" s="343"/>
      <c r="AG1998" s="343"/>
      <c r="AH1998" s="343"/>
      <c r="AI1998" s="343"/>
      <c r="AJ1998" s="768"/>
      <c r="AK1998" s="340"/>
      <c r="AL1998" s="340"/>
      <c r="AM1998" s="340"/>
      <c r="AN1998" s="768"/>
      <c r="AO1998" s="768"/>
      <c r="AP1998" s="768"/>
      <c r="AQ1998" s="768"/>
      <c r="AR1998" s="768"/>
      <c r="AS1998" s="768"/>
      <c r="AT1998" s="768"/>
      <c r="AU1998" s="802"/>
      <c r="AV1998" s="768"/>
      <c r="AW1998" s="768"/>
      <c r="AX1998" s="768"/>
      <c r="AY1998" s="768"/>
      <c r="AZ1998" s="768"/>
      <c r="BA1998" s="768"/>
      <c r="BB1998" s="768"/>
      <c r="BC1998" s="802"/>
      <c r="BD1998" s="768"/>
      <c r="BE1998" s="768"/>
      <c r="BF1998" s="438"/>
      <c r="BG1998" s="343"/>
      <c r="BH1998" s="343"/>
      <c r="BI1998" s="343"/>
      <c r="BJ1998" s="343"/>
      <c r="BK1998" s="343"/>
      <c r="BL1998" s="343"/>
      <c r="BM1998" s="806"/>
      <c r="BN1998" s="343"/>
      <c r="BO1998" s="343"/>
      <c r="BP1998" s="343"/>
      <c r="BQ1998" s="343"/>
      <c r="BR1998" s="343"/>
      <c r="BS1998" s="343"/>
      <c r="BT1998" s="768"/>
      <c r="BU1998" s="346"/>
      <c r="BV1998" s="358"/>
      <c r="BW1998" s="358"/>
      <c r="BX1998" s="803"/>
      <c r="BY1998" s="344"/>
      <c r="BZ1998" s="347"/>
      <c r="CA1998" s="347"/>
    </row>
    <row r="1999" spans="1:84" ht="12.95" customHeight="1" x14ac:dyDescent="0.25">
      <c r="A1999" s="321"/>
      <c r="B1999" s="354"/>
      <c r="C1999" s="340"/>
      <c r="D1999" s="768"/>
      <c r="E1999" s="768"/>
      <c r="F1999" s="768"/>
      <c r="G1999" s="768"/>
      <c r="H1999" s="768"/>
      <c r="I1999" s="768"/>
      <c r="J1999" s="768"/>
      <c r="K1999" s="802"/>
      <c r="L1999" s="768"/>
      <c r="M1999" s="768"/>
      <c r="N1999" s="768"/>
      <c r="O1999" s="768"/>
      <c r="P1999" s="768"/>
      <c r="Q1999" s="768"/>
      <c r="R1999" s="768"/>
      <c r="S1999" s="802"/>
      <c r="T1999" s="768"/>
      <c r="U1999" s="768"/>
      <c r="V1999" s="438"/>
      <c r="W1999" s="343"/>
      <c r="X1999" s="343"/>
      <c r="Y1999" s="343"/>
      <c r="Z1999" s="343"/>
      <c r="AA1999" s="343"/>
      <c r="AB1999" s="343"/>
      <c r="AC1999" s="806"/>
      <c r="AD1999" s="343"/>
      <c r="AE1999" s="343"/>
      <c r="AF1999" s="343"/>
      <c r="AG1999" s="343"/>
      <c r="AH1999" s="343"/>
      <c r="AI1999" s="343"/>
      <c r="AJ1999" s="768"/>
      <c r="AK1999" s="340"/>
      <c r="AL1999" s="340"/>
      <c r="AM1999" s="340"/>
      <c r="AN1999" s="768"/>
      <c r="AO1999" s="768"/>
      <c r="AP1999" s="768"/>
      <c r="AQ1999" s="768"/>
      <c r="AR1999" s="768"/>
      <c r="AS1999" s="768"/>
      <c r="AT1999" s="768"/>
      <c r="AU1999" s="802"/>
      <c r="AV1999" s="768"/>
      <c r="AW1999" s="768"/>
      <c r="AX1999" s="768"/>
      <c r="AY1999" s="768"/>
      <c r="AZ1999" s="768"/>
      <c r="BA1999" s="768"/>
      <c r="BB1999" s="768"/>
      <c r="BC1999" s="802"/>
      <c r="BD1999" s="768"/>
      <c r="BE1999" s="768"/>
      <c r="BF1999" s="438"/>
      <c r="BG1999" s="343"/>
      <c r="BH1999" s="343"/>
      <c r="BI1999" s="343"/>
      <c r="BJ1999" s="343"/>
      <c r="BK1999" s="343"/>
      <c r="BL1999" s="343"/>
      <c r="BM1999" s="806"/>
      <c r="BN1999" s="343"/>
      <c r="BO1999" s="343"/>
      <c r="BP1999" s="343"/>
      <c r="BQ1999" s="343"/>
      <c r="BR1999" s="343"/>
      <c r="BS1999" s="343"/>
      <c r="BT1999" s="768"/>
      <c r="BU1999" s="346"/>
      <c r="BV1999" s="358"/>
      <c r="BW1999" s="358"/>
      <c r="BX1999" s="803"/>
      <c r="BY1999" s="344"/>
      <c r="BZ1999" s="347"/>
      <c r="CA1999" s="347"/>
    </row>
    <row r="2000" spans="1:84" ht="12.95" customHeight="1" x14ac:dyDescent="0.25">
      <c r="A2000" s="321"/>
      <c r="B2000" s="354"/>
      <c r="C2000" s="340"/>
      <c r="D2000" s="768"/>
      <c r="E2000" s="768"/>
      <c r="F2000" s="768"/>
      <c r="G2000" s="768"/>
      <c r="H2000" s="768"/>
      <c r="I2000" s="768"/>
      <c r="J2000" s="768"/>
      <c r="K2000" s="802"/>
      <c r="L2000" s="768"/>
      <c r="M2000" s="768"/>
      <c r="N2000" s="768"/>
      <c r="O2000" s="768"/>
      <c r="P2000" s="768"/>
      <c r="Q2000" s="768"/>
      <c r="R2000" s="768"/>
      <c r="S2000" s="802"/>
      <c r="T2000" s="768"/>
      <c r="U2000" s="768"/>
      <c r="V2000" s="438"/>
      <c r="W2000" s="343"/>
      <c r="X2000" s="343"/>
      <c r="Y2000" s="343"/>
      <c r="Z2000" s="343"/>
      <c r="AA2000" s="343"/>
      <c r="AB2000" s="343"/>
      <c r="AC2000" s="806"/>
      <c r="AD2000" s="343"/>
      <c r="AE2000" s="343"/>
      <c r="AF2000" s="343"/>
      <c r="AG2000" s="343"/>
      <c r="AH2000" s="343"/>
      <c r="AI2000" s="343"/>
      <c r="AJ2000" s="768"/>
      <c r="AK2000" s="340"/>
      <c r="AL2000" s="340"/>
      <c r="AM2000" s="340"/>
      <c r="AN2000" s="768"/>
      <c r="AO2000" s="768"/>
      <c r="AP2000" s="768"/>
      <c r="AQ2000" s="768"/>
      <c r="AR2000" s="768"/>
      <c r="AS2000" s="768"/>
      <c r="AT2000" s="768"/>
      <c r="AU2000" s="802"/>
      <c r="AV2000" s="768"/>
      <c r="AW2000" s="768"/>
      <c r="AX2000" s="768"/>
      <c r="AY2000" s="768"/>
      <c r="AZ2000" s="768"/>
      <c r="BA2000" s="768"/>
      <c r="BB2000" s="768"/>
      <c r="BC2000" s="802"/>
      <c r="BD2000" s="768"/>
      <c r="BE2000" s="768"/>
      <c r="BF2000" s="438"/>
      <c r="BG2000" s="343"/>
      <c r="BH2000" s="343"/>
      <c r="BI2000" s="343"/>
      <c r="BJ2000" s="343"/>
      <c r="BK2000" s="343"/>
      <c r="BL2000" s="343"/>
      <c r="BM2000" s="806"/>
      <c r="BN2000" s="343"/>
      <c r="BO2000" s="343"/>
      <c r="BP2000" s="343"/>
      <c r="BQ2000" s="343"/>
      <c r="BR2000" s="343"/>
      <c r="BS2000" s="343"/>
      <c r="BT2000" s="768"/>
      <c r="BU2000" s="346"/>
      <c r="BV2000" s="358"/>
      <c r="BW2000" s="358"/>
      <c r="BX2000" s="803"/>
      <c r="BY2000" s="344"/>
      <c r="BZ2000" s="347"/>
      <c r="CA2000" s="347"/>
    </row>
    <row r="2001" spans="1:84" ht="12.95" customHeight="1" x14ac:dyDescent="0.25">
      <c r="A2001" s="321"/>
      <c r="B2001" s="354"/>
      <c r="C2001" s="340"/>
      <c r="D2001" s="768"/>
      <c r="E2001" s="768"/>
      <c r="F2001" s="768"/>
      <c r="G2001" s="768"/>
      <c r="H2001" s="768"/>
      <c r="I2001" s="768"/>
      <c r="J2001" s="768"/>
      <c r="K2001" s="802"/>
      <c r="L2001" s="768"/>
      <c r="M2001" s="768"/>
      <c r="N2001" s="768"/>
      <c r="O2001" s="768"/>
      <c r="P2001" s="768"/>
      <c r="Q2001" s="768"/>
      <c r="R2001" s="768"/>
      <c r="S2001" s="802"/>
      <c r="T2001" s="768"/>
      <c r="U2001" s="768"/>
      <c r="V2001" s="438"/>
      <c r="W2001" s="343"/>
      <c r="X2001" s="343"/>
      <c r="Y2001" s="343"/>
      <c r="Z2001" s="343"/>
      <c r="AA2001" s="343"/>
      <c r="AB2001" s="343"/>
      <c r="AC2001" s="806"/>
      <c r="AD2001" s="343"/>
      <c r="AE2001" s="343"/>
      <c r="AF2001" s="343"/>
      <c r="AG2001" s="343"/>
      <c r="AH2001" s="343"/>
      <c r="AI2001" s="343"/>
      <c r="AJ2001" s="768"/>
      <c r="AK2001" s="340"/>
      <c r="AL2001" s="340"/>
      <c r="AM2001" s="340"/>
      <c r="AN2001" s="768"/>
      <c r="AO2001" s="768"/>
      <c r="AP2001" s="768"/>
      <c r="AQ2001" s="768"/>
      <c r="AR2001" s="768"/>
      <c r="AS2001" s="768"/>
      <c r="AT2001" s="768"/>
      <c r="AU2001" s="802"/>
      <c r="AV2001" s="768"/>
      <c r="AW2001" s="768"/>
      <c r="AX2001" s="768"/>
      <c r="AY2001" s="768"/>
      <c r="AZ2001" s="768"/>
      <c r="BA2001" s="768"/>
      <c r="BB2001" s="768"/>
      <c r="BC2001" s="802"/>
      <c r="BD2001" s="768"/>
      <c r="BE2001" s="768"/>
      <c r="BF2001" s="438"/>
      <c r="BG2001" s="343"/>
      <c r="BH2001" s="343"/>
      <c r="BI2001" s="343"/>
      <c r="BJ2001" s="343"/>
      <c r="BK2001" s="343"/>
      <c r="BL2001" s="343"/>
      <c r="BM2001" s="806"/>
      <c r="BN2001" s="343"/>
      <c r="BO2001" s="343"/>
      <c r="BP2001" s="343"/>
      <c r="BQ2001" s="343"/>
      <c r="BR2001" s="343"/>
      <c r="BS2001" s="343"/>
      <c r="BT2001" s="768"/>
      <c r="BU2001" s="346"/>
      <c r="BV2001" s="358"/>
      <c r="BW2001" s="358"/>
      <c r="BX2001" s="803"/>
      <c r="BY2001" s="344"/>
      <c r="BZ2001" s="347"/>
      <c r="CA2001" s="347"/>
    </row>
    <row r="2002" spans="1:84" ht="12.95" customHeight="1" x14ac:dyDescent="0.25">
      <c r="A2002" s="321"/>
      <c r="B2002" s="354"/>
      <c r="C2002" s="340"/>
      <c r="D2002" s="768"/>
      <c r="E2002" s="768"/>
      <c r="F2002" s="768"/>
      <c r="G2002" s="768"/>
      <c r="H2002" s="768"/>
      <c r="I2002" s="768"/>
      <c r="J2002" s="768"/>
      <c r="K2002" s="802"/>
      <c r="L2002" s="768"/>
      <c r="M2002" s="768"/>
      <c r="N2002" s="768"/>
      <c r="O2002" s="768"/>
      <c r="P2002" s="768"/>
      <c r="Q2002" s="768"/>
      <c r="R2002" s="768"/>
      <c r="S2002" s="802"/>
      <c r="T2002" s="768"/>
      <c r="U2002" s="768"/>
      <c r="V2002" s="438"/>
      <c r="W2002" s="343"/>
      <c r="X2002" s="343"/>
      <c r="Y2002" s="343"/>
      <c r="Z2002" s="343"/>
      <c r="AA2002" s="343"/>
      <c r="AB2002" s="343"/>
      <c r="AC2002" s="806"/>
      <c r="AD2002" s="343"/>
      <c r="AE2002" s="343"/>
      <c r="AF2002" s="343"/>
      <c r="AG2002" s="343"/>
      <c r="AH2002" s="343"/>
      <c r="AI2002" s="343"/>
      <c r="AJ2002" s="768"/>
      <c r="AK2002" s="340"/>
      <c r="AL2002" s="340"/>
      <c r="AM2002" s="340"/>
      <c r="AN2002" s="768"/>
      <c r="AO2002" s="768"/>
      <c r="AP2002" s="768"/>
      <c r="AQ2002" s="768"/>
      <c r="AR2002" s="768"/>
      <c r="AS2002" s="768"/>
      <c r="AT2002" s="768"/>
      <c r="AU2002" s="802"/>
      <c r="AV2002" s="768"/>
      <c r="AW2002" s="768"/>
      <c r="AX2002" s="768"/>
      <c r="AY2002" s="768"/>
      <c r="AZ2002" s="768"/>
      <c r="BA2002" s="768"/>
      <c r="BB2002" s="768"/>
      <c r="BC2002" s="802"/>
      <c r="BD2002" s="768"/>
      <c r="BE2002" s="768"/>
      <c r="BF2002" s="438"/>
      <c r="BG2002" s="343"/>
      <c r="BH2002" s="343"/>
      <c r="BI2002" s="343"/>
      <c r="BJ2002" s="343"/>
      <c r="BK2002" s="343"/>
      <c r="BL2002" s="343"/>
      <c r="BM2002" s="806"/>
      <c r="BN2002" s="343"/>
      <c r="BO2002" s="343"/>
      <c r="BP2002" s="343"/>
      <c r="BQ2002" s="343"/>
      <c r="BR2002" s="343"/>
      <c r="BS2002" s="343"/>
      <c r="BT2002" s="768"/>
      <c r="BU2002" s="346"/>
      <c r="BV2002" s="358"/>
      <c r="BW2002" s="358"/>
      <c r="BX2002" s="803"/>
      <c r="BY2002" s="344"/>
      <c r="BZ2002" s="347"/>
      <c r="CA2002" s="347"/>
    </row>
    <row r="2003" spans="1:84" ht="23.25" customHeight="1" x14ac:dyDescent="0.25">
      <c r="A2003" s="1299" t="s">
        <v>293</v>
      </c>
      <c r="B2003" s="1299"/>
      <c r="C2003" s="1299"/>
      <c r="D2003" s="1299"/>
      <c r="E2003" s="1299"/>
      <c r="F2003" s="1299"/>
      <c r="G2003" s="1299"/>
      <c r="H2003" s="1299"/>
      <c r="I2003" s="1299"/>
      <c r="J2003" s="1299"/>
      <c r="K2003" s="1299"/>
      <c r="L2003" s="224"/>
      <c r="M2003" s="224"/>
      <c r="N2003" s="1300" t="s">
        <v>292</v>
      </c>
      <c r="O2003" s="1300"/>
      <c r="P2003" s="1300"/>
      <c r="Q2003" s="1300"/>
      <c r="R2003" s="1300"/>
      <c r="S2003" s="1300"/>
      <c r="T2003" s="1300"/>
      <c r="U2003" s="1300"/>
      <c r="V2003" s="1300"/>
      <c r="W2003" s="224"/>
      <c r="X2003" s="224"/>
      <c r="Y2003" s="270"/>
      <c r="Z2003" s="270"/>
      <c r="AA2003" s="270"/>
      <c r="AB2003" s="270"/>
      <c r="AC2003" s="270"/>
      <c r="AD2003" s="270"/>
      <c r="AE2003" s="270"/>
      <c r="AF2003" s="270"/>
      <c r="AG2003" s="270"/>
      <c r="AH2003" s="270"/>
      <c r="AI2003" s="270"/>
      <c r="AJ2003" s="321"/>
      <c r="AK2003" s="340"/>
      <c r="AL2003" s="340"/>
      <c r="AM2003" s="321"/>
      <c r="AN2003" s="321"/>
      <c r="AO2003" s="321"/>
      <c r="AP2003" s="321"/>
      <c r="AQ2003" s="321"/>
      <c r="AR2003" s="321"/>
      <c r="AS2003" s="321"/>
      <c r="AT2003" s="321"/>
      <c r="AU2003" s="321"/>
      <c r="AV2003" s="321"/>
      <c r="AW2003" s="321"/>
      <c r="AX2003" s="321"/>
      <c r="AY2003" s="321"/>
      <c r="AZ2003" s="321"/>
      <c r="BA2003" s="321"/>
      <c r="BB2003" s="321"/>
      <c r="BC2003" s="321"/>
      <c r="BD2003" s="321"/>
      <c r="BE2003" s="321"/>
      <c r="BF2003" s="321"/>
      <c r="BG2003" s="270"/>
      <c r="BH2003" s="270"/>
      <c r="BI2003" s="270"/>
      <c r="BJ2003" s="270"/>
      <c r="BK2003" s="270"/>
      <c r="BL2003" s="270"/>
      <c r="BM2003" s="270"/>
      <c r="BN2003" s="270"/>
      <c r="BO2003" s="270"/>
      <c r="BP2003" s="270"/>
      <c r="BQ2003" s="270"/>
      <c r="BR2003" s="270"/>
      <c r="BS2003" s="270"/>
      <c r="BT2003" s="768"/>
      <c r="BU2003" s="346"/>
      <c r="BV2003" s="358"/>
      <c r="BW2003" s="358"/>
      <c r="BX2003" s="803"/>
      <c r="BY2003" s="344"/>
      <c r="BZ2003" s="347"/>
      <c r="CA2003" s="347"/>
    </row>
    <row r="2004" spans="1:84" ht="2.1" customHeight="1" x14ac:dyDescent="0.25">
      <c r="A2004" s="340"/>
      <c r="B2004" s="340"/>
      <c r="C2004" s="342"/>
      <c r="D2004" s="342"/>
      <c r="E2004" s="342"/>
      <c r="F2004" s="342"/>
      <c r="G2004" s="342"/>
      <c r="H2004" s="342"/>
      <c r="I2004" s="342"/>
      <c r="J2004" s="342"/>
      <c r="K2004" s="342"/>
      <c r="L2004" s="342"/>
      <c r="M2004" s="342"/>
      <c r="N2004" s="342"/>
      <c r="O2004" s="342"/>
      <c r="P2004" s="342"/>
      <c r="Q2004" s="342"/>
      <c r="R2004" s="342"/>
      <c r="S2004" s="342"/>
      <c r="T2004" s="342"/>
      <c r="U2004" s="342"/>
      <c r="V2004" s="342"/>
      <c r="W2004" s="343"/>
      <c r="X2004" s="343"/>
      <c r="Y2004" s="343"/>
      <c r="Z2004" s="343"/>
      <c r="AA2004" s="343"/>
      <c r="AB2004" s="343"/>
      <c r="AC2004" s="343"/>
      <c r="AD2004" s="343"/>
      <c r="AE2004" s="343"/>
      <c r="AF2004" s="343"/>
      <c r="AG2004" s="343"/>
      <c r="AH2004" s="343"/>
      <c r="AI2004" s="343"/>
      <c r="AJ2004" s="344"/>
      <c r="AK2004" s="340"/>
      <c r="AL2004" s="340"/>
      <c r="AM2004" s="342"/>
      <c r="AN2004" s="342"/>
      <c r="AO2004" s="342"/>
      <c r="AP2004" s="342"/>
      <c r="AQ2004" s="342"/>
      <c r="AR2004" s="342"/>
      <c r="AS2004" s="342"/>
      <c r="AT2004" s="342"/>
      <c r="AU2004" s="342"/>
      <c r="AV2004" s="342"/>
      <c r="AW2004" s="342"/>
      <c r="AX2004" s="342"/>
      <c r="AY2004" s="342"/>
      <c r="AZ2004" s="342"/>
      <c r="BA2004" s="342"/>
      <c r="BB2004" s="342"/>
      <c r="BC2004" s="342"/>
      <c r="BD2004" s="342"/>
      <c r="BE2004" s="342"/>
      <c r="BF2004" s="342"/>
      <c r="BG2004" s="342"/>
      <c r="BH2004" s="342"/>
      <c r="BI2004" s="342"/>
      <c r="BJ2004" s="342"/>
      <c r="BK2004" s="342"/>
      <c r="BL2004" s="342"/>
      <c r="BM2004" s="342"/>
      <c r="BN2004" s="342"/>
      <c r="BO2004" s="342"/>
      <c r="BP2004" s="342"/>
      <c r="BQ2004" s="342"/>
      <c r="BR2004" s="342"/>
      <c r="BS2004" s="342"/>
      <c r="BT2004" s="342"/>
      <c r="BU2004" s="346"/>
      <c r="BV2004" s="358"/>
      <c r="BW2004" s="358"/>
      <c r="BX2004" s="807"/>
      <c r="BY2004" s="344"/>
      <c r="BZ2004" s="347"/>
      <c r="CA2004" s="347"/>
    </row>
    <row r="2005" spans="1:84" ht="15" customHeight="1" x14ac:dyDescent="0.25">
      <c r="A2005" s="340"/>
      <c r="B2005" s="340"/>
      <c r="C2005" s="342"/>
      <c r="D2005" s="342"/>
      <c r="E2005" s="342"/>
      <c r="F2005" s="342"/>
      <c r="G2005" s="342"/>
      <c r="H2005" s="342"/>
      <c r="I2005" s="342"/>
      <c r="J2005" s="342"/>
      <c r="K2005" s="342"/>
      <c r="L2005" s="342"/>
      <c r="M2005" s="342"/>
      <c r="N2005" s="342"/>
      <c r="O2005" s="342"/>
      <c r="P2005" s="342"/>
      <c r="Q2005" s="342"/>
      <c r="R2005" s="342"/>
      <c r="S2005" s="342"/>
      <c r="T2005" s="342"/>
      <c r="U2005" s="342"/>
      <c r="V2005" s="342"/>
      <c r="W2005" s="343"/>
      <c r="X2005" s="343"/>
      <c r="Y2005" s="343"/>
      <c r="Z2005" s="343"/>
      <c r="AA2005" s="343"/>
      <c r="AB2005" s="343"/>
      <c r="AC2005" s="343"/>
      <c r="AD2005" s="343"/>
      <c r="AE2005" s="343"/>
      <c r="AF2005" s="343"/>
      <c r="AG2005" s="343"/>
      <c r="AH2005" s="343"/>
      <c r="AI2005" s="343"/>
      <c r="AJ2005" s="344"/>
      <c r="AK2005" s="340"/>
      <c r="AL2005" s="340"/>
      <c r="AM2005" s="342"/>
      <c r="AN2005" s="342"/>
      <c r="AO2005" s="342"/>
      <c r="AP2005" s="342"/>
      <c r="AQ2005" s="342"/>
      <c r="AR2005" s="342"/>
      <c r="AS2005" s="342"/>
      <c r="AT2005" s="342"/>
      <c r="AU2005" s="342"/>
      <c r="AV2005" s="342"/>
      <c r="AW2005" s="342"/>
      <c r="AX2005" s="342"/>
      <c r="AY2005" s="342"/>
      <c r="AZ2005" s="342"/>
      <c r="BA2005" s="342"/>
      <c r="BB2005" s="342"/>
      <c r="BC2005" s="342"/>
      <c r="BD2005" s="342"/>
      <c r="BE2005" s="342"/>
      <c r="BF2005" s="342"/>
      <c r="BG2005" s="342"/>
      <c r="BH2005" s="342"/>
      <c r="BI2005" s="342"/>
      <c r="BJ2005" s="342"/>
      <c r="BK2005" s="342"/>
      <c r="BL2005" s="342"/>
      <c r="BM2005" s="342"/>
      <c r="BN2005" s="342"/>
      <c r="BO2005" s="342"/>
      <c r="BP2005" s="342"/>
      <c r="BQ2005" s="342"/>
      <c r="BR2005" s="342"/>
      <c r="BS2005" s="342"/>
      <c r="BT2005" s="342"/>
      <c r="BU2005" s="346"/>
      <c r="BV2005" s="358"/>
      <c r="BW2005" s="358"/>
      <c r="BX2005" s="808"/>
      <c r="BY2005" s="344"/>
      <c r="BZ2005" s="347"/>
      <c r="CA2005" s="347"/>
    </row>
    <row r="2006" spans="1:84" ht="15" customHeight="1" x14ac:dyDescent="0.25">
      <c r="A2006" s="340"/>
      <c r="B2006" s="340"/>
      <c r="C2006" s="342"/>
      <c r="D2006" s="342"/>
      <c r="E2006" s="342"/>
      <c r="F2006" s="342"/>
      <c r="G2006" s="342"/>
      <c r="H2006" s="342"/>
      <c r="I2006" s="342"/>
      <c r="J2006" s="342"/>
      <c r="K2006" s="342"/>
      <c r="L2006" s="342"/>
      <c r="M2006" s="342"/>
      <c r="N2006" s="342"/>
      <c r="O2006" s="342"/>
      <c r="P2006" s="342"/>
      <c r="Q2006" s="342"/>
      <c r="R2006" s="342"/>
      <c r="S2006" s="342"/>
      <c r="T2006" s="342"/>
      <c r="U2006" s="342"/>
      <c r="V2006" s="342"/>
      <c r="W2006" s="343"/>
      <c r="X2006" s="343"/>
      <c r="Y2006" s="343"/>
      <c r="Z2006" s="343"/>
      <c r="AA2006" s="343"/>
      <c r="AB2006" s="343"/>
      <c r="AC2006" s="343"/>
      <c r="AD2006" s="343"/>
      <c r="AE2006" s="343"/>
      <c r="AF2006" s="343"/>
      <c r="AG2006" s="343"/>
      <c r="AH2006" s="343"/>
      <c r="AI2006" s="343"/>
      <c r="AJ2006" s="344"/>
      <c r="AK2006" s="340"/>
      <c r="AL2006" s="340"/>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342"/>
      <c r="BI2006" s="342"/>
      <c r="BJ2006" s="342"/>
      <c r="BK2006" s="342"/>
      <c r="BL2006" s="342"/>
      <c r="BM2006" s="342"/>
      <c r="BN2006" s="342"/>
      <c r="BO2006" s="342"/>
      <c r="BP2006" s="342"/>
      <c r="BQ2006" s="342"/>
      <c r="BR2006" s="342"/>
      <c r="BS2006" s="342"/>
      <c r="BT2006" s="342"/>
      <c r="BU2006" s="346"/>
      <c r="BV2006" s="358"/>
      <c r="BW2006" s="358"/>
      <c r="BX2006" s="808"/>
      <c r="BY2006" s="344"/>
      <c r="BZ2006" s="347"/>
      <c r="CA2006" s="347"/>
    </row>
    <row r="2007" spans="1:84" ht="15" customHeight="1" x14ac:dyDescent="0.25">
      <c r="A2007" s="340"/>
      <c r="B2007" s="340"/>
      <c r="C2007" s="342"/>
      <c r="D2007" s="342"/>
      <c r="E2007" s="342"/>
      <c r="F2007" s="342"/>
      <c r="G2007" s="342"/>
      <c r="H2007" s="342"/>
      <c r="I2007" s="342"/>
      <c r="J2007" s="342"/>
      <c r="K2007" s="342"/>
      <c r="L2007" s="342"/>
      <c r="M2007" s="342"/>
      <c r="N2007" s="342"/>
      <c r="O2007" s="342"/>
      <c r="P2007" s="342"/>
      <c r="Q2007" s="342"/>
      <c r="R2007" s="342"/>
      <c r="S2007" s="342"/>
      <c r="T2007" s="342"/>
      <c r="U2007" s="342"/>
      <c r="V2007" s="342"/>
      <c r="W2007" s="343"/>
      <c r="X2007" s="343"/>
      <c r="Y2007" s="343"/>
      <c r="Z2007" s="343"/>
      <c r="AA2007" s="343"/>
      <c r="AB2007" s="343"/>
      <c r="AC2007" s="343"/>
      <c r="AD2007" s="343"/>
      <c r="AE2007" s="343"/>
      <c r="AF2007" s="343"/>
      <c r="AG2007" s="343"/>
      <c r="AH2007" s="343"/>
      <c r="AI2007" s="343"/>
      <c r="AJ2007" s="344"/>
      <c r="AK2007" s="340"/>
      <c r="AL2007" s="340"/>
      <c r="AM2007" s="342"/>
      <c r="AN2007" s="342"/>
      <c r="AO2007" s="342"/>
      <c r="AP2007" s="342"/>
      <c r="AQ2007" s="342"/>
      <c r="AR2007" s="342"/>
      <c r="AS2007" s="342"/>
      <c r="AT2007" s="342"/>
      <c r="AU2007" s="342"/>
      <c r="AV2007" s="342"/>
      <c r="AW2007" s="342"/>
      <c r="AX2007" s="342"/>
      <c r="AY2007" s="342"/>
      <c r="AZ2007" s="342"/>
      <c r="BA2007" s="342"/>
      <c r="BB2007" s="342"/>
      <c r="BC2007" s="342"/>
      <c r="BD2007" s="342"/>
      <c r="BE2007" s="342"/>
      <c r="BF2007" s="342"/>
      <c r="BG2007" s="342"/>
      <c r="BH2007" s="342"/>
      <c r="BI2007" s="342"/>
      <c r="BJ2007" s="342"/>
      <c r="BK2007" s="342"/>
      <c r="BL2007" s="342"/>
      <c r="BM2007" s="342"/>
      <c r="BN2007" s="342"/>
      <c r="BO2007" s="342"/>
      <c r="BP2007" s="342"/>
      <c r="BQ2007" s="342"/>
      <c r="BR2007" s="342"/>
      <c r="BS2007" s="342"/>
      <c r="BT2007" s="342"/>
      <c r="BU2007" s="346"/>
      <c r="BV2007" s="358"/>
      <c r="BW2007" s="358"/>
      <c r="BX2007" s="808"/>
      <c r="BY2007" s="344"/>
      <c r="BZ2007" s="347"/>
      <c r="CA2007" s="347"/>
    </row>
    <row r="2008" spans="1:84" ht="15" customHeight="1" x14ac:dyDescent="0.25">
      <c r="A2008" s="340"/>
      <c r="B2008" s="340"/>
      <c r="C2008" s="342"/>
      <c r="D2008" s="342"/>
      <c r="E2008" s="342"/>
      <c r="F2008" s="342"/>
      <c r="G2008" s="342"/>
      <c r="H2008" s="342"/>
      <c r="I2008" s="342"/>
      <c r="J2008" s="342"/>
      <c r="K2008" s="342"/>
      <c r="L2008" s="342"/>
      <c r="M2008" s="342"/>
      <c r="N2008" s="342"/>
      <c r="O2008" s="342"/>
      <c r="P2008" s="342"/>
      <c r="Q2008" s="342"/>
      <c r="R2008" s="342"/>
      <c r="S2008" s="342"/>
      <c r="T2008" s="342"/>
      <c r="U2008" s="342"/>
      <c r="V2008" s="342"/>
      <c r="W2008" s="343"/>
      <c r="X2008" s="343"/>
      <c r="Y2008" s="343"/>
      <c r="Z2008" s="343"/>
      <c r="AA2008" s="343"/>
      <c r="AB2008" s="343"/>
      <c r="AC2008" s="343"/>
      <c r="AD2008" s="343"/>
      <c r="AE2008" s="343"/>
      <c r="AF2008" s="343"/>
      <c r="AG2008" s="343"/>
      <c r="AH2008" s="343"/>
      <c r="AI2008" s="343"/>
      <c r="AJ2008" s="344"/>
      <c r="AK2008" s="340"/>
      <c r="AL2008" s="340"/>
      <c r="AM2008" s="342"/>
      <c r="AN2008" s="342"/>
      <c r="AO2008" s="342"/>
      <c r="AP2008" s="342"/>
      <c r="AQ2008" s="342"/>
      <c r="AR2008" s="342"/>
      <c r="AS2008" s="342"/>
      <c r="AT2008" s="342"/>
      <c r="AU2008" s="342"/>
      <c r="AV2008" s="342"/>
      <c r="AW2008" s="342"/>
      <c r="AX2008" s="342"/>
      <c r="AY2008" s="342"/>
      <c r="AZ2008" s="342"/>
      <c r="BA2008" s="342"/>
      <c r="BB2008" s="342"/>
      <c r="BC2008" s="342"/>
      <c r="BD2008" s="342"/>
      <c r="BE2008" s="342"/>
      <c r="BF2008" s="342"/>
      <c r="BG2008" s="342"/>
      <c r="BH2008" s="342"/>
      <c r="BI2008" s="342"/>
      <c r="BJ2008" s="342"/>
      <c r="BK2008" s="342"/>
      <c r="BL2008" s="342"/>
      <c r="BM2008" s="342"/>
      <c r="BN2008" s="342"/>
      <c r="BO2008" s="342"/>
      <c r="BP2008" s="342"/>
      <c r="BQ2008" s="342"/>
      <c r="BR2008" s="342"/>
      <c r="BS2008" s="342"/>
      <c r="BT2008" s="342"/>
      <c r="BU2008" s="346"/>
      <c r="BV2008" s="358"/>
      <c r="BW2008" s="358"/>
      <c r="BX2008" s="808"/>
      <c r="BY2008" s="344"/>
      <c r="BZ2008" s="347"/>
      <c r="CA2008" s="347"/>
    </row>
    <row r="2009" spans="1:84" ht="15" customHeight="1" x14ac:dyDescent="0.25">
      <c r="A2009" s="340"/>
      <c r="B2009" s="340"/>
      <c r="C2009" s="342"/>
      <c r="D2009" s="342"/>
      <c r="E2009" s="342"/>
      <c r="F2009" s="342"/>
      <c r="G2009" s="342"/>
      <c r="H2009" s="342"/>
      <c r="I2009" s="342"/>
      <c r="J2009" s="342"/>
      <c r="K2009" s="342"/>
      <c r="L2009" s="342"/>
      <c r="M2009" s="342"/>
      <c r="N2009" s="342"/>
      <c r="O2009" s="342"/>
      <c r="P2009" s="342"/>
      <c r="Q2009" s="342"/>
      <c r="R2009" s="342"/>
      <c r="S2009" s="342"/>
      <c r="T2009" s="342"/>
      <c r="U2009" s="342"/>
      <c r="V2009" s="342"/>
      <c r="W2009" s="343"/>
      <c r="X2009" s="343"/>
      <c r="Y2009" s="343"/>
      <c r="Z2009" s="343"/>
      <c r="AA2009" s="343"/>
      <c r="AB2009" s="343"/>
      <c r="AC2009" s="343"/>
      <c r="AD2009" s="343"/>
      <c r="AE2009" s="343"/>
      <c r="AF2009" s="343"/>
      <c r="AG2009" s="343"/>
      <c r="AH2009" s="343"/>
      <c r="AI2009" s="343"/>
      <c r="AJ2009" s="344"/>
      <c r="AK2009" s="340"/>
      <c r="AL2009" s="340"/>
      <c r="AM2009" s="342"/>
      <c r="AN2009" s="342"/>
      <c r="AO2009" s="342"/>
      <c r="AP2009" s="342"/>
      <c r="AQ2009" s="342"/>
      <c r="AR2009" s="342"/>
      <c r="AS2009" s="342"/>
      <c r="AT2009" s="342"/>
      <c r="AU2009" s="342"/>
      <c r="AV2009" s="342"/>
      <c r="AW2009" s="342"/>
      <c r="AX2009" s="342"/>
      <c r="AY2009" s="342"/>
      <c r="AZ2009" s="342"/>
      <c r="BA2009" s="342"/>
      <c r="BB2009" s="342"/>
      <c r="BC2009" s="342"/>
      <c r="BD2009" s="342"/>
      <c r="BE2009" s="342"/>
      <c r="BF2009" s="342"/>
      <c r="BG2009" s="342"/>
      <c r="BH2009" s="342"/>
      <c r="BI2009" s="342"/>
      <c r="BJ2009" s="342"/>
      <c r="BK2009" s="342"/>
      <c r="BL2009" s="342"/>
      <c r="BM2009" s="342"/>
      <c r="BN2009" s="342"/>
      <c r="BO2009" s="342"/>
      <c r="BP2009" s="342"/>
      <c r="BQ2009" s="342"/>
      <c r="BR2009" s="342"/>
      <c r="BS2009" s="342"/>
      <c r="BT2009" s="342"/>
      <c r="BU2009" s="346"/>
      <c r="BV2009" s="358"/>
      <c r="BW2009" s="358"/>
      <c r="BX2009" s="808"/>
      <c r="BY2009" s="344"/>
      <c r="BZ2009" s="347"/>
      <c r="CA2009" s="347"/>
    </row>
    <row r="2010" spans="1:84" s="754" customFormat="1" ht="15" customHeight="1" x14ac:dyDescent="0.25">
      <c r="A2010" s="1192"/>
      <c r="B2010" s="1192"/>
      <c r="C2010" s="1190"/>
      <c r="D2010" s="1190"/>
      <c r="E2010" s="1190"/>
      <c r="F2010" s="1190"/>
      <c r="G2010" s="1190"/>
      <c r="H2010" s="1190"/>
      <c r="I2010" s="1190"/>
      <c r="J2010" s="1190"/>
      <c r="K2010" s="1190"/>
      <c r="L2010" s="1190"/>
      <c r="M2010" s="1190"/>
      <c r="N2010" s="1190"/>
      <c r="O2010" s="1190"/>
      <c r="P2010" s="1190"/>
      <c r="Q2010" s="1190"/>
      <c r="R2010" s="1190"/>
      <c r="S2010" s="1190"/>
      <c r="T2010" s="1190"/>
      <c r="U2010" s="1190"/>
      <c r="V2010" s="1190"/>
      <c r="W2010" s="1187"/>
      <c r="X2010" s="1187"/>
      <c r="Y2010" s="1187"/>
      <c r="Z2010" s="1187"/>
      <c r="AA2010" s="1187"/>
      <c r="AB2010" s="1187"/>
      <c r="AC2010" s="1187"/>
      <c r="AD2010" s="1187"/>
      <c r="AE2010" s="1187"/>
      <c r="AF2010" s="1187"/>
      <c r="AG2010" s="1187"/>
      <c r="AH2010" s="1187"/>
      <c r="AI2010" s="1187"/>
      <c r="AJ2010" s="516"/>
      <c r="AK2010" s="1192"/>
      <c r="AL2010" s="1192"/>
      <c r="AM2010" s="1190"/>
      <c r="AN2010" s="1190"/>
      <c r="AO2010" s="1190"/>
      <c r="AP2010" s="1190"/>
      <c r="AQ2010" s="1190"/>
      <c r="AR2010" s="1190"/>
      <c r="AS2010" s="1190"/>
      <c r="AT2010" s="1190"/>
      <c r="AU2010" s="1190"/>
      <c r="AV2010" s="1190"/>
      <c r="AW2010" s="1190"/>
      <c r="AX2010" s="1190"/>
      <c r="AY2010" s="1190"/>
      <c r="AZ2010" s="1190"/>
      <c r="BA2010" s="1190"/>
      <c r="BB2010" s="1190"/>
      <c r="BC2010" s="1190"/>
      <c r="BD2010" s="1190"/>
      <c r="BE2010" s="1190"/>
      <c r="BF2010" s="1190"/>
      <c r="BG2010" s="1190"/>
      <c r="BH2010" s="1190"/>
      <c r="BI2010" s="1190"/>
      <c r="BJ2010" s="1190"/>
      <c r="BK2010" s="1190"/>
      <c r="BL2010" s="1190"/>
      <c r="BM2010" s="1190"/>
      <c r="BN2010" s="1190"/>
      <c r="BO2010" s="1190"/>
      <c r="BP2010" s="1190"/>
      <c r="BQ2010" s="1190"/>
      <c r="BR2010" s="1190"/>
      <c r="BS2010" s="1190"/>
      <c r="BT2010" s="1190"/>
      <c r="BU2010" s="357"/>
      <c r="BV2010" s="1184"/>
      <c r="BW2010" s="1184"/>
      <c r="BX2010" s="1188"/>
      <c r="BY2010" s="516"/>
      <c r="BZ2010" s="752"/>
      <c r="CA2010" s="752"/>
      <c r="CB2010" s="753"/>
      <c r="CC2010" s="753"/>
      <c r="CD2010" s="753"/>
      <c r="CE2010" s="753"/>
      <c r="CF2010" s="753"/>
    </row>
    <row r="2011" spans="1:84" s="754" customFormat="1" ht="15" customHeight="1" x14ac:dyDescent="0.25">
      <c r="A2011" s="1183" t="str">
        <f>IF(Kieu_chan_ky="Kiểu 1","",Ten_NguoiLap_V)</f>
        <v/>
      </c>
      <c r="B2011" s="809"/>
      <c r="C2011" s="1190"/>
      <c r="D2011" s="1190"/>
      <c r="E2011" s="1190"/>
      <c r="F2011" s="1190"/>
      <c r="G2011" s="1190"/>
      <c r="H2011" s="1190"/>
      <c r="I2011" s="1190"/>
      <c r="J2011" s="1190"/>
      <c r="K2011" s="1190"/>
      <c r="L2011" s="1190"/>
      <c r="M2011" s="1183" t="str">
        <f>IF(Kieu_chan_ky="Kiểu 1","",Ten_KTT_V)</f>
        <v/>
      </c>
      <c r="N2011" s="1190"/>
      <c r="O2011" s="1190"/>
      <c r="P2011" s="1190"/>
      <c r="Q2011" s="1190"/>
      <c r="R2011" s="1190"/>
      <c r="S2011" s="1190"/>
      <c r="T2011" s="1190"/>
      <c r="U2011" s="1190"/>
      <c r="V2011" s="1190"/>
      <c r="W2011" s="1187"/>
      <c r="X2011" s="809"/>
      <c r="Y2011" s="809" t="str">
        <f>IF(Kieu_chan_ky="Kiểu 1","",Ten_BGD_V)</f>
        <v/>
      </c>
      <c r="Z2011" s="1187"/>
      <c r="AA2011" s="1187"/>
      <c r="AB2011" s="1187"/>
      <c r="AC2011" s="1187"/>
      <c r="AD2011" s="1187"/>
      <c r="AE2011" s="1187"/>
      <c r="AF2011" s="1187"/>
      <c r="AG2011" s="1187"/>
      <c r="AH2011" s="1187"/>
      <c r="AI2011" s="1187"/>
      <c r="AJ2011" s="516"/>
      <c r="AK2011" s="1183" t="str">
        <f>IF(Kieu_chan_ky="Kiểu 1","",Ten_NguoiLap_E)</f>
        <v/>
      </c>
      <c r="AL2011" s="809"/>
      <c r="AM2011" s="1190"/>
      <c r="AN2011" s="1190"/>
      <c r="AO2011" s="1190"/>
      <c r="AP2011" s="1190"/>
      <c r="AQ2011" s="1190"/>
      <c r="AR2011" s="1190"/>
      <c r="AS2011" s="1190"/>
      <c r="AT2011" s="1190"/>
      <c r="AU2011" s="1190"/>
      <c r="AV2011" s="1190"/>
      <c r="AW2011" s="1183" t="str">
        <f>IF(Kieu_chan_ky="Kiểu 1","",Ten_KTT_E)</f>
        <v/>
      </c>
      <c r="AX2011" s="1190"/>
      <c r="AY2011" s="1190"/>
      <c r="AZ2011" s="1190"/>
      <c r="BA2011" s="1190"/>
      <c r="BB2011" s="1190"/>
      <c r="BC2011" s="1190"/>
      <c r="BD2011" s="1190"/>
      <c r="BE2011" s="1190"/>
      <c r="BF2011" s="1190"/>
      <c r="BG2011" s="1187"/>
      <c r="BH2011" s="809"/>
      <c r="BI2011" s="809" t="str">
        <f>IF(Kieu_chan_ky="Kiểu 1","",Ten_BGD_E)</f>
        <v/>
      </c>
      <c r="BJ2011" s="1187"/>
      <c r="BK2011" s="1187"/>
      <c r="BL2011" s="1187"/>
      <c r="BM2011" s="1187"/>
      <c r="BN2011" s="1187"/>
      <c r="BO2011" s="1187"/>
      <c r="BP2011" s="1187"/>
      <c r="BQ2011" s="1187"/>
      <c r="BR2011" s="1187"/>
      <c r="BS2011" s="1187"/>
      <c r="BT2011" s="1190"/>
      <c r="BU2011" s="357"/>
      <c r="BV2011" s="1184"/>
      <c r="BW2011" s="1184"/>
      <c r="BX2011" s="1188"/>
      <c r="BY2011" s="516"/>
      <c r="BZ2011" s="752"/>
      <c r="CA2011" s="752"/>
      <c r="CB2011" s="753"/>
      <c r="CC2011" s="753"/>
      <c r="CD2011" s="753"/>
      <c r="CE2011" s="753"/>
      <c r="CF2011" s="753"/>
    </row>
    <row r="2012" spans="1:84" ht="15" customHeight="1" x14ac:dyDescent="0.25">
      <c r="A2012" s="81" t="str">
        <f>IF(Kieu_chan_ky="Kiểu 1","",ChucDanh_NguoiLap_V)</f>
        <v/>
      </c>
      <c r="B2012" s="311"/>
      <c r="C2012" s="342"/>
      <c r="D2012" s="342"/>
      <c r="E2012" s="342"/>
      <c r="F2012" s="342"/>
      <c r="G2012" s="342"/>
      <c r="H2012" s="342"/>
      <c r="I2012" s="342"/>
      <c r="J2012" s="342"/>
      <c r="K2012" s="342"/>
      <c r="L2012" s="342"/>
      <c r="M2012" s="81" t="str">
        <f>IF(Kieu_chan_ky="Kiểu 1","",ChucDanh_KTT_V)</f>
        <v/>
      </c>
      <c r="N2012" s="342"/>
      <c r="O2012" s="342"/>
      <c r="P2012" s="342"/>
      <c r="Q2012" s="342"/>
      <c r="R2012" s="342"/>
      <c r="S2012" s="342"/>
      <c r="T2012" s="342"/>
      <c r="U2012" s="342"/>
      <c r="V2012" s="342"/>
      <c r="W2012" s="343"/>
      <c r="X2012" s="759"/>
      <c r="Y2012" s="759" t="str">
        <f>IF(Kieu_chan_ky="Kiểu 1","",Chuc_Danh_BGD_V)</f>
        <v/>
      </c>
      <c r="Z2012" s="343"/>
      <c r="AA2012" s="343"/>
      <c r="AB2012" s="343"/>
      <c r="AC2012" s="343"/>
      <c r="AD2012" s="343"/>
      <c r="AE2012" s="343"/>
      <c r="AF2012" s="343"/>
      <c r="AG2012" s="343"/>
      <c r="AH2012" s="343"/>
      <c r="AI2012" s="343"/>
      <c r="AJ2012" s="344"/>
      <c r="AK2012" s="81" t="str">
        <f>IF(Kieu_chan_ky="Kiểu 1","",ChucDanh_NguoiLap_E)</f>
        <v/>
      </c>
      <c r="AL2012" s="311"/>
      <c r="AM2012" s="342"/>
      <c r="AN2012" s="342"/>
      <c r="AO2012" s="342"/>
      <c r="AP2012" s="342"/>
      <c r="AQ2012" s="342"/>
      <c r="AR2012" s="342"/>
      <c r="AS2012" s="342"/>
      <c r="AT2012" s="342"/>
      <c r="AU2012" s="342"/>
      <c r="AV2012" s="342"/>
      <c r="AW2012" s="81" t="str">
        <f>IF(Kieu_chan_ky="Kiểu 1","",ChucDanh_KTT_E)</f>
        <v/>
      </c>
      <c r="AX2012" s="342"/>
      <c r="AY2012" s="342"/>
      <c r="AZ2012" s="342"/>
      <c r="BA2012" s="342"/>
      <c r="BB2012" s="342"/>
      <c r="BC2012" s="342"/>
      <c r="BD2012" s="342"/>
      <c r="BE2012" s="342"/>
      <c r="BF2012" s="342"/>
      <c r="BG2012" s="343"/>
      <c r="BH2012" s="759"/>
      <c r="BI2012" s="759" t="str">
        <f>IF(Kieu_chan_ky="Kiểu 1","",Chuc_Danh_BGD_E)</f>
        <v/>
      </c>
      <c r="BJ2012" s="343"/>
      <c r="BK2012" s="343"/>
      <c r="BL2012" s="343"/>
      <c r="BM2012" s="343"/>
      <c r="BN2012" s="343"/>
      <c r="BO2012" s="343"/>
      <c r="BP2012" s="343"/>
      <c r="BQ2012" s="343"/>
      <c r="BR2012" s="343"/>
      <c r="BS2012" s="343"/>
      <c r="BT2012" s="342"/>
      <c r="BU2012" s="346"/>
      <c r="BV2012" s="358"/>
      <c r="BW2012" s="358"/>
      <c r="BX2012" s="808"/>
      <c r="BY2012" s="344"/>
      <c r="BZ2012" s="347"/>
      <c r="CA2012" s="347"/>
    </row>
    <row r="2013" spans="1:84" ht="15" customHeight="1" x14ac:dyDescent="0.25">
      <c r="A2013" s="810" t="str">
        <f>IF(Kieu_chan_ky="Kiểu 1","",Ngay_Ky_BCTC_V)</f>
        <v/>
      </c>
      <c r="B2013" s="311"/>
      <c r="C2013" s="342"/>
      <c r="D2013" s="342"/>
      <c r="E2013" s="342"/>
      <c r="F2013" s="342"/>
      <c r="G2013" s="342"/>
      <c r="H2013" s="342"/>
      <c r="I2013" s="342"/>
      <c r="J2013" s="342"/>
      <c r="K2013" s="342"/>
      <c r="L2013" s="342"/>
      <c r="M2013" s="342"/>
      <c r="N2013" s="342"/>
      <c r="O2013" s="342"/>
      <c r="P2013" s="342"/>
      <c r="Q2013" s="342"/>
      <c r="R2013" s="342"/>
      <c r="S2013" s="342"/>
      <c r="T2013" s="342"/>
      <c r="U2013" s="342"/>
      <c r="V2013" s="342"/>
      <c r="W2013" s="343"/>
      <c r="X2013" s="811"/>
      <c r="Y2013" s="343"/>
      <c r="Z2013" s="343"/>
      <c r="AA2013" s="343"/>
      <c r="AB2013" s="343"/>
      <c r="AC2013" s="343"/>
      <c r="AD2013" s="343"/>
      <c r="AE2013" s="343"/>
      <c r="AF2013" s="343"/>
      <c r="AG2013" s="343"/>
      <c r="AH2013" s="343"/>
      <c r="AI2013" s="343"/>
      <c r="AJ2013" s="344"/>
      <c r="AK2013" s="810" t="str">
        <f>IF(Kieu_chan_ky="Kiểu 1","",Ngay_Ky_BCTC_E)</f>
        <v/>
      </c>
      <c r="AL2013" s="340"/>
      <c r="AM2013" s="342"/>
      <c r="AN2013" s="342"/>
      <c r="AO2013" s="342"/>
      <c r="AP2013" s="342"/>
      <c r="AQ2013" s="342"/>
      <c r="AR2013" s="342"/>
      <c r="AS2013" s="342"/>
      <c r="AT2013" s="342"/>
      <c r="AU2013" s="342"/>
      <c r="AV2013" s="342"/>
      <c r="AW2013" s="342"/>
      <c r="AX2013" s="342"/>
      <c r="AY2013" s="342"/>
      <c r="AZ2013" s="342"/>
      <c r="BA2013" s="342"/>
      <c r="BB2013" s="342"/>
      <c r="BC2013" s="342"/>
      <c r="BD2013" s="342"/>
      <c r="BE2013" s="342"/>
      <c r="BF2013" s="342"/>
      <c r="BG2013" s="343"/>
      <c r="BH2013" s="811"/>
      <c r="BI2013" s="343"/>
      <c r="BJ2013" s="343"/>
      <c r="BK2013" s="343"/>
      <c r="BL2013" s="343"/>
      <c r="BM2013" s="343"/>
      <c r="BN2013" s="343"/>
      <c r="BO2013" s="343"/>
      <c r="BP2013" s="343"/>
      <c r="BQ2013" s="343"/>
      <c r="BR2013" s="343"/>
      <c r="BS2013" s="343"/>
      <c r="BT2013" s="342"/>
      <c r="BU2013" s="346"/>
      <c r="BV2013" s="358"/>
      <c r="BW2013" s="358"/>
      <c r="BX2013" s="808"/>
      <c r="BY2013" s="344"/>
      <c r="BZ2013" s="347"/>
      <c r="CA2013" s="347"/>
    </row>
    <row r="2014" spans="1:84" ht="2.1" customHeight="1" x14ac:dyDescent="0.25">
      <c r="A2014" s="340"/>
      <c r="B2014" s="340"/>
      <c r="C2014" s="342"/>
      <c r="D2014" s="342"/>
      <c r="E2014" s="342"/>
      <c r="F2014" s="342"/>
      <c r="G2014" s="342"/>
      <c r="H2014" s="342"/>
      <c r="I2014" s="342"/>
      <c r="J2014" s="342"/>
      <c r="K2014" s="342"/>
      <c r="L2014" s="342"/>
      <c r="M2014" s="342"/>
      <c r="N2014" s="342"/>
      <c r="O2014" s="342"/>
      <c r="P2014" s="342"/>
      <c r="Q2014" s="342"/>
      <c r="R2014" s="342"/>
      <c r="S2014" s="342"/>
      <c r="T2014" s="342"/>
      <c r="U2014" s="342"/>
      <c r="V2014" s="342"/>
      <c r="W2014" s="343"/>
      <c r="X2014" s="343"/>
      <c r="Y2014" s="343"/>
      <c r="Z2014" s="343"/>
      <c r="AA2014" s="343"/>
      <c r="AB2014" s="343"/>
      <c r="AC2014" s="343"/>
      <c r="AD2014" s="343"/>
      <c r="AE2014" s="343"/>
      <c r="AF2014" s="343"/>
      <c r="AG2014" s="343"/>
      <c r="AH2014" s="343"/>
      <c r="AI2014" s="343"/>
      <c r="AJ2014" s="344"/>
      <c r="AK2014" s="340"/>
      <c r="AL2014" s="340"/>
      <c r="AM2014" s="342"/>
      <c r="AN2014" s="342"/>
      <c r="AO2014" s="342"/>
      <c r="AP2014" s="342"/>
      <c r="AQ2014" s="342"/>
      <c r="AR2014" s="342"/>
      <c r="AS2014" s="342"/>
      <c r="AT2014" s="342"/>
      <c r="AU2014" s="342"/>
      <c r="AV2014" s="342"/>
      <c r="AW2014" s="342"/>
      <c r="AX2014" s="342"/>
      <c r="AY2014" s="342"/>
      <c r="AZ2014" s="342"/>
      <c r="BA2014" s="342"/>
      <c r="BB2014" s="342"/>
      <c r="BC2014" s="342"/>
      <c r="BD2014" s="342"/>
      <c r="BE2014" s="342"/>
      <c r="BF2014" s="342"/>
      <c r="BG2014" s="342"/>
      <c r="BH2014" s="342"/>
      <c r="BI2014" s="342"/>
      <c r="BJ2014" s="342"/>
      <c r="BK2014" s="342"/>
      <c r="BL2014" s="342"/>
      <c r="BM2014" s="342"/>
      <c r="BN2014" s="342"/>
      <c r="BO2014" s="342"/>
      <c r="BP2014" s="342"/>
      <c r="BQ2014" s="342"/>
      <c r="BR2014" s="342"/>
      <c r="BS2014" s="342"/>
      <c r="BT2014" s="342"/>
      <c r="BU2014" s="346"/>
      <c r="BV2014" s="358"/>
      <c r="BW2014" s="358"/>
      <c r="BX2014" s="808"/>
      <c r="BY2014" s="344"/>
      <c r="BZ2014" s="347"/>
      <c r="CA2014" s="347"/>
    </row>
    <row r="2019" spans="1:16384" s="813" customFormat="1" x14ac:dyDescent="0.25">
      <c r="A2019" s="812"/>
      <c r="C2019" s="423"/>
      <c r="D2019" s="423"/>
      <c r="E2019" s="423"/>
      <c r="F2019" s="423"/>
      <c r="G2019" s="423"/>
      <c r="H2019" s="423"/>
      <c r="I2019" s="423"/>
      <c r="J2019" s="423"/>
      <c r="K2019" s="423"/>
      <c r="L2019" s="423"/>
      <c r="M2019" s="423"/>
      <c r="N2019" s="423"/>
      <c r="O2019" s="423"/>
      <c r="P2019" s="423"/>
      <c r="Q2019" s="423"/>
      <c r="R2019" s="423"/>
      <c r="S2019" s="423"/>
      <c r="T2019" s="423"/>
      <c r="U2019" s="423"/>
      <c r="V2019" s="423"/>
      <c r="W2019" s="441"/>
      <c r="X2019" s="441"/>
      <c r="Y2019" s="441"/>
      <c r="Z2019" s="441"/>
      <c r="AA2019" s="441"/>
      <c r="AB2019" s="441"/>
      <c r="AC2019" s="441"/>
      <c r="AD2019" s="441"/>
      <c r="AE2019" s="441"/>
      <c r="AF2019" s="441"/>
      <c r="AG2019" s="441"/>
      <c r="AH2019" s="441"/>
      <c r="AI2019" s="441"/>
      <c r="AJ2019" s="349"/>
      <c r="AM2019" s="423"/>
      <c r="AN2019" s="423"/>
      <c r="AO2019" s="423"/>
      <c r="AP2019" s="423"/>
      <c r="AQ2019" s="423"/>
      <c r="AR2019" s="423"/>
      <c r="AS2019" s="423"/>
      <c r="AT2019" s="423"/>
      <c r="AU2019" s="423"/>
      <c r="AV2019" s="423"/>
      <c r="AW2019" s="423"/>
      <c r="AX2019" s="423"/>
      <c r="AY2019" s="423"/>
      <c r="AZ2019" s="423"/>
      <c r="BA2019" s="423"/>
      <c r="BB2019" s="423"/>
      <c r="BC2019" s="423"/>
      <c r="BD2019" s="423"/>
      <c r="BE2019" s="423"/>
      <c r="BF2019" s="423"/>
      <c r="BG2019" s="423"/>
      <c r="BH2019" s="423"/>
      <c r="BI2019" s="423"/>
      <c r="BJ2019" s="423"/>
      <c r="BK2019" s="423"/>
      <c r="BL2019" s="423"/>
      <c r="BM2019" s="423"/>
      <c r="BN2019" s="423"/>
      <c r="BO2019" s="423"/>
      <c r="BP2019" s="423"/>
      <c r="BQ2019" s="423"/>
      <c r="BR2019" s="423"/>
      <c r="BS2019" s="423"/>
      <c r="BT2019" s="423"/>
      <c r="BU2019" s="510"/>
      <c r="BV2019" s="814"/>
      <c r="BW2019" s="814"/>
      <c r="BX2019" s="815"/>
      <c r="BY2019" s="349"/>
      <c r="BZ2019" s="348"/>
      <c r="CA2019" s="348"/>
      <c r="CB2019" s="348"/>
      <c r="CC2019" s="348"/>
      <c r="CD2019" s="348"/>
      <c r="CE2019" s="348"/>
      <c r="CF2019" s="348"/>
      <c r="CG2019" s="349"/>
      <c r="CH2019" s="349"/>
      <c r="CI2019" s="349"/>
      <c r="CJ2019" s="349"/>
      <c r="CK2019" s="349"/>
      <c r="CL2019" s="349"/>
      <c r="CM2019" s="349"/>
      <c r="CN2019" s="349"/>
      <c r="CO2019" s="349"/>
      <c r="CP2019" s="349"/>
      <c r="CQ2019" s="349"/>
      <c r="CR2019" s="349"/>
      <c r="CS2019" s="349"/>
      <c r="CT2019" s="349"/>
      <c r="CU2019" s="349"/>
      <c r="CV2019" s="349"/>
      <c r="CW2019" s="349"/>
      <c r="CX2019" s="349"/>
      <c r="CY2019" s="349"/>
      <c r="CZ2019" s="349"/>
      <c r="DA2019" s="349"/>
      <c r="DB2019" s="349"/>
      <c r="DC2019" s="349"/>
      <c r="DD2019" s="349"/>
      <c r="DE2019" s="349"/>
      <c r="DF2019" s="349"/>
      <c r="DG2019" s="349"/>
      <c r="DH2019" s="349"/>
      <c r="DI2019" s="349"/>
      <c r="DJ2019" s="349"/>
      <c r="DK2019" s="349"/>
      <c r="DL2019" s="349"/>
      <c r="DM2019" s="349"/>
      <c r="DN2019" s="349"/>
      <c r="DO2019" s="349"/>
      <c r="DP2019" s="349"/>
      <c r="DQ2019" s="349"/>
      <c r="DR2019" s="349"/>
      <c r="DS2019" s="349"/>
      <c r="DT2019" s="349"/>
      <c r="DU2019" s="349"/>
      <c r="DV2019" s="349"/>
      <c r="DW2019" s="349"/>
      <c r="DX2019" s="349"/>
      <c r="DY2019" s="349"/>
      <c r="DZ2019" s="349"/>
      <c r="EA2019" s="349"/>
      <c r="EB2019" s="349"/>
      <c r="EC2019" s="349"/>
      <c r="ED2019" s="349"/>
      <c r="EE2019" s="349"/>
      <c r="EF2019" s="349"/>
      <c r="EG2019" s="349"/>
      <c r="EH2019" s="349"/>
      <c r="EI2019" s="349"/>
      <c r="EJ2019" s="349"/>
      <c r="EK2019" s="349"/>
      <c r="EL2019" s="349"/>
      <c r="EM2019" s="349"/>
      <c r="EN2019" s="349"/>
      <c r="EO2019" s="349"/>
      <c r="EP2019" s="349"/>
      <c r="EQ2019" s="349"/>
      <c r="ER2019" s="349"/>
      <c r="ES2019" s="349"/>
      <c r="ET2019" s="349"/>
      <c r="EU2019" s="349"/>
      <c r="EV2019" s="349"/>
      <c r="EW2019" s="349"/>
      <c r="EX2019" s="349"/>
      <c r="EY2019" s="349"/>
      <c r="EZ2019" s="349"/>
      <c r="FA2019" s="349"/>
      <c r="FB2019" s="349"/>
      <c r="FC2019" s="349"/>
      <c r="FD2019" s="349"/>
      <c r="FE2019" s="349"/>
      <c r="FF2019" s="349"/>
      <c r="FG2019" s="349"/>
      <c r="FH2019" s="349"/>
      <c r="FI2019" s="349"/>
      <c r="FJ2019" s="349"/>
      <c r="FK2019" s="349"/>
      <c r="FL2019" s="349"/>
      <c r="FM2019" s="349"/>
      <c r="FN2019" s="349"/>
      <c r="FO2019" s="349"/>
      <c r="FP2019" s="349"/>
      <c r="FQ2019" s="349"/>
      <c r="FR2019" s="349"/>
      <c r="FS2019" s="349"/>
      <c r="FT2019" s="349"/>
      <c r="FU2019" s="349"/>
      <c r="FV2019" s="349"/>
      <c r="FW2019" s="349"/>
      <c r="FX2019" s="349"/>
      <c r="FY2019" s="349"/>
      <c r="FZ2019" s="349"/>
      <c r="GA2019" s="349"/>
      <c r="GB2019" s="349"/>
      <c r="GC2019" s="349"/>
      <c r="GD2019" s="349"/>
      <c r="GE2019" s="349"/>
      <c r="GF2019" s="349"/>
      <c r="GG2019" s="349"/>
      <c r="GH2019" s="349"/>
      <c r="GI2019" s="349"/>
      <c r="GJ2019" s="349"/>
      <c r="GK2019" s="349"/>
      <c r="GL2019" s="349"/>
      <c r="GM2019" s="349"/>
      <c r="GN2019" s="349"/>
      <c r="GO2019" s="349"/>
      <c r="GP2019" s="349"/>
      <c r="GQ2019" s="349"/>
      <c r="GR2019" s="349"/>
      <c r="GS2019" s="349"/>
      <c r="GT2019" s="349"/>
      <c r="GU2019" s="349"/>
      <c r="GV2019" s="349"/>
      <c r="GW2019" s="349"/>
      <c r="GX2019" s="349"/>
      <c r="GY2019" s="349"/>
      <c r="GZ2019" s="349"/>
      <c r="HA2019" s="349"/>
      <c r="HB2019" s="349"/>
      <c r="HC2019" s="349"/>
      <c r="HD2019" s="349"/>
      <c r="HE2019" s="349"/>
      <c r="HF2019" s="349"/>
      <c r="HG2019" s="349"/>
      <c r="HH2019" s="349"/>
      <c r="HI2019" s="349"/>
      <c r="HJ2019" s="349"/>
      <c r="HK2019" s="349"/>
      <c r="HL2019" s="349"/>
      <c r="HM2019" s="349"/>
      <c r="HN2019" s="349"/>
      <c r="HO2019" s="349"/>
      <c r="HP2019" s="349"/>
      <c r="HQ2019" s="349"/>
      <c r="HR2019" s="349"/>
      <c r="HS2019" s="349"/>
      <c r="HT2019" s="349"/>
      <c r="HU2019" s="349"/>
      <c r="HV2019" s="349"/>
      <c r="HW2019" s="349"/>
      <c r="HX2019" s="349"/>
      <c r="HY2019" s="349"/>
      <c r="HZ2019" s="349"/>
      <c r="IA2019" s="349"/>
      <c r="IB2019" s="349"/>
      <c r="IC2019" s="349"/>
      <c r="ID2019" s="349"/>
      <c r="IE2019" s="349"/>
      <c r="IF2019" s="349"/>
      <c r="IG2019" s="349"/>
      <c r="IH2019" s="349"/>
      <c r="II2019" s="349"/>
      <c r="IJ2019" s="349"/>
      <c r="IK2019" s="349"/>
      <c r="IL2019" s="349"/>
      <c r="IM2019" s="349"/>
      <c r="IN2019" s="349"/>
      <c r="IO2019" s="349"/>
      <c r="IP2019" s="349"/>
      <c r="IQ2019" s="349"/>
      <c r="IR2019" s="349"/>
      <c r="IS2019" s="349"/>
      <c r="IT2019" s="349"/>
      <c r="IU2019" s="349"/>
      <c r="IV2019" s="349"/>
      <c r="IW2019" s="349"/>
      <c r="IX2019" s="349"/>
      <c r="IY2019" s="349"/>
      <c r="IZ2019" s="349"/>
      <c r="JA2019" s="349"/>
      <c r="JB2019" s="349"/>
      <c r="JC2019" s="349"/>
      <c r="JD2019" s="349"/>
      <c r="JE2019" s="349"/>
      <c r="JF2019" s="349"/>
      <c r="JG2019" s="349"/>
      <c r="JH2019" s="349"/>
      <c r="JI2019" s="349"/>
      <c r="JJ2019" s="349"/>
      <c r="JK2019" s="349"/>
      <c r="JL2019" s="349"/>
      <c r="JM2019" s="349"/>
      <c r="JN2019" s="349"/>
      <c r="JO2019" s="349"/>
      <c r="JP2019" s="349"/>
      <c r="JQ2019" s="349"/>
      <c r="JR2019" s="349"/>
      <c r="JS2019" s="349"/>
      <c r="JT2019" s="349"/>
      <c r="JU2019" s="349"/>
      <c r="JV2019" s="349"/>
      <c r="JW2019" s="349"/>
      <c r="JX2019" s="349"/>
      <c r="JY2019" s="349"/>
      <c r="JZ2019" s="349"/>
      <c r="KA2019" s="349"/>
      <c r="KB2019" s="349"/>
      <c r="KC2019" s="349"/>
      <c r="KD2019" s="349"/>
      <c r="KE2019" s="349"/>
      <c r="KF2019" s="349"/>
      <c r="KG2019" s="349"/>
      <c r="KH2019" s="349"/>
      <c r="KI2019" s="349"/>
      <c r="KJ2019" s="349"/>
      <c r="KK2019" s="349"/>
      <c r="KL2019" s="349"/>
      <c r="KM2019" s="349"/>
      <c r="KN2019" s="349"/>
      <c r="KO2019" s="349"/>
      <c r="KP2019" s="349"/>
      <c r="KQ2019" s="349"/>
      <c r="KR2019" s="349"/>
      <c r="KS2019" s="349"/>
      <c r="KT2019" s="349"/>
      <c r="KU2019" s="349"/>
      <c r="KV2019" s="349"/>
      <c r="KW2019" s="349"/>
      <c r="KX2019" s="349"/>
      <c r="KY2019" s="349"/>
      <c r="KZ2019" s="349"/>
      <c r="LA2019" s="349"/>
      <c r="LB2019" s="349"/>
      <c r="LC2019" s="349"/>
      <c r="LD2019" s="349"/>
      <c r="LE2019" s="349"/>
      <c r="LF2019" s="349"/>
      <c r="LG2019" s="349"/>
      <c r="LH2019" s="349"/>
      <c r="LI2019" s="349"/>
      <c r="LJ2019" s="349"/>
      <c r="LK2019" s="349"/>
      <c r="LL2019" s="349"/>
      <c r="LM2019" s="349"/>
      <c r="LN2019" s="349"/>
      <c r="LO2019" s="349"/>
      <c r="LP2019" s="349"/>
      <c r="LQ2019" s="349"/>
      <c r="LR2019" s="349"/>
      <c r="LS2019" s="349"/>
      <c r="LT2019" s="349"/>
      <c r="LU2019" s="349"/>
      <c r="LV2019" s="349"/>
      <c r="LW2019" s="349"/>
      <c r="LX2019" s="349"/>
      <c r="LY2019" s="349"/>
      <c r="LZ2019" s="349"/>
      <c r="MA2019" s="349"/>
      <c r="MB2019" s="349"/>
      <c r="MC2019" s="349"/>
      <c r="MD2019" s="349"/>
      <c r="ME2019" s="349"/>
      <c r="MF2019" s="349"/>
      <c r="MG2019" s="349"/>
      <c r="MH2019" s="349"/>
      <c r="MI2019" s="349"/>
      <c r="MJ2019" s="349"/>
      <c r="MK2019" s="349"/>
      <c r="ML2019" s="349"/>
      <c r="MM2019" s="349"/>
      <c r="MN2019" s="349"/>
      <c r="MO2019" s="349"/>
      <c r="MP2019" s="349"/>
      <c r="MQ2019" s="349"/>
      <c r="MR2019" s="349"/>
      <c r="MS2019" s="349"/>
      <c r="MT2019" s="349"/>
      <c r="MU2019" s="349"/>
      <c r="MV2019" s="349"/>
      <c r="MW2019" s="349"/>
      <c r="MX2019" s="349"/>
      <c r="MY2019" s="349"/>
      <c r="MZ2019" s="349"/>
      <c r="NA2019" s="349"/>
      <c r="NB2019" s="349"/>
      <c r="NC2019" s="349"/>
      <c r="ND2019" s="349"/>
      <c r="NE2019" s="349"/>
      <c r="NF2019" s="349"/>
      <c r="NG2019" s="349"/>
      <c r="NH2019" s="349"/>
      <c r="NI2019" s="349"/>
      <c r="NJ2019" s="349"/>
      <c r="NK2019" s="349"/>
      <c r="NL2019" s="349"/>
      <c r="NM2019" s="349"/>
      <c r="NN2019" s="349"/>
      <c r="NO2019" s="349"/>
      <c r="NP2019" s="349"/>
      <c r="NQ2019" s="349"/>
      <c r="NR2019" s="349"/>
      <c r="NS2019" s="349"/>
      <c r="NT2019" s="349"/>
      <c r="NU2019" s="349"/>
      <c r="NV2019" s="349"/>
      <c r="NW2019" s="349"/>
      <c r="NX2019" s="349"/>
      <c r="NY2019" s="349"/>
      <c r="NZ2019" s="349"/>
      <c r="OA2019" s="349"/>
      <c r="OB2019" s="349"/>
      <c r="OC2019" s="349"/>
      <c r="OD2019" s="349"/>
      <c r="OE2019" s="349"/>
      <c r="OF2019" s="349"/>
      <c r="OG2019" s="349"/>
      <c r="OH2019" s="349"/>
      <c r="OI2019" s="349"/>
      <c r="OJ2019" s="349"/>
      <c r="OK2019" s="349"/>
      <c r="OL2019" s="349"/>
      <c r="OM2019" s="349"/>
      <c r="ON2019" s="349"/>
      <c r="OO2019" s="349"/>
      <c r="OP2019" s="349"/>
      <c r="OQ2019" s="349"/>
      <c r="OR2019" s="349"/>
      <c r="OS2019" s="349"/>
      <c r="OT2019" s="349"/>
      <c r="OU2019" s="349"/>
      <c r="OV2019" s="349"/>
      <c r="OW2019" s="349"/>
      <c r="OX2019" s="349"/>
      <c r="OY2019" s="349"/>
      <c r="OZ2019" s="349"/>
      <c r="PA2019" s="349"/>
      <c r="PB2019" s="349"/>
      <c r="PC2019" s="349"/>
      <c r="PD2019" s="349"/>
      <c r="PE2019" s="349"/>
      <c r="PF2019" s="349"/>
      <c r="PG2019" s="349"/>
      <c r="PH2019" s="349"/>
      <c r="PI2019" s="349"/>
      <c r="PJ2019" s="349"/>
      <c r="PK2019" s="349"/>
      <c r="PL2019" s="349"/>
      <c r="PM2019" s="349"/>
      <c r="PN2019" s="349"/>
      <c r="PO2019" s="349"/>
      <c r="PP2019" s="349"/>
      <c r="PQ2019" s="349"/>
      <c r="PR2019" s="349"/>
      <c r="PS2019" s="349"/>
      <c r="PT2019" s="349"/>
      <c r="PU2019" s="349"/>
      <c r="PV2019" s="349"/>
      <c r="PW2019" s="349"/>
      <c r="PX2019" s="349"/>
      <c r="PY2019" s="349"/>
      <c r="PZ2019" s="349"/>
      <c r="QA2019" s="349"/>
      <c r="QB2019" s="349"/>
      <c r="QC2019" s="349"/>
      <c r="QD2019" s="349"/>
      <c r="QE2019" s="349"/>
      <c r="QF2019" s="349"/>
      <c r="QG2019" s="349"/>
      <c r="QH2019" s="349"/>
      <c r="QI2019" s="349"/>
      <c r="QJ2019" s="349"/>
      <c r="QK2019" s="349"/>
      <c r="QL2019" s="349"/>
      <c r="QM2019" s="349"/>
      <c r="QN2019" s="349"/>
      <c r="QO2019" s="349"/>
      <c r="QP2019" s="349"/>
      <c r="QQ2019" s="349"/>
      <c r="QR2019" s="349"/>
      <c r="QS2019" s="349"/>
      <c r="QT2019" s="349"/>
      <c r="QU2019" s="349"/>
      <c r="QV2019" s="349"/>
      <c r="QW2019" s="349"/>
      <c r="QX2019" s="349"/>
      <c r="QY2019" s="349"/>
      <c r="QZ2019" s="349"/>
      <c r="RA2019" s="349"/>
      <c r="RB2019" s="349"/>
      <c r="RC2019" s="349"/>
      <c r="RD2019" s="349"/>
      <c r="RE2019" s="349"/>
      <c r="RF2019" s="349"/>
      <c r="RG2019" s="349"/>
      <c r="RH2019" s="349"/>
      <c r="RI2019" s="349"/>
      <c r="RJ2019" s="349"/>
      <c r="RK2019" s="349"/>
      <c r="RL2019" s="349"/>
      <c r="RM2019" s="349"/>
      <c r="RN2019" s="349"/>
      <c r="RO2019" s="349"/>
      <c r="RP2019" s="349"/>
      <c r="RQ2019" s="349"/>
      <c r="RR2019" s="349"/>
      <c r="RS2019" s="349"/>
      <c r="RT2019" s="349"/>
      <c r="RU2019" s="349"/>
      <c r="RV2019" s="349"/>
      <c r="RW2019" s="349"/>
      <c r="RX2019" s="349"/>
      <c r="RY2019" s="349"/>
      <c r="RZ2019" s="349"/>
      <c r="SA2019" s="349"/>
      <c r="SB2019" s="349"/>
      <c r="SC2019" s="349"/>
      <c r="SD2019" s="349"/>
      <c r="SE2019" s="349"/>
      <c r="SF2019" s="349"/>
      <c r="SG2019" s="349"/>
      <c r="SH2019" s="349"/>
      <c r="SI2019" s="349"/>
      <c r="SJ2019" s="349"/>
      <c r="SK2019" s="349"/>
      <c r="SL2019" s="349"/>
      <c r="SM2019" s="349"/>
      <c r="SN2019" s="349"/>
      <c r="SO2019" s="349"/>
      <c r="SP2019" s="349"/>
      <c r="SQ2019" s="349"/>
      <c r="SR2019" s="349"/>
      <c r="SS2019" s="349"/>
      <c r="ST2019" s="349"/>
      <c r="SU2019" s="349"/>
      <c r="SV2019" s="349"/>
      <c r="SW2019" s="349"/>
      <c r="SX2019" s="349"/>
      <c r="SY2019" s="349"/>
      <c r="SZ2019" s="349"/>
      <c r="TA2019" s="349"/>
      <c r="TB2019" s="349"/>
      <c r="TC2019" s="349"/>
      <c r="TD2019" s="349"/>
      <c r="TE2019" s="349"/>
      <c r="TF2019" s="349"/>
      <c r="TG2019" s="349"/>
      <c r="TH2019" s="349"/>
      <c r="TI2019" s="349"/>
      <c r="TJ2019" s="349"/>
      <c r="TK2019" s="349"/>
      <c r="TL2019" s="349"/>
      <c r="TM2019" s="349"/>
      <c r="TN2019" s="349"/>
      <c r="TO2019" s="349"/>
      <c r="TP2019" s="349"/>
      <c r="TQ2019" s="349"/>
      <c r="TR2019" s="349"/>
      <c r="TS2019" s="349"/>
      <c r="TT2019" s="349"/>
      <c r="TU2019" s="349"/>
      <c r="TV2019" s="349"/>
      <c r="TW2019" s="349"/>
      <c r="TX2019" s="349"/>
      <c r="TY2019" s="349"/>
      <c r="TZ2019" s="349"/>
      <c r="UA2019" s="349"/>
      <c r="UB2019" s="349"/>
      <c r="UC2019" s="349"/>
      <c r="UD2019" s="349"/>
      <c r="UE2019" s="349"/>
      <c r="UF2019" s="349"/>
      <c r="UG2019" s="349"/>
      <c r="UH2019" s="349"/>
      <c r="UI2019" s="349"/>
      <c r="UJ2019" s="349"/>
      <c r="UK2019" s="349"/>
      <c r="UL2019" s="349"/>
      <c r="UM2019" s="349"/>
      <c r="UN2019" s="349"/>
      <c r="UO2019" s="349"/>
      <c r="UP2019" s="349"/>
      <c r="UQ2019" s="349"/>
      <c r="UR2019" s="349"/>
      <c r="US2019" s="349"/>
      <c r="UT2019" s="349"/>
      <c r="UU2019" s="349"/>
      <c r="UV2019" s="349"/>
      <c r="UW2019" s="349"/>
      <c r="UX2019" s="349"/>
      <c r="UY2019" s="349"/>
      <c r="UZ2019" s="349"/>
      <c r="VA2019" s="349"/>
      <c r="VB2019" s="349"/>
      <c r="VC2019" s="349"/>
      <c r="VD2019" s="349"/>
      <c r="VE2019" s="349"/>
      <c r="VF2019" s="349"/>
      <c r="VG2019" s="349"/>
      <c r="VH2019" s="349"/>
      <c r="VI2019" s="349"/>
      <c r="VJ2019" s="349"/>
      <c r="VK2019" s="349"/>
      <c r="VL2019" s="349"/>
      <c r="VM2019" s="349"/>
      <c r="VN2019" s="349"/>
      <c r="VO2019" s="349"/>
      <c r="VP2019" s="349"/>
      <c r="VQ2019" s="349"/>
      <c r="VR2019" s="349"/>
      <c r="VS2019" s="349"/>
      <c r="VT2019" s="349"/>
      <c r="VU2019" s="349"/>
      <c r="VV2019" s="349"/>
      <c r="VW2019" s="349"/>
      <c r="VX2019" s="349"/>
      <c r="VY2019" s="349"/>
      <c r="VZ2019" s="349"/>
      <c r="WA2019" s="349"/>
      <c r="WB2019" s="349"/>
      <c r="WC2019" s="349"/>
      <c r="WD2019" s="349"/>
      <c r="WE2019" s="349"/>
      <c r="WF2019" s="349"/>
      <c r="WG2019" s="349"/>
      <c r="WH2019" s="349"/>
      <c r="WI2019" s="349"/>
      <c r="WJ2019" s="349"/>
      <c r="WK2019" s="349"/>
      <c r="WL2019" s="349"/>
      <c r="WM2019" s="349"/>
      <c r="WN2019" s="349"/>
      <c r="WO2019" s="349"/>
      <c r="WP2019" s="349"/>
      <c r="WQ2019" s="349"/>
      <c r="WR2019" s="349"/>
      <c r="WS2019" s="349"/>
      <c r="WT2019" s="349"/>
      <c r="WU2019" s="349"/>
      <c r="WV2019" s="349"/>
      <c r="WW2019" s="349"/>
      <c r="WX2019" s="349"/>
      <c r="WY2019" s="349"/>
      <c r="WZ2019" s="349"/>
      <c r="XA2019" s="349"/>
      <c r="XB2019" s="349"/>
      <c r="XC2019" s="349"/>
      <c r="XD2019" s="349"/>
      <c r="XE2019" s="349"/>
      <c r="XF2019" s="349"/>
      <c r="XG2019" s="349"/>
      <c r="XH2019" s="349"/>
      <c r="XI2019" s="349"/>
      <c r="XJ2019" s="349"/>
      <c r="XK2019" s="349"/>
      <c r="XL2019" s="349"/>
      <c r="XM2019" s="349"/>
      <c r="XN2019" s="349"/>
      <c r="XO2019" s="349"/>
      <c r="XP2019" s="349"/>
      <c r="XQ2019" s="349"/>
      <c r="XR2019" s="349"/>
      <c r="XS2019" s="349"/>
      <c r="XT2019" s="349"/>
      <c r="XU2019" s="349"/>
      <c r="XV2019" s="349"/>
      <c r="XW2019" s="349"/>
      <c r="XX2019" s="349"/>
      <c r="XY2019" s="349"/>
      <c r="XZ2019" s="349"/>
      <c r="YA2019" s="349"/>
      <c r="YB2019" s="349"/>
      <c r="YC2019" s="349"/>
      <c r="YD2019" s="349"/>
      <c r="YE2019" s="349"/>
      <c r="YF2019" s="349"/>
      <c r="YG2019" s="349"/>
      <c r="YH2019" s="349"/>
      <c r="YI2019" s="349"/>
      <c r="YJ2019" s="349"/>
      <c r="YK2019" s="349"/>
      <c r="YL2019" s="349"/>
      <c r="YM2019" s="349"/>
      <c r="YN2019" s="349"/>
      <c r="YO2019" s="349"/>
      <c r="YP2019" s="349"/>
      <c r="YQ2019" s="349"/>
      <c r="YR2019" s="349"/>
      <c r="YS2019" s="349"/>
      <c r="YT2019" s="349"/>
      <c r="YU2019" s="349"/>
      <c r="YV2019" s="349"/>
      <c r="YW2019" s="349"/>
      <c r="YX2019" s="349"/>
      <c r="YY2019" s="349"/>
      <c r="YZ2019" s="349"/>
      <c r="ZA2019" s="349"/>
      <c r="ZB2019" s="349"/>
      <c r="ZC2019" s="349"/>
      <c r="ZD2019" s="349"/>
      <c r="ZE2019" s="349"/>
      <c r="ZF2019" s="349"/>
      <c r="ZG2019" s="349"/>
      <c r="ZH2019" s="349"/>
      <c r="ZI2019" s="349"/>
      <c r="ZJ2019" s="349"/>
      <c r="ZK2019" s="349"/>
      <c r="ZL2019" s="349"/>
      <c r="ZM2019" s="349"/>
      <c r="ZN2019" s="349"/>
      <c r="ZO2019" s="349"/>
      <c r="ZP2019" s="349"/>
      <c r="ZQ2019" s="349"/>
      <c r="ZR2019" s="349"/>
      <c r="ZS2019" s="349"/>
      <c r="ZT2019" s="349"/>
      <c r="ZU2019" s="349"/>
      <c r="ZV2019" s="349"/>
      <c r="ZW2019" s="349"/>
      <c r="ZX2019" s="349"/>
      <c r="ZY2019" s="349"/>
      <c r="ZZ2019" s="349"/>
      <c r="AAA2019" s="349"/>
      <c r="AAB2019" s="349"/>
      <c r="AAC2019" s="349"/>
      <c r="AAD2019" s="349"/>
      <c r="AAE2019" s="349"/>
      <c r="AAF2019" s="349"/>
      <c r="AAG2019" s="349"/>
      <c r="AAH2019" s="349"/>
      <c r="AAI2019" s="349"/>
      <c r="AAJ2019" s="349"/>
      <c r="AAK2019" s="349"/>
      <c r="AAL2019" s="349"/>
      <c r="AAM2019" s="349"/>
      <c r="AAN2019" s="349"/>
      <c r="AAO2019" s="349"/>
      <c r="AAP2019" s="349"/>
      <c r="AAQ2019" s="349"/>
      <c r="AAR2019" s="349"/>
      <c r="AAS2019" s="349"/>
      <c r="AAT2019" s="349"/>
      <c r="AAU2019" s="349"/>
      <c r="AAV2019" s="349"/>
      <c r="AAW2019" s="349"/>
      <c r="AAX2019" s="349"/>
      <c r="AAY2019" s="349"/>
      <c r="AAZ2019" s="349"/>
      <c r="ABA2019" s="349"/>
      <c r="ABB2019" s="349"/>
      <c r="ABC2019" s="349"/>
      <c r="ABD2019" s="349"/>
      <c r="ABE2019" s="349"/>
      <c r="ABF2019" s="349"/>
      <c r="ABG2019" s="349"/>
      <c r="ABH2019" s="349"/>
      <c r="ABI2019" s="349"/>
      <c r="ABJ2019" s="349"/>
      <c r="ABK2019" s="349"/>
      <c r="ABL2019" s="349"/>
      <c r="ABM2019" s="349"/>
      <c r="ABN2019" s="349"/>
      <c r="ABO2019" s="349"/>
      <c r="ABP2019" s="349"/>
      <c r="ABQ2019" s="349"/>
      <c r="ABR2019" s="349"/>
      <c r="ABS2019" s="349"/>
      <c r="ABT2019" s="349"/>
      <c r="ABU2019" s="349"/>
      <c r="ABV2019" s="349"/>
      <c r="ABW2019" s="349"/>
      <c r="ABX2019" s="349"/>
      <c r="ABY2019" s="349"/>
      <c r="ABZ2019" s="349"/>
      <c r="ACA2019" s="349"/>
      <c r="ACB2019" s="349"/>
      <c r="ACC2019" s="349"/>
      <c r="ACD2019" s="349"/>
      <c r="ACE2019" s="349"/>
      <c r="ACF2019" s="349"/>
      <c r="ACG2019" s="349"/>
      <c r="ACH2019" s="349"/>
      <c r="ACI2019" s="349"/>
      <c r="ACJ2019" s="349"/>
      <c r="ACK2019" s="349"/>
      <c r="ACL2019" s="349"/>
      <c r="ACM2019" s="349"/>
      <c r="ACN2019" s="349"/>
      <c r="ACO2019" s="349"/>
      <c r="ACP2019" s="349"/>
      <c r="ACQ2019" s="349"/>
      <c r="ACR2019" s="349"/>
      <c r="ACS2019" s="349"/>
      <c r="ACT2019" s="349"/>
      <c r="ACU2019" s="349"/>
      <c r="ACV2019" s="349"/>
      <c r="ACW2019" s="349"/>
      <c r="ACX2019" s="349"/>
      <c r="ACY2019" s="349"/>
      <c r="ACZ2019" s="349"/>
      <c r="ADA2019" s="349"/>
      <c r="ADB2019" s="349"/>
      <c r="ADC2019" s="349"/>
      <c r="ADD2019" s="349"/>
      <c r="ADE2019" s="349"/>
      <c r="ADF2019" s="349"/>
      <c r="ADG2019" s="349"/>
      <c r="ADH2019" s="349"/>
      <c r="ADI2019" s="349"/>
      <c r="ADJ2019" s="349"/>
      <c r="ADK2019" s="349"/>
      <c r="ADL2019" s="349"/>
      <c r="ADM2019" s="349"/>
      <c r="ADN2019" s="349"/>
      <c r="ADO2019" s="349"/>
      <c r="ADP2019" s="349"/>
      <c r="ADQ2019" s="349"/>
      <c r="ADR2019" s="349"/>
      <c r="ADS2019" s="349"/>
      <c r="ADT2019" s="349"/>
      <c r="ADU2019" s="349"/>
      <c r="ADV2019" s="349"/>
      <c r="ADW2019" s="349"/>
      <c r="ADX2019" s="349"/>
      <c r="ADY2019" s="349"/>
      <c r="ADZ2019" s="349"/>
      <c r="AEA2019" s="349"/>
      <c r="AEB2019" s="349"/>
      <c r="AEC2019" s="349"/>
      <c r="AED2019" s="349"/>
      <c r="AEE2019" s="349"/>
      <c r="AEF2019" s="349"/>
      <c r="AEG2019" s="349"/>
      <c r="AEH2019" s="349"/>
      <c r="AEI2019" s="349"/>
      <c r="AEJ2019" s="349"/>
      <c r="AEK2019" s="349"/>
      <c r="AEL2019" s="349"/>
      <c r="AEM2019" s="349"/>
      <c r="AEN2019" s="349"/>
      <c r="AEO2019" s="349"/>
      <c r="AEP2019" s="349"/>
      <c r="AEQ2019" s="349"/>
      <c r="AER2019" s="349"/>
      <c r="AES2019" s="349"/>
      <c r="AET2019" s="349"/>
      <c r="AEU2019" s="349"/>
      <c r="AEV2019" s="349"/>
      <c r="AEW2019" s="349"/>
      <c r="AEX2019" s="349"/>
      <c r="AEY2019" s="349"/>
      <c r="AEZ2019" s="349"/>
      <c r="AFA2019" s="349"/>
      <c r="AFB2019" s="349"/>
      <c r="AFC2019" s="349"/>
      <c r="AFD2019" s="349"/>
      <c r="AFE2019" s="349"/>
      <c r="AFF2019" s="349"/>
      <c r="AFG2019" s="349"/>
      <c r="AFH2019" s="349"/>
      <c r="AFI2019" s="349"/>
      <c r="AFJ2019" s="349"/>
      <c r="AFK2019" s="349"/>
      <c r="AFL2019" s="349"/>
      <c r="AFM2019" s="349"/>
      <c r="AFN2019" s="349"/>
      <c r="AFO2019" s="349"/>
      <c r="AFP2019" s="349"/>
      <c r="AFQ2019" s="349"/>
      <c r="AFR2019" s="349"/>
      <c r="AFS2019" s="349"/>
      <c r="AFT2019" s="349"/>
      <c r="AFU2019" s="349"/>
      <c r="AFV2019" s="349"/>
      <c r="AFW2019" s="349"/>
      <c r="AFX2019" s="349"/>
      <c r="AFY2019" s="349"/>
      <c r="AFZ2019" s="349"/>
      <c r="AGA2019" s="349"/>
      <c r="AGB2019" s="349"/>
      <c r="AGC2019" s="349"/>
      <c r="AGD2019" s="349"/>
      <c r="AGE2019" s="349"/>
      <c r="AGF2019" s="349"/>
      <c r="AGG2019" s="349"/>
      <c r="AGH2019" s="349"/>
      <c r="AGI2019" s="349"/>
      <c r="AGJ2019" s="349"/>
      <c r="AGK2019" s="349"/>
      <c r="AGL2019" s="349"/>
      <c r="AGM2019" s="349"/>
      <c r="AGN2019" s="349"/>
      <c r="AGO2019" s="349"/>
      <c r="AGP2019" s="349"/>
      <c r="AGQ2019" s="349"/>
      <c r="AGR2019" s="349"/>
      <c r="AGS2019" s="349"/>
      <c r="AGT2019" s="349"/>
      <c r="AGU2019" s="349"/>
      <c r="AGV2019" s="349"/>
      <c r="AGW2019" s="349"/>
      <c r="AGX2019" s="349"/>
      <c r="AGY2019" s="349"/>
      <c r="AGZ2019" s="349"/>
      <c r="AHA2019" s="349"/>
      <c r="AHB2019" s="349"/>
      <c r="AHC2019" s="349"/>
      <c r="AHD2019" s="349"/>
      <c r="AHE2019" s="349"/>
      <c r="AHF2019" s="349"/>
      <c r="AHG2019" s="349"/>
      <c r="AHH2019" s="349"/>
      <c r="AHI2019" s="349"/>
      <c r="AHJ2019" s="349"/>
      <c r="AHK2019" s="349"/>
      <c r="AHL2019" s="349"/>
      <c r="AHM2019" s="349"/>
      <c r="AHN2019" s="349"/>
      <c r="AHO2019" s="349"/>
      <c r="AHP2019" s="349"/>
      <c r="AHQ2019" s="349"/>
      <c r="AHR2019" s="349"/>
      <c r="AHS2019" s="349"/>
      <c r="AHT2019" s="349"/>
      <c r="AHU2019" s="349"/>
      <c r="AHV2019" s="349"/>
      <c r="AHW2019" s="349"/>
      <c r="AHX2019" s="349"/>
      <c r="AHY2019" s="349"/>
      <c r="AHZ2019" s="349"/>
      <c r="AIA2019" s="349"/>
      <c r="AIB2019" s="349"/>
      <c r="AIC2019" s="349"/>
      <c r="AID2019" s="349"/>
      <c r="AIE2019" s="349"/>
      <c r="AIF2019" s="349"/>
      <c r="AIG2019" s="349"/>
      <c r="AIH2019" s="349"/>
      <c r="AII2019" s="349"/>
      <c r="AIJ2019" s="349"/>
      <c r="AIK2019" s="349"/>
      <c r="AIL2019" s="349"/>
      <c r="AIM2019" s="349"/>
      <c r="AIN2019" s="349"/>
      <c r="AIO2019" s="349"/>
      <c r="AIP2019" s="349"/>
      <c r="AIQ2019" s="349"/>
      <c r="AIR2019" s="349"/>
      <c r="AIS2019" s="349"/>
      <c r="AIT2019" s="349"/>
      <c r="AIU2019" s="349"/>
      <c r="AIV2019" s="349"/>
      <c r="AIW2019" s="349"/>
      <c r="AIX2019" s="349"/>
      <c r="AIY2019" s="349"/>
      <c r="AIZ2019" s="349"/>
      <c r="AJA2019" s="349"/>
      <c r="AJB2019" s="349"/>
      <c r="AJC2019" s="349"/>
      <c r="AJD2019" s="349"/>
      <c r="AJE2019" s="349"/>
      <c r="AJF2019" s="349"/>
      <c r="AJG2019" s="349"/>
      <c r="AJH2019" s="349"/>
      <c r="AJI2019" s="349"/>
      <c r="AJJ2019" s="349"/>
      <c r="AJK2019" s="349"/>
      <c r="AJL2019" s="349"/>
      <c r="AJM2019" s="349"/>
      <c r="AJN2019" s="349"/>
      <c r="AJO2019" s="349"/>
      <c r="AJP2019" s="349"/>
      <c r="AJQ2019" s="349"/>
      <c r="AJR2019" s="349"/>
      <c r="AJS2019" s="349"/>
      <c r="AJT2019" s="349"/>
      <c r="AJU2019" s="349"/>
      <c r="AJV2019" s="349"/>
      <c r="AJW2019" s="349"/>
      <c r="AJX2019" s="349"/>
      <c r="AJY2019" s="349"/>
      <c r="AJZ2019" s="349"/>
      <c r="AKA2019" s="349"/>
      <c r="AKB2019" s="349"/>
      <c r="AKC2019" s="349"/>
      <c r="AKD2019" s="349"/>
      <c r="AKE2019" s="349"/>
      <c r="AKF2019" s="349"/>
      <c r="AKG2019" s="349"/>
      <c r="AKH2019" s="349"/>
      <c r="AKI2019" s="349"/>
      <c r="AKJ2019" s="349"/>
      <c r="AKK2019" s="349"/>
      <c r="AKL2019" s="349"/>
      <c r="AKM2019" s="349"/>
      <c r="AKN2019" s="349"/>
      <c r="AKO2019" s="349"/>
      <c r="AKP2019" s="349"/>
      <c r="AKQ2019" s="349"/>
      <c r="AKR2019" s="349"/>
      <c r="AKS2019" s="349"/>
      <c r="AKT2019" s="349"/>
      <c r="AKU2019" s="349"/>
      <c r="AKV2019" s="349"/>
      <c r="AKW2019" s="349"/>
      <c r="AKX2019" s="349"/>
      <c r="AKY2019" s="349"/>
      <c r="AKZ2019" s="349"/>
      <c r="ALA2019" s="349"/>
      <c r="ALB2019" s="349"/>
      <c r="ALC2019" s="349"/>
      <c r="ALD2019" s="349"/>
      <c r="ALE2019" s="349"/>
      <c r="ALF2019" s="349"/>
      <c r="ALG2019" s="349"/>
      <c r="ALH2019" s="349"/>
      <c r="ALI2019" s="349"/>
      <c r="ALJ2019" s="349"/>
      <c r="ALK2019" s="349"/>
      <c r="ALL2019" s="349"/>
      <c r="ALM2019" s="349"/>
      <c r="ALN2019" s="349"/>
      <c r="ALO2019" s="349"/>
      <c r="ALP2019" s="349"/>
      <c r="ALQ2019" s="349"/>
      <c r="ALR2019" s="349"/>
      <c r="ALS2019" s="349"/>
      <c r="ALT2019" s="349"/>
      <c r="ALU2019" s="349"/>
      <c r="ALV2019" s="349"/>
      <c r="ALW2019" s="349"/>
      <c r="ALX2019" s="349"/>
      <c r="ALY2019" s="349"/>
      <c r="ALZ2019" s="349"/>
      <c r="AMA2019" s="349"/>
      <c r="AMB2019" s="349"/>
      <c r="AMC2019" s="349"/>
      <c r="AMD2019" s="349"/>
      <c r="AME2019" s="349"/>
      <c r="AMF2019" s="349"/>
      <c r="AMG2019" s="349"/>
      <c r="AMH2019" s="349"/>
      <c r="AMI2019" s="349"/>
      <c r="AMJ2019" s="349"/>
      <c r="AMK2019" s="349"/>
      <c r="AML2019" s="349"/>
      <c r="AMM2019" s="349"/>
      <c r="AMN2019" s="349"/>
      <c r="AMO2019" s="349"/>
      <c r="AMP2019" s="349"/>
      <c r="AMQ2019" s="349"/>
      <c r="AMR2019" s="349"/>
      <c r="AMS2019" s="349"/>
      <c r="AMT2019" s="349"/>
      <c r="AMU2019" s="349"/>
      <c r="AMV2019" s="349"/>
      <c r="AMW2019" s="349"/>
      <c r="AMX2019" s="349"/>
      <c r="AMY2019" s="349"/>
      <c r="AMZ2019" s="349"/>
      <c r="ANA2019" s="349"/>
      <c r="ANB2019" s="349"/>
      <c r="ANC2019" s="349"/>
      <c r="AND2019" s="349"/>
      <c r="ANE2019" s="349"/>
      <c r="ANF2019" s="349"/>
      <c r="ANG2019" s="349"/>
      <c r="ANH2019" s="349"/>
      <c r="ANI2019" s="349"/>
      <c r="ANJ2019" s="349"/>
      <c r="ANK2019" s="349"/>
      <c r="ANL2019" s="349"/>
      <c r="ANM2019" s="349"/>
      <c r="ANN2019" s="349"/>
      <c r="ANO2019" s="349"/>
      <c r="ANP2019" s="349"/>
      <c r="ANQ2019" s="349"/>
      <c r="ANR2019" s="349"/>
      <c r="ANS2019" s="349"/>
      <c r="ANT2019" s="349"/>
      <c r="ANU2019" s="349"/>
      <c r="ANV2019" s="349"/>
      <c r="ANW2019" s="349"/>
      <c r="ANX2019" s="349"/>
      <c r="ANY2019" s="349"/>
      <c r="ANZ2019" s="349"/>
      <c r="AOA2019" s="349"/>
      <c r="AOB2019" s="349"/>
      <c r="AOC2019" s="349"/>
      <c r="AOD2019" s="349"/>
      <c r="AOE2019" s="349"/>
      <c r="AOF2019" s="349"/>
      <c r="AOG2019" s="349"/>
      <c r="AOH2019" s="349"/>
      <c r="AOI2019" s="349"/>
      <c r="AOJ2019" s="349"/>
      <c r="AOK2019" s="349"/>
      <c r="AOL2019" s="349"/>
      <c r="AOM2019" s="349"/>
      <c r="AON2019" s="349"/>
      <c r="AOO2019" s="349"/>
      <c r="AOP2019" s="349"/>
      <c r="AOQ2019" s="349"/>
      <c r="AOR2019" s="349"/>
      <c r="AOS2019" s="349"/>
      <c r="AOT2019" s="349"/>
      <c r="AOU2019" s="349"/>
      <c r="AOV2019" s="349"/>
      <c r="AOW2019" s="349"/>
      <c r="AOX2019" s="349"/>
      <c r="AOY2019" s="349"/>
      <c r="AOZ2019" s="349"/>
      <c r="APA2019" s="349"/>
      <c r="APB2019" s="349"/>
      <c r="APC2019" s="349"/>
      <c r="APD2019" s="349"/>
      <c r="APE2019" s="349"/>
      <c r="APF2019" s="349"/>
      <c r="APG2019" s="349"/>
      <c r="APH2019" s="349"/>
      <c r="API2019" s="349"/>
      <c r="APJ2019" s="349"/>
      <c r="APK2019" s="349"/>
      <c r="APL2019" s="349"/>
      <c r="APM2019" s="349"/>
      <c r="APN2019" s="349"/>
      <c r="APO2019" s="349"/>
      <c r="APP2019" s="349"/>
      <c r="APQ2019" s="349"/>
      <c r="APR2019" s="349"/>
      <c r="APS2019" s="349"/>
      <c r="APT2019" s="349"/>
      <c r="APU2019" s="349"/>
      <c r="APV2019" s="349"/>
      <c r="APW2019" s="349"/>
      <c r="APX2019" s="349"/>
      <c r="APY2019" s="349"/>
      <c r="APZ2019" s="349"/>
      <c r="AQA2019" s="349"/>
      <c r="AQB2019" s="349"/>
      <c r="AQC2019" s="349"/>
      <c r="AQD2019" s="349"/>
      <c r="AQE2019" s="349"/>
      <c r="AQF2019" s="349"/>
      <c r="AQG2019" s="349"/>
      <c r="AQH2019" s="349"/>
      <c r="AQI2019" s="349"/>
      <c r="AQJ2019" s="349"/>
      <c r="AQK2019" s="349"/>
      <c r="AQL2019" s="349"/>
      <c r="AQM2019" s="349"/>
      <c r="AQN2019" s="349"/>
      <c r="AQO2019" s="349"/>
      <c r="AQP2019" s="349"/>
      <c r="AQQ2019" s="349"/>
      <c r="AQR2019" s="349"/>
      <c r="AQS2019" s="349"/>
      <c r="AQT2019" s="349"/>
      <c r="AQU2019" s="349"/>
      <c r="AQV2019" s="349"/>
      <c r="AQW2019" s="349"/>
      <c r="AQX2019" s="349"/>
      <c r="AQY2019" s="349"/>
      <c r="AQZ2019" s="349"/>
      <c r="ARA2019" s="349"/>
      <c r="ARB2019" s="349"/>
      <c r="ARC2019" s="349"/>
      <c r="ARD2019" s="349"/>
      <c r="ARE2019" s="349"/>
      <c r="ARF2019" s="349"/>
      <c r="ARG2019" s="349"/>
      <c r="ARH2019" s="349"/>
      <c r="ARI2019" s="349"/>
      <c r="ARJ2019" s="349"/>
      <c r="ARK2019" s="349"/>
      <c r="ARL2019" s="349"/>
      <c r="ARM2019" s="349"/>
      <c r="ARN2019" s="349"/>
      <c r="ARO2019" s="349"/>
      <c r="ARP2019" s="349"/>
      <c r="ARQ2019" s="349"/>
      <c r="ARR2019" s="349"/>
      <c r="ARS2019" s="349"/>
      <c r="ART2019" s="349"/>
      <c r="ARU2019" s="349"/>
      <c r="ARV2019" s="349"/>
      <c r="ARW2019" s="349"/>
      <c r="ARX2019" s="349"/>
      <c r="ARY2019" s="349"/>
      <c r="ARZ2019" s="349"/>
      <c r="ASA2019" s="349"/>
      <c r="ASB2019" s="349"/>
      <c r="ASC2019" s="349"/>
      <c r="ASD2019" s="349"/>
      <c r="ASE2019" s="349"/>
      <c r="ASF2019" s="349"/>
      <c r="ASG2019" s="349"/>
      <c r="ASH2019" s="349"/>
      <c r="ASI2019" s="349"/>
      <c r="ASJ2019" s="349"/>
      <c r="ASK2019" s="349"/>
      <c r="ASL2019" s="349"/>
      <c r="ASM2019" s="349"/>
      <c r="ASN2019" s="349"/>
      <c r="ASO2019" s="349"/>
      <c r="ASP2019" s="349"/>
      <c r="ASQ2019" s="349"/>
      <c r="ASR2019" s="349"/>
      <c r="ASS2019" s="349"/>
      <c r="AST2019" s="349"/>
      <c r="ASU2019" s="349"/>
      <c r="ASV2019" s="349"/>
      <c r="ASW2019" s="349"/>
      <c r="ASX2019" s="349"/>
      <c r="ASY2019" s="349"/>
      <c r="ASZ2019" s="349"/>
      <c r="ATA2019" s="349"/>
      <c r="ATB2019" s="349"/>
      <c r="ATC2019" s="349"/>
      <c r="ATD2019" s="349"/>
      <c r="ATE2019" s="349"/>
      <c r="ATF2019" s="349"/>
      <c r="ATG2019" s="349"/>
      <c r="ATH2019" s="349"/>
      <c r="ATI2019" s="349"/>
      <c r="ATJ2019" s="349"/>
      <c r="ATK2019" s="349"/>
      <c r="ATL2019" s="349"/>
      <c r="ATM2019" s="349"/>
      <c r="ATN2019" s="349"/>
      <c r="ATO2019" s="349"/>
      <c r="ATP2019" s="349"/>
      <c r="ATQ2019" s="349"/>
      <c r="ATR2019" s="349"/>
      <c r="ATS2019" s="349"/>
      <c r="ATT2019" s="349"/>
      <c r="ATU2019" s="349"/>
      <c r="ATV2019" s="349"/>
      <c r="ATW2019" s="349"/>
      <c r="ATX2019" s="349"/>
      <c r="ATY2019" s="349"/>
      <c r="ATZ2019" s="349"/>
      <c r="AUA2019" s="349"/>
      <c r="AUB2019" s="349"/>
      <c r="AUC2019" s="349"/>
      <c r="AUD2019" s="349"/>
      <c r="AUE2019" s="349"/>
      <c r="AUF2019" s="349"/>
      <c r="AUG2019" s="349"/>
      <c r="AUH2019" s="349"/>
      <c r="AUI2019" s="349"/>
      <c r="AUJ2019" s="349"/>
      <c r="AUK2019" s="349"/>
      <c r="AUL2019" s="349"/>
      <c r="AUM2019" s="349"/>
      <c r="AUN2019" s="349"/>
      <c r="AUO2019" s="349"/>
      <c r="AUP2019" s="349"/>
      <c r="AUQ2019" s="349"/>
      <c r="AUR2019" s="349"/>
      <c r="AUS2019" s="349"/>
      <c r="AUT2019" s="349"/>
      <c r="AUU2019" s="349"/>
      <c r="AUV2019" s="349"/>
      <c r="AUW2019" s="349"/>
      <c r="AUX2019" s="349"/>
      <c r="AUY2019" s="349"/>
      <c r="AUZ2019" s="349"/>
      <c r="AVA2019" s="349"/>
      <c r="AVB2019" s="349"/>
      <c r="AVC2019" s="349"/>
      <c r="AVD2019" s="349"/>
      <c r="AVE2019" s="349"/>
      <c r="AVF2019" s="349"/>
      <c r="AVG2019" s="349"/>
      <c r="AVH2019" s="349"/>
      <c r="AVI2019" s="349"/>
      <c r="AVJ2019" s="349"/>
      <c r="AVK2019" s="349"/>
      <c r="AVL2019" s="349"/>
      <c r="AVM2019" s="349"/>
      <c r="AVN2019" s="349"/>
      <c r="AVO2019" s="349"/>
      <c r="AVP2019" s="349"/>
      <c r="AVQ2019" s="349"/>
      <c r="AVR2019" s="349"/>
      <c r="AVS2019" s="349"/>
      <c r="AVT2019" s="349"/>
      <c r="AVU2019" s="349"/>
      <c r="AVV2019" s="349"/>
      <c r="AVW2019" s="349"/>
      <c r="AVX2019" s="349"/>
      <c r="AVY2019" s="349"/>
      <c r="AVZ2019" s="349"/>
      <c r="AWA2019" s="349"/>
      <c r="AWB2019" s="349"/>
      <c r="AWC2019" s="349"/>
      <c r="AWD2019" s="349"/>
      <c r="AWE2019" s="349"/>
      <c r="AWF2019" s="349"/>
      <c r="AWG2019" s="349"/>
      <c r="AWH2019" s="349"/>
      <c r="AWI2019" s="349"/>
      <c r="AWJ2019" s="349"/>
      <c r="AWK2019" s="349"/>
      <c r="AWL2019" s="349"/>
      <c r="AWM2019" s="349"/>
      <c r="AWN2019" s="349"/>
      <c r="AWO2019" s="349"/>
      <c r="AWP2019" s="349"/>
      <c r="AWQ2019" s="349"/>
      <c r="AWR2019" s="349"/>
      <c r="AWS2019" s="349"/>
      <c r="AWT2019" s="349"/>
      <c r="AWU2019" s="349"/>
      <c r="AWV2019" s="349"/>
      <c r="AWW2019" s="349"/>
      <c r="AWX2019" s="349"/>
      <c r="AWY2019" s="349"/>
      <c r="AWZ2019" s="349"/>
      <c r="AXA2019" s="349"/>
      <c r="AXB2019" s="349"/>
      <c r="AXC2019" s="349"/>
      <c r="AXD2019" s="349"/>
      <c r="AXE2019" s="349"/>
      <c r="AXF2019" s="349"/>
      <c r="AXG2019" s="349"/>
      <c r="AXH2019" s="349"/>
      <c r="AXI2019" s="349"/>
      <c r="AXJ2019" s="349"/>
      <c r="AXK2019" s="349"/>
      <c r="AXL2019" s="349"/>
      <c r="AXM2019" s="349"/>
      <c r="AXN2019" s="349"/>
      <c r="AXO2019" s="349"/>
      <c r="AXP2019" s="349"/>
      <c r="AXQ2019" s="349"/>
      <c r="AXR2019" s="349"/>
      <c r="AXS2019" s="349"/>
      <c r="AXT2019" s="349"/>
      <c r="AXU2019" s="349"/>
      <c r="AXV2019" s="349"/>
      <c r="AXW2019" s="349"/>
      <c r="AXX2019" s="349"/>
      <c r="AXY2019" s="349"/>
      <c r="AXZ2019" s="349"/>
      <c r="AYA2019" s="349"/>
      <c r="AYB2019" s="349"/>
      <c r="AYC2019" s="349"/>
      <c r="AYD2019" s="349"/>
      <c r="AYE2019" s="349"/>
      <c r="AYF2019" s="349"/>
      <c r="AYG2019" s="349"/>
      <c r="AYH2019" s="349"/>
      <c r="AYI2019" s="349"/>
      <c r="AYJ2019" s="349"/>
      <c r="AYK2019" s="349"/>
      <c r="AYL2019" s="349"/>
      <c r="AYM2019" s="349"/>
      <c r="AYN2019" s="349"/>
      <c r="AYO2019" s="349"/>
      <c r="AYP2019" s="349"/>
      <c r="AYQ2019" s="349"/>
      <c r="AYR2019" s="349"/>
      <c r="AYS2019" s="349"/>
      <c r="AYT2019" s="349"/>
      <c r="AYU2019" s="349"/>
      <c r="AYV2019" s="349"/>
      <c r="AYW2019" s="349"/>
      <c r="AYX2019" s="349"/>
      <c r="AYY2019" s="349"/>
      <c r="AYZ2019" s="349"/>
      <c r="AZA2019" s="349"/>
      <c r="AZB2019" s="349"/>
      <c r="AZC2019" s="349"/>
      <c r="AZD2019" s="349"/>
      <c r="AZE2019" s="349"/>
      <c r="AZF2019" s="349"/>
      <c r="AZG2019" s="349"/>
      <c r="AZH2019" s="349"/>
      <c r="AZI2019" s="349"/>
      <c r="AZJ2019" s="349"/>
      <c r="AZK2019" s="349"/>
      <c r="AZL2019" s="349"/>
      <c r="AZM2019" s="349"/>
      <c r="AZN2019" s="349"/>
      <c r="AZO2019" s="349"/>
      <c r="AZP2019" s="349"/>
      <c r="AZQ2019" s="349"/>
      <c r="AZR2019" s="349"/>
      <c r="AZS2019" s="349"/>
      <c r="AZT2019" s="349"/>
      <c r="AZU2019" s="349"/>
      <c r="AZV2019" s="349"/>
      <c r="AZW2019" s="349"/>
      <c r="AZX2019" s="349"/>
      <c r="AZY2019" s="349"/>
      <c r="AZZ2019" s="349"/>
      <c r="BAA2019" s="349"/>
      <c r="BAB2019" s="349"/>
      <c r="BAC2019" s="349"/>
      <c r="BAD2019" s="349"/>
      <c r="BAE2019" s="349"/>
      <c r="BAF2019" s="349"/>
      <c r="BAG2019" s="349"/>
      <c r="BAH2019" s="349"/>
      <c r="BAI2019" s="349"/>
      <c r="BAJ2019" s="349"/>
      <c r="BAK2019" s="349"/>
      <c r="BAL2019" s="349"/>
      <c r="BAM2019" s="349"/>
      <c r="BAN2019" s="349"/>
      <c r="BAO2019" s="349"/>
      <c r="BAP2019" s="349"/>
      <c r="BAQ2019" s="349"/>
      <c r="BAR2019" s="349"/>
      <c r="BAS2019" s="349"/>
      <c r="BAT2019" s="349"/>
      <c r="BAU2019" s="349"/>
      <c r="BAV2019" s="349"/>
      <c r="BAW2019" s="349"/>
      <c r="BAX2019" s="349"/>
      <c r="BAY2019" s="349"/>
      <c r="BAZ2019" s="349"/>
      <c r="BBA2019" s="349"/>
      <c r="BBB2019" s="349"/>
      <c r="BBC2019" s="349"/>
      <c r="BBD2019" s="349"/>
      <c r="BBE2019" s="349"/>
      <c r="BBF2019" s="349"/>
      <c r="BBG2019" s="349"/>
      <c r="BBH2019" s="349"/>
      <c r="BBI2019" s="349"/>
      <c r="BBJ2019" s="349"/>
      <c r="BBK2019" s="349"/>
      <c r="BBL2019" s="349"/>
      <c r="BBM2019" s="349"/>
      <c r="BBN2019" s="349"/>
      <c r="BBO2019" s="349"/>
      <c r="BBP2019" s="349"/>
      <c r="BBQ2019" s="349"/>
      <c r="BBR2019" s="349"/>
      <c r="BBS2019" s="349"/>
      <c r="BBT2019" s="349"/>
      <c r="BBU2019" s="349"/>
      <c r="BBV2019" s="349"/>
      <c r="BBW2019" s="349"/>
      <c r="BBX2019" s="349"/>
      <c r="BBY2019" s="349"/>
      <c r="BBZ2019" s="349"/>
      <c r="BCA2019" s="349"/>
      <c r="BCB2019" s="349"/>
      <c r="BCC2019" s="349"/>
      <c r="BCD2019" s="349"/>
      <c r="BCE2019" s="349"/>
      <c r="BCF2019" s="349"/>
      <c r="BCG2019" s="349"/>
      <c r="BCH2019" s="349"/>
      <c r="BCI2019" s="349"/>
      <c r="BCJ2019" s="349"/>
      <c r="BCK2019" s="349"/>
      <c r="BCL2019" s="349"/>
      <c r="BCM2019" s="349"/>
      <c r="BCN2019" s="349"/>
      <c r="BCO2019" s="349"/>
      <c r="BCP2019" s="349"/>
      <c r="BCQ2019" s="349"/>
      <c r="BCR2019" s="349"/>
      <c r="BCS2019" s="349"/>
      <c r="BCT2019" s="349"/>
      <c r="BCU2019" s="349"/>
      <c r="BCV2019" s="349"/>
      <c r="BCW2019" s="349"/>
      <c r="BCX2019" s="349"/>
      <c r="BCY2019" s="349"/>
      <c r="BCZ2019" s="349"/>
      <c r="BDA2019" s="349"/>
      <c r="BDB2019" s="349"/>
      <c r="BDC2019" s="349"/>
      <c r="BDD2019" s="349"/>
      <c r="BDE2019" s="349"/>
      <c r="BDF2019" s="349"/>
      <c r="BDG2019" s="349"/>
      <c r="BDH2019" s="349"/>
      <c r="BDI2019" s="349"/>
      <c r="BDJ2019" s="349"/>
      <c r="BDK2019" s="349"/>
      <c r="BDL2019" s="349"/>
      <c r="BDM2019" s="349"/>
      <c r="BDN2019" s="349"/>
      <c r="BDO2019" s="349"/>
      <c r="BDP2019" s="349"/>
      <c r="BDQ2019" s="349"/>
      <c r="BDR2019" s="349"/>
      <c r="BDS2019" s="349"/>
      <c r="BDT2019" s="349"/>
      <c r="BDU2019" s="349"/>
      <c r="BDV2019" s="349"/>
      <c r="BDW2019" s="349"/>
      <c r="BDX2019" s="349"/>
      <c r="BDY2019" s="349"/>
      <c r="BDZ2019" s="349"/>
      <c r="BEA2019" s="349"/>
      <c r="BEB2019" s="349"/>
      <c r="BEC2019" s="349"/>
      <c r="BED2019" s="349"/>
      <c r="BEE2019" s="349"/>
      <c r="BEF2019" s="349"/>
      <c r="BEG2019" s="349"/>
      <c r="BEH2019" s="349"/>
      <c r="BEI2019" s="349"/>
      <c r="BEJ2019" s="349"/>
      <c r="BEK2019" s="349"/>
      <c r="BEL2019" s="349"/>
      <c r="BEM2019" s="349"/>
      <c r="BEN2019" s="349"/>
      <c r="BEO2019" s="349"/>
      <c r="BEP2019" s="349"/>
      <c r="BEQ2019" s="349"/>
      <c r="BER2019" s="349"/>
      <c r="BES2019" s="349"/>
      <c r="BET2019" s="349"/>
      <c r="BEU2019" s="349"/>
      <c r="BEV2019" s="349"/>
      <c r="BEW2019" s="349"/>
      <c r="BEX2019" s="349"/>
      <c r="BEY2019" s="349"/>
      <c r="BEZ2019" s="349"/>
      <c r="BFA2019" s="349"/>
      <c r="BFB2019" s="349"/>
      <c r="BFC2019" s="349"/>
      <c r="BFD2019" s="349"/>
      <c r="BFE2019" s="349"/>
      <c r="BFF2019" s="349"/>
      <c r="BFG2019" s="349"/>
      <c r="BFH2019" s="349"/>
      <c r="BFI2019" s="349"/>
      <c r="BFJ2019" s="349"/>
      <c r="BFK2019" s="349"/>
      <c r="BFL2019" s="349"/>
      <c r="BFM2019" s="349"/>
      <c r="BFN2019" s="349"/>
      <c r="BFO2019" s="349"/>
      <c r="BFP2019" s="349"/>
      <c r="BFQ2019" s="349"/>
      <c r="BFR2019" s="349"/>
      <c r="BFS2019" s="349"/>
      <c r="BFT2019" s="349"/>
      <c r="BFU2019" s="349"/>
      <c r="BFV2019" s="349"/>
      <c r="BFW2019" s="349"/>
      <c r="BFX2019" s="349"/>
      <c r="BFY2019" s="349"/>
      <c r="BFZ2019" s="349"/>
      <c r="BGA2019" s="349"/>
      <c r="BGB2019" s="349"/>
      <c r="BGC2019" s="349"/>
      <c r="BGD2019" s="349"/>
      <c r="BGE2019" s="349"/>
      <c r="BGF2019" s="349"/>
      <c r="BGG2019" s="349"/>
      <c r="BGH2019" s="349"/>
      <c r="BGI2019" s="349"/>
      <c r="BGJ2019" s="349"/>
      <c r="BGK2019" s="349"/>
      <c r="BGL2019" s="349"/>
      <c r="BGM2019" s="349"/>
      <c r="BGN2019" s="349"/>
      <c r="BGO2019" s="349"/>
      <c r="BGP2019" s="349"/>
      <c r="BGQ2019" s="349"/>
      <c r="BGR2019" s="349"/>
      <c r="BGS2019" s="349"/>
      <c r="BGT2019" s="349"/>
      <c r="BGU2019" s="349"/>
      <c r="BGV2019" s="349"/>
      <c r="BGW2019" s="349"/>
      <c r="BGX2019" s="349"/>
      <c r="BGY2019" s="349"/>
      <c r="BGZ2019" s="349"/>
      <c r="BHA2019" s="349"/>
      <c r="BHB2019" s="349"/>
      <c r="BHC2019" s="349"/>
      <c r="BHD2019" s="349"/>
      <c r="BHE2019" s="349"/>
      <c r="BHF2019" s="349"/>
      <c r="BHG2019" s="349"/>
      <c r="BHH2019" s="349"/>
      <c r="BHI2019" s="349"/>
      <c r="BHJ2019" s="349"/>
      <c r="BHK2019" s="349"/>
      <c r="BHL2019" s="349"/>
      <c r="BHM2019" s="349"/>
      <c r="BHN2019" s="349"/>
      <c r="BHO2019" s="349"/>
      <c r="BHP2019" s="349"/>
      <c r="BHQ2019" s="349"/>
      <c r="BHR2019" s="349"/>
      <c r="BHS2019" s="349"/>
      <c r="BHT2019" s="349"/>
      <c r="BHU2019" s="349"/>
      <c r="BHV2019" s="349"/>
      <c r="BHW2019" s="349"/>
      <c r="BHX2019" s="349"/>
      <c r="BHY2019" s="349"/>
      <c r="BHZ2019" s="349"/>
      <c r="BIA2019" s="349"/>
      <c r="BIB2019" s="349"/>
      <c r="BIC2019" s="349"/>
      <c r="BID2019" s="349"/>
      <c r="BIE2019" s="349"/>
      <c r="BIF2019" s="349"/>
      <c r="BIG2019" s="349"/>
      <c r="BIH2019" s="349"/>
      <c r="BII2019" s="349"/>
      <c r="BIJ2019" s="349"/>
      <c r="BIK2019" s="349"/>
      <c r="BIL2019" s="349"/>
      <c r="BIM2019" s="349"/>
      <c r="BIN2019" s="349"/>
      <c r="BIO2019" s="349"/>
      <c r="BIP2019" s="349"/>
      <c r="BIQ2019" s="349"/>
      <c r="BIR2019" s="349"/>
      <c r="BIS2019" s="349"/>
      <c r="BIT2019" s="349"/>
      <c r="BIU2019" s="349"/>
      <c r="BIV2019" s="349"/>
      <c r="BIW2019" s="349"/>
      <c r="BIX2019" s="349"/>
      <c r="BIY2019" s="349"/>
      <c r="BIZ2019" s="349"/>
      <c r="BJA2019" s="349"/>
      <c r="BJB2019" s="349"/>
      <c r="BJC2019" s="349"/>
      <c r="BJD2019" s="349"/>
      <c r="BJE2019" s="349"/>
      <c r="BJF2019" s="349"/>
      <c r="BJG2019" s="349"/>
      <c r="BJH2019" s="349"/>
      <c r="BJI2019" s="349"/>
      <c r="BJJ2019" s="349"/>
      <c r="BJK2019" s="349"/>
      <c r="BJL2019" s="349"/>
      <c r="BJM2019" s="349"/>
      <c r="BJN2019" s="349"/>
      <c r="BJO2019" s="349"/>
      <c r="BJP2019" s="349"/>
      <c r="BJQ2019" s="349"/>
      <c r="BJR2019" s="349"/>
      <c r="BJS2019" s="349"/>
      <c r="BJT2019" s="349"/>
      <c r="BJU2019" s="349"/>
      <c r="BJV2019" s="349"/>
      <c r="BJW2019" s="349"/>
      <c r="BJX2019" s="349"/>
      <c r="BJY2019" s="349"/>
      <c r="BJZ2019" s="349"/>
      <c r="BKA2019" s="349"/>
      <c r="BKB2019" s="349"/>
      <c r="BKC2019" s="349"/>
      <c r="BKD2019" s="349"/>
      <c r="BKE2019" s="349"/>
      <c r="BKF2019" s="349"/>
      <c r="BKG2019" s="349"/>
      <c r="BKH2019" s="349"/>
      <c r="BKI2019" s="349"/>
      <c r="BKJ2019" s="349"/>
      <c r="BKK2019" s="349"/>
      <c r="BKL2019" s="349"/>
      <c r="BKM2019" s="349"/>
      <c r="BKN2019" s="349"/>
      <c r="BKO2019" s="349"/>
      <c r="BKP2019" s="349"/>
      <c r="BKQ2019" s="349"/>
      <c r="BKR2019" s="349"/>
      <c r="BKS2019" s="349"/>
      <c r="BKT2019" s="349"/>
      <c r="BKU2019" s="349"/>
      <c r="BKV2019" s="349"/>
      <c r="BKW2019" s="349"/>
      <c r="BKX2019" s="349"/>
      <c r="BKY2019" s="349"/>
      <c r="BKZ2019" s="349"/>
      <c r="BLA2019" s="349"/>
      <c r="BLB2019" s="349"/>
      <c r="BLC2019" s="349"/>
      <c r="BLD2019" s="349"/>
      <c r="BLE2019" s="349"/>
      <c r="BLF2019" s="349"/>
      <c r="BLG2019" s="349"/>
      <c r="BLH2019" s="349"/>
      <c r="BLI2019" s="349"/>
      <c r="BLJ2019" s="349"/>
      <c r="BLK2019" s="349"/>
      <c r="BLL2019" s="349"/>
      <c r="BLM2019" s="349"/>
      <c r="BLN2019" s="349"/>
      <c r="BLO2019" s="349"/>
      <c r="BLP2019" s="349"/>
      <c r="BLQ2019" s="349"/>
      <c r="BLR2019" s="349"/>
      <c r="BLS2019" s="349"/>
      <c r="BLT2019" s="349"/>
      <c r="BLU2019" s="349"/>
      <c r="BLV2019" s="349"/>
      <c r="BLW2019" s="349"/>
      <c r="BLX2019" s="349"/>
      <c r="BLY2019" s="349"/>
      <c r="BLZ2019" s="349"/>
      <c r="BMA2019" s="349"/>
      <c r="BMB2019" s="349"/>
      <c r="BMC2019" s="349"/>
      <c r="BMD2019" s="349"/>
      <c r="BME2019" s="349"/>
      <c r="BMF2019" s="349"/>
      <c r="BMG2019" s="349"/>
      <c r="BMH2019" s="349"/>
      <c r="BMI2019" s="349"/>
      <c r="BMJ2019" s="349"/>
      <c r="BMK2019" s="349"/>
      <c r="BML2019" s="349"/>
      <c r="BMM2019" s="349"/>
      <c r="BMN2019" s="349"/>
      <c r="BMO2019" s="349"/>
      <c r="BMP2019" s="349"/>
      <c r="BMQ2019" s="349"/>
      <c r="BMR2019" s="349"/>
      <c r="BMS2019" s="349"/>
      <c r="BMT2019" s="349"/>
      <c r="BMU2019" s="349"/>
      <c r="BMV2019" s="349"/>
      <c r="BMW2019" s="349"/>
      <c r="BMX2019" s="349"/>
      <c r="BMY2019" s="349"/>
      <c r="BMZ2019" s="349"/>
      <c r="BNA2019" s="349"/>
      <c r="BNB2019" s="349"/>
      <c r="BNC2019" s="349"/>
      <c r="BND2019" s="349"/>
      <c r="BNE2019" s="349"/>
      <c r="BNF2019" s="349"/>
      <c r="BNG2019" s="349"/>
      <c r="BNH2019" s="349"/>
      <c r="BNI2019" s="349"/>
      <c r="BNJ2019" s="349"/>
      <c r="BNK2019" s="349"/>
      <c r="BNL2019" s="349"/>
      <c r="BNM2019" s="349"/>
      <c r="BNN2019" s="349"/>
      <c r="BNO2019" s="349"/>
      <c r="BNP2019" s="349"/>
      <c r="BNQ2019" s="349"/>
      <c r="BNR2019" s="349"/>
      <c r="BNS2019" s="349"/>
      <c r="BNT2019" s="349"/>
      <c r="BNU2019" s="349"/>
      <c r="BNV2019" s="349"/>
      <c r="BNW2019" s="349"/>
      <c r="BNX2019" s="349"/>
      <c r="BNY2019" s="349"/>
      <c r="BNZ2019" s="349"/>
      <c r="BOA2019" s="349"/>
      <c r="BOB2019" s="349"/>
      <c r="BOC2019" s="349"/>
      <c r="BOD2019" s="349"/>
      <c r="BOE2019" s="349"/>
      <c r="BOF2019" s="349"/>
      <c r="BOG2019" s="349"/>
      <c r="BOH2019" s="349"/>
      <c r="BOI2019" s="349"/>
      <c r="BOJ2019" s="349"/>
      <c r="BOK2019" s="349"/>
      <c r="BOL2019" s="349"/>
      <c r="BOM2019" s="349"/>
      <c r="BON2019" s="349"/>
      <c r="BOO2019" s="349"/>
      <c r="BOP2019" s="349"/>
      <c r="BOQ2019" s="349"/>
      <c r="BOR2019" s="349"/>
      <c r="BOS2019" s="349"/>
      <c r="BOT2019" s="349"/>
      <c r="BOU2019" s="349"/>
      <c r="BOV2019" s="349"/>
      <c r="BOW2019" s="349"/>
      <c r="BOX2019" s="349"/>
      <c r="BOY2019" s="349"/>
      <c r="BOZ2019" s="349"/>
      <c r="BPA2019" s="349"/>
      <c r="BPB2019" s="349"/>
      <c r="BPC2019" s="349"/>
      <c r="BPD2019" s="349"/>
      <c r="BPE2019" s="349"/>
      <c r="BPF2019" s="349"/>
      <c r="BPG2019" s="349"/>
      <c r="BPH2019" s="349"/>
      <c r="BPI2019" s="349"/>
      <c r="BPJ2019" s="349"/>
      <c r="BPK2019" s="349"/>
      <c r="BPL2019" s="349"/>
      <c r="BPM2019" s="349"/>
      <c r="BPN2019" s="349"/>
      <c r="BPO2019" s="349"/>
      <c r="BPP2019" s="349"/>
      <c r="BPQ2019" s="349"/>
      <c r="BPR2019" s="349"/>
      <c r="BPS2019" s="349"/>
      <c r="BPT2019" s="349"/>
      <c r="BPU2019" s="349"/>
      <c r="BPV2019" s="349"/>
      <c r="BPW2019" s="349"/>
      <c r="BPX2019" s="349"/>
      <c r="BPY2019" s="349"/>
      <c r="BPZ2019" s="349"/>
      <c r="BQA2019" s="349"/>
      <c r="BQB2019" s="349"/>
      <c r="BQC2019" s="349"/>
      <c r="BQD2019" s="349"/>
      <c r="BQE2019" s="349"/>
      <c r="BQF2019" s="349"/>
      <c r="BQG2019" s="349"/>
      <c r="BQH2019" s="349"/>
      <c r="BQI2019" s="349"/>
      <c r="BQJ2019" s="349"/>
      <c r="BQK2019" s="349"/>
      <c r="BQL2019" s="349"/>
      <c r="BQM2019" s="349"/>
      <c r="BQN2019" s="349"/>
      <c r="BQO2019" s="349"/>
      <c r="BQP2019" s="349"/>
      <c r="BQQ2019" s="349"/>
      <c r="BQR2019" s="349"/>
      <c r="BQS2019" s="349"/>
      <c r="BQT2019" s="349"/>
      <c r="BQU2019" s="349"/>
      <c r="BQV2019" s="349"/>
      <c r="BQW2019" s="349"/>
      <c r="BQX2019" s="349"/>
      <c r="BQY2019" s="349"/>
      <c r="BQZ2019" s="349"/>
      <c r="BRA2019" s="349"/>
      <c r="BRB2019" s="349"/>
      <c r="BRC2019" s="349"/>
      <c r="BRD2019" s="349"/>
      <c r="BRE2019" s="349"/>
      <c r="BRF2019" s="349"/>
      <c r="BRG2019" s="349"/>
      <c r="BRH2019" s="349"/>
      <c r="BRI2019" s="349"/>
      <c r="BRJ2019" s="349"/>
      <c r="BRK2019" s="349"/>
      <c r="BRL2019" s="349"/>
      <c r="BRM2019" s="349"/>
      <c r="BRN2019" s="349"/>
      <c r="BRO2019" s="349"/>
      <c r="BRP2019" s="349"/>
      <c r="BRQ2019" s="349"/>
      <c r="BRR2019" s="349"/>
      <c r="BRS2019" s="349"/>
      <c r="BRT2019" s="349"/>
      <c r="BRU2019" s="349"/>
      <c r="BRV2019" s="349"/>
      <c r="BRW2019" s="349"/>
      <c r="BRX2019" s="349"/>
      <c r="BRY2019" s="349"/>
      <c r="BRZ2019" s="349"/>
      <c r="BSA2019" s="349"/>
      <c r="BSB2019" s="349"/>
      <c r="BSC2019" s="349"/>
      <c r="BSD2019" s="349"/>
      <c r="BSE2019" s="349"/>
      <c r="BSF2019" s="349"/>
      <c r="BSG2019" s="349"/>
      <c r="BSH2019" s="349"/>
      <c r="BSI2019" s="349"/>
      <c r="BSJ2019" s="349"/>
      <c r="BSK2019" s="349"/>
      <c r="BSL2019" s="349"/>
      <c r="BSM2019" s="349"/>
      <c r="BSN2019" s="349"/>
      <c r="BSO2019" s="349"/>
      <c r="BSP2019" s="349"/>
      <c r="BSQ2019" s="349"/>
      <c r="BSR2019" s="349"/>
      <c r="BSS2019" s="349"/>
      <c r="BST2019" s="349"/>
      <c r="BSU2019" s="349"/>
      <c r="BSV2019" s="349"/>
      <c r="BSW2019" s="349"/>
      <c r="BSX2019" s="349"/>
      <c r="BSY2019" s="349"/>
      <c r="BSZ2019" s="349"/>
      <c r="BTA2019" s="349"/>
      <c r="BTB2019" s="349"/>
      <c r="BTC2019" s="349"/>
      <c r="BTD2019" s="349"/>
      <c r="BTE2019" s="349"/>
      <c r="BTF2019" s="349"/>
      <c r="BTG2019" s="349"/>
      <c r="BTH2019" s="349"/>
      <c r="BTI2019" s="349"/>
      <c r="BTJ2019" s="349"/>
      <c r="BTK2019" s="349"/>
      <c r="BTL2019" s="349"/>
      <c r="BTM2019" s="349"/>
      <c r="BTN2019" s="349"/>
      <c r="BTO2019" s="349"/>
      <c r="BTP2019" s="349"/>
      <c r="BTQ2019" s="349"/>
      <c r="BTR2019" s="349"/>
      <c r="BTS2019" s="349"/>
      <c r="BTT2019" s="349"/>
      <c r="BTU2019" s="349"/>
      <c r="BTV2019" s="349"/>
      <c r="BTW2019" s="349"/>
      <c r="BTX2019" s="349"/>
      <c r="BTY2019" s="349"/>
      <c r="BTZ2019" s="349"/>
      <c r="BUA2019" s="349"/>
      <c r="BUB2019" s="349"/>
      <c r="BUC2019" s="349"/>
      <c r="BUD2019" s="349"/>
      <c r="BUE2019" s="349"/>
      <c r="BUF2019" s="349"/>
      <c r="BUG2019" s="349"/>
      <c r="BUH2019" s="349"/>
      <c r="BUI2019" s="349"/>
      <c r="BUJ2019" s="349"/>
      <c r="BUK2019" s="349"/>
      <c r="BUL2019" s="349"/>
      <c r="BUM2019" s="349"/>
      <c r="BUN2019" s="349"/>
      <c r="BUO2019" s="349"/>
      <c r="BUP2019" s="349"/>
      <c r="BUQ2019" s="349"/>
      <c r="BUR2019" s="349"/>
      <c r="BUS2019" s="349"/>
      <c r="BUT2019" s="349"/>
      <c r="BUU2019" s="349"/>
      <c r="BUV2019" s="349"/>
      <c r="BUW2019" s="349"/>
      <c r="BUX2019" s="349"/>
      <c r="BUY2019" s="349"/>
      <c r="BUZ2019" s="349"/>
      <c r="BVA2019" s="349"/>
      <c r="BVB2019" s="349"/>
      <c r="BVC2019" s="349"/>
      <c r="BVD2019" s="349"/>
      <c r="BVE2019" s="349"/>
      <c r="BVF2019" s="349"/>
      <c r="BVG2019" s="349"/>
      <c r="BVH2019" s="349"/>
      <c r="BVI2019" s="349"/>
      <c r="BVJ2019" s="349"/>
      <c r="BVK2019" s="349"/>
      <c r="BVL2019" s="349"/>
      <c r="BVM2019" s="349"/>
      <c r="BVN2019" s="349"/>
      <c r="BVO2019" s="349"/>
      <c r="BVP2019" s="349"/>
      <c r="BVQ2019" s="349"/>
      <c r="BVR2019" s="349"/>
      <c r="BVS2019" s="349"/>
      <c r="BVT2019" s="349"/>
      <c r="BVU2019" s="349"/>
      <c r="BVV2019" s="349"/>
      <c r="BVW2019" s="349"/>
      <c r="BVX2019" s="349"/>
      <c r="BVY2019" s="349"/>
      <c r="BVZ2019" s="349"/>
      <c r="BWA2019" s="349"/>
      <c r="BWB2019" s="349"/>
      <c r="BWC2019" s="349"/>
      <c r="BWD2019" s="349"/>
      <c r="BWE2019" s="349"/>
      <c r="BWF2019" s="349"/>
      <c r="BWG2019" s="349"/>
      <c r="BWH2019" s="349"/>
      <c r="BWI2019" s="349"/>
      <c r="BWJ2019" s="349"/>
      <c r="BWK2019" s="349"/>
      <c r="BWL2019" s="349"/>
      <c r="BWM2019" s="349"/>
      <c r="BWN2019" s="349"/>
      <c r="BWO2019" s="349"/>
      <c r="BWP2019" s="349"/>
      <c r="BWQ2019" s="349"/>
      <c r="BWR2019" s="349"/>
      <c r="BWS2019" s="349"/>
      <c r="BWT2019" s="349"/>
      <c r="BWU2019" s="349"/>
      <c r="BWV2019" s="349"/>
      <c r="BWW2019" s="349"/>
      <c r="BWX2019" s="349"/>
      <c r="BWY2019" s="349"/>
      <c r="BWZ2019" s="349"/>
      <c r="BXA2019" s="349"/>
      <c r="BXB2019" s="349"/>
      <c r="BXC2019" s="349"/>
      <c r="BXD2019" s="349"/>
      <c r="BXE2019" s="349"/>
      <c r="BXF2019" s="349"/>
      <c r="BXG2019" s="349"/>
      <c r="BXH2019" s="349"/>
      <c r="BXI2019" s="349"/>
      <c r="BXJ2019" s="349"/>
      <c r="BXK2019" s="349"/>
      <c r="BXL2019" s="349"/>
      <c r="BXM2019" s="349"/>
      <c r="BXN2019" s="349"/>
      <c r="BXO2019" s="349"/>
      <c r="BXP2019" s="349"/>
      <c r="BXQ2019" s="349"/>
      <c r="BXR2019" s="349"/>
      <c r="BXS2019" s="349"/>
      <c r="BXT2019" s="349"/>
      <c r="BXU2019" s="349"/>
      <c r="BXV2019" s="349"/>
      <c r="BXW2019" s="349"/>
      <c r="BXX2019" s="349"/>
      <c r="BXY2019" s="349"/>
      <c r="BXZ2019" s="349"/>
      <c r="BYA2019" s="349"/>
      <c r="BYB2019" s="349"/>
      <c r="BYC2019" s="349"/>
      <c r="BYD2019" s="349"/>
      <c r="BYE2019" s="349"/>
      <c r="BYF2019" s="349"/>
      <c r="BYG2019" s="349"/>
      <c r="BYH2019" s="349"/>
      <c r="BYI2019" s="349"/>
      <c r="BYJ2019" s="349"/>
      <c r="BYK2019" s="349"/>
      <c r="BYL2019" s="349"/>
      <c r="BYM2019" s="349"/>
      <c r="BYN2019" s="349"/>
      <c r="BYO2019" s="349"/>
      <c r="BYP2019" s="349"/>
      <c r="BYQ2019" s="349"/>
      <c r="BYR2019" s="349"/>
      <c r="BYS2019" s="349"/>
      <c r="BYT2019" s="349"/>
      <c r="BYU2019" s="349"/>
      <c r="BYV2019" s="349"/>
      <c r="BYW2019" s="349"/>
      <c r="BYX2019" s="349"/>
      <c r="BYY2019" s="349"/>
      <c r="BYZ2019" s="349"/>
      <c r="BZA2019" s="349"/>
      <c r="BZB2019" s="349"/>
      <c r="BZC2019" s="349"/>
      <c r="BZD2019" s="349"/>
      <c r="BZE2019" s="349"/>
      <c r="BZF2019" s="349"/>
      <c r="BZG2019" s="349"/>
      <c r="BZH2019" s="349"/>
      <c r="BZI2019" s="349"/>
      <c r="BZJ2019" s="349"/>
      <c r="BZK2019" s="349"/>
      <c r="BZL2019" s="349"/>
      <c r="BZM2019" s="349"/>
      <c r="BZN2019" s="349"/>
      <c r="BZO2019" s="349"/>
      <c r="BZP2019" s="349"/>
      <c r="BZQ2019" s="349"/>
      <c r="BZR2019" s="349"/>
      <c r="BZS2019" s="349"/>
      <c r="BZT2019" s="349"/>
      <c r="BZU2019" s="349"/>
      <c r="BZV2019" s="349"/>
      <c r="BZW2019" s="349"/>
      <c r="BZX2019" s="349"/>
      <c r="BZY2019" s="349"/>
      <c r="BZZ2019" s="349"/>
      <c r="CAA2019" s="349"/>
      <c r="CAB2019" s="349"/>
      <c r="CAC2019" s="349"/>
      <c r="CAD2019" s="349"/>
      <c r="CAE2019" s="349"/>
      <c r="CAF2019" s="349"/>
      <c r="CAG2019" s="349"/>
      <c r="CAH2019" s="349"/>
      <c r="CAI2019" s="349"/>
      <c r="CAJ2019" s="349"/>
      <c r="CAK2019" s="349"/>
      <c r="CAL2019" s="349"/>
      <c r="CAM2019" s="349"/>
      <c r="CAN2019" s="349"/>
      <c r="CAO2019" s="349"/>
      <c r="CAP2019" s="349"/>
      <c r="CAQ2019" s="349"/>
      <c r="CAR2019" s="349"/>
      <c r="CAS2019" s="349"/>
      <c r="CAT2019" s="349"/>
      <c r="CAU2019" s="349"/>
      <c r="CAV2019" s="349"/>
      <c r="CAW2019" s="349"/>
      <c r="CAX2019" s="349"/>
      <c r="CAY2019" s="349"/>
      <c r="CAZ2019" s="349"/>
      <c r="CBA2019" s="349"/>
      <c r="CBB2019" s="349"/>
      <c r="CBC2019" s="349"/>
      <c r="CBD2019" s="349"/>
      <c r="CBE2019" s="349"/>
      <c r="CBF2019" s="349"/>
      <c r="CBG2019" s="349"/>
      <c r="CBH2019" s="349"/>
      <c r="CBI2019" s="349"/>
      <c r="CBJ2019" s="349"/>
      <c r="CBK2019" s="349"/>
      <c r="CBL2019" s="349"/>
      <c r="CBM2019" s="349"/>
      <c r="CBN2019" s="349"/>
      <c r="CBO2019" s="349"/>
      <c r="CBP2019" s="349"/>
      <c r="CBQ2019" s="349"/>
      <c r="CBR2019" s="349"/>
      <c r="CBS2019" s="349"/>
      <c r="CBT2019" s="349"/>
      <c r="CBU2019" s="349"/>
      <c r="CBV2019" s="349"/>
      <c r="CBW2019" s="349"/>
      <c r="CBX2019" s="349"/>
      <c r="CBY2019" s="349"/>
      <c r="CBZ2019" s="349"/>
      <c r="CCA2019" s="349"/>
      <c r="CCB2019" s="349"/>
      <c r="CCC2019" s="349"/>
      <c r="CCD2019" s="349"/>
      <c r="CCE2019" s="349"/>
      <c r="CCF2019" s="349"/>
      <c r="CCG2019" s="349"/>
      <c r="CCH2019" s="349"/>
      <c r="CCI2019" s="349"/>
      <c r="CCJ2019" s="349"/>
      <c r="CCK2019" s="349"/>
      <c r="CCL2019" s="349"/>
      <c r="CCM2019" s="349"/>
      <c r="CCN2019" s="349"/>
      <c r="CCO2019" s="349"/>
      <c r="CCP2019" s="349"/>
      <c r="CCQ2019" s="349"/>
      <c r="CCR2019" s="349"/>
      <c r="CCS2019" s="349"/>
      <c r="CCT2019" s="349"/>
      <c r="CCU2019" s="349"/>
      <c r="CCV2019" s="349"/>
      <c r="CCW2019" s="349"/>
      <c r="CCX2019" s="349"/>
      <c r="CCY2019" s="349"/>
      <c r="CCZ2019" s="349"/>
      <c r="CDA2019" s="349"/>
      <c r="CDB2019" s="349"/>
      <c r="CDC2019" s="349"/>
      <c r="CDD2019" s="349"/>
      <c r="CDE2019" s="349"/>
      <c r="CDF2019" s="349"/>
      <c r="CDG2019" s="349"/>
      <c r="CDH2019" s="349"/>
      <c r="CDI2019" s="349"/>
      <c r="CDJ2019" s="349"/>
      <c r="CDK2019" s="349"/>
      <c r="CDL2019" s="349"/>
      <c r="CDM2019" s="349"/>
      <c r="CDN2019" s="349"/>
      <c r="CDO2019" s="349"/>
      <c r="CDP2019" s="349"/>
      <c r="CDQ2019" s="349"/>
      <c r="CDR2019" s="349"/>
      <c r="CDS2019" s="349"/>
      <c r="CDT2019" s="349"/>
      <c r="CDU2019" s="349"/>
      <c r="CDV2019" s="349"/>
      <c r="CDW2019" s="349"/>
      <c r="CDX2019" s="349"/>
      <c r="CDY2019" s="349"/>
      <c r="CDZ2019" s="349"/>
      <c r="CEA2019" s="349"/>
      <c r="CEB2019" s="349"/>
      <c r="CEC2019" s="349"/>
      <c r="CED2019" s="349"/>
      <c r="CEE2019" s="349"/>
      <c r="CEF2019" s="349"/>
      <c r="CEG2019" s="349"/>
      <c r="CEH2019" s="349"/>
      <c r="CEI2019" s="349"/>
      <c r="CEJ2019" s="349"/>
      <c r="CEK2019" s="349"/>
      <c r="CEL2019" s="349"/>
      <c r="CEM2019" s="349"/>
      <c r="CEN2019" s="349"/>
      <c r="CEO2019" s="349"/>
      <c r="CEP2019" s="349"/>
      <c r="CEQ2019" s="349"/>
      <c r="CER2019" s="349"/>
      <c r="CES2019" s="349"/>
      <c r="CET2019" s="349"/>
      <c r="CEU2019" s="349"/>
      <c r="CEV2019" s="349"/>
      <c r="CEW2019" s="349"/>
      <c r="CEX2019" s="349"/>
      <c r="CEY2019" s="349"/>
      <c r="CEZ2019" s="349"/>
      <c r="CFA2019" s="349"/>
      <c r="CFB2019" s="349"/>
      <c r="CFC2019" s="349"/>
      <c r="CFD2019" s="349"/>
      <c r="CFE2019" s="349"/>
      <c r="CFF2019" s="349"/>
      <c r="CFG2019" s="349"/>
      <c r="CFH2019" s="349"/>
      <c r="CFI2019" s="349"/>
      <c r="CFJ2019" s="349"/>
      <c r="CFK2019" s="349"/>
      <c r="CFL2019" s="349"/>
      <c r="CFM2019" s="349"/>
      <c r="CFN2019" s="349"/>
      <c r="CFO2019" s="349"/>
      <c r="CFP2019" s="349"/>
      <c r="CFQ2019" s="349"/>
      <c r="CFR2019" s="349"/>
      <c r="CFS2019" s="349"/>
      <c r="CFT2019" s="349"/>
      <c r="CFU2019" s="349"/>
      <c r="CFV2019" s="349"/>
      <c r="CFW2019" s="349"/>
      <c r="CFX2019" s="349"/>
      <c r="CFY2019" s="349"/>
      <c r="CFZ2019" s="349"/>
      <c r="CGA2019" s="349"/>
      <c r="CGB2019" s="349"/>
      <c r="CGC2019" s="349"/>
      <c r="CGD2019" s="349"/>
      <c r="CGE2019" s="349"/>
      <c r="CGF2019" s="349"/>
      <c r="CGG2019" s="349"/>
      <c r="CGH2019" s="349"/>
      <c r="CGI2019" s="349"/>
      <c r="CGJ2019" s="349"/>
      <c r="CGK2019" s="349"/>
      <c r="CGL2019" s="349"/>
      <c r="CGM2019" s="349"/>
      <c r="CGN2019" s="349"/>
      <c r="CGO2019" s="349"/>
      <c r="CGP2019" s="349"/>
      <c r="CGQ2019" s="349"/>
      <c r="CGR2019" s="349"/>
      <c r="CGS2019" s="349"/>
      <c r="CGT2019" s="349"/>
      <c r="CGU2019" s="349"/>
      <c r="CGV2019" s="349"/>
      <c r="CGW2019" s="349"/>
      <c r="CGX2019" s="349"/>
      <c r="CGY2019" s="349"/>
      <c r="CGZ2019" s="349"/>
      <c r="CHA2019" s="349"/>
      <c r="CHB2019" s="349"/>
      <c r="CHC2019" s="349"/>
      <c r="CHD2019" s="349"/>
      <c r="CHE2019" s="349"/>
      <c r="CHF2019" s="349"/>
      <c r="CHG2019" s="349"/>
      <c r="CHH2019" s="349"/>
      <c r="CHI2019" s="349"/>
      <c r="CHJ2019" s="349"/>
      <c r="CHK2019" s="349"/>
      <c r="CHL2019" s="349"/>
      <c r="CHM2019" s="349"/>
      <c r="CHN2019" s="349"/>
      <c r="CHO2019" s="349"/>
      <c r="CHP2019" s="349"/>
      <c r="CHQ2019" s="349"/>
      <c r="CHR2019" s="349"/>
      <c r="CHS2019" s="349"/>
      <c r="CHT2019" s="349"/>
      <c r="CHU2019" s="349"/>
      <c r="CHV2019" s="349"/>
      <c r="CHW2019" s="349"/>
      <c r="CHX2019" s="349"/>
      <c r="CHY2019" s="349"/>
      <c r="CHZ2019" s="349"/>
      <c r="CIA2019" s="349"/>
      <c r="CIB2019" s="349"/>
      <c r="CIC2019" s="349"/>
      <c r="CID2019" s="349"/>
      <c r="CIE2019" s="349"/>
      <c r="CIF2019" s="349"/>
      <c r="CIG2019" s="349"/>
      <c r="CIH2019" s="349"/>
      <c r="CII2019" s="349"/>
      <c r="CIJ2019" s="349"/>
      <c r="CIK2019" s="349"/>
      <c r="CIL2019" s="349"/>
      <c r="CIM2019" s="349"/>
      <c r="CIN2019" s="349"/>
      <c r="CIO2019" s="349"/>
      <c r="CIP2019" s="349"/>
      <c r="CIQ2019" s="349"/>
      <c r="CIR2019" s="349"/>
      <c r="CIS2019" s="349"/>
      <c r="CIT2019" s="349"/>
      <c r="CIU2019" s="349"/>
      <c r="CIV2019" s="349"/>
      <c r="CIW2019" s="349"/>
      <c r="CIX2019" s="349"/>
      <c r="CIY2019" s="349"/>
      <c r="CIZ2019" s="349"/>
      <c r="CJA2019" s="349"/>
      <c r="CJB2019" s="349"/>
      <c r="CJC2019" s="349"/>
      <c r="CJD2019" s="349"/>
      <c r="CJE2019" s="349"/>
      <c r="CJF2019" s="349"/>
      <c r="CJG2019" s="349"/>
      <c r="CJH2019" s="349"/>
      <c r="CJI2019" s="349"/>
      <c r="CJJ2019" s="349"/>
      <c r="CJK2019" s="349"/>
      <c r="CJL2019" s="349"/>
      <c r="CJM2019" s="349"/>
      <c r="CJN2019" s="349"/>
      <c r="CJO2019" s="349"/>
      <c r="CJP2019" s="349"/>
      <c r="CJQ2019" s="349"/>
      <c r="CJR2019" s="349"/>
      <c r="CJS2019" s="349"/>
      <c r="CJT2019" s="349"/>
      <c r="CJU2019" s="349"/>
      <c r="CJV2019" s="349"/>
      <c r="CJW2019" s="349"/>
      <c r="CJX2019" s="349"/>
      <c r="CJY2019" s="349"/>
      <c r="CJZ2019" s="349"/>
      <c r="CKA2019" s="349"/>
      <c r="CKB2019" s="349"/>
      <c r="CKC2019" s="349"/>
      <c r="CKD2019" s="349"/>
      <c r="CKE2019" s="349"/>
      <c r="CKF2019" s="349"/>
      <c r="CKG2019" s="349"/>
      <c r="CKH2019" s="349"/>
      <c r="CKI2019" s="349"/>
      <c r="CKJ2019" s="349"/>
      <c r="CKK2019" s="349"/>
      <c r="CKL2019" s="349"/>
      <c r="CKM2019" s="349"/>
      <c r="CKN2019" s="349"/>
      <c r="CKO2019" s="349"/>
      <c r="CKP2019" s="349"/>
      <c r="CKQ2019" s="349"/>
      <c r="CKR2019" s="349"/>
      <c r="CKS2019" s="349"/>
      <c r="CKT2019" s="349"/>
      <c r="CKU2019" s="349"/>
      <c r="CKV2019" s="349"/>
      <c r="CKW2019" s="349"/>
      <c r="CKX2019" s="349"/>
      <c r="CKY2019" s="349"/>
      <c r="CKZ2019" s="349"/>
      <c r="CLA2019" s="349"/>
      <c r="CLB2019" s="349"/>
      <c r="CLC2019" s="349"/>
      <c r="CLD2019" s="349"/>
      <c r="CLE2019" s="349"/>
      <c r="CLF2019" s="349"/>
      <c r="CLG2019" s="349"/>
      <c r="CLH2019" s="349"/>
      <c r="CLI2019" s="349"/>
      <c r="CLJ2019" s="349"/>
      <c r="CLK2019" s="349"/>
      <c r="CLL2019" s="349"/>
      <c r="CLM2019" s="349"/>
      <c r="CLN2019" s="349"/>
      <c r="CLO2019" s="349"/>
      <c r="CLP2019" s="349"/>
      <c r="CLQ2019" s="349"/>
      <c r="CLR2019" s="349"/>
      <c r="CLS2019" s="349"/>
      <c r="CLT2019" s="349"/>
      <c r="CLU2019" s="349"/>
      <c r="CLV2019" s="349"/>
      <c r="CLW2019" s="349"/>
      <c r="CLX2019" s="349"/>
      <c r="CLY2019" s="349"/>
      <c r="CLZ2019" s="349"/>
      <c r="CMA2019" s="349"/>
      <c r="CMB2019" s="349"/>
      <c r="CMC2019" s="349"/>
      <c r="CMD2019" s="349"/>
      <c r="CME2019" s="349"/>
      <c r="CMF2019" s="349"/>
      <c r="CMG2019" s="349"/>
      <c r="CMH2019" s="349"/>
      <c r="CMI2019" s="349"/>
      <c r="CMJ2019" s="349"/>
      <c r="CMK2019" s="349"/>
      <c r="CML2019" s="349"/>
      <c r="CMM2019" s="349"/>
      <c r="CMN2019" s="349"/>
      <c r="CMO2019" s="349"/>
      <c r="CMP2019" s="349"/>
      <c r="CMQ2019" s="349"/>
      <c r="CMR2019" s="349"/>
      <c r="CMS2019" s="349"/>
      <c r="CMT2019" s="349"/>
      <c r="CMU2019" s="349"/>
      <c r="CMV2019" s="349"/>
      <c r="CMW2019" s="349"/>
      <c r="CMX2019" s="349"/>
      <c r="CMY2019" s="349"/>
      <c r="CMZ2019" s="349"/>
      <c r="CNA2019" s="349"/>
      <c r="CNB2019" s="349"/>
      <c r="CNC2019" s="349"/>
      <c r="CND2019" s="349"/>
      <c r="CNE2019" s="349"/>
      <c r="CNF2019" s="349"/>
      <c r="CNG2019" s="349"/>
      <c r="CNH2019" s="349"/>
      <c r="CNI2019" s="349"/>
      <c r="CNJ2019" s="349"/>
      <c r="CNK2019" s="349"/>
      <c r="CNL2019" s="349"/>
      <c r="CNM2019" s="349"/>
      <c r="CNN2019" s="349"/>
      <c r="CNO2019" s="349"/>
      <c r="CNP2019" s="349"/>
      <c r="CNQ2019" s="349"/>
      <c r="CNR2019" s="349"/>
      <c r="CNS2019" s="349"/>
      <c r="CNT2019" s="349"/>
      <c r="CNU2019" s="349"/>
      <c r="CNV2019" s="349"/>
      <c r="CNW2019" s="349"/>
      <c r="CNX2019" s="349"/>
      <c r="CNY2019" s="349"/>
      <c r="CNZ2019" s="349"/>
      <c r="COA2019" s="349"/>
      <c r="COB2019" s="349"/>
      <c r="COC2019" s="349"/>
      <c r="COD2019" s="349"/>
      <c r="COE2019" s="349"/>
      <c r="COF2019" s="349"/>
      <c r="COG2019" s="349"/>
      <c r="COH2019" s="349"/>
      <c r="COI2019" s="349"/>
      <c r="COJ2019" s="349"/>
      <c r="COK2019" s="349"/>
      <c r="COL2019" s="349"/>
      <c r="COM2019" s="349"/>
      <c r="CON2019" s="349"/>
      <c r="COO2019" s="349"/>
      <c r="COP2019" s="349"/>
      <c r="COQ2019" s="349"/>
      <c r="COR2019" s="349"/>
      <c r="COS2019" s="349"/>
      <c r="COT2019" s="349"/>
      <c r="COU2019" s="349"/>
      <c r="COV2019" s="349"/>
      <c r="COW2019" s="349"/>
      <c r="COX2019" s="349"/>
      <c r="COY2019" s="349"/>
      <c r="COZ2019" s="349"/>
      <c r="CPA2019" s="349"/>
      <c r="CPB2019" s="349"/>
      <c r="CPC2019" s="349"/>
      <c r="CPD2019" s="349"/>
      <c r="CPE2019" s="349"/>
      <c r="CPF2019" s="349"/>
      <c r="CPG2019" s="349"/>
      <c r="CPH2019" s="349"/>
      <c r="CPI2019" s="349"/>
      <c r="CPJ2019" s="349"/>
      <c r="CPK2019" s="349"/>
      <c r="CPL2019" s="349"/>
      <c r="CPM2019" s="349"/>
      <c r="CPN2019" s="349"/>
      <c r="CPO2019" s="349"/>
      <c r="CPP2019" s="349"/>
      <c r="CPQ2019" s="349"/>
      <c r="CPR2019" s="349"/>
      <c r="CPS2019" s="349"/>
      <c r="CPT2019" s="349"/>
      <c r="CPU2019" s="349"/>
      <c r="CPV2019" s="349"/>
      <c r="CPW2019" s="349"/>
      <c r="CPX2019" s="349"/>
      <c r="CPY2019" s="349"/>
      <c r="CPZ2019" s="349"/>
      <c r="CQA2019" s="349"/>
      <c r="CQB2019" s="349"/>
      <c r="CQC2019" s="349"/>
      <c r="CQD2019" s="349"/>
      <c r="CQE2019" s="349"/>
      <c r="CQF2019" s="349"/>
      <c r="CQG2019" s="349"/>
      <c r="CQH2019" s="349"/>
      <c r="CQI2019" s="349"/>
      <c r="CQJ2019" s="349"/>
      <c r="CQK2019" s="349"/>
      <c r="CQL2019" s="349"/>
      <c r="CQM2019" s="349"/>
      <c r="CQN2019" s="349"/>
      <c r="CQO2019" s="349"/>
      <c r="CQP2019" s="349"/>
      <c r="CQQ2019" s="349"/>
      <c r="CQR2019" s="349"/>
      <c r="CQS2019" s="349"/>
      <c r="CQT2019" s="349"/>
      <c r="CQU2019" s="349"/>
      <c r="CQV2019" s="349"/>
      <c r="CQW2019" s="349"/>
      <c r="CQX2019" s="349"/>
      <c r="CQY2019" s="349"/>
      <c r="CQZ2019" s="349"/>
      <c r="CRA2019" s="349"/>
      <c r="CRB2019" s="349"/>
      <c r="CRC2019" s="349"/>
      <c r="CRD2019" s="349"/>
      <c r="CRE2019" s="349"/>
      <c r="CRF2019" s="349"/>
      <c r="CRG2019" s="349"/>
      <c r="CRH2019" s="349"/>
      <c r="CRI2019" s="349"/>
      <c r="CRJ2019" s="349"/>
      <c r="CRK2019" s="349"/>
      <c r="CRL2019" s="349"/>
      <c r="CRM2019" s="349"/>
      <c r="CRN2019" s="349"/>
      <c r="CRO2019" s="349"/>
      <c r="CRP2019" s="349"/>
      <c r="CRQ2019" s="349"/>
      <c r="CRR2019" s="349"/>
      <c r="CRS2019" s="349"/>
      <c r="CRT2019" s="349"/>
      <c r="CRU2019" s="349"/>
      <c r="CRV2019" s="349"/>
      <c r="CRW2019" s="349"/>
      <c r="CRX2019" s="349"/>
      <c r="CRY2019" s="349"/>
      <c r="CRZ2019" s="349"/>
      <c r="CSA2019" s="349"/>
      <c r="CSB2019" s="349"/>
      <c r="CSC2019" s="349"/>
      <c r="CSD2019" s="349"/>
      <c r="CSE2019" s="349"/>
      <c r="CSF2019" s="349"/>
      <c r="CSG2019" s="349"/>
      <c r="CSH2019" s="349"/>
      <c r="CSI2019" s="349"/>
      <c r="CSJ2019" s="349"/>
      <c r="CSK2019" s="349"/>
      <c r="CSL2019" s="349"/>
      <c r="CSM2019" s="349"/>
      <c r="CSN2019" s="349"/>
      <c r="CSO2019" s="349"/>
      <c r="CSP2019" s="349"/>
      <c r="CSQ2019" s="349"/>
      <c r="CSR2019" s="349"/>
      <c r="CSS2019" s="349"/>
      <c r="CST2019" s="349"/>
      <c r="CSU2019" s="349"/>
      <c r="CSV2019" s="349"/>
      <c r="CSW2019" s="349"/>
      <c r="CSX2019" s="349"/>
      <c r="CSY2019" s="349"/>
      <c r="CSZ2019" s="349"/>
      <c r="CTA2019" s="349"/>
      <c r="CTB2019" s="349"/>
      <c r="CTC2019" s="349"/>
      <c r="CTD2019" s="349"/>
      <c r="CTE2019" s="349"/>
      <c r="CTF2019" s="349"/>
      <c r="CTG2019" s="349"/>
      <c r="CTH2019" s="349"/>
      <c r="CTI2019" s="349"/>
      <c r="CTJ2019" s="349"/>
      <c r="CTK2019" s="349"/>
      <c r="CTL2019" s="349"/>
      <c r="CTM2019" s="349"/>
      <c r="CTN2019" s="349"/>
      <c r="CTO2019" s="349"/>
      <c r="CTP2019" s="349"/>
      <c r="CTQ2019" s="349"/>
      <c r="CTR2019" s="349"/>
      <c r="CTS2019" s="349"/>
      <c r="CTT2019" s="349"/>
      <c r="CTU2019" s="349"/>
      <c r="CTV2019" s="349"/>
      <c r="CTW2019" s="349"/>
      <c r="CTX2019" s="349"/>
      <c r="CTY2019" s="349"/>
      <c r="CTZ2019" s="349"/>
      <c r="CUA2019" s="349"/>
      <c r="CUB2019" s="349"/>
      <c r="CUC2019" s="349"/>
      <c r="CUD2019" s="349"/>
      <c r="CUE2019" s="349"/>
      <c r="CUF2019" s="349"/>
      <c r="CUG2019" s="349"/>
      <c r="CUH2019" s="349"/>
      <c r="CUI2019" s="349"/>
      <c r="CUJ2019" s="349"/>
      <c r="CUK2019" s="349"/>
      <c r="CUL2019" s="349"/>
      <c r="CUM2019" s="349"/>
      <c r="CUN2019" s="349"/>
      <c r="CUO2019" s="349"/>
      <c r="CUP2019" s="349"/>
      <c r="CUQ2019" s="349"/>
      <c r="CUR2019" s="349"/>
      <c r="CUS2019" s="349"/>
      <c r="CUT2019" s="349"/>
      <c r="CUU2019" s="349"/>
      <c r="CUV2019" s="349"/>
      <c r="CUW2019" s="349"/>
      <c r="CUX2019" s="349"/>
      <c r="CUY2019" s="349"/>
      <c r="CUZ2019" s="349"/>
      <c r="CVA2019" s="349"/>
      <c r="CVB2019" s="349"/>
      <c r="CVC2019" s="349"/>
      <c r="CVD2019" s="349"/>
      <c r="CVE2019" s="349"/>
      <c r="CVF2019" s="349"/>
      <c r="CVG2019" s="349"/>
      <c r="CVH2019" s="349"/>
      <c r="CVI2019" s="349"/>
      <c r="CVJ2019" s="349"/>
      <c r="CVK2019" s="349"/>
      <c r="CVL2019" s="349"/>
      <c r="CVM2019" s="349"/>
      <c r="CVN2019" s="349"/>
      <c r="CVO2019" s="349"/>
      <c r="CVP2019" s="349"/>
      <c r="CVQ2019" s="349"/>
      <c r="CVR2019" s="349"/>
      <c r="CVS2019" s="349"/>
      <c r="CVT2019" s="349"/>
      <c r="CVU2019" s="349"/>
      <c r="CVV2019" s="349"/>
      <c r="CVW2019" s="349"/>
      <c r="CVX2019" s="349"/>
      <c r="CVY2019" s="349"/>
      <c r="CVZ2019" s="349"/>
      <c r="CWA2019" s="349"/>
      <c r="CWB2019" s="349"/>
      <c r="CWC2019" s="349"/>
      <c r="CWD2019" s="349"/>
      <c r="CWE2019" s="349"/>
      <c r="CWF2019" s="349"/>
      <c r="CWG2019" s="349"/>
      <c r="CWH2019" s="349"/>
      <c r="CWI2019" s="349"/>
      <c r="CWJ2019" s="349"/>
      <c r="CWK2019" s="349"/>
      <c r="CWL2019" s="349"/>
      <c r="CWM2019" s="349"/>
      <c r="CWN2019" s="349"/>
      <c r="CWO2019" s="349"/>
      <c r="CWP2019" s="349"/>
      <c r="CWQ2019" s="349"/>
      <c r="CWR2019" s="349"/>
      <c r="CWS2019" s="349"/>
      <c r="CWT2019" s="349"/>
      <c r="CWU2019" s="349"/>
      <c r="CWV2019" s="349"/>
      <c r="CWW2019" s="349"/>
      <c r="CWX2019" s="349"/>
      <c r="CWY2019" s="349"/>
      <c r="CWZ2019" s="349"/>
      <c r="CXA2019" s="349"/>
      <c r="CXB2019" s="349"/>
      <c r="CXC2019" s="349"/>
      <c r="CXD2019" s="349"/>
      <c r="CXE2019" s="349"/>
      <c r="CXF2019" s="349"/>
      <c r="CXG2019" s="349"/>
      <c r="CXH2019" s="349"/>
      <c r="CXI2019" s="349"/>
      <c r="CXJ2019" s="349"/>
      <c r="CXK2019" s="349"/>
      <c r="CXL2019" s="349"/>
      <c r="CXM2019" s="349"/>
      <c r="CXN2019" s="349"/>
      <c r="CXO2019" s="349"/>
      <c r="CXP2019" s="349"/>
      <c r="CXQ2019" s="349"/>
      <c r="CXR2019" s="349"/>
      <c r="CXS2019" s="349"/>
      <c r="CXT2019" s="349"/>
      <c r="CXU2019" s="349"/>
      <c r="CXV2019" s="349"/>
      <c r="CXW2019" s="349"/>
      <c r="CXX2019" s="349"/>
      <c r="CXY2019" s="349"/>
      <c r="CXZ2019" s="349"/>
      <c r="CYA2019" s="349"/>
      <c r="CYB2019" s="349"/>
      <c r="CYC2019" s="349"/>
      <c r="CYD2019" s="349"/>
      <c r="CYE2019" s="349"/>
      <c r="CYF2019" s="349"/>
      <c r="CYG2019" s="349"/>
      <c r="CYH2019" s="349"/>
      <c r="CYI2019" s="349"/>
      <c r="CYJ2019" s="349"/>
      <c r="CYK2019" s="349"/>
      <c r="CYL2019" s="349"/>
      <c r="CYM2019" s="349"/>
      <c r="CYN2019" s="349"/>
      <c r="CYO2019" s="349"/>
      <c r="CYP2019" s="349"/>
      <c r="CYQ2019" s="349"/>
      <c r="CYR2019" s="349"/>
      <c r="CYS2019" s="349"/>
      <c r="CYT2019" s="349"/>
      <c r="CYU2019" s="349"/>
      <c r="CYV2019" s="349"/>
      <c r="CYW2019" s="349"/>
      <c r="CYX2019" s="349"/>
      <c r="CYY2019" s="349"/>
      <c r="CYZ2019" s="349"/>
      <c r="CZA2019" s="349"/>
      <c r="CZB2019" s="349"/>
      <c r="CZC2019" s="349"/>
      <c r="CZD2019" s="349"/>
      <c r="CZE2019" s="349"/>
      <c r="CZF2019" s="349"/>
      <c r="CZG2019" s="349"/>
      <c r="CZH2019" s="349"/>
      <c r="CZI2019" s="349"/>
      <c r="CZJ2019" s="349"/>
      <c r="CZK2019" s="349"/>
      <c r="CZL2019" s="349"/>
      <c r="CZM2019" s="349"/>
      <c r="CZN2019" s="349"/>
      <c r="CZO2019" s="349"/>
      <c r="CZP2019" s="349"/>
      <c r="CZQ2019" s="349"/>
      <c r="CZR2019" s="349"/>
      <c r="CZS2019" s="349"/>
      <c r="CZT2019" s="349"/>
      <c r="CZU2019" s="349"/>
      <c r="CZV2019" s="349"/>
      <c r="CZW2019" s="349"/>
      <c r="CZX2019" s="349"/>
      <c r="CZY2019" s="349"/>
      <c r="CZZ2019" s="349"/>
      <c r="DAA2019" s="349"/>
      <c r="DAB2019" s="349"/>
      <c r="DAC2019" s="349"/>
      <c r="DAD2019" s="349"/>
      <c r="DAE2019" s="349"/>
      <c r="DAF2019" s="349"/>
      <c r="DAG2019" s="349"/>
      <c r="DAH2019" s="349"/>
      <c r="DAI2019" s="349"/>
      <c r="DAJ2019" s="349"/>
      <c r="DAK2019" s="349"/>
      <c r="DAL2019" s="349"/>
      <c r="DAM2019" s="349"/>
      <c r="DAN2019" s="349"/>
      <c r="DAO2019" s="349"/>
      <c r="DAP2019" s="349"/>
      <c r="DAQ2019" s="349"/>
      <c r="DAR2019" s="349"/>
      <c r="DAS2019" s="349"/>
      <c r="DAT2019" s="349"/>
      <c r="DAU2019" s="349"/>
      <c r="DAV2019" s="349"/>
      <c r="DAW2019" s="349"/>
      <c r="DAX2019" s="349"/>
      <c r="DAY2019" s="349"/>
      <c r="DAZ2019" s="349"/>
      <c r="DBA2019" s="349"/>
      <c r="DBB2019" s="349"/>
      <c r="DBC2019" s="349"/>
      <c r="DBD2019" s="349"/>
      <c r="DBE2019" s="349"/>
      <c r="DBF2019" s="349"/>
      <c r="DBG2019" s="349"/>
      <c r="DBH2019" s="349"/>
      <c r="DBI2019" s="349"/>
      <c r="DBJ2019" s="349"/>
      <c r="DBK2019" s="349"/>
      <c r="DBL2019" s="349"/>
      <c r="DBM2019" s="349"/>
      <c r="DBN2019" s="349"/>
      <c r="DBO2019" s="349"/>
      <c r="DBP2019" s="349"/>
      <c r="DBQ2019" s="349"/>
      <c r="DBR2019" s="349"/>
      <c r="DBS2019" s="349"/>
      <c r="DBT2019" s="349"/>
      <c r="DBU2019" s="349"/>
      <c r="DBV2019" s="349"/>
      <c r="DBW2019" s="349"/>
      <c r="DBX2019" s="349"/>
      <c r="DBY2019" s="349"/>
      <c r="DBZ2019" s="349"/>
      <c r="DCA2019" s="349"/>
      <c r="DCB2019" s="349"/>
      <c r="DCC2019" s="349"/>
      <c r="DCD2019" s="349"/>
      <c r="DCE2019" s="349"/>
      <c r="DCF2019" s="349"/>
      <c r="DCG2019" s="349"/>
      <c r="DCH2019" s="349"/>
      <c r="DCI2019" s="349"/>
      <c r="DCJ2019" s="349"/>
      <c r="DCK2019" s="349"/>
      <c r="DCL2019" s="349"/>
      <c r="DCM2019" s="349"/>
      <c r="DCN2019" s="349"/>
      <c r="DCO2019" s="349"/>
      <c r="DCP2019" s="349"/>
      <c r="DCQ2019" s="349"/>
      <c r="DCR2019" s="349"/>
      <c r="DCS2019" s="349"/>
      <c r="DCT2019" s="349"/>
      <c r="DCU2019" s="349"/>
      <c r="DCV2019" s="349"/>
      <c r="DCW2019" s="349"/>
      <c r="DCX2019" s="349"/>
      <c r="DCY2019" s="349"/>
      <c r="DCZ2019" s="349"/>
      <c r="DDA2019" s="349"/>
      <c r="DDB2019" s="349"/>
      <c r="DDC2019" s="349"/>
      <c r="DDD2019" s="349"/>
      <c r="DDE2019" s="349"/>
      <c r="DDF2019" s="349"/>
      <c r="DDG2019" s="349"/>
      <c r="DDH2019" s="349"/>
      <c r="DDI2019" s="349"/>
      <c r="DDJ2019" s="349"/>
      <c r="DDK2019" s="349"/>
      <c r="DDL2019" s="349"/>
      <c r="DDM2019" s="349"/>
      <c r="DDN2019" s="349"/>
      <c r="DDO2019" s="349"/>
      <c r="DDP2019" s="349"/>
      <c r="DDQ2019" s="349"/>
      <c r="DDR2019" s="349"/>
      <c r="DDS2019" s="349"/>
      <c r="DDT2019" s="349"/>
      <c r="DDU2019" s="349"/>
      <c r="DDV2019" s="349"/>
      <c r="DDW2019" s="349"/>
      <c r="DDX2019" s="349"/>
      <c r="DDY2019" s="349"/>
      <c r="DDZ2019" s="349"/>
      <c r="DEA2019" s="349"/>
      <c r="DEB2019" s="349"/>
      <c r="DEC2019" s="349"/>
      <c r="DED2019" s="349"/>
      <c r="DEE2019" s="349"/>
      <c r="DEF2019" s="349"/>
      <c r="DEG2019" s="349"/>
      <c r="DEH2019" s="349"/>
      <c r="DEI2019" s="349"/>
      <c r="DEJ2019" s="349"/>
      <c r="DEK2019" s="349"/>
      <c r="DEL2019" s="349"/>
      <c r="DEM2019" s="349"/>
      <c r="DEN2019" s="349"/>
      <c r="DEO2019" s="349"/>
      <c r="DEP2019" s="349"/>
      <c r="DEQ2019" s="349"/>
      <c r="DER2019" s="349"/>
      <c r="DES2019" s="349"/>
      <c r="DET2019" s="349"/>
      <c r="DEU2019" s="349"/>
      <c r="DEV2019" s="349"/>
      <c r="DEW2019" s="349"/>
      <c r="DEX2019" s="349"/>
      <c r="DEY2019" s="349"/>
      <c r="DEZ2019" s="349"/>
      <c r="DFA2019" s="349"/>
      <c r="DFB2019" s="349"/>
      <c r="DFC2019" s="349"/>
      <c r="DFD2019" s="349"/>
      <c r="DFE2019" s="349"/>
      <c r="DFF2019" s="349"/>
      <c r="DFG2019" s="349"/>
      <c r="DFH2019" s="349"/>
      <c r="DFI2019" s="349"/>
      <c r="DFJ2019" s="349"/>
      <c r="DFK2019" s="349"/>
      <c r="DFL2019" s="349"/>
      <c r="DFM2019" s="349"/>
      <c r="DFN2019" s="349"/>
      <c r="DFO2019" s="349"/>
      <c r="DFP2019" s="349"/>
      <c r="DFQ2019" s="349"/>
      <c r="DFR2019" s="349"/>
      <c r="DFS2019" s="349"/>
      <c r="DFT2019" s="349"/>
      <c r="DFU2019" s="349"/>
      <c r="DFV2019" s="349"/>
      <c r="DFW2019" s="349"/>
      <c r="DFX2019" s="349"/>
      <c r="DFY2019" s="349"/>
      <c r="DFZ2019" s="349"/>
      <c r="DGA2019" s="349"/>
      <c r="DGB2019" s="349"/>
      <c r="DGC2019" s="349"/>
      <c r="DGD2019" s="349"/>
      <c r="DGE2019" s="349"/>
      <c r="DGF2019" s="349"/>
      <c r="DGG2019" s="349"/>
      <c r="DGH2019" s="349"/>
      <c r="DGI2019" s="349"/>
      <c r="DGJ2019" s="349"/>
      <c r="DGK2019" s="349"/>
      <c r="DGL2019" s="349"/>
      <c r="DGM2019" s="349"/>
      <c r="DGN2019" s="349"/>
      <c r="DGO2019" s="349"/>
      <c r="DGP2019" s="349"/>
      <c r="DGQ2019" s="349"/>
      <c r="DGR2019" s="349"/>
      <c r="DGS2019" s="349"/>
      <c r="DGT2019" s="349"/>
      <c r="DGU2019" s="349"/>
      <c r="DGV2019" s="349"/>
      <c r="DGW2019" s="349"/>
      <c r="DGX2019" s="349"/>
      <c r="DGY2019" s="349"/>
      <c r="DGZ2019" s="349"/>
      <c r="DHA2019" s="349"/>
      <c r="DHB2019" s="349"/>
      <c r="DHC2019" s="349"/>
      <c r="DHD2019" s="349"/>
      <c r="DHE2019" s="349"/>
      <c r="DHF2019" s="349"/>
      <c r="DHG2019" s="349"/>
      <c r="DHH2019" s="349"/>
      <c r="DHI2019" s="349"/>
      <c r="DHJ2019" s="349"/>
      <c r="DHK2019" s="349"/>
      <c r="DHL2019" s="349"/>
      <c r="DHM2019" s="349"/>
      <c r="DHN2019" s="349"/>
      <c r="DHO2019" s="349"/>
      <c r="DHP2019" s="349"/>
      <c r="DHQ2019" s="349"/>
      <c r="DHR2019" s="349"/>
      <c r="DHS2019" s="349"/>
      <c r="DHT2019" s="349"/>
      <c r="DHU2019" s="349"/>
      <c r="DHV2019" s="349"/>
      <c r="DHW2019" s="349"/>
      <c r="DHX2019" s="349"/>
      <c r="DHY2019" s="349"/>
      <c r="DHZ2019" s="349"/>
      <c r="DIA2019" s="349"/>
      <c r="DIB2019" s="349"/>
      <c r="DIC2019" s="349"/>
      <c r="DID2019" s="349"/>
      <c r="DIE2019" s="349"/>
      <c r="DIF2019" s="349"/>
      <c r="DIG2019" s="349"/>
      <c r="DIH2019" s="349"/>
      <c r="DII2019" s="349"/>
      <c r="DIJ2019" s="349"/>
      <c r="DIK2019" s="349"/>
      <c r="DIL2019" s="349"/>
      <c r="DIM2019" s="349"/>
      <c r="DIN2019" s="349"/>
      <c r="DIO2019" s="349"/>
      <c r="DIP2019" s="349"/>
      <c r="DIQ2019" s="349"/>
      <c r="DIR2019" s="349"/>
      <c r="DIS2019" s="349"/>
      <c r="DIT2019" s="349"/>
      <c r="DIU2019" s="349"/>
      <c r="DIV2019" s="349"/>
      <c r="DIW2019" s="349"/>
      <c r="DIX2019" s="349"/>
      <c r="DIY2019" s="349"/>
      <c r="DIZ2019" s="349"/>
      <c r="DJA2019" s="349"/>
      <c r="DJB2019" s="349"/>
      <c r="DJC2019" s="349"/>
      <c r="DJD2019" s="349"/>
      <c r="DJE2019" s="349"/>
      <c r="DJF2019" s="349"/>
      <c r="DJG2019" s="349"/>
      <c r="DJH2019" s="349"/>
      <c r="DJI2019" s="349"/>
      <c r="DJJ2019" s="349"/>
      <c r="DJK2019" s="349"/>
      <c r="DJL2019" s="349"/>
      <c r="DJM2019" s="349"/>
      <c r="DJN2019" s="349"/>
      <c r="DJO2019" s="349"/>
      <c r="DJP2019" s="349"/>
      <c r="DJQ2019" s="349"/>
      <c r="DJR2019" s="349"/>
      <c r="DJS2019" s="349"/>
      <c r="DJT2019" s="349"/>
      <c r="DJU2019" s="349"/>
      <c r="DJV2019" s="349"/>
      <c r="DJW2019" s="349"/>
      <c r="DJX2019" s="349"/>
      <c r="DJY2019" s="349"/>
      <c r="DJZ2019" s="349"/>
      <c r="DKA2019" s="349"/>
      <c r="DKB2019" s="349"/>
      <c r="DKC2019" s="349"/>
      <c r="DKD2019" s="349"/>
      <c r="DKE2019" s="349"/>
      <c r="DKF2019" s="349"/>
      <c r="DKG2019" s="349"/>
      <c r="DKH2019" s="349"/>
      <c r="DKI2019" s="349"/>
      <c r="DKJ2019" s="349"/>
      <c r="DKK2019" s="349"/>
      <c r="DKL2019" s="349"/>
      <c r="DKM2019" s="349"/>
      <c r="DKN2019" s="349"/>
      <c r="DKO2019" s="349"/>
      <c r="DKP2019" s="349"/>
      <c r="DKQ2019" s="349"/>
      <c r="DKR2019" s="349"/>
      <c r="DKS2019" s="349"/>
      <c r="DKT2019" s="349"/>
      <c r="DKU2019" s="349"/>
      <c r="DKV2019" s="349"/>
      <c r="DKW2019" s="349"/>
      <c r="DKX2019" s="349"/>
      <c r="DKY2019" s="349"/>
      <c r="DKZ2019" s="349"/>
      <c r="DLA2019" s="349"/>
      <c r="DLB2019" s="349"/>
      <c r="DLC2019" s="349"/>
      <c r="DLD2019" s="349"/>
      <c r="DLE2019" s="349"/>
      <c r="DLF2019" s="349"/>
      <c r="DLG2019" s="349"/>
      <c r="DLH2019" s="349"/>
      <c r="DLI2019" s="349"/>
      <c r="DLJ2019" s="349"/>
      <c r="DLK2019" s="349"/>
      <c r="DLL2019" s="349"/>
      <c r="DLM2019" s="349"/>
      <c r="DLN2019" s="349"/>
      <c r="DLO2019" s="349"/>
      <c r="DLP2019" s="349"/>
      <c r="DLQ2019" s="349"/>
      <c r="DLR2019" s="349"/>
      <c r="DLS2019" s="349"/>
      <c r="DLT2019" s="349"/>
      <c r="DLU2019" s="349"/>
      <c r="DLV2019" s="349"/>
      <c r="DLW2019" s="349"/>
      <c r="DLX2019" s="349"/>
      <c r="DLY2019" s="349"/>
      <c r="DLZ2019" s="349"/>
      <c r="DMA2019" s="349"/>
      <c r="DMB2019" s="349"/>
      <c r="DMC2019" s="349"/>
      <c r="DMD2019" s="349"/>
      <c r="DME2019" s="349"/>
      <c r="DMF2019" s="349"/>
      <c r="DMG2019" s="349"/>
      <c r="DMH2019" s="349"/>
      <c r="DMI2019" s="349"/>
      <c r="DMJ2019" s="349"/>
      <c r="DMK2019" s="349"/>
      <c r="DML2019" s="349"/>
      <c r="DMM2019" s="349"/>
      <c r="DMN2019" s="349"/>
      <c r="DMO2019" s="349"/>
      <c r="DMP2019" s="349"/>
      <c r="DMQ2019" s="349"/>
      <c r="DMR2019" s="349"/>
      <c r="DMS2019" s="349"/>
      <c r="DMT2019" s="349"/>
      <c r="DMU2019" s="349"/>
      <c r="DMV2019" s="349"/>
      <c r="DMW2019" s="349"/>
      <c r="DMX2019" s="349"/>
      <c r="DMY2019" s="349"/>
      <c r="DMZ2019" s="349"/>
      <c r="DNA2019" s="349"/>
      <c r="DNB2019" s="349"/>
      <c r="DNC2019" s="349"/>
      <c r="DND2019" s="349"/>
      <c r="DNE2019" s="349"/>
      <c r="DNF2019" s="349"/>
      <c r="DNG2019" s="349"/>
      <c r="DNH2019" s="349"/>
      <c r="DNI2019" s="349"/>
      <c r="DNJ2019" s="349"/>
      <c r="DNK2019" s="349"/>
      <c r="DNL2019" s="349"/>
      <c r="DNM2019" s="349"/>
      <c r="DNN2019" s="349"/>
      <c r="DNO2019" s="349"/>
      <c r="DNP2019" s="349"/>
      <c r="DNQ2019" s="349"/>
      <c r="DNR2019" s="349"/>
      <c r="DNS2019" s="349"/>
      <c r="DNT2019" s="349"/>
      <c r="DNU2019" s="349"/>
      <c r="DNV2019" s="349"/>
      <c r="DNW2019" s="349"/>
      <c r="DNX2019" s="349"/>
      <c r="DNY2019" s="349"/>
      <c r="DNZ2019" s="349"/>
      <c r="DOA2019" s="349"/>
      <c r="DOB2019" s="349"/>
      <c r="DOC2019" s="349"/>
      <c r="DOD2019" s="349"/>
      <c r="DOE2019" s="349"/>
      <c r="DOF2019" s="349"/>
      <c r="DOG2019" s="349"/>
      <c r="DOH2019" s="349"/>
      <c r="DOI2019" s="349"/>
      <c r="DOJ2019" s="349"/>
      <c r="DOK2019" s="349"/>
      <c r="DOL2019" s="349"/>
      <c r="DOM2019" s="349"/>
      <c r="DON2019" s="349"/>
      <c r="DOO2019" s="349"/>
      <c r="DOP2019" s="349"/>
      <c r="DOQ2019" s="349"/>
      <c r="DOR2019" s="349"/>
      <c r="DOS2019" s="349"/>
      <c r="DOT2019" s="349"/>
      <c r="DOU2019" s="349"/>
      <c r="DOV2019" s="349"/>
      <c r="DOW2019" s="349"/>
      <c r="DOX2019" s="349"/>
      <c r="DOY2019" s="349"/>
      <c r="DOZ2019" s="349"/>
      <c r="DPA2019" s="349"/>
      <c r="DPB2019" s="349"/>
      <c r="DPC2019" s="349"/>
      <c r="DPD2019" s="349"/>
      <c r="DPE2019" s="349"/>
      <c r="DPF2019" s="349"/>
      <c r="DPG2019" s="349"/>
      <c r="DPH2019" s="349"/>
      <c r="DPI2019" s="349"/>
      <c r="DPJ2019" s="349"/>
      <c r="DPK2019" s="349"/>
      <c r="DPL2019" s="349"/>
      <c r="DPM2019" s="349"/>
      <c r="DPN2019" s="349"/>
      <c r="DPO2019" s="349"/>
      <c r="DPP2019" s="349"/>
      <c r="DPQ2019" s="349"/>
      <c r="DPR2019" s="349"/>
      <c r="DPS2019" s="349"/>
      <c r="DPT2019" s="349"/>
      <c r="DPU2019" s="349"/>
      <c r="DPV2019" s="349"/>
      <c r="DPW2019" s="349"/>
      <c r="DPX2019" s="349"/>
      <c r="DPY2019" s="349"/>
      <c r="DPZ2019" s="349"/>
      <c r="DQA2019" s="349"/>
      <c r="DQB2019" s="349"/>
      <c r="DQC2019" s="349"/>
      <c r="DQD2019" s="349"/>
      <c r="DQE2019" s="349"/>
      <c r="DQF2019" s="349"/>
      <c r="DQG2019" s="349"/>
      <c r="DQH2019" s="349"/>
      <c r="DQI2019" s="349"/>
      <c r="DQJ2019" s="349"/>
      <c r="DQK2019" s="349"/>
      <c r="DQL2019" s="349"/>
      <c r="DQM2019" s="349"/>
      <c r="DQN2019" s="349"/>
      <c r="DQO2019" s="349"/>
      <c r="DQP2019" s="349"/>
      <c r="DQQ2019" s="349"/>
      <c r="DQR2019" s="349"/>
      <c r="DQS2019" s="349"/>
      <c r="DQT2019" s="349"/>
      <c r="DQU2019" s="349"/>
      <c r="DQV2019" s="349"/>
      <c r="DQW2019" s="349"/>
      <c r="DQX2019" s="349"/>
      <c r="DQY2019" s="349"/>
      <c r="DQZ2019" s="349"/>
      <c r="DRA2019" s="349"/>
      <c r="DRB2019" s="349"/>
      <c r="DRC2019" s="349"/>
      <c r="DRD2019" s="349"/>
      <c r="DRE2019" s="349"/>
      <c r="DRF2019" s="349"/>
      <c r="DRG2019" s="349"/>
      <c r="DRH2019" s="349"/>
      <c r="DRI2019" s="349"/>
      <c r="DRJ2019" s="349"/>
      <c r="DRK2019" s="349"/>
      <c r="DRL2019" s="349"/>
      <c r="DRM2019" s="349"/>
      <c r="DRN2019" s="349"/>
      <c r="DRO2019" s="349"/>
      <c r="DRP2019" s="349"/>
      <c r="DRQ2019" s="349"/>
      <c r="DRR2019" s="349"/>
      <c r="DRS2019" s="349"/>
      <c r="DRT2019" s="349"/>
      <c r="DRU2019" s="349"/>
      <c r="DRV2019" s="349"/>
      <c r="DRW2019" s="349"/>
      <c r="DRX2019" s="349"/>
      <c r="DRY2019" s="349"/>
      <c r="DRZ2019" s="349"/>
      <c r="DSA2019" s="349"/>
      <c r="DSB2019" s="349"/>
      <c r="DSC2019" s="349"/>
      <c r="DSD2019" s="349"/>
      <c r="DSE2019" s="349"/>
      <c r="DSF2019" s="349"/>
      <c r="DSG2019" s="349"/>
      <c r="DSH2019" s="349"/>
      <c r="DSI2019" s="349"/>
      <c r="DSJ2019" s="349"/>
      <c r="DSK2019" s="349"/>
      <c r="DSL2019" s="349"/>
      <c r="DSM2019" s="349"/>
      <c r="DSN2019" s="349"/>
      <c r="DSO2019" s="349"/>
      <c r="DSP2019" s="349"/>
      <c r="DSQ2019" s="349"/>
      <c r="DSR2019" s="349"/>
      <c r="DSS2019" s="349"/>
      <c r="DST2019" s="349"/>
      <c r="DSU2019" s="349"/>
      <c r="DSV2019" s="349"/>
      <c r="DSW2019" s="349"/>
      <c r="DSX2019" s="349"/>
      <c r="DSY2019" s="349"/>
      <c r="DSZ2019" s="349"/>
      <c r="DTA2019" s="349"/>
      <c r="DTB2019" s="349"/>
      <c r="DTC2019" s="349"/>
      <c r="DTD2019" s="349"/>
      <c r="DTE2019" s="349"/>
      <c r="DTF2019" s="349"/>
      <c r="DTG2019" s="349"/>
      <c r="DTH2019" s="349"/>
      <c r="DTI2019" s="349"/>
      <c r="DTJ2019" s="349"/>
      <c r="DTK2019" s="349"/>
      <c r="DTL2019" s="349"/>
      <c r="DTM2019" s="349"/>
      <c r="DTN2019" s="349"/>
      <c r="DTO2019" s="349"/>
      <c r="DTP2019" s="349"/>
      <c r="DTQ2019" s="349"/>
      <c r="DTR2019" s="349"/>
      <c r="DTS2019" s="349"/>
      <c r="DTT2019" s="349"/>
      <c r="DTU2019" s="349"/>
      <c r="DTV2019" s="349"/>
      <c r="DTW2019" s="349"/>
      <c r="DTX2019" s="349"/>
      <c r="DTY2019" s="349"/>
      <c r="DTZ2019" s="349"/>
      <c r="DUA2019" s="349"/>
      <c r="DUB2019" s="349"/>
      <c r="DUC2019" s="349"/>
      <c r="DUD2019" s="349"/>
      <c r="DUE2019" s="349"/>
      <c r="DUF2019" s="349"/>
      <c r="DUG2019" s="349"/>
      <c r="DUH2019" s="349"/>
      <c r="DUI2019" s="349"/>
      <c r="DUJ2019" s="349"/>
      <c r="DUK2019" s="349"/>
      <c r="DUL2019" s="349"/>
      <c r="DUM2019" s="349"/>
      <c r="DUN2019" s="349"/>
      <c r="DUO2019" s="349"/>
      <c r="DUP2019" s="349"/>
      <c r="DUQ2019" s="349"/>
      <c r="DUR2019" s="349"/>
      <c r="DUS2019" s="349"/>
      <c r="DUT2019" s="349"/>
      <c r="DUU2019" s="349"/>
      <c r="DUV2019" s="349"/>
      <c r="DUW2019" s="349"/>
      <c r="DUX2019" s="349"/>
      <c r="DUY2019" s="349"/>
      <c r="DUZ2019" s="349"/>
      <c r="DVA2019" s="349"/>
      <c r="DVB2019" s="349"/>
      <c r="DVC2019" s="349"/>
      <c r="DVD2019" s="349"/>
      <c r="DVE2019" s="349"/>
      <c r="DVF2019" s="349"/>
      <c r="DVG2019" s="349"/>
      <c r="DVH2019" s="349"/>
      <c r="DVI2019" s="349"/>
      <c r="DVJ2019" s="349"/>
      <c r="DVK2019" s="349"/>
      <c r="DVL2019" s="349"/>
      <c r="DVM2019" s="349"/>
      <c r="DVN2019" s="349"/>
      <c r="DVO2019" s="349"/>
      <c r="DVP2019" s="349"/>
      <c r="DVQ2019" s="349"/>
      <c r="DVR2019" s="349"/>
      <c r="DVS2019" s="349"/>
      <c r="DVT2019" s="349"/>
      <c r="DVU2019" s="349"/>
      <c r="DVV2019" s="349"/>
      <c r="DVW2019" s="349"/>
      <c r="DVX2019" s="349"/>
      <c r="DVY2019" s="349"/>
      <c r="DVZ2019" s="349"/>
      <c r="DWA2019" s="349"/>
      <c r="DWB2019" s="349"/>
      <c r="DWC2019" s="349"/>
      <c r="DWD2019" s="349"/>
      <c r="DWE2019" s="349"/>
      <c r="DWF2019" s="349"/>
      <c r="DWG2019" s="349"/>
      <c r="DWH2019" s="349"/>
      <c r="DWI2019" s="349"/>
      <c r="DWJ2019" s="349"/>
      <c r="DWK2019" s="349"/>
      <c r="DWL2019" s="349"/>
      <c r="DWM2019" s="349"/>
      <c r="DWN2019" s="349"/>
      <c r="DWO2019" s="349"/>
      <c r="DWP2019" s="349"/>
      <c r="DWQ2019" s="349"/>
      <c r="DWR2019" s="349"/>
      <c r="DWS2019" s="349"/>
      <c r="DWT2019" s="349"/>
      <c r="DWU2019" s="349"/>
      <c r="DWV2019" s="349"/>
      <c r="DWW2019" s="349"/>
      <c r="DWX2019" s="349"/>
      <c r="DWY2019" s="349"/>
      <c r="DWZ2019" s="349"/>
      <c r="DXA2019" s="349"/>
      <c r="DXB2019" s="349"/>
      <c r="DXC2019" s="349"/>
      <c r="DXD2019" s="349"/>
      <c r="DXE2019" s="349"/>
      <c r="DXF2019" s="349"/>
      <c r="DXG2019" s="349"/>
      <c r="DXH2019" s="349"/>
      <c r="DXI2019" s="349"/>
      <c r="DXJ2019" s="349"/>
      <c r="DXK2019" s="349"/>
      <c r="DXL2019" s="349"/>
      <c r="DXM2019" s="349"/>
      <c r="DXN2019" s="349"/>
      <c r="DXO2019" s="349"/>
      <c r="DXP2019" s="349"/>
      <c r="DXQ2019" s="349"/>
      <c r="DXR2019" s="349"/>
      <c r="DXS2019" s="349"/>
      <c r="DXT2019" s="349"/>
      <c r="DXU2019" s="349"/>
      <c r="DXV2019" s="349"/>
      <c r="DXW2019" s="349"/>
      <c r="DXX2019" s="349"/>
      <c r="DXY2019" s="349"/>
      <c r="DXZ2019" s="349"/>
      <c r="DYA2019" s="349"/>
      <c r="DYB2019" s="349"/>
      <c r="DYC2019" s="349"/>
      <c r="DYD2019" s="349"/>
      <c r="DYE2019" s="349"/>
      <c r="DYF2019" s="349"/>
      <c r="DYG2019" s="349"/>
      <c r="DYH2019" s="349"/>
      <c r="DYI2019" s="349"/>
      <c r="DYJ2019" s="349"/>
      <c r="DYK2019" s="349"/>
      <c r="DYL2019" s="349"/>
      <c r="DYM2019" s="349"/>
      <c r="DYN2019" s="349"/>
      <c r="DYO2019" s="349"/>
      <c r="DYP2019" s="349"/>
      <c r="DYQ2019" s="349"/>
      <c r="DYR2019" s="349"/>
      <c r="DYS2019" s="349"/>
      <c r="DYT2019" s="349"/>
      <c r="DYU2019" s="349"/>
      <c r="DYV2019" s="349"/>
      <c r="DYW2019" s="349"/>
      <c r="DYX2019" s="349"/>
      <c r="DYY2019" s="349"/>
      <c r="DYZ2019" s="349"/>
      <c r="DZA2019" s="349"/>
      <c r="DZB2019" s="349"/>
      <c r="DZC2019" s="349"/>
      <c r="DZD2019" s="349"/>
      <c r="DZE2019" s="349"/>
      <c r="DZF2019" s="349"/>
      <c r="DZG2019" s="349"/>
      <c r="DZH2019" s="349"/>
      <c r="DZI2019" s="349"/>
      <c r="DZJ2019" s="349"/>
      <c r="DZK2019" s="349"/>
      <c r="DZL2019" s="349"/>
      <c r="DZM2019" s="349"/>
      <c r="DZN2019" s="349"/>
      <c r="DZO2019" s="349"/>
      <c r="DZP2019" s="349"/>
      <c r="DZQ2019" s="349"/>
      <c r="DZR2019" s="349"/>
      <c r="DZS2019" s="349"/>
      <c r="DZT2019" s="349"/>
      <c r="DZU2019" s="349"/>
      <c r="DZV2019" s="349"/>
      <c r="DZW2019" s="349"/>
      <c r="DZX2019" s="349"/>
      <c r="DZY2019" s="349"/>
      <c r="DZZ2019" s="349"/>
      <c r="EAA2019" s="349"/>
      <c r="EAB2019" s="349"/>
      <c r="EAC2019" s="349"/>
      <c r="EAD2019" s="349"/>
      <c r="EAE2019" s="349"/>
      <c r="EAF2019" s="349"/>
      <c r="EAG2019" s="349"/>
      <c r="EAH2019" s="349"/>
      <c r="EAI2019" s="349"/>
      <c r="EAJ2019" s="349"/>
      <c r="EAK2019" s="349"/>
      <c r="EAL2019" s="349"/>
      <c r="EAM2019" s="349"/>
      <c r="EAN2019" s="349"/>
      <c r="EAO2019" s="349"/>
      <c r="EAP2019" s="349"/>
      <c r="EAQ2019" s="349"/>
      <c r="EAR2019" s="349"/>
      <c r="EAS2019" s="349"/>
      <c r="EAT2019" s="349"/>
      <c r="EAU2019" s="349"/>
      <c r="EAV2019" s="349"/>
      <c r="EAW2019" s="349"/>
      <c r="EAX2019" s="349"/>
      <c r="EAY2019" s="349"/>
      <c r="EAZ2019" s="349"/>
      <c r="EBA2019" s="349"/>
      <c r="EBB2019" s="349"/>
      <c r="EBC2019" s="349"/>
      <c r="EBD2019" s="349"/>
      <c r="EBE2019" s="349"/>
      <c r="EBF2019" s="349"/>
      <c r="EBG2019" s="349"/>
      <c r="EBH2019" s="349"/>
      <c r="EBI2019" s="349"/>
      <c r="EBJ2019" s="349"/>
      <c r="EBK2019" s="349"/>
      <c r="EBL2019" s="349"/>
      <c r="EBM2019" s="349"/>
      <c r="EBN2019" s="349"/>
      <c r="EBO2019" s="349"/>
      <c r="EBP2019" s="349"/>
      <c r="EBQ2019" s="349"/>
      <c r="EBR2019" s="349"/>
      <c r="EBS2019" s="349"/>
      <c r="EBT2019" s="349"/>
      <c r="EBU2019" s="349"/>
      <c r="EBV2019" s="349"/>
      <c r="EBW2019" s="349"/>
      <c r="EBX2019" s="349"/>
      <c r="EBY2019" s="349"/>
      <c r="EBZ2019" s="349"/>
      <c r="ECA2019" s="349"/>
      <c r="ECB2019" s="349"/>
      <c r="ECC2019" s="349"/>
      <c r="ECD2019" s="349"/>
      <c r="ECE2019" s="349"/>
      <c r="ECF2019" s="349"/>
      <c r="ECG2019" s="349"/>
      <c r="ECH2019" s="349"/>
      <c r="ECI2019" s="349"/>
      <c r="ECJ2019" s="349"/>
      <c r="ECK2019" s="349"/>
      <c r="ECL2019" s="349"/>
      <c r="ECM2019" s="349"/>
      <c r="ECN2019" s="349"/>
      <c r="ECO2019" s="349"/>
      <c r="ECP2019" s="349"/>
      <c r="ECQ2019" s="349"/>
      <c r="ECR2019" s="349"/>
      <c r="ECS2019" s="349"/>
      <c r="ECT2019" s="349"/>
      <c r="ECU2019" s="349"/>
      <c r="ECV2019" s="349"/>
      <c r="ECW2019" s="349"/>
      <c r="ECX2019" s="349"/>
      <c r="ECY2019" s="349"/>
      <c r="ECZ2019" s="349"/>
      <c r="EDA2019" s="349"/>
      <c r="EDB2019" s="349"/>
      <c r="EDC2019" s="349"/>
      <c r="EDD2019" s="349"/>
      <c r="EDE2019" s="349"/>
      <c r="EDF2019" s="349"/>
      <c r="EDG2019" s="349"/>
      <c r="EDH2019" s="349"/>
      <c r="EDI2019" s="349"/>
      <c r="EDJ2019" s="349"/>
      <c r="EDK2019" s="349"/>
      <c r="EDL2019" s="349"/>
      <c r="EDM2019" s="349"/>
      <c r="EDN2019" s="349"/>
      <c r="EDO2019" s="349"/>
      <c r="EDP2019" s="349"/>
      <c r="EDQ2019" s="349"/>
      <c r="EDR2019" s="349"/>
      <c r="EDS2019" s="349"/>
      <c r="EDT2019" s="349"/>
      <c r="EDU2019" s="349"/>
      <c r="EDV2019" s="349"/>
      <c r="EDW2019" s="349"/>
      <c r="EDX2019" s="349"/>
      <c r="EDY2019" s="349"/>
      <c r="EDZ2019" s="349"/>
      <c r="EEA2019" s="349"/>
      <c r="EEB2019" s="349"/>
      <c r="EEC2019" s="349"/>
      <c r="EED2019" s="349"/>
      <c r="EEE2019" s="349"/>
      <c r="EEF2019" s="349"/>
      <c r="EEG2019" s="349"/>
      <c r="EEH2019" s="349"/>
      <c r="EEI2019" s="349"/>
      <c r="EEJ2019" s="349"/>
      <c r="EEK2019" s="349"/>
      <c r="EEL2019" s="349"/>
      <c r="EEM2019" s="349"/>
      <c r="EEN2019" s="349"/>
      <c r="EEO2019" s="349"/>
      <c r="EEP2019" s="349"/>
      <c r="EEQ2019" s="349"/>
      <c r="EER2019" s="349"/>
      <c r="EES2019" s="349"/>
      <c r="EET2019" s="349"/>
      <c r="EEU2019" s="349"/>
      <c r="EEV2019" s="349"/>
      <c r="EEW2019" s="349"/>
      <c r="EEX2019" s="349"/>
      <c r="EEY2019" s="349"/>
      <c r="EEZ2019" s="349"/>
      <c r="EFA2019" s="349"/>
      <c r="EFB2019" s="349"/>
      <c r="EFC2019" s="349"/>
      <c r="EFD2019" s="349"/>
      <c r="EFE2019" s="349"/>
      <c r="EFF2019" s="349"/>
      <c r="EFG2019" s="349"/>
      <c r="EFH2019" s="349"/>
      <c r="EFI2019" s="349"/>
      <c r="EFJ2019" s="349"/>
      <c r="EFK2019" s="349"/>
      <c r="EFL2019" s="349"/>
      <c r="EFM2019" s="349"/>
      <c r="EFN2019" s="349"/>
      <c r="EFO2019" s="349"/>
      <c r="EFP2019" s="349"/>
      <c r="EFQ2019" s="349"/>
      <c r="EFR2019" s="349"/>
      <c r="EFS2019" s="349"/>
      <c r="EFT2019" s="349"/>
      <c r="EFU2019" s="349"/>
      <c r="EFV2019" s="349"/>
      <c r="EFW2019" s="349"/>
      <c r="EFX2019" s="349"/>
      <c r="EFY2019" s="349"/>
      <c r="EFZ2019" s="349"/>
      <c r="EGA2019" s="349"/>
      <c r="EGB2019" s="349"/>
      <c r="EGC2019" s="349"/>
      <c r="EGD2019" s="349"/>
      <c r="EGE2019" s="349"/>
      <c r="EGF2019" s="349"/>
      <c r="EGG2019" s="349"/>
      <c r="EGH2019" s="349"/>
      <c r="EGI2019" s="349"/>
      <c r="EGJ2019" s="349"/>
      <c r="EGK2019" s="349"/>
      <c r="EGL2019" s="349"/>
      <c r="EGM2019" s="349"/>
      <c r="EGN2019" s="349"/>
      <c r="EGO2019" s="349"/>
      <c r="EGP2019" s="349"/>
      <c r="EGQ2019" s="349"/>
      <c r="EGR2019" s="349"/>
      <c r="EGS2019" s="349"/>
      <c r="EGT2019" s="349"/>
      <c r="EGU2019" s="349"/>
      <c r="EGV2019" s="349"/>
      <c r="EGW2019" s="349"/>
      <c r="EGX2019" s="349"/>
      <c r="EGY2019" s="349"/>
      <c r="EGZ2019" s="349"/>
      <c r="EHA2019" s="349"/>
      <c r="EHB2019" s="349"/>
      <c r="EHC2019" s="349"/>
      <c r="EHD2019" s="349"/>
      <c r="EHE2019" s="349"/>
      <c r="EHF2019" s="349"/>
      <c r="EHG2019" s="349"/>
      <c r="EHH2019" s="349"/>
      <c r="EHI2019" s="349"/>
      <c r="EHJ2019" s="349"/>
      <c r="EHK2019" s="349"/>
      <c r="EHL2019" s="349"/>
      <c r="EHM2019" s="349"/>
      <c r="EHN2019" s="349"/>
      <c r="EHO2019" s="349"/>
      <c r="EHP2019" s="349"/>
      <c r="EHQ2019" s="349"/>
      <c r="EHR2019" s="349"/>
      <c r="EHS2019" s="349"/>
      <c r="EHT2019" s="349"/>
      <c r="EHU2019" s="349"/>
      <c r="EHV2019" s="349"/>
      <c r="EHW2019" s="349"/>
      <c r="EHX2019" s="349"/>
      <c r="EHY2019" s="349"/>
      <c r="EHZ2019" s="349"/>
      <c r="EIA2019" s="349"/>
      <c r="EIB2019" s="349"/>
      <c r="EIC2019" s="349"/>
      <c r="EID2019" s="349"/>
      <c r="EIE2019" s="349"/>
      <c r="EIF2019" s="349"/>
      <c r="EIG2019" s="349"/>
      <c r="EIH2019" s="349"/>
      <c r="EII2019" s="349"/>
      <c r="EIJ2019" s="349"/>
      <c r="EIK2019" s="349"/>
      <c r="EIL2019" s="349"/>
      <c r="EIM2019" s="349"/>
      <c r="EIN2019" s="349"/>
      <c r="EIO2019" s="349"/>
      <c r="EIP2019" s="349"/>
      <c r="EIQ2019" s="349"/>
      <c r="EIR2019" s="349"/>
      <c r="EIS2019" s="349"/>
      <c r="EIT2019" s="349"/>
      <c r="EIU2019" s="349"/>
      <c r="EIV2019" s="349"/>
      <c r="EIW2019" s="349"/>
      <c r="EIX2019" s="349"/>
      <c r="EIY2019" s="349"/>
      <c r="EIZ2019" s="349"/>
      <c r="EJA2019" s="349"/>
      <c r="EJB2019" s="349"/>
      <c r="EJC2019" s="349"/>
      <c r="EJD2019" s="349"/>
      <c r="EJE2019" s="349"/>
      <c r="EJF2019" s="349"/>
      <c r="EJG2019" s="349"/>
      <c r="EJH2019" s="349"/>
      <c r="EJI2019" s="349"/>
      <c r="EJJ2019" s="349"/>
      <c r="EJK2019" s="349"/>
      <c r="EJL2019" s="349"/>
      <c r="EJM2019" s="349"/>
      <c r="EJN2019" s="349"/>
      <c r="EJO2019" s="349"/>
      <c r="EJP2019" s="349"/>
      <c r="EJQ2019" s="349"/>
      <c r="EJR2019" s="349"/>
      <c r="EJS2019" s="349"/>
      <c r="EJT2019" s="349"/>
      <c r="EJU2019" s="349"/>
      <c r="EJV2019" s="349"/>
      <c r="EJW2019" s="349"/>
      <c r="EJX2019" s="349"/>
      <c r="EJY2019" s="349"/>
      <c r="EJZ2019" s="349"/>
      <c r="EKA2019" s="349"/>
      <c r="EKB2019" s="349"/>
      <c r="EKC2019" s="349"/>
      <c r="EKD2019" s="349"/>
      <c r="EKE2019" s="349"/>
      <c r="EKF2019" s="349"/>
      <c r="EKG2019" s="349"/>
      <c r="EKH2019" s="349"/>
      <c r="EKI2019" s="349"/>
      <c r="EKJ2019" s="349"/>
      <c r="EKK2019" s="349"/>
      <c r="EKL2019" s="349"/>
      <c r="EKM2019" s="349"/>
      <c r="EKN2019" s="349"/>
      <c r="EKO2019" s="349"/>
      <c r="EKP2019" s="349"/>
      <c r="EKQ2019" s="349"/>
      <c r="EKR2019" s="349"/>
      <c r="EKS2019" s="349"/>
      <c r="EKT2019" s="349"/>
      <c r="EKU2019" s="349"/>
      <c r="EKV2019" s="349"/>
      <c r="EKW2019" s="349"/>
      <c r="EKX2019" s="349"/>
      <c r="EKY2019" s="349"/>
      <c r="EKZ2019" s="349"/>
      <c r="ELA2019" s="349"/>
      <c r="ELB2019" s="349"/>
      <c r="ELC2019" s="349"/>
      <c r="ELD2019" s="349"/>
      <c r="ELE2019" s="349"/>
      <c r="ELF2019" s="349"/>
      <c r="ELG2019" s="349"/>
      <c r="ELH2019" s="349"/>
      <c r="ELI2019" s="349"/>
      <c r="ELJ2019" s="349"/>
      <c r="ELK2019" s="349"/>
      <c r="ELL2019" s="349"/>
      <c r="ELM2019" s="349"/>
      <c r="ELN2019" s="349"/>
      <c r="ELO2019" s="349"/>
      <c r="ELP2019" s="349"/>
      <c r="ELQ2019" s="349"/>
      <c r="ELR2019" s="349"/>
      <c r="ELS2019" s="349"/>
      <c r="ELT2019" s="349"/>
      <c r="ELU2019" s="349"/>
      <c r="ELV2019" s="349"/>
      <c r="ELW2019" s="349"/>
      <c r="ELX2019" s="349"/>
      <c r="ELY2019" s="349"/>
      <c r="ELZ2019" s="349"/>
      <c r="EMA2019" s="349"/>
      <c r="EMB2019" s="349"/>
      <c r="EMC2019" s="349"/>
      <c r="EMD2019" s="349"/>
      <c r="EME2019" s="349"/>
      <c r="EMF2019" s="349"/>
      <c r="EMG2019" s="349"/>
      <c r="EMH2019" s="349"/>
      <c r="EMI2019" s="349"/>
      <c r="EMJ2019" s="349"/>
      <c r="EMK2019" s="349"/>
      <c r="EML2019" s="349"/>
      <c r="EMM2019" s="349"/>
      <c r="EMN2019" s="349"/>
      <c r="EMO2019" s="349"/>
      <c r="EMP2019" s="349"/>
      <c r="EMQ2019" s="349"/>
      <c r="EMR2019" s="349"/>
      <c r="EMS2019" s="349"/>
      <c r="EMT2019" s="349"/>
      <c r="EMU2019" s="349"/>
      <c r="EMV2019" s="349"/>
      <c r="EMW2019" s="349"/>
      <c r="EMX2019" s="349"/>
      <c r="EMY2019" s="349"/>
      <c r="EMZ2019" s="349"/>
      <c r="ENA2019" s="349"/>
      <c r="ENB2019" s="349"/>
      <c r="ENC2019" s="349"/>
      <c r="END2019" s="349"/>
      <c r="ENE2019" s="349"/>
      <c r="ENF2019" s="349"/>
      <c r="ENG2019" s="349"/>
      <c r="ENH2019" s="349"/>
      <c r="ENI2019" s="349"/>
      <c r="ENJ2019" s="349"/>
      <c r="ENK2019" s="349"/>
      <c r="ENL2019" s="349"/>
      <c r="ENM2019" s="349"/>
      <c r="ENN2019" s="349"/>
      <c r="ENO2019" s="349"/>
      <c r="ENP2019" s="349"/>
      <c r="ENQ2019" s="349"/>
      <c r="ENR2019" s="349"/>
      <c r="ENS2019" s="349"/>
      <c r="ENT2019" s="349"/>
      <c r="ENU2019" s="349"/>
      <c r="ENV2019" s="349"/>
      <c r="ENW2019" s="349"/>
      <c r="ENX2019" s="349"/>
      <c r="ENY2019" s="349"/>
      <c r="ENZ2019" s="349"/>
      <c r="EOA2019" s="349"/>
      <c r="EOB2019" s="349"/>
      <c r="EOC2019" s="349"/>
      <c r="EOD2019" s="349"/>
      <c r="EOE2019" s="349"/>
      <c r="EOF2019" s="349"/>
      <c r="EOG2019" s="349"/>
      <c r="EOH2019" s="349"/>
      <c r="EOI2019" s="349"/>
      <c r="EOJ2019" s="349"/>
      <c r="EOK2019" s="349"/>
      <c r="EOL2019" s="349"/>
      <c r="EOM2019" s="349"/>
      <c r="EON2019" s="349"/>
      <c r="EOO2019" s="349"/>
      <c r="EOP2019" s="349"/>
      <c r="EOQ2019" s="349"/>
      <c r="EOR2019" s="349"/>
      <c r="EOS2019" s="349"/>
      <c r="EOT2019" s="349"/>
      <c r="EOU2019" s="349"/>
      <c r="EOV2019" s="349"/>
      <c r="EOW2019" s="349"/>
      <c r="EOX2019" s="349"/>
      <c r="EOY2019" s="349"/>
      <c r="EOZ2019" s="349"/>
      <c r="EPA2019" s="349"/>
      <c r="EPB2019" s="349"/>
      <c r="EPC2019" s="349"/>
      <c r="EPD2019" s="349"/>
      <c r="EPE2019" s="349"/>
      <c r="EPF2019" s="349"/>
      <c r="EPG2019" s="349"/>
      <c r="EPH2019" s="349"/>
      <c r="EPI2019" s="349"/>
      <c r="EPJ2019" s="349"/>
      <c r="EPK2019" s="349"/>
      <c r="EPL2019" s="349"/>
      <c r="EPM2019" s="349"/>
      <c r="EPN2019" s="349"/>
      <c r="EPO2019" s="349"/>
      <c r="EPP2019" s="349"/>
      <c r="EPQ2019" s="349"/>
      <c r="EPR2019" s="349"/>
      <c r="EPS2019" s="349"/>
      <c r="EPT2019" s="349"/>
      <c r="EPU2019" s="349"/>
      <c r="EPV2019" s="349"/>
      <c r="EPW2019" s="349"/>
      <c r="EPX2019" s="349"/>
      <c r="EPY2019" s="349"/>
      <c r="EPZ2019" s="349"/>
      <c r="EQA2019" s="349"/>
      <c r="EQB2019" s="349"/>
      <c r="EQC2019" s="349"/>
      <c r="EQD2019" s="349"/>
      <c r="EQE2019" s="349"/>
      <c r="EQF2019" s="349"/>
      <c r="EQG2019" s="349"/>
      <c r="EQH2019" s="349"/>
      <c r="EQI2019" s="349"/>
      <c r="EQJ2019" s="349"/>
      <c r="EQK2019" s="349"/>
      <c r="EQL2019" s="349"/>
      <c r="EQM2019" s="349"/>
      <c r="EQN2019" s="349"/>
      <c r="EQO2019" s="349"/>
      <c r="EQP2019" s="349"/>
      <c r="EQQ2019" s="349"/>
      <c r="EQR2019" s="349"/>
      <c r="EQS2019" s="349"/>
      <c r="EQT2019" s="349"/>
      <c r="EQU2019" s="349"/>
      <c r="EQV2019" s="349"/>
      <c r="EQW2019" s="349"/>
      <c r="EQX2019" s="349"/>
      <c r="EQY2019" s="349"/>
      <c r="EQZ2019" s="349"/>
      <c r="ERA2019" s="349"/>
      <c r="ERB2019" s="349"/>
      <c r="ERC2019" s="349"/>
      <c r="ERD2019" s="349"/>
      <c r="ERE2019" s="349"/>
      <c r="ERF2019" s="349"/>
      <c r="ERG2019" s="349"/>
      <c r="ERH2019" s="349"/>
      <c r="ERI2019" s="349"/>
      <c r="ERJ2019" s="349"/>
      <c r="ERK2019" s="349"/>
      <c r="ERL2019" s="349"/>
      <c r="ERM2019" s="349"/>
      <c r="ERN2019" s="349"/>
      <c r="ERO2019" s="349"/>
      <c r="ERP2019" s="349"/>
      <c r="ERQ2019" s="349"/>
      <c r="ERR2019" s="349"/>
      <c r="ERS2019" s="349"/>
      <c r="ERT2019" s="349"/>
      <c r="ERU2019" s="349"/>
      <c r="ERV2019" s="349"/>
      <c r="ERW2019" s="349"/>
      <c r="ERX2019" s="349"/>
      <c r="ERY2019" s="349"/>
      <c r="ERZ2019" s="349"/>
      <c r="ESA2019" s="349"/>
      <c r="ESB2019" s="349"/>
      <c r="ESC2019" s="349"/>
      <c r="ESD2019" s="349"/>
      <c r="ESE2019" s="349"/>
      <c r="ESF2019" s="349"/>
      <c r="ESG2019" s="349"/>
      <c r="ESH2019" s="349"/>
      <c r="ESI2019" s="349"/>
      <c r="ESJ2019" s="349"/>
      <c r="ESK2019" s="349"/>
      <c r="ESL2019" s="349"/>
      <c r="ESM2019" s="349"/>
      <c r="ESN2019" s="349"/>
      <c r="ESO2019" s="349"/>
      <c r="ESP2019" s="349"/>
      <c r="ESQ2019" s="349"/>
      <c r="ESR2019" s="349"/>
      <c r="ESS2019" s="349"/>
      <c r="EST2019" s="349"/>
      <c r="ESU2019" s="349"/>
      <c r="ESV2019" s="349"/>
      <c r="ESW2019" s="349"/>
      <c r="ESX2019" s="349"/>
      <c r="ESY2019" s="349"/>
      <c r="ESZ2019" s="349"/>
      <c r="ETA2019" s="349"/>
      <c r="ETB2019" s="349"/>
      <c r="ETC2019" s="349"/>
      <c r="ETD2019" s="349"/>
      <c r="ETE2019" s="349"/>
      <c r="ETF2019" s="349"/>
      <c r="ETG2019" s="349"/>
      <c r="ETH2019" s="349"/>
      <c r="ETI2019" s="349"/>
      <c r="ETJ2019" s="349"/>
      <c r="ETK2019" s="349"/>
      <c r="ETL2019" s="349"/>
      <c r="ETM2019" s="349"/>
      <c r="ETN2019" s="349"/>
      <c r="ETO2019" s="349"/>
      <c r="ETP2019" s="349"/>
      <c r="ETQ2019" s="349"/>
      <c r="ETR2019" s="349"/>
      <c r="ETS2019" s="349"/>
      <c r="ETT2019" s="349"/>
      <c r="ETU2019" s="349"/>
      <c r="ETV2019" s="349"/>
      <c r="ETW2019" s="349"/>
      <c r="ETX2019" s="349"/>
      <c r="ETY2019" s="349"/>
      <c r="ETZ2019" s="349"/>
      <c r="EUA2019" s="349"/>
      <c r="EUB2019" s="349"/>
      <c r="EUC2019" s="349"/>
      <c r="EUD2019" s="349"/>
      <c r="EUE2019" s="349"/>
      <c r="EUF2019" s="349"/>
      <c r="EUG2019" s="349"/>
      <c r="EUH2019" s="349"/>
      <c r="EUI2019" s="349"/>
      <c r="EUJ2019" s="349"/>
      <c r="EUK2019" s="349"/>
      <c r="EUL2019" s="349"/>
      <c r="EUM2019" s="349"/>
      <c r="EUN2019" s="349"/>
      <c r="EUO2019" s="349"/>
      <c r="EUP2019" s="349"/>
      <c r="EUQ2019" s="349"/>
      <c r="EUR2019" s="349"/>
      <c r="EUS2019" s="349"/>
      <c r="EUT2019" s="349"/>
      <c r="EUU2019" s="349"/>
      <c r="EUV2019" s="349"/>
      <c r="EUW2019" s="349"/>
      <c r="EUX2019" s="349"/>
      <c r="EUY2019" s="349"/>
      <c r="EUZ2019" s="349"/>
      <c r="EVA2019" s="349"/>
      <c r="EVB2019" s="349"/>
      <c r="EVC2019" s="349"/>
      <c r="EVD2019" s="349"/>
      <c r="EVE2019" s="349"/>
      <c r="EVF2019" s="349"/>
      <c r="EVG2019" s="349"/>
      <c r="EVH2019" s="349"/>
      <c r="EVI2019" s="349"/>
      <c r="EVJ2019" s="349"/>
      <c r="EVK2019" s="349"/>
      <c r="EVL2019" s="349"/>
      <c r="EVM2019" s="349"/>
      <c r="EVN2019" s="349"/>
      <c r="EVO2019" s="349"/>
      <c r="EVP2019" s="349"/>
      <c r="EVQ2019" s="349"/>
      <c r="EVR2019" s="349"/>
      <c r="EVS2019" s="349"/>
      <c r="EVT2019" s="349"/>
      <c r="EVU2019" s="349"/>
      <c r="EVV2019" s="349"/>
      <c r="EVW2019" s="349"/>
      <c r="EVX2019" s="349"/>
      <c r="EVY2019" s="349"/>
      <c r="EVZ2019" s="349"/>
      <c r="EWA2019" s="349"/>
      <c r="EWB2019" s="349"/>
      <c r="EWC2019" s="349"/>
      <c r="EWD2019" s="349"/>
      <c r="EWE2019" s="349"/>
      <c r="EWF2019" s="349"/>
      <c r="EWG2019" s="349"/>
      <c r="EWH2019" s="349"/>
      <c r="EWI2019" s="349"/>
      <c r="EWJ2019" s="349"/>
      <c r="EWK2019" s="349"/>
      <c r="EWL2019" s="349"/>
      <c r="EWM2019" s="349"/>
      <c r="EWN2019" s="349"/>
      <c r="EWO2019" s="349"/>
      <c r="EWP2019" s="349"/>
      <c r="EWQ2019" s="349"/>
      <c r="EWR2019" s="349"/>
      <c r="EWS2019" s="349"/>
      <c r="EWT2019" s="349"/>
      <c r="EWU2019" s="349"/>
      <c r="EWV2019" s="349"/>
      <c r="EWW2019" s="349"/>
      <c r="EWX2019" s="349"/>
      <c r="EWY2019" s="349"/>
      <c r="EWZ2019" s="349"/>
      <c r="EXA2019" s="349"/>
      <c r="EXB2019" s="349"/>
      <c r="EXC2019" s="349"/>
      <c r="EXD2019" s="349"/>
      <c r="EXE2019" s="349"/>
      <c r="EXF2019" s="349"/>
      <c r="EXG2019" s="349"/>
      <c r="EXH2019" s="349"/>
      <c r="EXI2019" s="349"/>
      <c r="EXJ2019" s="349"/>
      <c r="EXK2019" s="349"/>
      <c r="EXL2019" s="349"/>
      <c r="EXM2019" s="349"/>
      <c r="EXN2019" s="349"/>
      <c r="EXO2019" s="349"/>
      <c r="EXP2019" s="349"/>
      <c r="EXQ2019" s="349"/>
      <c r="EXR2019" s="349"/>
      <c r="EXS2019" s="349"/>
      <c r="EXT2019" s="349"/>
      <c r="EXU2019" s="349"/>
      <c r="EXV2019" s="349"/>
      <c r="EXW2019" s="349"/>
      <c r="EXX2019" s="349"/>
      <c r="EXY2019" s="349"/>
      <c r="EXZ2019" s="349"/>
      <c r="EYA2019" s="349"/>
      <c r="EYB2019" s="349"/>
      <c r="EYC2019" s="349"/>
      <c r="EYD2019" s="349"/>
      <c r="EYE2019" s="349"/>
      <c r="EYF2019" s="349"/>
      <c r="EYG2019" s="349"/>
      <c r="EYH2019" s="349"/>
      <c r="EYI2019" s="349"/>
      <c r="EYJ2019" s="349"/>
      <c r="EYK2019" s="349"/>
      <c r="EYL2019" s="349"/>
      <c r="EYM2019" s="349"/>
      <c r="EYN2019" s="349"/>
      <c r="EYO2019" s="349"/>
      <c r="EYP2019" s="349"/>
      <c r="EYQ2019" s="349"/>
      <c r="EYR2019" s="349"/>
      <c r="EYS2019" s="349"/>
      <c r="EYT2019" s="349"/>
      <c r="EYU2019" s="349"/>
      <c r="EYV2019" s="349"/>
      <c r="EYW2019" s="349"/>
      <c r="EYX2019" s="349"/>
      <c r="EYY2019" s="349"/>
      <c r="EYZ2019" s="349"/>
      <c r="EZA2019" s="349"/>
      <c r="EZB2019" s="349"/>
      <c r="EZC2019" s="349"/>
      <c r="EZD2019" s="349"/>
      <c r="EZE2019" s="349"/>
      <c r="EZF2019" s="349"/>
      <c r="EZG2019" s="349"/>
      <c r="EZH2019" s="349"/>
      <c r="EZI2019" s="349"/>
      <c r="EZJ2019" s="349"/>
      <c r="EZK2019" s="349"/>
      <c r="EZL2019" s="349"/>
      <c r="EZM2019" s="349"/>
      <c r="EZN2019" s="349"/>
      <c r="EZO2019" s="349"/>
      <c r="EZP2019" s="349"/>
      <c r="EZQ2019" s="349"/>
      <c r="EZR2019" s="349"/>
      <c r="EZS2019" s="349"/>
      <c r="EZT2019" s="349"/>
      <c r="EZU2019" s="349"/>
      <c r="EZV2019" s="349"/>
      <c r="EZW2019" s="349"/>
      <c r="EZX2019" s="349"/>
      <c r="EZY2019" s="349"/>
      <c r="EZZ2019" s="349"/>
      <c r="FAA2019" s="349"/>
      <c r="FAB2019" s="349"/>
      <c r="FAC2019" s="349"/>
      <c r="FAD2019" s="349"/>
      <c r="FAE2019" s="349"/>
      <c r="FAF2019" s="349"/>
      <c r="FAG2019" s="349"/>
      <c r="FAH2019" s="349"/>
      <c r="FAI2019" s="349"/>
      <c r="FAJ2019" s="349"/>
      <c r="FAK2019" s="349"/>
      <c r="FAL2019" s="349"/>
      <c r="FAM2019" s="349"/>
      <c r="FAN2019" s="349"/>
      <c r="FAO2019" s="349"/>
      <c r="FAP2019" s="349"/>
      <c r="FAQ2019" s="349"/>
      <c r="FAR2019" s="349"/>
      <c r="FAS2019" s="349"/>
      <c r="FAT2019" s="349"/>
      <c r="FAU2019" s="349"/>
      <c r="FAV2019" s="349"/>
      <c r="FAW2019" s="349"/>
      <c r="FAX2019" s="349"/>
      <c r="FAY2019" s="349"/>
      <c r="FAZ2019" s="349"/>
      <c r="FBA2019" s="349"/>
      <c r="FBB2019" s="349"/>
      <c r="FBC2019" s="349"/>
      <c r="FBD2019" s="349"/>
      <c r="FBE2019" s="349"/>
      <c r="FBF2019" s="349"/>
      <c r="FBG2019" s="349"/>
      <c r="FBH2019" s="349"/>
      <c r="FBI2019" s="349"/>
      <c r="FBJ2019" s="349"/>
      <c r="FBK2019" s="349"/>
      <c r="FBL2019" s="349"/>
      <c r="FBM2019" s="349"/>
      <c r="FBN2019" s="349"/>
      <c r="FBO2019" s="349"/>
      <c r="FBP2019" s="349"/>
      <c r="FBQ2019" s="349"/>
      <c r="FBR2019" s="349"/>
      <c r="FBS2019" s="349"/>
      <c r="FBT2019" s="349"/>
      <c r="FBU2019" s="349"/>
      <c r="FBV2019" s="349"/>
      <c r="FBW2019" s="349"/>
      <c r="FBX2019" s="349"/>
      <c r="FBY2019" s="349"/>
      <c r="FBZ2019" s="349"/>
      <c r="FCA2019" s="349"/>
      <c r="FCB2019" s="349"/>
      <c r="FCC2019" s="349"/>
      <c r="FCD2019" s="349"/>
      <c r="FCE2019" s="349"/>
      <c r="FCF2019" s="349"/>
      <c r="FCG2019" s="349"/>
      <c r="FCH2019" s="349"/>
      <c r="FCI2019" s="349"/>
      <c r="FCJ2019" s="349"/>
      <c r="FCK2019" s="349"/>
      <c r="FCL2019" s="349"/>
      <c r="FCM2019" s="349"/>
      <c r="FCN2019" s="349"/>
      <c r="FCO2019" s="349"/>
      <c r="FCP2019" s="349"/>
      <c r="FCQ2019" s="349"/>
      <c r="FCR2019" s="349"/>
      <c r="FCS2019" s="349"/>
      <c r="FCT2019" s="349"/>
      <c r="FCU2019" s="349"/>
      <c r="FCV2019" s="349"/>
      <c r="FCW2019" s="349"/>
      <c r="FCX2019" s="349"/>
      <c r="FCY2019" s="349"/>
      <c r="FCZ2019" s="349"/>
      <c r="FDA2019" s="349"/>
      <c r="FDB2019" s="349"/>
      <c r="FDC2019" s="349"/>
      <c r="FDD2019" s="349"/>
      <c r="FDE2019" s="349"/>
      <c r="FDF2019" s="349"/>
      <c r="FDG2019" s="349"/>
      <c r="FDH2019" s="349"/>
      <c r="FDI2019" s="349"/>
      <c r="FDJ2019" s="349"/>
      <c r="FDK2019" s="349"/>
      <c r="FDL2019" s="349"/>
      <c r="FDM2019" s="349"/>
      <c r="FDN2019" s="349"/>
      <c r="FDO2019" s="349"/>
      <c r="FDP2019" s="349"/>
      <c r="FDQ2019" s="349"/>
      <c r="FDR2019" s="349"/>
      <c r="FDS2019" s="349"/>
      <c r="FDT2019" s="349"/>
      <c r="FDU2019" s="349"/>
      <c r="FDV2019" s="349"/>
      <c r="FDW2019" s="349"/>
      <c r="FDX2019" s="349"/>
      <c r="FDY2019" s="349"/>
      <c r="FDZ2019" s="349"/>
      <c r="FEA2019" s="349"/>
      <c r="FEB2019" s="349"/>
      <c r="FEC2019" s="349"/>
      <c r="FED2019" s="349"/>
      <c r="FEE2019" s="349"/>
      <c r="FEF2019" s="349"/>
      <c r="FEG2019" s="349"/>
      <c r="FEH2019" s="349"/>
      <c r="FEI2019" s="349"/>
      <c r="FEJ2019" s="349"/>
      <c r="FEK2019" s="349"/>
      <c r="FEL2019" s="349"/>
      <c r="FEM2019" s="349"/>
      <c r="FEN2019" s="349"/>
      <c r="FEO2019" s="349"/>
      <c r="FEP2019" s="349"/>
      <c r="FEQ2019" s="349"/>
      <c r="FER2019" s="349"/>
      <c r="FES2019" s="349"/>
      <c r="FET2019" s="349"/>
      <c r="FEU2019" s="349"/>
      <c r="FEV2019" s="349"/>
      <c r="FEW2019" s="349"/>
      <c r="FEX2019" s="349"/>
      <c r="FEY2019" s="349"/>
      <c r="FEZ2019" s="349"/>
      <c r="FFA2019" s="349"/>
      <c r="FFB2019" s="349"/>
      <c r="FFC2019" s="349"/>
      <c r="FFD2019" s="349"/>
      <c r="FFE2019" s="349"/>
      <c r="FFF2019" s="349"/>
      <c r="FFG2019" s="349"/>
      <c r="FFH2019" s="349"/>
      <c r="FFI2019" s="349"/>
      <c r="FFJ2019" s="349"/>
      <c r="FFK2019" s="349"/>
      <c r="FFL2019" s="349"/>
      <c r="FFM2019" s="349"/>
      <c r="FFN2019" s="349"/>
      <c r="FFO2019" s="349"/>
      <c r="FFP2019" s="349"/>
      <c r="FFQ2019" s="349"/>
      <c r="FFR2019" s="349"/>
      <c r="FFS2019" s="349"/>
      <c r="FFT2019" s="349"/>
      <c r="FFU2019" s="349"/>
      <c r="FFV2019" s="349"/>
      <c r="FFW2019" s="349"/>
      <c r="FFX2019" s="349"/>
      <c r="FFY2019" s="349"/>
      <c r="FFZ2019" s="349"/>
      <c r="FGA2019" s="349"/>
      <c r="FGB2019" s="349"/>
      <c r="FGC2019" s="349"/>
      <c r="FGD2019" s="349"/>
      <c r="FGE2019" s="349"/>
      <c r="FGF2019" s="349"/>
      <c r="FGG2019" s="349"/>
      <c r="FGH2019" s="349"/>
      <c r="FGI2019" s="349"/>
      <c r="FGJ2019" s="349"/>
      <c r="FGK2019" s="349"/>
      <c r="FGL2019" s="349"/>
      <c r="FGM2019" s="349"/>
      <c r="FGN2019" s="349"/>
      <c r="FGO2019" s="349"/>
      <c r="FGP2019" s="349"/>
      <c r="FGQ2019" s="349"/>
      <c r="FGR2019" s="349"/>
      <c r="FGS2019" s="349"/>
      <c r="FGT2019" s="349"/>
      <c r="FGU2019" s="349"/>
      <c r="FGV2019" s="349"/>
      <c r="FGW2019" s="349"/>
      <c r="FGX2019" s="349"/>
      <c r="FGY2019" s="349"/>
      <c r="FGZ2019" s="349"/>
      <c r="FHA2019" s="349"/>
      <c r="FHB2019" s="349"/>
      <c r="FHC2019" s="349"/>
      <c r="FHD2019" s="349"/>
      <c r="FHE2019" s="349"/>
      <c r="FHF2019" s="349"/>
      <c r="FHG2019" s="349"/>
      <c r="FHH2019" s="349"/>
      <c r="FHI2019" s="349"/>
      <c r="FHJ2019" s="349"/>
      <c r="FHK2019" s="349"/>
      <c r="FHL2019" s="349"/>
      <c r="FHM2019" s="349"/>
      <c r="FHN2019" s="349"/>
      <c r="FHO2019" s="349"/>
      <c r="FHP2019" s="349"/>
      <c r="FHQ2019" s="349"/>
      <c r="FHR2019" s="349"/>
      <c r="FHS2019" s="349"/>
      <c r="FHT2019" s="349"/>
      <c r="FHU2019" s="349"/>
      <c r="FHV2019" s="349"/>
      <c r="FHW2019" s="349"/>
      <c r="FHX2019" s="349"/>
      <c r="FHY2019" s="349"/>
      <c r="FHZ2019" s="349"/>
      <c r="FIA2019" s="349"/>
      <c r="FIB2019" s="349"/>
      <c r="FIC2019" s="349"/>
      <c r="FID2019" s="349"/>
      <c r="FIE2019" s="349"/>
      <c r="FIF2019" s="349"/>
      <c r="FIG2019" s="349"/>
      <c r="FIH2019" s="349"/>
      <c r="FII2019" s="349"/>
      <c r="FIJ2019" s="349"/>
      <c r="FIK2019" s="349"/>
      <c r="FIL2019" s="349"/>
      <c r="FIM2019" s="349"/>
      <c r="FIN2019" s="349"/>
      <c r="FIO2019" s="349"/>
      <c r="FIP2019" s="349"/>
      <c r="FIQ2019" s="349"/>
      <c r="FIR2019" s="349"/>
      <c r="FIS2019" s="349"/>
      <c r="FIT2019" s="349"/>
      <c r="FIU2019" s="349"/>
      <c r="FIV2019" s="349"/>
      <c r="FIW2019" s="349"/>
      <c r="FIX2019" s="349"/>
      <c r="FIY2019" s="349"/>
      <c r="FIZ2019" s="349"/>
      <c r="FJA2019" s="349"/>
      <c r="FJB2019" s="349"/>
      <c r="FJC2019" s="349"/>
      <c r="FJD2019" s="349"/>
      <c r="FJE2019" s="349"/>
      <c r="FJF2019" s="349"/>
      <c r="FJG2019" s="349"/>
      <c r="FJH2019" s="349"/>
      <c r="FJI2019" s="349"/>
      <c r="FJJ2019" s="349"/>
      <c r="FJK2019" s="349"/>
      <c r="FJL2019" s="349"/>
      <c r="FJM2019" s="349"/>
      <c r="FJN2019" s="349"/>
      <c r="FJO2019" s="349"/>
      <c r="FJP2019" s="349"/>
      <c r="FJQ2019" s="349"/>
      <c r="FJR2019" s="349"/>
      <c r="FJS2019" s="349"/>
      <c r="FJT2019" s="349"/>
      <c r="FJU2019" s="349"/>
      <c r="FJV2019" s="349"/>
      <c r="FJW2019" s="349"/>
      <c r="FJX2019" s="349"/>
      <c r="FJY2019" s="349"/>
      <c r="FJZ2019" s="349"/>
      <c r="FKA2019" s="349"/>
      <c r="FKB2019" s="349"/>
      <c r="FKC2019" s="349"/>
      <c r="FKD2019" s="349"/>
      <c r="FKE2019" s="349"/>
      <c r="FKF2019" s="349"/>
      <c r="FKG2019" s="349"/>
      <c r="FKH2019" s="349"/>
      <c r="FKI2019" s="349"/>
      <c r="FKJ2019" s="349"/>
      <c r="FKK2019" s="349"/>
      <c r="FKL2019" s="349"/>
      <c r="FKM2019" s="349"/>
      <c r="FKN2019" s="349"/>
      <c r="FKO2019" s="349"/>
      <c r="FKP2019" s="349"/>
      <c r="FKQ2019" s="349"/>
      <c r="FKR2019" s="349"/>
      <c r="FKS2019" s="349"/>
      <c r="FKT2019" s="349"/>
      <c r="FKU2019" s="349"/>
      <c r="FKV2019" s="349"/>
      <c r="FKW2019" s="349"/>
      <c r="FKX2019" s="349"/>
      <c r="FKY2019" s="349"/>
      <c r="FKZ2019" s="349"/>
      <c r="FLA2019" s="349"/>
      <c r="FLB2019" s="349"/>
      <c r="FLC2019" s="349"/>
      <c r="FLD2019" s="349"/>
      <c r="FLE2019" s="349"/>
      <c r="FLF2019" s="349"/>
      <c r="FLG2019" s="349"/>
      <c r="FLH2019" s="349"/>
      <c r="FLI2019" s="349"/>
      <c r="FLJ2019" s="349"/>
      <c r="FLK2019" s="349"/>
      <c r="FLL2019" s="349"/>
      <c r="FLM2019" s="349"/>
      <c r="FLN2019" s="349"/>
      <c r="FLO2019" s="349"/>
      <c r="FLP2019" s="349"/>
      <c r="FLQ2019" s="349"/>
      <c r="FLR2019" s="349"/>
      <c r="FLS2019" s="349"/>
      <c r="FLT2019" s="349"/>
      <c r="FLU2019" s="349"/>
      <c r="FLV2019" s="349"/>
      <c r="FLW2019" s="349"/>
      <c r="FLX2019" s="349"/>
      <c r="FLY2019" s="349"/>
      <c r="FLZ2019" s="349"/>
      <c r="FMA2019" s="349"/>
      <c r="FMB2019" s="349"/>
      <c r="FMC2019" s="349"/>
      <c r="FMD2019" s="349"/>
      <c r="FME2019" s="349"/>
      <c r="FMF2019" s="349"/>
      <c r="FMG2019" s="349"/>
      <c r="FMH2019" s="349"/>
      <c r="FMI2019" s="349"/>
      <c r="FMJ2019" s="349"/>
      <c r="FMK2019" s="349"/>
      <c r="FML2019" s="349"/>
      <c r="FMM2019" s="349"/>
      <c r="FMN2019" s="349"/>
      <c r="FMO2019" s="349"/>
      <c r="FMP2019" s="349"/>
      <c r="FMQ2019" s="349"/>
      <c r="FMR2019" s="349"/>
      <c r="FMS2019" s="349"/>
      <c r="FMT2019" s="349"/>
      <c r="FMU2019" s="349"/>
      <c r="FMV2019" s="349"/>
      <c r="FMW2019" s="349"/>
      <c r="FMX2019" s="349"/>
      <c r="FMY2019" s="349"/>
      <c r="FMZ2019" s="349"/>
      <c r="FNA2019" s="349"/>
      <c r="FNB2019" s="349"/>
      <c r="FNC2019" s="349"/>
      <c r="FND2019" s="349"/>
      <c r="FNE2019" s="349"/>
      <c r="FNF2019" s="349"/>
      <c r="FNG2019" s="349"/>
      <c r="FNH2019" s="349"/>
      <c r="FNI2019" s="349"/>
      <c r="FNJ2019" s="349"/>
      <c r="FNK2019" s="349"/>
      <c r="FNL2019" s="349"/>
      <c r="FNM2019" s="349"/>
      <c r="FNN2019" s="349"/>
      <c r="FNO2019" s="349"/>
      <c r="FNP2019" s="349"/>
      <c r="FNQ2019" s="349"/>
      <c r="FNR2019" s="349"/>
      <c r="FNS2019" s="349"/>
      <c r="FNT2019" s="349"/>
      <c r="FNU2019" s="349"/>
      <c r="FNV2019" s="349"/>
      <c r="FNW2019" s="349"/>
      <c r="FNX2019" s="349"/>
      <c r="FNY2019" s="349"/>
      <c r="FNZ2019" s="349"/>
      <c r="FOA2019" s="349"/>
      <c r="FOB2019" s="349"/>
      <c r="FOC2019" s="349"/>
      <c r="FOD2019" s="349"/>
      <c r="FOE2019" s="349"/>
      <c r="FOF2019" s="349"/>
      <c r="FOG2019" s="349"/>
      <c r="FOH2019" s="349"/>
      <c r="FOI2019" s="349"/>
      <c r="FOJ2019" s="349"/>
      <c r="FOK2019" s="349"/>
      <c r="FOL2019" s="349"/>
      <c r="FOM2019" s="349"/>
      <c r="FON2019" s="349"/>
      <c r="FOO2019" s="349"/>
      <c r="FOP2019" s="349"/>
      <c r="FOQ2019" s="349"/>
      <c r="FOR2019" s="349"/>
      <c r="FOS2019" s="349"/>
      <c r="FOT2019" s="349"/>
      <c r="FOU2019" s="349"/>
      <c r="FOV2019" s="349"/>
      <c r="FOW2019" s="349"/>
      <c r="FOX2019" s="349"/>
      <c r="FOY2019" s="349"/>
      <c r="FOZ2019" s="349"/>
      <c r="FPA2019" s="349"/>
      <c r="FPB2019" s="349"/>
      <c r="FPC2019" s="349"/>
      <c r="FPD2019" s="349"/>
      <c r="FPE2019" s="349"/>
      <c r="FPF2019" s="349"/>
      <c r="FPG2019" s="349"/>
      <c r="FPH2019" s="349"/>
      <c r="FPI2019" s="349"/>
      <c r="FPJ2019" s="349"/>
      <c r="FPK2019" s="349"/>
      <c r="FPL2019" s="349"/>
      <c r="FPM2019" s="349"/>
      <c r="FPN2019" s="349"/>
      <c r="FPO2019" s="349"/>
      <c r="FPP2019" s="349"/>
      <c r="FPQ2019" s="349"/>
      <c r="FPR2019" s="349"/>
      <c r="FPS2019" s="349"/>
      <c r="FPT2019" s="349"/>
      <c r="FPU2019" s="349"/>
      <c r="FPV2019" s="349"/>
      <c r="FPW2019" s="349"/>
      <c r="FPX2019" s="349"/>
      <c r="FPY2019" s="349"/>
      <c r="FPZ2019" s="349"/>
      <c r="FQA2019" s="349"/>
      <c r="FQB2019" s="349"/>
      <c r="FQC2019" s="349"/>
      <c r="FQD2019" s="349"/>
      <c r="FQE2019" s="349"/>
      <c r="FQF2019" s="349"/>
      <c r="FQG2019" s="349"/>
      <c r="FQH2019" s="349"/>
      <c r="FQI2019" s="349"/>
      <c r="FQJ2019" s="349"/>
      <c r="FQK2019" s="349"/>
      <c r="FQL2019" s="349"/>
      <c r="FQM2019" s="349"/>
      <c r="FQN2019" s="349"/>
      <c r="FQO2019" s="349"/>
      <c r="FQP2019" s="349"/>
      <c r="FQQ2019" s="349"/>
      <c r="FQR2019" s="349"/>
      <c r="FQS2019" s="349"/>
      <c r="FQT2019" s="349"/>
      <c r="FQU2019" s="349"/>
      <c r="FQV2019" s="349"/>
      <c r="FQW2019" s="349"/>
      <c r="FQX2019" s="349"/>
      <c r="FQY2019" s="349"/>
      <c r="FQZ2019" s="349"/>
      <c r="FRA2019" s="349"/>
      <c r="FRB2019" s="349"/>
      <c r="FRC2019" s="349"/>
      <c r="FRD2019" s="349"/>
      <c r="FRE2019" s="349"/>
      <c r="FRF2019" s="349"/>
      <c r="FRG2019" s="349"/>
      <c r="FRH2019" s="349"/>
      <c r="FRI2019" s="349"/>
      <c r="FRJ2019" s="349"/>
      <c r="FRK2019" s="349"/>
      <c r="FRL2019" s="349"/>
      <c r="FRM2019" s="349"/>
      <c r="FRN2019" s="349"/>
      <c r="FRO2019" s="349"/>
      <c r="FRP2019" s="349"/>
      <c r="FRQ2019" s="349"/>
      <c r="FRR2019" s="349"/>
      <c r="FRS2019" s="349"/>
      <c r="FRT2019" s="349"/>
      <c r="FRU2019" s="349"/>
      <c r="FRV2019" s="349"/>
      <c r="FRW2019" s="349"/>
      <c r="FRX2019" s="349"/>
      <c r="FRY2019" s="349"/>
      <c r="FRZ2019" s="349"/>
      <c r="FSA2019" s="349"/>
      <c r="FSB2019" s="349"/>
      <c r="FSC2019" s="349"/>
      <c r="FSD2019" s="349"/>
      <c r="FSE2019" s="349"/>
      <c r="FSF2019" s="349"/>
      <c r="FSG2019" s="349"/>
      <c r="FSH2019" s="349"/>
      <c r="FSI2019" s="349"/>
      <c r="FSJ2019" s="349"/>
      <c r="FSK2019" s="349"/>
      <c r="FSL2019" s="349"/>
      <c r="FSM2019" s="349"/>
      <c r="FSN2019" s="349"/>
      <c r="FSO2019" s="349"/>
      <c r="FSP2019" s="349"/>
      <c r="FSQ2019" s="349"/>
      <c r="FSR2019" s="349"/>
      <c r="FSS2019" s="349"/>
      <c r="FST2019" s="349"/>
      <c r="FSU2019" s="349"/>
      <c r="FSV2019" s="349"/>
      <c r="FSW2019" s="349"/>
      <c r="FSX2019" s="349"/>
      <c r="FSY2019" s="349"/>
      <c r="FSZ2019" s="349"/>
      <c r="FTA2019" s="349"/>
      <c r="FTB2019" s="349"/>
      <c r="FTC2019" s="349"/>
      <c r="FTD2019" s="349"/>
      <c r="FTE2019" s="349"/>
      <c r="FTF2019" s="349"/>
      <c r="FTG2019" s="349"/>
      <c r="FTH2019" s="349"/>
      <c r="FTI2019" s="349"/>
      <c r="FTJ2019" s="349"/>
      <c r="FTK2019" s="349"/>
      <c r="FTL2019" s="349"/>
      <c r="FTM2019" s="349"/>
      <c r="FTN2019" s="349"/>
      <c r="FTO2019" s="349"/>
      <c r="FTP2019" s="349"/>
      <c r="FTQ2019" s="349"/>
      <c r="FTR2019" s="349"/>
      <c r="FTS2019" s="349"/>
      <c r="FTT2019" s="349"/>
      <c r="FTU2019" s="349"/>
      <c r="FTV2019" s="349"/>
      <c r="FTW2019" s="349"/>
      <c r="FTX2019" s="349"/>
      <c r="FTY2019" s="349"/>
      <c r="FTZ2019" s="349"/>
      <c r="FUA2019" s="349"/>
      <c r="FUB2019" s="349"/>
      <c r="FUC2019" s="349"/>
      <c r="FUD2019" s="349"/>
      <c r="FUE2019" s="349"/>
      <c r="FUF2019" s="349"/>
      <c r="FUG2019" s="349"/>
      <c r="FUH2019" s="349"/>
      <c r="FUI2019" s="349"/>
      <c r="FUJ2019" s="349"/>
      <c r="FUK2019" s="349"/>
      <c r="FUL2019" s="349"/>
      <c r="FUM2019" s="349"/>
      <c r="FUN2019" s="349"/>
      <c r="FUO2019" s="349"/>
      <c r="FUP2019" s="349"/>
      <c r="FUQ2019" s="349"/>
      <c r="FUR2019" s="349"/>
      <c r="FUS2019" s="349"/>
      <c r="FUT2019" s="349"/>
      <c r="FUU2019" s="349"/>
      <c r="FUV2019" s="349"/>
      <c r="FUW2019" s="349"/>
      <c r="FUX2019" s="349"/>
      <c r="FUY2019" s="349"/>
      <c r="FUZ2019" s="349"/>
      <c r="FVA2019" s="349"/>
      <c r="FVB2019" s="349"/>
      <c r="FVC2019" s="349"/>
      <c r="FVD2019" s="349"/>
      <c r="FVE2019" s="349"/>
      <c r="FVF2019" s="349"/>
      <c r="FVG2019" s="349"/>
      <c r="FVH2019" s="349"/>
      <c r="FVI2019" s="349"/>
      <c r="FVJ2019" s="349"/>
      <c r="FVK2019" s="349"/>
      <c r="FVL2019" s="349"/>
      <c r="FVM2019" s="349"/>
      <c r="FVN2019" s="349"/>
      <c r="FVO2019" s="349"/>
      <c r="FVP2019" s="349"/>
      <c r="FVQ2019" s="349"/>
      <c r="FVR2019" s="349"/>
      <c r="FVS2019" s="349"/>
      <c r="FVT2019" s="349"/>
      <c r="FVU2019" s="349"/>
      <c r="FVV2019" s="349"/>
      <c r="FVW2019" s="349"/>
      <c r="FVX2019" s="349"/>
      <c r="FVY2019" s="349"/>
      <c r="FVZ2019" s="349"/>
      <c r="FWA2019" s="349"/>
      <c r="FWB2019" s="349"/>
      <c r="FWC2019" s="349"/>
      <c r="FWD2019" s="349"/>
      <c r="FWE2019" s="349"/>
      <c r="FWF2019" s="349"/>
      <c r="FWG2019" s="349"/>
      <c r="FWH2019" s="349"/>
      <c r="FWI2019" s="349"/>
      <c r="FWJ2019" s="349"/>
      <c r="FWK2019" s="349"/>
      <c r="FWL2019" s="349"/>
      <c r="FWM2019" s="349"/>
      <c r="FWN2019" s="349"/>
      <c r="FWO2019" s="349"/>
      <c r="FWP2019" s="349"/>
      <c r="FWQ2019" s="349"/>
      <c r="FWR2019" s="349"/>
      <c r="FWS2019" s="349"/>
      <c r="FWT2019" s="349"/>
      <c r="FWU2019" s="349"/>
      <c r="FWV2019" s="349"/>
      <c r="FWW2019" s="349"/>
      <c r="FWX2019" s="349"/>
      <c r="FWY2019" s="349"/>
      <c r="FWZ2019" s="349"/>
      <c r="FXA2019" s="349"/>
      <c r="FXB2019" s="349"/>
      <c r="FXC2019" s="349"/>
      <c r="FXD2019" s="349"/>
      <c r="FXE2019" s="349"/>
      <c r="FXF2019" s="349"/>
      <c r="FXG2019" s="349"/>
      <c r="FXH2019" s="349"/>
      <c r="FXI2019" s="349"/>
      <c r="FXJ2019" s="349"/>
      <c r="FXK2019" s="349"/>
      <c r="FXL2019" s="349"/>
      <c r="FXM2019" s="349"/>
      <c r="FXN2019" s="349"/>
      <c r="FXO2019" s="349"/>
      <c r="FXP2019" s="349"/>
      <c r="FXQ2019" s="349"/>
      <c r="FXR2019" s="349"/>
      <c r="FXS2019" s="349"/>
      <c r="FXT2019" s="349"/>
      <c r="FXU2019" s="349"/>
      <c r="FXV2019" s="349"/>
      <c r="FXW2019" s="349"/>
      <c r="FXX2019" s="349"/>
      <c r="FXY2019" s="349"/>
      <c r="FXZ2019" s="349"/>
      <c r="FYA2019" s="349"/>
      <c r="FYB2019" s="349"/>
      <c r="FYC2019" s="349"/>
      <c r="FYD2019" s="349"/>
      <c r="FYE2019" s="349"/>
      <c r="FYF2019" s="349"/>
      <c r="FYG2019" s="349"/>
      <c r="FYH2019" s="349"/>
      <c r="FYI2019" s="349"/>
      <c r="FYJ2019" s="349"/>
      <c r="FYK2019" s="349"/>
      <c r="FYL2019" s="349"/>
      <c r="FYM2019" s="349"/>
      <c r="FYN2019" s="349"/>
      <c r="FYO2019" s="349"/>
      <c r="FYP2019" s="349"/>
      <c r="FYQ2019" s="349"/>
      <c r="FYR2019" s="349"/>
      <c r="FYS2019" s="349"/>
      <c r="FYT2019" s="349"/>
      <c r="FYU2019" s="349"/>
      <c r="FYV2019" s="349"/>
      <c r="FYW2019" s="349"/>
      <c r="FYX2019" s="349"/>
      <c r="FYY2019" s="349"/>
      <c r="FYZ2019" s="349"/>
      <c r="FZA2019" s="349"/>
      <c r="FZB2019" s="349"/>
      <c r="FZC2019" s="349"/>
      <c r="FZD2019" s="349"/>
      <c r="FZE2019" s="349"/>
      <c r="FZF2019" s="349"/>
      <c r="FZG2019" s="349"/>
      <c r="FZH2019" s="349"/>
      <c r="FZI2019" s="349"/>
      <c r="FZJ2019" s="349"/>
      <c r="FZK2019" s="349"/>
      <c r="FZL2019" s="349"/>
      <c r="FZM2019" s="349"/>
      <c r="FZN2019" s="349"/>
      <c r="FZO2019" s="349"/>
      <c r="FZP2019" s="349"/>
      <c r="FZQ2019" s="349"/>
      <c r="FZR2019" s="349"/>
      <c r="FZS2019" s="349"/>
      <c r="FZT2019" s="349"/>
      <c r="FZU2019" s="349"/>
      <c r="FZV2019" s="349"/>
      <c r="FZW2019" s="349"/>
      <c r="FZX2019" s="349"/>
      <c r="FZY2019" s="349"/>
      <c r="FZZ2019" s="349"/>
      <c r="GAA2019" s="349"/>
      <c r="GAB2019" s="349"/>
      <c r="GAC2019" s="349"/>
      <c r="GAD2019" s="349"/>
      <c r="GAE2019" s="349"/>
      <c r="GAF2019" s="349"/>
      <c r="GAG2019" s="349"/>
      <c r="GAH2019" s="349"/>
      <c r="GAI2019" s="349"/>
      <c r="GAJ2019" s="349"/>
      <c r="GAK2019" s="349"/>
      <c r="GAL2019" s="349"/>
      <c r="GAM2019" s="349"/>
      <c r="GAN2019" s="349"/>
      <c r="GAO2019" s="349"/>
      <c r="GAP2019" s="349"/>
      <c r="GAQ2019" s="349"/>
      <c r="GAR2019" s="349"/>
      <c r="GAS2019" s="349"/>
      <c r="GAT2019" s="349"/>
      <c r="GAU2019" s="349"/>
      <c r="GAV2019" s="349"/>
      <c r="GAW2019" s="349"/>
      <c r="GAX2019" s="349"/>
      <c r="GAY2019" s="349"/>
      <c r="GAZ2019" s="349"/>
      <c r="GBA2019" s="349"/>
      <c r="GBB2019" s="349"/>
      <c r="GBC2019" s="349"/>
      <c r="GBD2019" s="349"/>
      <c r="GBE2019" s="349"/>
      <c r="GBF2019" s="349"/>
      <c r="GBG2019" s="349"/>
      <c r="GBH2019" s="349"/>
      <c r="GBI2019" s="349"/>
      <c r="GBJ2019" s="349"/>
      <c r="GBK2019" s="349"/>
      <c r="GBL2019" s="349"/>
      <c r="GBM2019" s="349"/>
      <c r="GBN2019" s="349"/>
      <c r="GBO2019" s="349"/>
      <c r="GBP2019" s="349"/>
      <c r="GBQ2019" s="349"/>
      <c r="GBR2019" s="349"/>
      <c r="GBS2019" s="349"/>
      <c r="GBT2019" s="349"/>
      <c r="GBU2019" s="349"/>
      <c r="GBV2019" s="349"/>
      <c r="GBW2019" s="349"/>
      <c r="GBX2019" s="349"/>
      <c r="GBY2019" s="349"/>
      <c r="GBZ2019" s="349"/>
      <c r="GCA2019" s="349"/>
      <c r="GCB2019" s="349"/>
      <c r="GCC2019" s="349"/>
      <c r="GCD2019" s="349"/>
      <c r="GCE2019" s="349"/>
      <c r="GCF2019" s="349"/>
      <c r="GCG2019" s="349"/>
      <c r="GCH2019" s="349"/>
      <c r="GCI2019" s="349"/>
      <c r="GCJ2019" s="349"/>
      <c r="GCK2019" s="349"/>
      <c r="GCL2019" s="349"/>
      <c r="GCM2019" s="349"/>
      <c r="GCN2019" s="349"/>
      <c r="GCO2019" s="349"/>
      <c r="GCP2019" s="349"/>
      <c r="GCQ2019" s="349"/>
      <c r="GCR2019" s="349"/>
      <c r="GCS2019" s="349"/>
      <c r="GCT2019" s="349"/>
      <c r="GCU2019" s="349"/>
      <c r="GCV2019" s="349"/>
      <c r="GCW2019" s="349"/>
      <c r="GCX2019" s="349"/>
      <c r="GCY2019" s="349"/>
      <c r="GCZ2019" s="349"/>
      <c r="GDA2019" s="349"/>
      <c r="GDB2019" s="349"/>
      <c r="GDC2019" s="349"/>
      <c r="GDD2019" s="349"/>
      <c r="GDE2019" s="349"/>
      <c r="GDF2019" s="349"/>
      <c r="GDG2019" s="349"/>
      <c r="GDH2019" s="349"/>
      <c r="GDI2019" s="349"/>
      <c r="GDJ2019" s="349"/>
      <c r="GDK2019" s="349"/>
      <c r="GDL2019" s="349"/>
      <c r="GDM2019" s="349"/>
      <c r="GDN2019" s="349"/>
      <c r="GDO2019" s="349"/>
      <c r="GDP2019" s="349"/>
      <c r="GDQ2019" s="349"/>
      <c r="GDR2019" s="349"/>
      <c r="GDS2019" s="349"/>
      <c r="GDT2019" s="349"/>
      <c r="GDU2019" s="349"/>
      <c r="GDV2019" s="349"/>
      <c r="GDW2019" s="349"/>
      <c r="GDX2019" s="349"/>
      <c r="GDY2019" s="349"/>
      <c r="GDZ2019" s="349"/>
      <c r="GEA2019" s="349"/>
      <c r="GEB2019" s="349"/>
      <c r="GEC2019" s="349"/>
      <c r="GED2019" s="349"/>
      <c r="GEE2019" s="349"/>
      <c r="GEF2019" s="349"/>
      <c r="GEG2019" s="349"/>
      <c r="GEH2019" s="349"/>
      <c r="GEI2019" s="349"/>
      <c r="GEJ2019" s="349"/>
      <c r="GEK2019" s="349"/>
      <c r="GEL2019" s="349"/>
      <c r="GEM2019" s="349"/>
      <c r="GEN2019" s="349"/>
      <c r="GEO2019" s="349"/>
      <c r="GEP2019" s="349"/>
      <c r="GEQ2019" s="349"/>
      <c r="GER2019" s="349"/>
      <c r="GES2019" s="349"/>
      <c r="GET2019" s="349"/>
      <c r="GEU2019" s="349"/>
      <c r="GEV2019" s="349"/>
      <c r="GEW2019" s="349"/>
      <c r="GEX2019" s="349"/>
      <c r="GEY2019" s="349"/>
      <c r="GEZ2019" s="349"/>
      <c r="GFA2019" s="349"/>
      <c r="GFB2019" s="349"/>
      <c r="GFC2019" s="349"/>
      <c r="GFD2019" s="349"/>
      <c r="GFE2019" s="349"/>
      <c r="GFF2019" s="349"/>
      <c r="GFG2019" s="349"/>
      <c r="GFH2019" s="349"/>
      <c r="GFI2019" s="349"/>
      <c r="GFJ2019" s="349"/>
      <c r="GFK2019" s="349"/>
      <c r="GFL2019" s="349"/>
      <c r="GFM2019" s="349"/>
      <c r="GFN2019" s="349"/>
      <c r="GFO2019" s="349"/>
      <c r="GFP2019" s="349"/>
      <c r="GFQ2019" s="349"/>
      <c r="GFR2019" s="349"/>
      <c r="GFS2019" s="349"/>
      <c r="GFT2019" s="349"/>
      <c r="GFU2019" s="349"/>
      <c r="GFV2019" s="349"/>
      <c r="GFW2019" s="349"/>
      <c r="GFX2019" s="349"/>
      <c r="GFY2019" s="349"/>
      <c r="GFZ2019" s="349"/>
      <c r="GGA2019" s="349"/>
      <c r="GGB2019" s="349"/>
      <c r="GGC2019" s="349"/>
      <c r="GGD2019" s="349"/>
      <c r="GGE2019" s="349"/>
      <c r="GGF2019" s="349"/>
      <c r="GGG2019" s="349"/>
      <c r="GGH2019" s="349"/>
      <c r="GGI2019" s="349"/>
      <c r="GGJ2019" s="349"/>
      <c r="GGK2019" s="349"/>
      <c r="GGL2019" s="349"/>
      <c r="GGM2019" s="349"/>
      <c r="GGN2019" s="349"/>
      <c r="GGO2019" s="349"/>
      <c r="GGP2019" s="349"/>
      <c r="GGQ2019" s="349"/>
      <c r="GGR2019" s="349"/>
      <c r="GGS2019" s="349"/>
      <c r="GGT2019" s="349"/>
      <c r="GGU2019" s="349"/>
      <c r="GGV2019" s="349"/>
      <c r="GGW2019" s="349"/>
      <c r="GGX2019" s="349"/>
      <c r="GGY2019" s="349"/>
      <c r="GGZ2019" s="349"/>
      <c r="GHA2019" s="349"/>
      <c r="GHB2019" s="349"/>
      <c r="GHC2019" s="349"/>
      <c r="GHD2019" s="349"/>
      <c r="GHE2019" s="349"/>
      <c r="GHF2019" s="349"/>
      <c r="GHG2019" s="349"/>
      <c r="GHH2019" s="349"/>
      <c r="GHI2019" s="349"/>
      <c r="GHJ2019" s="349"/>
      <c r="GHK2019" s="349"/>
      <c r="GHL2019" s="349"/>
      <c r="GHM2019" s="349"/>
      <c r="GHN2019" s="349"/>
      <c r="GHO2019" s="349"/>
      <c r="GHP2019" s="349"/>
      <c r="GHQ2019" s="349"/>
      <c r="GHR2019" s="349"/>
      <c r="GHS2019" s="349"/>
      <c r="GHT2019" s="349"/>
      <c r="GHU2019" s="349"/>
      <c r="GHV2019" s="349"/>
      <c r="GHW2019" s="349"/>
      <c r="GHX2019" s="349"/>
      <c r="GHY2019" s="349"/>
      <c r="GHZ2019" s="349"/>
      <c r="GIA2019" s="349"/>
      <c r="GIB2019" s="349"/>
      <c r="GIC2019" s="349"/>
      <c r="GID2019" s="349"/>
      <c r="GIE2019" s="349"/>
      <c r="GIF2019" s="349"/>
      <c r="GIG2019" s="349"/>
      <c r="GIH2019" s="349"/>
      <c r="GII2019" s="349"/>
      <c r="GIJ2019" s="349"/>
      <c r="GIK2019" s="349"/>
      <c r="GIL2019" s="349"/>
      <c r="GIM2019" s="349"/>
      <c r="GIN2019" s="349"/>
      <c r="GIO2019" s="349"/>
      <c r="GIP2019" s="349"/>
      <c r="GIQ2019" s="349"/>
      <c r="GIR2019" s="349"/>
      <c r="GIS2019" s="349"/>
      <c r="GIT2019" s="349"/>
      <c r="GIU2019" s="349"/>
      <c r="GIV2019" s="349"/>
      <c r="GIW2019" s="349"/>
      <c r="GIX2019" s="349"/>
      <c r="GIY2019" s="349"/>
      <c r="GIZ2019" s="349"/>
      <c r="GJA2019" s="349"/>
      <c r="GJB2019" s="349"/>
      <c r="GJC2019" s="349"/>
      <c r="GJD2019" s="349"/>
      <c r="GJE2019" s="349"/>
      <c r="GJF2019" s="349"/>
      <c r="GJG2019" s="349"/>
      <c r="GJH2019" s="349"/>
      <c r="GJI2019" s="349"/>
      <c r="GJJ2019" s="349"/>
      <c r="GJK2019" s="349"/>
      <c r="GJL2019" s="349"/>
      <c r="GJM2019" s="349"/>
      <c r="GJN2019" s="349"/>
      <c r="GJO2019" s="349"/>
      <c r="GJP2019" s="349"/>
      <c r="GJQ2019" s="349"/>
      <c r="GJR2019" s="349"/>
      <c r="GJS2019" s="349"/>
      <c r="GJT2019" s="349"/>
      <c r="GJU2019" s="349"/>
      <c r="GJV2019" s="349"/>
      <c r="GJW2019" s="349"/>
      <c r="GJX2019" s="349"/>
      <c r="GJY2019" s="349"/>
      <c r="GJZ2019" s="349"/>
      <c r="GKA2019" s="349"/>
      <c r="GKB2019" s="349"/>
      <c r="GKC2019" s="349"/>
      <c r="GKD2019" s="349"/>
      <c r="GKE2019" s="349"/>
      <c r="GKF2019" s="349"/>
      <c r="GKG2019" s="349"/>
      <c r="GKH2019" s="349"/>
      <c r="GKI2019" s="349"/>
      <c r="GKJ2019" s="349"/>
      <c r="GKK2019" s="349"/>
      <c r="GKL2019" s="349"/>
      <c r="GKM2019" s="349"/>
      <c r="GKN2019" s="349"/>
      <c r="GKO2019" s="349"/>
      <c r="GKP2019" s="349"/>
      <c r="GKQ2019" s="349"/>
      <c r="GKR2019" s="349"/>
      <c r="GKS2019" s="349"/>
      <c r="GKT2019" s="349"/>
      <c r="GKU2019" s="349"/>
      <c r="GKV2019" s="349"/>
      <c r="GKW2019" s="349"/>
      <c r="GKX2019" s="349"/>
      <c r="GKY2019" s="349"/>
      <c r="GKZ2019" s="349"/>
      <c r="GLA2019" s="349"/>
      <c r="GLB2019" s="349"/>
      <c r="GLC2019" s="349"/>
      <c r="GLD2019" s="349"/>
      <c r="GLE2019" s="349"/>
      <c r="GLF2019" s="349"/>
      <c r="GLG2019" s="349"/>
      <c r="GLH2019" s="349"/>
      <c r="GLI2019" s="349"/>
      <c r="GLJ2019" s="349"/>
      <c r="GLK2019" s="349"/>
      <c r="GLL2019" s="349"/>
      <c r="GLM2019" s="349"/>
      <c r="GLN2019" s="349"/>
      <c r="GLO2019" s="349"/>
      <c r="GLP2019" s="349"/>
      <c r="GLQ2019" s="349"/>
      <c r="GLR2019" s="349"/>
      <c r="GLS2019" s="349"/>
      <c r="GLT2019" s="349"/>
      <c r="GLU2019" s="349"/>
      <c r="GLV2019" s="349"/>
      <c r="GLW2019" s="349"/>
      <c r="GLX2019" s="349"/>
      <c r="GLY2019" s="349"/>
      <c r="GLZ2019" s="349"/>
      <c r="GMA2019" s="349"/>
      <c r="GMB2019" s="349"/>
      <c r="GMC2019" s="349"/>
      <c r="GMD2019" s="349"/>
      <c r="GME2019" s="349"/>
      <c r="GMF2019" s="349"/>
      <c r="GMG2019" s="349"/>
      <c r="GMH2019" s="349"/>
      <c r="GMI2019" s="349"/>
      <c r="GMJ2019" s="349"/>
      <c r="GMK2019" s="349"/>
      <c r="GML2019" s="349"/>
      <c r="GMM2019" s="349"/>
      <c r="GMN2019" s="349"/>
      <c r="GMO2019" s="349"/>
      <c r="GMP2019" s="349"/>
      <c r="GMQ2019" s="349"/>
      <c r="GMR2019" s="349"/>
      <c r="GMS2019" s="349"/>
      <c r="GMT2019" s="349"/>
      <c r="GMU2019" s="349"/>
      <c r="GMV2019" s="349"/>
      <c r="GMW2019" s="349"/>
      <c r="GMX2019" s="349"/>
      <c r="GMY2019" s="349"/>
      <c r="GMZ2019" s="349"/>
      <c r="GNA2019" s="349"/>
      <c r="GNB2019" s="349"/>
      <c r="GNC2019" s="349"/>
      <c r="GND2019" s="349"/>
      <c r="GNE2019" s="349"/>
      <c r="GNF2019" s="349"/>
      <c r="GNG2019" s="349"/>
      <c r="GNH2019" s="349"/>
      <c r="GNI2019" s="349"/>
      <c r="GNJ2019" s="349"/>
      <c r="GNK2019" s="349"/>
      <c r="GNL2019" s="349"/>
      <c r="GNM2019" s="349"/>
      <c r="GNN2019" s="349"/>
      <c r="GNO2019" s="349"/>
      <c r="GNP2019" s="349"/>
      <c r="GNQ2019" s="349"/>
      <c r="GNR2019" s="349"/>
      <c r="GNS2019" s="349"/>
      <c r="GNT2019" s="349"/>
      <c r="GNU2019" s="349"/>
      <c r="GNV2019" s="349"/>
      <c r="GNW2019" s="349"/>
      <c r="GNX2019" s="349"/>
      <c r="GNY2019" s="349"/>
      <c r="GNZ2019" s="349"/>
      <c r="GOA2019" s="349"/>
      <c r="GOB2019" s="349"/>
      <c r="GOC2019" s="349"/>
      <c r="GOD2019" s="349"/>
      <c r="GOE2019" s="349"/>
      <c r="GOF2019" s="349"/>
      <c r="GOG2019" s="349"/>
      <c r="GOH2019" s="349"/>
      <c r="GOI2019" s="349"/>
      <c r="GOJ2019" s="349"/>
      <c r="GOK2019" s="349"/>
      <c r="GOL2019" s="349"/>
      <c r="GOM2019" s="349"/>
      <c r="GON2019" s="349"/>
      <c r="GOO2019" s="349"/>
      <c r="GOP2019" s="349"/>
      <c r="GOQ2019" s="349"/>
      <c r="GOR2019" s="349"/>
      <c r="GOS2019" s="349"/>
      <c r="GOT2019" s="349"/>
      <c r="GOU2019" s="349"/>
      <c r="GOV2019" s="349"/>
      <c r="GOW2019" s="349"/>
      <c r="GOX2019" s="349"/>
      <c r="GOY2019" s="349"/>
      <c r="GOZ2019" s="349"/>
      <c r="GPA2019" s="349"/>
      <c r="GPB2019" s="349"/>
      <c r="GPC2019" s="349"/>
      <c r="GPD2019" s="349"/>
      <c r="GPE2019" s="349"/>
      <c r="GPF2019" s="349"/>
      <c r="GPG2019" s="349"/>
      <c r="GPH2019" s="349"/>
      <c r="GPI2019" s="349"/>
      <c r="GPJ2019" s="349"/>
      <c r="GPK2019" s="349"/>
      <c r="GPL2019" s="349"/>
      <c r="GPM2019" s="349"/>
      <c r="GPN2019" s="349"/>
      <c r="GPO2019" s="349"/>
      <c r="GPP2019" s="349"/>
      <c r="GPQ2019" s="349"/>
      <c r="GPR2019" s="349"/>
      <c r="GPS2019" s="349"/>
      <c r="GPT2019" s="349"/>
      <c r="GPU2019" s="349"/>
      <c r="GPV2019" s="349"/>
      <c r="GPW2019" s="349"/>
      <c r="GPX2019" s="349"/>
      <c r="GPY2019" s="349"/>
      <c r="GPZ2019" s="349"/>
      <c r="GQA2019" s="349"/>
      <c r="GQB2019" s="349"/>
      <c r="GQC2019" s="349"/>
      <c r="GQD2019" s="349"/>
      <c r="GQE2019" s="349"/>
      <c r="GQF2019" s="349"/>
      <c r="GQG2019" s="349"/>
      <c r="GQH2019" s="349"/>
      <c r="GQI2019" s="349"/>
      <c r="GQJ2019" s="349"/>
      <c r="GQK2019" s="349"/>
      <c r="GQL2019" s="349"/>
      <c r="GQM2019" s="349"/>
      <c r="GQN2019" s="349"/>
      <c r="GQO2019" s="349"/>
      <c r="GQP2019" s="349"/>
      <c r="GQQ2019" s="349"/>
      <c r="GQR2019" s="349"/>
      <c r="GQS2019" s="349"/>
      <c r="GQT2019" s="349"/>
      <c r="GQU2019" s="349"/>
      <c r="GQV2019" s="349"/>
      <c r="GQW2019" s="349"/>
      <c r="GQX2019" s="349"/>
      <c r="GQY2019" s="349"/>
      <c r="GQZ2019" s="349"/>
      <c r="GRA2019" s="349"/>
      <c r="GRB2019" s="349"/>
      <c r="GRC2019" s="349"/>
      <c r="GRD2019" s="349"/>
      <c r="GRE2019" s="349"/>
      <c r="GRF2019" s="349"/>
      <c r="GRG2019" s="349"/>
      <c r="GRH2019" s="349"/>
      <c r="GRI2019" s="349"/>
      <c r="GRJ2019" s="349"/>
      <c r="GRK2019" s="349"/>
      <c r="GRL2019" s="349"/>
      <c r="GRM2019" s="349"/>
      <c r="GRN2019" s="349"/>
      <c r="GRO2019" s="349"/>
      <c r="GRP2019" s="349"/>
      <c r="GRQ2019" s="349"/>
      <c r="GRR2019" s="349"/>
      <c r="GRS2019" s="349"/>
      <c r="GRT2019" s="349"/>
      <c r="GRU2019" s="349"/>
      <c r="GRV2019" s="349"/>
      <c r="GRW2019" s="349"/>
      <c r="GRX2019" s="349"/>
      <c r="GRY2019" s="349"/>
      <c r="GRZ2019" s="349"/>
      <c r="GSA2019" s="349"/>
      <c r="GSB2019" s="349"/>
      <c r="GSC2019" s="349"/>
      <c r="GSD2019" s="349"/>
      <c r="GSE2019" s="349"/>
      <c r="GSF2019" s="349"/>
      <c r="GSG2019" s="349"/>
      <c r="GSH2019" s="349"/>
      <c r="GSI2019" s="349"/>
      <c r="GSJ2019" s="349"/>
      <c r="GSK2019" s="349"/>
      <c r="GSL2019" s="349"/>
      <c r="GSM2019" s="349"/>
      <c r="GSN2019" s="349"/>
      <c r="GSO2019" s="349"/>
      <c r="GSP2019" s="349"/>
      <c r="GSQ2019" s="349"/>
      <c r="GSR2019" s="349"/>
      <c r="GSS2019" s="349"/>
      <c r="GST2019" s="349"/>
      <c r="GSU2019" s="349"/>
      <c r="GSV2019" s="349"/>
      <c r="GSW2019" s="349"/>
      <c r="GSX2019" s="349"/>
      <c r="GSY2019" s="349"/>
      <c r="GSZ2019" s="349"/>
      <c r="GTA2019" s="349"/>
      <c r="GTB2019" s="349"/>
      <c r="GTC2019" s="349"/>
      <c r="GTD2019" s="349"/>
      <c r="GTE2019" s="349"/>
      <c r="GTF2019" s="349"/>
      <c r="GTG2019" s="349"/>
      <c r="GTH2019" s="349"/>
      <c r="GTI2019" s="349"/>
      <c r="GTJ2019" s="349"/>
      <c r="GTK2019" s="349"/>
      <c r="GTL2019" s="349"/>
      <c r="GTM2019" s="349"/>
      <c r="GTN2019" s="349"/>
      <c r="GTO2019" s="349"/>
      <c r="GTP2019" s="349"/>
      <c r="GTQ2019" s="349"/>
      <c r="GTR2019" s="349"/>
      <c r="GTS2019" s="349"/>
      <c r="GTT2019" s="349"/>
      <c r="GTU2019" s="349"/>
      <c r="GTV2019" s="349"/>
      <c r="GTW2019" s="349"/>
      <c r="GTX2019" s="349"/>
      <c r="GTY2019" s="349"/>
      <c r="GTZ2019" s="349"/>
      <c r="GUA2019" s="349"/>
      <c r="GUB2019" s="349"/>
      <c r="GUC2019" s="349"/>
      <c r="GUD2019" s="349"/>
      <c r="GUE2019" s="349"/>
      <c r="GUF2019" s="349"/>
      <c r="GUG2019" s="349"/>
      <c r="GUH2019" s="349"/>
      <c r="GUI2019" s="349"/>
      <c r="GUJ2019" s="349"/>
      <c r="GUK2019" s="349"/>
      <c r="GUL2019" s="349"/>
      <c r="GUM2019" s="349"/>
      <c r="GUN2019" s="349"/>
      <c r="GUO2019" s="349"/>
      <c r="GUP2019" s="349"/>
      <c r="GUQ2019" s="349"/>
      <c r="GUR2019" s="349"/>
      <c r="GUS2019" s="349"/>
      <c r="GUT2019" s="349"/>
      <c r="GUU2019" s="349"/>
      <c r="GUV2019" s="349"/>
      <c r="GUW2019" s="349"/>
      <c r="GUX2019" s="349"/>
      <c r="GUY2019" s="349"/>
      <c r="GUZ2019" s="349"/>
      <c r="GVA2019" s="349"/>
      <c r="GVB2019" s="349"/>
      <c r="GVC2019" s="349"/>
      <c r="GVD2019" s="349"/>
      <c r="GVE2019" s="349"/>
      <c r="GVF2019" s="349"/>
      <c r="GVG2019" s="349"/>
      <c r="GVH2019" s="349"/>
      <c r="GVI2019" s="349"/>
      <c r="GVJ2019" s="349"/>
      <c r="GVK2019" s="349"/>
      <c r="GVL2019" s="349"/>
      <c r="GVM2019" s="349"/>
      <c r="GVN2019" s="349"/>
      <c r="GVO2019" s="349"/>
      <c r="GVP2019" s="349"/>
      <c r="GVQ2019" s="349"/>
      <c r="GVR2019" s="349"/>
      <c r="GVS2019" s="349"/>
      <c r="GVT2019" s="349"/>
      <c r="GVU2019" s="349"/>
      <c r="GVV2019" s="349"/>
      <c r="GVW2019" s="349"/>
      <c r="GVX2019" s="349"/>
      <c r="GVY2019" s="349"/>
      <c r="GVZ2019" s="349"/>
      <c r="GWA2019" s="349"/>
      <c r="GWB2019" s="349"/>
      <c r="GWC2019" s="349"/>
      <c r="GWD2019" s="349"/>
      <c r="GWE2019" s="349"/>
      <c r="GWF2019" s="349"/>
      <c r="GWG2019" s="349"/>
      <c r="GWH2019" s="349"/>
      <c r="GWI2019" s="349"/>
      <c r="GWJ2019" s="349"/>
      <c r="GWK2019" s="349"/>
      <c r="GWL2019" s="349"/>
      <c r="GWM2019" s="349"/>
      <c r="GWN2019" s="349"/>
      <c r="GWO2019" s="349"/>
      <c r="GWP2019" s="349"/>
      <c r="GWQ2019" s="349"/>
      <c r="GWR2019" s="349"/>
      <c r="GWS2019" s="349"/>
      <c r="GWT2019" s="349"/>
      <c r="GWU2019" s="349"/>
      <c r="GWV2019" s="349"/>
      <c r="GWW2019" s="349"/>
      <c r="GWX2019" s="349"/>
      <c r="GWY2019" s="349"/>
      <c r="GWZ2019" s="349"/>
      <c r="GXA2019" s="349"/>
      <c r="GXB2019" s="349"/>
      <c r="GXC2019" s="349"/>
      <c r="GXD2019" s="349"/>
      <c r="GXE2019" s="349"/>
      <c r="GXF2019" s="349"/>
      <c r="GXG2019" s="349"/>
      <c r="GXH2019" s="349"/>
      <c r="GXI2019" s="349"/>
      <c r="GXJ2019" s="349"/>
      <c r="GXK2019" s="349"/>
      <c r="GXL2019" s="349"/>
      <c r="GXM2019" s="349"/>
      <c r="GXN2019" s="349"/>
      <c r="GXO2019" s="349"/>
      <c r="GXP2019" s="349"/>
      <c r="GXQ2019" s="349"/>
      <c r="GXR2019" s="349"/>
      <c r="GXS2019" s="349"/>
      <c r="GXT2019" s="349"/>
      <c r="GXU2019" s="349"/>
      <c r="GXV2019" s="349"/>
      <c r="GXW2019" s="349"/>
      <c r="GXX2019" s="349"/>
      <c r="GXY2019" s="349"/>
      <c r="GXZ2019" s="349"/>
      <c r="GYA2019" s="349"/>
      <c r="GYB2019" s="349"/>
      <c r="GYC2019" s="349"/>
      <c r="GYD2019" s="349"/>
      <c r="GYE2019" s="349"/>
      <c r="GYF2019" s="349"/>
      <c r="GYG2019" s="349"/>
      <c r="GYH2019" s="349"/>
      <c r="GYI2019" s="349"/>
      <c r="GYJ2019" s="349"/>
      <c r="GYK2019" s="349"/>
      <c r="GYL2019" s="349"/>
      <c r="GYM2019" s="349"/>
      <c r="GYN2019" s="349"/>
      <c r="GYO2019" s="349"/>
      <c r="GYP2019" s="349"/>
      <c r="GYQ2019" s="349"/>
      <c r="GYR2019" s="349"/>
      <c r="GYS2019" s="349"/>
      <c r="GYT2019" s="349"/>
      <c r="GYU2019" s="349"/>
      <c r="GYV2019" s="349"/>
      <c r="GYW2019" s="349"/>
      <c r="GYX2019" s="349"/>
      <c r="GYY2019" s="349"/>
      <c r="GYZ2019" s="349"/>
      <c r="GZA2019" s="349"/>
      <c r="GZB2019" s="349"/>
      <c r="GZC2019" s="349"/>
      <c r="GZD2019" s="349"/>
      <c r="GZE2019" s="349"/>
      <c r="GZF2019" s="349"/>
      <c r="GZG2019" s="349"/>
      <c r="GZH2019" s="349"/>
      <c r="GZI2019" s="349"/>
      <c r="GZJ2019" s="349"/>
      <c r="GZK2019" s="349"/>
      <c r="GZL2019" s="349"/>
      <c r="GZM2019" s="349"/>
      <c r="GZN2019" s="349"/>
      <c r="GZO2019" s="349"/>
      <c r="GZP2019" s="349"/>
      <c r="GZQ2019" s="349"/>
      <c r="GZR2019" s="349"/>
      <c r="GZS2019" s="349"/>
      <c r="GZT2019" s="349"/>
      <c r="GZU2019" s="349"/>
      <c r="GZV2019" s="349"/>
      <c r="GZW2019" s="349"/>
      <c r="GZX2019" s="349"/>
      <c r="GZY2019" s="349"/>
      <c r="GZZ2019" s="349"/>
      <c r="HAA2019" s="349"/>
      <c r="HAB2019" s="349"/>
      <c r="HAC2019" s="349"/>
      <c r="HAD2019" s="349"/>
      <c r="HAE2019" s="349"/>
      <c r="HAF2019" s="349"/>
      <c r="HAG2019" s="349"/>
      <c r="HAH2019" s="349"/>
      <c r="HAI2019" s="349"/>
      <c r="HAJ2019" s="349"/>
      <c r="HAK2019" s="349"/>
      <c r="HAL2019" s="349"/>
      <c r="HAM2019" s="349"/>
      <c r="HAN2019" s="349"/>
      <c r="HAO2019" s="349"/>
      <c r="HAP2019" s="349"/>
      <c r="HAQ2019" s="349"/>
      <c r="HAR2019" s="349"/>
      <c r="HAS2019" s="349"/>
      <c r="HAT2019" s="349"/>
      <c r="HAU2019" s="349"/>
      <c r="HAV2019" s="349"/>
      <c r="HAW2019" s="349"/>
      <c r="HAX2019" s="349"/>
      <c r="HAY2019" s="349"/>
      <c r="HAZ2019" s="349"/>
      <c r="HBA2019" s="349"/>
      <c r="HBB2019" s="349"/>
      <c r="HBC2019" s="349"/>
      <c r="HBD2019" s="349"/>
      <c r="HBE2019" s="349"/>
      <c r="HBF2019" s="349"/>
      <c r="HBG2019" s="349"/>
      <c r="HBH2019" s="349"/>
      <c r="HBI2019" s="349"/>
      <c r="HBJ2019" s="349"/>
      <c r="HBK2019" s="349"/>
      <c r="HBL2019" s="349"/>
      <c r="HBM2019" s="349"/>
      <c r="HBN2019" s="349"/>
      <c r="HBO2019" s="349"/>
      <c r="HBP2019" s="349"/>
      <c r="HBQ2019" s="349"/>
      <c r="HBR2019" s="349"/>
      <c r="HBS2019" s="349"/>
      <c r="HBT2019" s="349"/>
      <c r="HBU2019" s="349"/>
      <c r="HBV2019" s="349"/>
      <c r="HBW2019" s="349"/>
      <c r="HBX2019" s="349"/>
      <c r="HBY2019" s="349"/>
      <c r="HBZ2019" s="349"/>
      <c r="HCA2019" s="349"/>
      <c r="HCB2019" s="349"/>
      <c r="HCC2019" s="349"/>
      <c r="HCD2019" s="349"/>
      <c r="HCE2019" s="349"/>
      <c r="HCF2019" s="349"/>
      <c r="HCG2019" s="349"/>
      <c r="HCH2019" s="349"/>
      <c r="HCI2019" s="349"/>
      <c r="HCJ2019" s="349"/>
      <c r="HCK2019" s="349"/>
      <c r="HCL2019" s="349"/>
      <c r="HCM2019" s="349"/>
      <c r="HCN2019" s="349"/>
      <c r="HCO2019" s="349"/>
      <c r="HCP2019" s="349"/>
      <c r="HCQ2019" s="349"/>
      <c r="HCR2019" s="349"/>
      <c r="HCS2019" s="349"/>
      <c r="HCT2019" s="349"/>
      <c r="HCU2019" s="349"/>
      <c r="HCV2019" s="349"/>
      <c r="HCW2019" s="349"/>
      <c r="HCX2019" s="349"/>
      <c r="HCY2019" s="349"/>
      <c r="HCZ2019" s="349"/>
      <c r="HDA2019" s="349"/>
      <c r="HDB2019" s="349"/>
      <c r="HDC2019" s="349"/>
      <c r="HDD2019" s="349"/>
      <c r="HDE2019" s="349"/>
      <c r="HDF2019" s="349"/>
      <c r="HDG2019" s="349"/>
      <c r="HDH2019" s="349"/>
      <c r="HDI2019" s="349"/>
      <c r="HDJ2019" s="349"/>
      <c r="HDK2019" s="349"/>
      <c r="HDL2019" s="349"/>
      <c r="HDM2019" s="349"/>
      <c r="HDN2019" s="349"/>
      <c r="HDO2019" s="349"/>
      <c r="HDP2019" s="349"/>
      <c r="HDQ2019" s="349"/>
      <c r="HDR2019" s="349"/>
      <c r="HDS2019" s="349"/>
      <c r="HDT2019" s="349"/>
      <c r="HDU2019" s="349"/>
      <c r="HDV2019" s="349"/>
      <c r="HDW2019" s="349"/>
      <c r="HDX2019" s="349"/>
      <c r="HDY2019" s="349"/>
      <c r="HDZ2019" s="349"/>
      <c r="HEA2019" s="349"/>
      <c r="HEB2019" s="349"/>
      <c r="HEC2019" s="349"/>
      <c r="HED2019" s="349"/>
      <c r="HEE2019" s="349"/>
      <c r="HEF2019" s="349"/>
      <c r="HEG2019" s="349"/>
      <c r="HEH2019" s="349"/>
      <c r="HEI2019" s="349"/>
      <c r="HEJ2019" s="349"/>
      <c r="HEK2019" s="349"/>
      <c r="HEL2019" s="349"/>
      <c r="HEM2019" s="349"/>
      <c r="HEN2019" s="349"/>
      <c r="HEO2019" s="349"/>
      <c r="HEP2019" s="349"/>
      <c r="HEQ2019" s="349"/>
      <c r="HER2019" s="349"/>
      <c r="HES2019" s="349"/>
      <c r="HET2019" s="349"/>
      <c r="HEU2019" s="349"/>
      <c r="HEV2019" s="349"/>
      <c r="HEW2019" s="349"/>
      <c r="HEX2019" s="349"/>
      <c r="HEY2019" s="349"/>
      <c r="HEZ2019" s="349"/>
      <c r="HFA2019" s="349"/>
      <c r="HFB2019" s="349"/>
      <c r="HFC2019" s="349"/>
      <c r="HFD2019" s="349"/>
      <c r="HFE2019" s="349"/>
      <c r="HFF2019" s="349"/>
      <c r="HFG2019" s="349"/>
      <c r="HFH2019" s="349"/>
      <c r="HFI2019" s="349"/>
      <c r="HFJ2019" s="349"/>
      <c r="HFK2019" s="349"/>
      <c r="HFL2019" s="349"/>
      <c r="HFM2019" s="349"/>
      <c r="HFN2019" s="349"/>
      <c r="HFO2019" s="349"/>
      <c r="HFP2019" s="349"/>
      <c r="HFQ2019" s="349"/>
      <c r="HFR2019" s="349"/>
      <c r="HFS2019" s="349"/>
      <c r="HFT2019" s="349"/>
      <c r="HFU2019" s="349"/>
      <c r="HFV2019" s="349"/>
      <c r="HFW2019" s="349"/>
      <c r="HFX2019" s="349"/>
      <c r="HFY2019" s="349"/>
      <c r="HFZ2019" s="349"/>
      <c r="HGA2019" s="349"/>
      <c r="HGB2019" s="349"/>
      <c r="HGC2019" s="349"/>
      <c r="HGD2019" s="349"/>
      <c r="HGE2019" s="349"/>
      <c r="HGF2019" s="349"/>
      <c r="HGG2019" s="349"/>
      <c r="HGH2019" s="349"/>
      <c r="HGI2019" s="349"/>
      <c r="HGJ2019" s="349"/>
      <c r="HGK2019" s="349"/>
      <c r="HGL2019" s="349"/>
      <c r="HGM2019" s="349"/>
      <c r="HGN2019" s="349"/>
      <c r="HGO2019" s="349"/>
      <c r="HGP2019" s="349"/>
      <c r="HGQ2019" s="349"/>
      <c r="HGR2019" s="349"/>
      <c r="HGS2019" s="349"/>
      <c r="HGT2019" s="349"/>
      <c r="HGU2019" s="349"/>
      <c r="HGV2019" s="349"/>
      <c r="HGW2019" s="349"/>
      <c r="HGX2019" s="349"/>
      <c r="HGY2019" s="349"/>
      <c r="HGZ2019" s="349"/>
      <c r="HHA2019" s="349"/>
      <c r="HHB2019" s="349"/>
      <c r="HHC2019" s="349"/>
      <c r="HHD2019" s="349"/>
      <c r="HHE2019" s="349"/>
      <c r="HHF2019" s="349"/>
      <c r="HHG2019" s="349"/>
      <c r="HHH2019" s="349"/>
      <c r="HHI2019" s="349"/>
      <c r="HHJ2019" s="349"/>
      <c r="HHK2019" s="349"/>
      <c r="HHL2019" s="349"/>
      <c r="HHM2019" s="349"/>
      <c r="HHN2019" s="349"/>
      <c r="HHO2019" s="349"/>
      <c r="HHP2019" s="349"/>
      <c r="HHQ2019" s="349"/>
      <c r="HHR2019" s="349"/>
      <c r="HHS2019" s="349"/>
      <c r="HHT2019" s="349"/>
      <c r="HHU2019" s="349"/>
      <c r="HHV2019" s="349"/>
      <c r="HHW2019" s="349"/>
      <c r="HHX2019" s="349"/>
      <c r="HHY2019" s="349"/>
      <c r="HHZ2019" s="349"/>
      <c r="HIA2019" s="349"/>
      <c r="HIB2019" s="349"/>
      <c r="HIC2019" s="349"/>
      <c r="HID2019" s="349"/>
      <c r="HIE2019" s="349"/>
      <c r="HIF2019" s="349"/>
      <c r="HIG2019" s="349"/>
      <c r="HIH2019" s="349"/>
      <c r="HII2019" s="349"/>
      <c r="HIJ2019" s="349"/>
      <c r="HIK2019" s="349"/>
      <c r="HIL2019" s="349"/>
      <c r="HIM2019" s="349"/>
      <c r="HIN2019" s="349"/>
      <c r="HIO2019" s="349"/>
      <c r="HIP2019" s="349"/>
      <c r="HIQ2019" s="349"/>
      <c r="HIR2019" s="349"/>
      <c r="HIS2019" s="349"/>
      <c r="HIT2019" s="349"/>
      <c r="HIU2019" s="349"/>
      <c r="HIV2019" s="349"/>
      <c r="HIW2019" s="349"/>
      <c r="HIX2019" s="349"/>
      <c r="HIY2019" s="349"/>
      <c r="HIZ2019" s="349"/>
      <c r="HJA2019" s="349"/>
      <c r="HJB2019" s="349"/>
      <c r="HJC2019" s="349"/>
      <c r="HJD2019" s="349"/>
      <c r="HJE2019" s="349"/>
      <c r="HJF2019" s="349"/>
      <c r="HJG2019" s="349"/>
      <c r="HJH2019" s="349"/>
      <c r="HJI2019" s="349"/>
      <c r="HJJ2019" s="349"/>
      <c r="HJK2019" s="349"/>
      <c r="HJL2019" s="349"/>
      <c r="HJM2019" s="349"/>
      <c r="HJN2019" s="349"/>
      <c r="HJO2019" s="349"/>
      <c r="HJP2019" s="349"/>
      <c r="HJQ2019" s="349"/>
      <c r="HJR2019" s="349"/>
      <c r="HJS2019" s="349"/>
      <c r="HJT2019" s="349"/>
      <c r="HJU2019" s="349"/>
      <c r="HJV2019" s="349"/>
      <c r="HJW2019" s="349"/>
      <c r="HJX2019" s="349"/>
      <c r="HJY2019" s="349"/>
      <c r="HJZ2019" s="349"/>
      <c r="HKA2019" s="349"/>
      <c r="HKB2019" s="349"/>
      <c r="HKC2019" s="349"/>
      <c r="HKD2019" s="349"/>
      <c r="HKE2019" s="349"/>
      <c r="HKF2019" s="349"/>
      <c r="HKG2019" s="349"/>
      <c r="HKH2019" s="349"/>
      <c r="HKI2019" s="349"/>
      <c r="HKJ2019" s="349"/>
      <c r="HKK2019" s="349"/>
      <c r="HKL2019" s="349"/>
      <c r="HKM2019" s="349"/>
      <c r="HKN2019" s="349"/>
      <c r="HKO2019" s="349"/>
      <c r="HKP2019" s="349"/>
      <c r="HKQ2019" s="349"/>
      <c r="HKR2019" s="349"/>
      <c r="HKS2019" s="349"/>
      <c r="HKT2019" s="349"/>
      <c r="HKU2019" s="349"/>
      <c r="HKV2019" s="349"/>
      <c r="HKW2019" s="349"/>
      <c r="HKX2019" s="349"/>
      <c r="HKY2019" s="349"/>
      <c r="HKZ2019" s="349"/>
      <c r="HLA2019" s="349"/>
      <c r="HLB2019" s="349"/>
      <c r="HLC2019" s="349"/>
      <c r="HLD2019" s="349"/>
      <c r="HLE2019" s="349"/>
      <c r="HLF2019" s="349"/>
      <c r="HLG2019" s="349"/>
      <c r="HLH2019" s="349"/>
      <c r="HLI2019" s="349"/>
      <c r="HLJ2019" s="349"/>
      <c r="HLK2019" s="349"/>
      <c r="HLL2019" s="349"/>
      <c r="HLM2019" s="349"/>
      <c r="HLN2019" s="349"/>
      <c r="HLO2019" s="349"/>
      <c r="HLP2019" s="349"/>
      <c r="HLQ2019" s="349"/>
      <c r="HLR2019" s="349"/>
      <c r="HLS2019" s="349"/>
      <c r="HLT2019" s="349"/>
      <c r="HLU2019" s="349"/>
      <c r="HLV2019" s="349"/>
      <c r="HLW2019" s="349"/>
      <c r="HLX2019" s="349"/>
      <c r="HLY2019" s="349"/>
      <c r="HLZ2019" s="349"/>
      <c r="HMA2019" s="349"/>
      <c r="HMB2019" s="349"/>
      <c r="HMC2019" s="349"/>
      <c r="HMD2019" s="349"/>
      <c r="HME2019" s="349"/>
      <c r="HMF2019" s="349"/>
      <c r="HMG2019" s="349"/>
      <c r="HMH2019" s="349"/>
      <c r="HMI2019" s="349"/>
      <c r="HMJ2019" s="349"/>
      <c r="HMK2019" s="349"/>
      <c r="HML2019" s="349"/>
      <c r="HMM2019" s="349"/>
      <c r="HMN2019" s="349"/>
      <c r="HMO2019" s="349"/>
      <c r="HMP2019" s="349"/>
      <c r="HMQ2019" s="349"/>
      <c r="HMR2019" s="349"/>
      <c r="HMS2019" s="349"/>
      <c r="HMT2019" s="349"/>
      <c r="HMU2019" s="349"/>
      <c r="HMV2019" s="349"/>
      <c r="HMW2019" s="349"/>
      <c r="HMX2019" s="349"/>
      <c r="HMY2019" s="349"/>
      <c r="HMZ2019" s="349"/>
      <c r="HNA2019" s="349"/>
      <c r="HNB2019" s="349"/>
      <c r="HNC2019" s="349"/>
      <c r="HND2019" s="349"/>
      <c r="HNE2019" s="349"/>
      <c r="HNF2019" s="349"/>
      <c r="HNG2019" s="349"/>
      <c r="HNH2019" s="349"/>
      <c r="HNI2019" s="349"/>
      <c r="HNJ2019" s="349"/>
      <c r="HNK2019" s="349"/>
      <c r="HNL2019" s="349"/>
      <c r="HNM2019" s="349"/>
      <c r="HNN2019" s="349"/>
      <c r="HNO2019" s="349"/>
      <c r="HNP2019" s="349"/>
      <c r="HNQ2019" s="349"/>
      <c r="HNR2019" s="349"/>
      <c r="HNS2019" s="349"/>
      <c r="HNT2019" s="349"/>
      <c r="HNU2019" s="349"/>
      <c r="HNV2019" s="349"/>
      <c r="HNW2019" s="349"/>
      <c r="HNX2019" s="349"/>
      <c r="HNY2019" s="349"/>
      <c r="HNZ2019" s="349"/>
      <c r="HOA2019" s="349"/>
      <c r="HOB2019" s="349"/>
      <c r="HOC2019" s="349"/>
      <c r="HOD2019" s="349"/>
      <c r="HOE2019" s="349"/>
      <c r="HOF2019" s="349"/>
      <c r="HOG2019" s="349"/>
      <c r="HOH2019" s="349"/>
      <c r="HOI2019" s="349"/>
      <c r="HOJ2019" s="349"/>
      <c r="HOK2019" s="349"/>
      <c r="HOL2019" s="349"/>
      <c r="HOM2019" s="349"/>
      <c r="HON2019" s="349"/>
      <c r="HOO2019" s="349"/>
      <c r="HOP2019" s="349"/>
      <c r="HOQ2019" s="349"/>
      <c r="HOR2019" s="349"/>
      <c r="HOS2019" s="349"/>
      <c r="HOT2019" s="349"/>
      <c r="HOU2019" s="349"/>
      <c r="HOV2019" s="349"/>
      <c r="HOW2019" s="349"/>
      <c r="HOX2019" s="349"/>
      <c r="HOY2019" s="349"/>
      <c r="HOZ2019" s="349"/>
      <c r="HPA2019" s="349"/>
      <c r="HPB2019" s="349"/>
      <c r="HPC2019" s="349"/>
      <c r="HPD2019" s="349"/>
      <c r="HPE2019" s="349"/>
      <c r="HPF2019" s="349"/>
      <c r="HPG2019" s="349"/>
      <c r="HPH2019" s="349"/>
      <c r="HPI2019" s="349"/>
      <c r="HPJ2019" s="349"/>
      <c r="HPK2019" s="349"/>
      <c r="HPL2019" s="349"/>
      <c r="HPM2019" s="349"/>
      <c r="HPN2019" s="349"/>
      <c r="HPO2019" s="349"/>
      <c r="HPP2019" s="349"/>
      <c r="HPQ2019" s="349"/>
      <c r="HPR2019" s="349"/>
      <c r="HPS2019" s="349"/>
      <c r="HPT2019" s="349"/>
      <c r="HPU2019" s="349"/>
      <c r="HPV2019" s="349"/>
      <c r="HPW2019" s="349"/>
      <c r="HPX2019" s="349"/>
      <c r="HPY2019" s="349"/>
      <c r="HPZ2019" s="349"/>
      <c r="HQA2019" s="349"/>
      <c r="HQB2019" s="349"/>
      <c r="HQC2019" s="349"/>
      <c r="HQD2019" s="349"/>
      <c r="HQE2019" s="349"/>
      <c r="HQF2019" s="349"/>
      <c r="HQG2019" s="349"/>
      <c r="HQH2019" s="349"/>
      <c r="HQI2019" s="349"/>
      <c r="HQJ2019" s="349"/>
      <c r="HQK2019" s="349"/>
      <c r="HQL2019" s="349"/>
      <c r="HQM2019" s="349"/>
      <c r="HQN2019" s="349"/>
      <c r="HQO2019" s="349"/>
      <c r="HQP2019" s="349"/>
      <c r="HQQ2019" s="349"/>
      <c r="HQR2019" s="349"/>
      <c r="HQS2019" s="349"/>
      <c r="HQT2019" s="349"/>
      <c r="HQU2019" s="349"/>
      <c r="HQV2019" s="349"/>
      <c r="HQW2019" s="349"/>
      <c r="HQX2019" s="349"/>
      <c r="HQY2019" s="349"/>
      <c r="HQZ2019" s="349"/>
      <c r="HRA2019" s="349"/>
      <c r="HRB2019" s="349"/>
      <c r="HRC2019" s="349"/>
      <c r="HRD2019" s="349"/>
      <c r="HRE2019" s="349"/>
      <c r="HRF2019" s="349"/>
      <c r="HRG2019" s="349"/>
      <c r="HRH2019" s="349"/>
      <c r="HRI2019" s="349"/>
      <c r="HRJ2019" s="349"/>
      <c r="HRK2019" s="349"/>
      <c r="HRL2019" s="349"/>
      <c r="HRM2019" s="349"/>
      <c r="HRN2019" s="349"/>
      <c r="HRO2019" s="349"/>
      <c r="HRP2019" s="349"/>
      <c r="HRQ2019" s="349"/>
      <c r="HRR2019" s="349"/>
      <c r="HRS2019" s="349"/>
      <c r="HRT2019" s="349"/>
      <c r="HRU2019" s="349"/>
      <c r="HRV2019" s="349"/>
      <c r="HRW2019" s="349"/>
      <c r="HRX2019" s="349"/>
      <c r="HRY2019" s="349"/>
      <c r="HRZ2019" s="349"/>
      <c r="HSA2019" s="349"/>
      <c r="HSB2019" s="349"/>
      <c r="HSC2019" s="349"/>
      <c r="HSD2019" s="349"/>
      <c r="HSE2019" s="349"/>
      <c r="HSF2019" s="349"/>
      <c r="HSG2019" s="349"/>
      <c r="HSH2019" s="349"/>
      <c r="HSI2019" s="349"/>
      <c r="HSJ2019" s="349"/>
      <c r="HSK2019" s="349"/>
      <c r="HSL2019" s="349"/>
      <c r="HSM2019" s="349"/>
      <c r="HSN2019" s="349"/>
      <c r="HSO2019" s="349"/>
      <c r="HSP2019" s="349"/>
      <c r="HSQ2019" s="349"/>
      <c r="HSR2019" s="349"/>
      <c r="HSS2019" s="349"/>
      <c r="HST2019" s="349"/>
      <c r="HSU2019" s="349"/>
      <c r="HSV2019" s="349"/>
      <c r="HSW2019" s="349"/>
      <c r="HSX2019" s="349"/>
      <c r="HSY2019" s="349"/>
      <c r="HSZ2019" s="349"/>
      <c r="HTA2019" s="349"/>
      <c r="HTB2019" s="349"/>
      <c r="HTC2019" s="349"/>
      <c r="HTD2019" s="349"/>
      <c r="HTE2019" s="349"/>
      <c r="HTF2019" s="349"/>
      <c r="HTG2019" s="349"/>
      <c r="HTH2019" s="349"/>
      <c r="HTI2019" s="349"/>
      <c r="HTJ2019" s="349"/>
      <c r="HTK2019" s="349"/>
      <c r="HTL2019" s="349"/>
      <c r="HTM2019" s="349"/>
      <c r="HTN2019" s="349"/>
      <c r="HTO2019" s="349"/>
      <c r="HTP2019" s="349"/>
      <c r="HTQ2019" s="349"/>
      <c r="HTR2019" s="349"/>
      <c r="HTS2019" s="349"/>
      <c r="HTT2019" s="349"/>
      <c r="HTU2019" s="349"/>
      <c r="HTV2019" s="349"/>
      <c r="HTW2019" s="349"/>
      <c r="HTX2019" s="349"/>
      <c r="HTY2019" s="349"/>
      <c r="HTZ2019" s="349"/>
      <c r="HUA2019" s="349"/>
      <c r="HUB2019" s="349"/>
      <c r="HUC2019" s="349"/>
      <c r="HUD2019" s="349"/>
      <c r="HUE2019" s="349"/>
      <c r="HUF2019" s="349"/>
      <c r="HUG2019" s="349"/>
      <c r="HUH2019" s="349"/>
      <c r="HUI2019" s="349"/>
      <c r="HUJ2019" s="349"/>
      <c r="HUK2019" s="349"/>
      <c r="HUL2019" s="349"/>
      <c r="HUM2019" s="349"/>
      <c r="HUN2019" s="349"/>
      <c r="HUO2019" s="349"/>
      <c r="HUP2019" s="349"/>
      <c r="HUQ2019" s="349"/>
      <c r="HUR2019" s="349"/>
      <c r="HUS2019" s="349"/>
      <c r="HUT2019" s="349"/>
      <c r="HUU2019" s="349"/>
      <c r="HUV2019" s="349"/>
      <c r="HUW2019" s="349"/>
      <c r="HUX2019" s="349"/>
      <c r="HUY2019" s="349"/>
      <c r="HUZ2019" s="349"/>
      <c r="HVA2019" s="349"/>
      <c r="HVB2019" s="349"/>
      <c r="HVC2019" s="349"/>
      <c r="HVD2019" s="349"/>
      <c r="HVE2019" s="349"/>
      <c r="HVF2019" s="349"/>
      <c r="HVG2019" s="349"/>
      <c r="HVH2019" s="349"/>
      <c r="HVI2019" s="349"/>
      <c r="HVJ2019" s="349"/>
      <c r="HVK2019" s="349"/>
      <c r="HVL2019" s="349"/>
      <c r="HVM2019" s="349"/>
      <c r="HVN2019" s="349"/>
      <c r="HVO2019" s="349"/>
      <c r="HVP2019" s="349"/>
      <c r="HVQ2019" s="349"/>
      <c r="HVR2019" s="349"/>
      <c r="HVS2019" s="349"/>
      <c r="HVT2019" s="349"/>
      <c r="HVU2019" s="349"/>
      <c r="HVV2019" s="349"/>
      <c r="HVW2019" s="349"/>
      <c r="HVX2019" s="349"/>
      <c r="HVY2019" s="349"/>
      <c r="HVZ2019" s="349"/>
      <c r="HWA2019" s="349"/>
      <c r="HWB2019" s="349"/>
      <c r="HWC2019" s="349"/>
      <c r="HWD2019" s="349"/>
      <c r="HWE2019" s="349"/>
      <c r="HWF2019" s="349"/>
      <c r="HWG2019" s="349"/>
      <c r="HWH2019" s="349"/>
      <c r="HWI2019" s="349"/>
      <c r="HWJ2019" s="349"/>
      <c r="HWK2019" s="349"/>
      <c r="HWL2019" s="349"/>
      <c r="HWM2019" s="349"/>
      <c r="HWN2019" s="349"/>
      <c r="HWO2019" s="349"/>
      <c r="HWP2019" s="349"/>
      <c r="HWQ2019" s="349"/>
      <c r="HWR2019" s="349"/>
      <c r="HWS2019" s="349"/>
      <c r="HWT2019" s="349"/>
      <c r="HWU2019" s="349"/>
      <c r="HWV2019" s="349"/>
      <c r="HWW2019" s="349"/>
      <c r="HWX2019" s="349"/>
      <c r="HWY2019" s="349"/>
      <c r="HWZ2019" s="349"/>
      <c r="HXA2019" s="349"/>
      <c r="HXB2019" s="349"/>
      <c r="HXC2019" s="349"/>
      <c r="HXD2019" s="349"/>
      <c r="HXE2019" s="349"/>
      <c r="HXF2019" s="349"/>
      <c r="HXG2019" s="349"/>
      <c r="HXH2019" s="349"/>
      <c r="HXI2019" s="349"/>
      <c r="HXJ2019" s="349"/>
      <c r="HXK2019" s="349"/>
      <c r="HXL2019" s="349"/>
      <c r="HXM2019" s="349"/>
      <c r="HXN2019" s="349"/>
      <c r="HXO2019" s="349"/>
      <c r="HXP2019" s="349"/>
      <c r="HXQ2019" s="349"/>
      <c r="HXR2019" s="349"/>
      <c r="HXS2019" s="349"/>
      <c r="HXT2019" s="349"/>
      <c r="HXU2019" s="349"/>
      <c r="HXV2019" s="349"/>
      <c r="HXW2019" s="349"/>
      <c r="HXX2019" s="349"/>
      <c r="HXY2019" s="349"/>
      <c r="HXZ2019" s="349"/>
      <c r="HYA2019" s="349"/>
      <c r="HYB2019" s="349"/>
      <c r="HYC2019" s="349"/>
      <c r="HYD2019" s="349"/>
      <c r="HYE2019" s="349"/>
      <c r="HYF2019" s="349"/>
      <c r="HYG2019" s="349"/>
      <c r="HYH2019" s="349"/>
      <c r="HYI2019" s="349"/>
      <c r="HYJ2019" s="349"/>
      <c r="HYK2019" s="349"/>
      <c r="HYL2019" s="349"/>
      <c r="HYM2019" s="349"/>
      <c r="HYN2019" s="349"/>
      <c r="HYO2019" s="349"/>
      <c r="HYP2019" s="349"/>
      <c r="HYQ2019" s="349"/>
      <c r="HYR2019" s="349"/>
      <c r="HYS2019" s="349"/>
      <c r="HYT2019" s="349"/>
      <c r="HYU2019" s="349"/>
      <c r="HYV2019" s="349"/>
      <c r="HYW2019" s="349"/>
      <c r="HYX2019" s="349"/>
      <c r="HYY2019" s="349"/>
      <c r="HYZ2019" s="349"/>
      <c r="HZA2019" s="349"/>
      <c r="HZB2019" s="349"/>
      <c r="HZC2019" s="349"/>
      <c r="HZD2019" s="349"/>
      <c r="HZE2019" s="349"/>
      <c r="HZF2019" s="349"/>
      <c r="HZG2019" s="349"/>
      <c r="HZH2019" s="349"/>
      <c r="HZI2019" s="349"/>
      <c r="HZJ2019" s="349"/>
      <c r="HZK2019" s="349"/>
      <c r="HZL2019" s="349"/>
      <c r="HZM2019" s="349"/>
      <c r="HZN2019" s="349"/>
      <c r="HZO2019" s="349"/>
      <c r="HZP2019" s="349"/>
      <c r="HZQ2019" s="349"/>
      <c r="HZR2019" s="349"/>
      <c r="HZS2019" s="349"/>
      <c r="HZT2019" s="349"/>
      <c r="HZU2019" s="349"/>
      <c r="HZV2019" s="349"/>
      <c r="HZW2019" s="349"/>
      <c r="HZX2019" s="349"/>
      <c r="HZY2019" s="349"/>
      <c r="HZZ2019" s="349"/>
      <c r="IAA2019" s="349"/>
      <c r="IAB2019" s="349"/>
      <c r="IAC2019" s="349"/>
      <c r="IAD2019" s="349"/>
      <c r="IAE2019" s="349"/>
      <c r="IAF2019" s="349"/>
      <c r="IAG2019" s="349"/>
      <c r="IAH2019" s="349"/>
      <c r="IAI2019" s="349"/>
      <c r="IAJ2019" s="349"/>
      <c r="IAK2019" s="349"/>
      <c r="IAL2019" s="349"/>
      <c r="IAM2019" s="349"/>
      <c r="IAN2019" s="349"/>
      <c r="IAO2019" s="349"/>
      <c r="IAP2019" s="349"/>
      <c r="IAQ2019" s="349"/>
      <c r="IAR2019" s="349"/>
      <c r="IAS2019" s="349"/>
      <c r="IAT2019" s="349"/>
      <c r="IAU2019" s="349"/>
      <c r="IAV2019" s="349"/>
      <c r="IAW2019" s="349"/>
      <c r="IAX2019" s="349"/>
      <c r="IAY2019" s="349"/>
      <c r="IAZ2019" s="349"/>
      <c r="IBA2019" s="349"/>
      <c r="IBB2019" s="349"/>
      <c r="IBC2019" s="349"/>
      <c r="IBD2019" s="349"/>
      <c r="IBE2019" s="349"/>
      <c r="IBF2019" s="349"/>
      <c r="IBG2019" s="349"/>
      <c r="IBH2019" s="349"/>
      <c r="IBI2019" s="349"/>
      <c r="IBJ2019" s="349"/>
      <c r="IBK2019" s="349"/>
      <c r="IBL2019" s="349"/>
      <c r="IBM2019" s="349"/>
      <c r="IBN2019" s="349"/>
      <c r="IBO2019" s="349"/>
      <c r="IBP2019" s="349"/>
      <c r="IBQ2019" s="349"/>
      <c r="IBR2019" s="349"/>
      <c r="IBS2019" s="349"/>
      <c r="IBT2019" s="349"/>
      <c r="IBU2019" s="349"/>
      <c r="IBV2019" s="349"/>
      <c r="IBW2019" s="349"/>
      <c r="IBX2019" s="349"/>
      <c r="IBY2019" s="349"/>
      <c r="IBZ2019" s="349"/>
      <c r="ICA2019" s="349"/>
      <c r="ICB2019" s="349"/>
      <c r="ICC2019" s="349"/>
      <c r="ICD2019" s="349"/>
      <c r="ICE2019" s="349"/>
      <c r="ICF2019" s="349"/>
      <c r="ICG2019" s="349"/>
      <c r="ICH2019" s="349"/>
      <c r="ICI2019" s="349"/>
      <c r="ICJ2019" s="349"/>
      <c r="ICK2019" s="349"/>
      <c r="ICL2019" s="349"/>
      <c r="ICM2019" s="349"/>
      <c r="ICN2019" s="349"/>
      <c r="ICO2019" s="349"/>
      <c r="ICP2019" s="349"/>
      <c r="ICQ2019" s="349"/>
      <c r="ICR2019" s="349"/>
      <c r="ICS2019" s="349"/>
      <c r="ICT2019" s="349"/>
      <c r="ICU2019" s="349"/>
      <c r="ICV2019" s="349"/>
      <c r="ICW2019" s="349"/>
      <c r="ICX2019" s="349"/>
      <c r="ICY2019" s="349"/>
      <c r="ICZ2019" s="349"/>
      <c r="IDA2019" s="349"/>
      <c r="IDB2019" s="349"/>
      <c r="IDC2019" s="349"/>
      <c r="IDD2019" s="349"/>
      <c r="IDE2019" s="349"/>
      <c r="IDF2019" s="349"/>
      <c r="IDG2019" s="349"/>
      <c r="IDH2019" s="349"/>
      <c r="IDI2019" s="349"/>
      <c r="IDJ2019" s="349"/>
      <c r="IDK2019" s="349"/>
      <c r="IDL2019" s="349"/>
      <c r="IDM2019" s="349"/>
      <c r="IDN2019" s="349"/>
      <c r="IDO2019" s="349"/>
      <c r="IDP2019" s="349"/>
      <c r="IDQ2019" s="349"/>
      <c r="IDR2019" s="349"/>
      <c r="IDS2019" s="349"/>
      <c r="IDT2019" s="349"/>
      <c r="IDU2019" s="349"/>
      <c r="IDV2019" s="349"/>
      <c r="IDW2019" s="349"/>
      <c r="IDX2019" s="349"/>
      <c r="IDY2019" s="349"/>
      <c r="IDZ2019" s="349"/>
      <c r="IEA2019" s="349"/>
      <c r="IEB2019" s="349"/>
      <c r="IEC2019" s="349"/>
      <c r="IED2019" s="349"/>
      <c r="IEE2019" s="349"/>
      <c r="IEF2019" s="349"/>
      <c r="IEG2019" s="349"/>
      <c r="IEH2019" s="349"/>
      <c r="IEI2019" s="349"/>
      <c r="IEJ2019" s="349"/>
      <c r="IEK2019" s="349"/>
      <c r="IEL2019" s="349"/>
      <c r="IEM2019" s="349"/>
      <c r="IEN2019" s="349"/>
      <c r="IEO2019" s="349"/>
      <c r="IEP2019" s="349"/>
      <c r="IEQ2019" s="349"/>
      <c r="IER2019" s="349"/>
      <c r="IES2019" s="349"/>
      <c r="IET2019" s="349"/>
      <c r="IEU2019" s="349"/>
      <c r="IEV2019" s="349"/>
      <c r="IEW2019" s="349"/>
      <c r="IEX2019" s="349"/>
      <c r="IEY2019" s="349"/>
      <c r="IEZ2019" s="349"/>
      <c r="IFA2019" s="349"/>
      <c r="IFB2019" s="349"/>
      <c r="IFC2019" s="349"/>
      <c r="IFD2019" s="349"/>
      <c r="IFE2019" s="349"/>
      <c r="IFF2019" s="349"/>
      <c r="IFG2019" s="349"/>
      <c r="IFH2019" s="349"/>
      <c r="IFI2019" s="349"/>
      <c r="IFJ2019" s="349"/>
      <c r="IFK2019" s="349"/>
      <c r="IFL2019" s="349"/>
      <c r="IFM2019" s="349"/>
      <c r="IFN2019" s="349"/>
      <c r="IFO2019" s="349"/>
      <c r="IFP2019" s="349"/>
      <c r="IFQ2019" s="349"/>
      <c r="IFR2019" s="349"/>
      <c r="IFS2019" s="349"/>
      <c r="IFT2019" s="349"/>
      <c r="IFU2019" s="349"/>
      <c r="IFV2019" s="349"/>
      <c r="IFW2019" s="349"/>
      <c r="IFX2019" s="349"/>
      <c r="IFY2019" s="349"/>
      <c r="IFZ2019" s="349"/>
      <c r="IGA2019" s="349"/>
      <c r="IGB2019" s="349"/>
      <c r="IGC2019" s="349"/>
      <c r="IGD2019" s="349"/>
      <c r="IGE2019" s="349"/>
      <c r="IGF2019" s="349"/>
      <c r="IGG2019" s="349"/>
      <c r="IGH2019" s="349"/>
      <c r="IGI2019" s="349"/>
      <c r="IGJ2019" s="349"/>
      <c r="IGK2019" s="349"/>
      <c r="IGL2019" s="349"/>
      <c r="IGM2019" s="349"/>
      <c r="IGN2019" s="349"/>
      <c r="IGO2019" s="349"/>
      <c r="IGP2019" s="349"/>
      <c r="IGQ2019" s="349"/>
      <c r="IGR2019" s="349"/>
      <c r="IGS2019" s="349"/>
      <c r="IGT2019" s="349"/>
      <c r="IGU2019" s="349"/>
      <c r="IGV2019" s="349"/>
      <c r="IGW2019" s="349"/>
      <c r="IGX2019" s="349"/>
      <c r="IGY2019" s="349"/>
      <c r="IGZ2019" s="349"/>
      <c r="IHA2019" s="349"/>
      <c r="IHB2019" s="349"/>
      <c r="IHC2019" s="349"/>
      <c r="IHD2019" s="349"/>
      <c r="IHE2019" s="349"/>
      <c r="IHF2019" s="349"/>
      <c r="IHG2019" s="349"/>
      <c r="IHH2019" s="349"/>
      <c r="IHI2019" s="349"/>
      <c r="IHJ2019" s="349"/>
      <c r="IHK2019" s="349"/>
      <c r="IHL2019" s="349"/>
      <c r="IHM2019" s="349"/>
      <c r="IHN2019" s="349"/>
      <c r="IHO2019" s="349"/>
      <c r="IHP2019" s="349"/>
      <c r="IHQ2019" s="349"/>
      <c r="IHR2019" s="349"/>
      <c r="IHS2019" s="349"/>
      <c r="IHT2019" s="349"/>
      <c r="IHU2019" s="349"/>
      <c r="IHV2019" s="349"/>
      <c r="IHW2019" s="349"/>
      <c r="IHX2019" s="349"/>
      <c r="IHY2019" s="349"/>
      <c r="IHZ2019" s="349"/>
      <c r="IIA2019" s="349"/>
      <c r="IIB2019" s="349"/>
      <c r="IIC2019" s="349"/>
      <c r="IID2019" s="349"/>
      <c r="IIE2019" s="349"/>
      <c r="IIF2019" s="349"/>
      <c r="IIG2019" s="349"/>
      <c r="IIH2019" s="349"/>
      <c r="III2019" s="349"/>
      <c r="IIJ2019" s="349"/>
      <c r="IIK2019" s="349"/>
      <c r="IIL2019" s="349"/>
      <c r="IIM2019" s="349"/>
      <c r="IIN2019" s="349"/>
      <c r="IIO2019" s="349"/>
      <c r="IIP2019" s="349"/>
      <c r="IIQ2019" s="349"/>
      <c r="IIR2019" s="349"/>
      <c r="IIS2019" s="349"/>
      <c r="IIT2019" s="349"/>
      <c r="IIU2019" s="349"/>
      <c r="IIV2019" s="349"/>
      <c r="IIW2019" s="349"/>
      <c r="IIX2019" s="349"/>
      <c r="IIY2019" s="349"/>
      <c r="IIZ2019" s="349"/>
      <c r="IJA2019" s="349"/>
      <c r="IJB2019" s="349"/>
      <c r="IJC2019" s="349"/>
      <c r="IJD2019" s="349"/>
      <c r="IJE2019" s="349"/>
      <c r="IJF2019" s="349"/>
      <c r="IJG2019" s="349"/>
      <c r="IJH2019" s="349"/>
      <c r="IJI2019" s="349"/>
      <c r="IJJ2019" s="349"/>
      <c r="IJK2019" s="349"/>
      <c r="IJL2019" s="349"/>
      <c r="IJM2019" s="349"/>
      <c r="IJN2019" s="349"/>
      <c r="IJO2019" s="349"/>
      <c r="IJP2019" s="349"/>
      <c r="IJQ2019" s="349"/>
      <c r="IJR2019" s="349"/>
      <c r="IJS2019" s="349"/>
      <c r="IJT2019" s="349"/>
      <c r="IJU2019" s="349"/>
      <c r="IJV2019" s="349"/>
      <c r="IJW2019" s="349"/>
      <c r="IJX2019" s="349"/>
      <c r="IJY2019" s="349"/>
      <c r="IJZ2019" s="349"/>
      <c r="IKA2019" s="349"/>
      <c r="IKB2019" s="349"/>
      <c r="IKC2019" s="349"/>
      <c r="IKD2019" s="349"/>
      <c r="IKE2019" s="349"/>
      <c r="IKF2019" s="349"/>
      <c r="IKG2019" s="349"/>
      <c r="IKH2019" s="349"/>
      <c r="IKI2019" s="349"/>
      <c r="IKJ2019" s="349"/>
      <c r="IKK2019" s="349"/>
      <c r="IKL2019" s="349"/>
      <c r="IKM2019" s="349"/>
      <c r="IKN2019" s="349"/>
      <c r="IKO2019" s="349"/>
      <c r="IKP2019" s="349"/>
      <c r="IKQ2019" s="349"/>
      <c r="IKR2019" s="349"/>
      <c r="IKS2019" s="349"/>
      <c r="IKT2019" s="349"/>
      <c r="IKU2019" s="349"/>
      <c r="IKV2019" s="349"/>
      <c r="IKW2019" s="349"/>
      <c r="IKX2019" s="349"/>
      <c r="IKY2019" s="349"/>
      <c r="IKZ2019" s="349"/>
      <c r="ILA2019" s="349"/>
      <c r="ILB2019" s="349"/>
      <c r="ILC2019" s="349"/>
      <c r="ILD2019" s="349"/>
      <c r="ILE2019" s="349"/>
      <c r="ILF2019" s="349"/>
      <c r="ILG2019" s="349"/>
      <c r="ILH2019" s="349"/>
      <c r="ILI2019" s="349"/>
      <c r="ILJ2019" s="349"/>
      <c r="ILK2019" s="349"/>
      <c r="ILL2019" s="349"/>
      <c r="ILM2019" s="349"/>
      <c r="ILN2019" s="349"/>
      <c r="ILO2019" s="349"/>
      <c r="ILP2019" s="349"/>
      <c r="ILQ2019" s="349"/>
      <c r="ILR2019" s="349"/>
      <c r="ILS2019" s="349"/>
      <c r="ILT2019" s="349"/>
      <c r="ILU2019" s="349"/>
      <c r="ILV2019" s="349"/>
      <c r="ILW2019" s="349"/>
      <c r="ILX2019" s="349"/>
      <c r="ILY2019" s="349"/>
      <c r="ILZ2019" s="349"/>
      <c r="IMA2019" s="349"/>
      <c r="IMB2019" s="349"/>
      <c r="IMC2019" s="349"/>
      <c r="IMD2019" s="349"/>
      <c r="IME2019" s="349"/>
      <c r="IMF2019" s="349"/>
      <c r="IMG2019" s="349"/>
      <c r="IMH2019" s="349"/>
      <c r="IMI2019" s="349"/>
      <c r="IMJ2019" s="349"/>
      <c r="IMK2019" s="349"/>
      <c r="IML2019" s="349"/>
      <c r="IMM2019" s="349"/>
      <c r="IMN2019" s="349"/>
      <c r="IMO2019" s="349"/>
      <c r="IMP2019" s="349"/>
      <c r="IMQ2019" s="349"/>
      <c r="IMR2019" s="349"/>
      <c r="IMS2019" s="349"/>
      <c r="IMT2019" s="349"/>
      <c r="IMU2019" s="349"/>
      <c r="IMV2019" s="349"/>
      <c r="IMW2019" s="349"/>
      <c r="IMX2019" s="349"/>
      <c r="IMY2019" s="349"/>
      <c r="IMZ2019" s="349"/>
      <c r="INA2019" s="349"/>
      <c r="INB2019" s="349"/>
      <c r="INC2019" s="349"/>
      <c r="IND2019" s="349"/>
      <c r="INE2019" s="349"/>
      <c r="INF2019" s="349"/>
      <c r="ING2019" s="349"/>
      <c r="INH2019" s="349"/>
      <c r="INI2019" s="349"/>
      <c r="INJ2019" s="349"/>
      <c r="INK2019" s="349"/>
      <c r="INL2019" s="349"/>
      <c r="INM2019" s="349"/>
      <c r="INN2019" s="349"/>
      <c r="INO2019" s="349"/>
      <c r="INP2019" s="349"/>
      <c r="INQ2019" s="349"/>
      <c r="INR2019" s="349"/>
      <c r="INS2019" s="349"/>
      <c r="INT2019" s="349"/>
      <c r="INU2019" s="349"/>
      <c r="INV2019" s="349"/>
      <c r="INW2019" s="349"/>
      <c r="INX2019" s="349"/>
      <c r="INY2019" s="349"/>
      <c r="INZ2019" s="349"/>
      <c r="IOA2019" s="349"/>
      <c r="IOB2019" s="349"/>
      <c r="IOC2019" s="349"/>
      <c r="IOD2019" s="349"/>
      <c r="IOE2019" s="349"/>
      <c r="IOF2019" s="349"/>
      <c r="IOG2019" s="349"/>
      <c r="IOH2019" s="349"/>
      <c r="IOI2019" s="349"/>
      <c r="IOJ2019" s="349"/>
      <c r="IOK2019" s="349"/>
      <c r="IOL2019" s="349"/>
      <c r="IOM2019" s="349"/>
      <c r="ION2019" s="349"/>
      <c r="IOO2019" s="349"/>
      <c r="IOP2019" s="349"/>
      <c r="IOQ2019" s="349"/>
      <c r="IOR2019" s="349"/>
      <c r="IOS2019" s="349"/>
      <c r="IOT2019" s="349"/>
      <c r="IOU2019" s="349"/>
      <c r="IOV2019" s="349"/>
      <c r="IOW2019" s="349"/>
      <c r="IOX2019" s="349"/>
      <c r="IOY2019" s="349"/>
      <c r="IOZ2019" s="349"/>
      <c r="IPA2019" s="349"/>
      <c r="IPB2019" s="349"/>
      <c r="IPC2019" s="349"/>
      <c r="IPD2019" s="349"/>
      <c r="IPE2019" s="349"/>
      <c r="IPF2019" s="349"/>
      <c r="IPG2019" s="349"/>
      <c r="IPH2019" s="349"/>
      <c r="IPI2019" s="349"/>
      <c r="IPJ2019" s="349"/>
      <c r="IPK2019" s="349"/>
      <c r="IPL2019" s="349"/>
      <c r="IPM2019" s="349"/>
      <c r="IPN2019" s="349"/>
      <c r="IPO2019" s="349"/>
      <c r="IPP2019" s="349"/>
      <c r="IPQ2019" s="349"/>
      <c r="IPR2019" s="349"/>
      <c r="IPS2019" s="349"/>
      <c r="IPT2019" s="349"/>
      <c r="IPU2019" s="349"/>
      <c r="IPV2019" s="349"/>
      <c r="IPW2019" s="349"/>
      <c r="IPX2019" s="349"/>
      <c r="IPY2019" s="349"/>
      <c r="IPZ2019" s="349"/>
      <c r="IQA2019" s="349"/>
      <c r="IQB2019" s="349"/>
      <c r="IQC2019" s="349"/>
      <c r="IQD2019" s="349"/>
      <c r="IQE2019" s="349"/>
      <c r="IQF2019" s="349"/>
      <c r="IQG2019" s="349"/>
      <c r="IQH2019" s="349"/>
      <c r="IQI2019" s="349"/>
      <c r="IQJ2019" s="349"/>
      <c r="IQK2019" s="349"/>
      <c r="IQL2019" s="349"/>
      <c r="IQM2019" s="349"/>
      <c r="IQN2019" s="349"/>
      <c r="IQO2019" s="349"/>
      <c r="IQP2019" s="349"/>
      <c r="IQQ2019" s="349"/>
      <c r="IQR2019" s="349"/>
      <c r="IQS2019" s="349"/>
      <c r="IQT2019" s="349"/>
      <c r="IQU2019" s="349"/>
      <c r="IQV2019" s="349"/>
      <c r="IQW2019" s="349"/>
      <c r="IQX2019" s="349"/>
      <c r="IQY2019" s="349"/>
      <c r="IQZ2019" s="349"/>
      <c r="IRA2019" s="349"/>
      <c r="IRB2019" s="349"/>
      <c r="IRC2019" s="349"/>
      <c r="IRD2019" s="349"/>
      <c r="IRE2019" s="349"/>
      <c r="IRF2019" s="349"/>
      <c r="IRG2019" s="349"/>
      <c r="IRH2019" s="349"/>
      <c r="IRI2019" s="349"/>
      <c r="IRJ2019" s="349"/>
      <c r="IRK2019" s="349"/>
      <c r="IRL2019" s="349"/>
      <c r="IRM2019" s="349"/>
      <c r="IRN2019" s="349"/>
      <c r="IRO2019" s="349"/>
      <c r="IRP2019" s="349"/>
      <c r="IRQ2019" s="349"/>
      <c r="IRR2019" s="349"/>
      <c r="IRS2019" s="349"/>
      <c r="IRT2019" s="349"/>
      <c r="IRU2019" s="349"/>
      <c r="IRV2019" s="349"/>
      <c r="IRW2019" s="349"/>
      <c r="IRX2019" s="349"/>
      <c r="IRY2019" s="349"/>
      <c r="IRZ2019" s="349"/>
      <c r="ISA2019" s="349"/>
      <c r="ISB2019" s="349"/>
      <c r="ISC2019" s="349"/>
      <c r="ISD2019" s="349"/>
      <c r="ISE2019" s="349"/>
      <c r="ISF2019" s="349"/>
      <c r="ISG2019" s="349"/>
      <c r="ISH2019" s="349"/>
      <c r="ISI2019" s="349"/>
      <c r="ISJ2019" s="349"/>
      <c r="ISK2019" s="349"/>
      <c r="ISL2019" s="349"/>
      <c r="ISM2019" s="349"/>
      <c r="ISN2019" s="349"/>
      <c r="ISO2019" s="349"/>
      <c r="ISP2019" s="349"/>
      <c r="ISQ2019" s="349"/>
      <c r="ISR2019" s="349"/>
      <c r="ISS2019" s="349"/>
      <c r="IST2019" s="349"/>
      <c r="ISU2019" s="349"/>
      <c r="ISV2019" s="349"/>
      <c r="ISW2019" s="349"/>
      <c r="ISX2019" s="349"/>
      <c r="ISY2019" s="349"/>
      <c r="ISZ2019" s="349"/>
      <c r="ITA2019" s="349"/>
      <c r="ITB2019" s="349"/>
      <c r="ITC2019" s="349"/>
      <c r="ITD2019" s="349"/>
      <c r="ITE2019" s="349"/>
      <c r="ITF2019" s="349"/>
      <c r="ITG2019" s="349"/>
      <c r="ITH2019" s="349"/>
      <c r="ITI2019" s="349"/>
      <c r="ITJ2019" s="349"/>
      <c r="ITK2019" s="349"/>
      <c r="ITL2019" s="349"/>
      <c r="ITM2019" s="349"/>
      <c r="ITN2019" s="349"/>
      <c r="ITO2019" s="349"/>
      <c r="ITP2019" s="349"/>
      <c r="ITQ2019" s="349"/>
      <c r="ITR2019" s="349"/>
      <c r="ITS2019" s="349"/>
      <c r="ITT2019" s="349"/>
      <c r="ITU2019" s="349"/>
      <c r="ITV2019" s="349"/>
      <c r="ITW2019" s="349"/>
      <c r="ITX2019" s="349"/>
      <c r="ITY2019" s="349"/>
      <c r="ITZ2019" s="349"/>
      <c r="IUA2019" s="349"/>
      <c r="IUB2019" s="349"/>
      <c r="IUC2019" s="349"/>
      <c r="IUD2019" s="349"/>
      <c r="IUE2019" s="349"/>
      <c r="IUF2019" s="349"/>
      <c r="IUG2019" s="349"/>
      <c r="IUH2019" s="349"/>
      <c r="IUI2019" s="349"/>
      <c r="IUJ2019" s="349"/>
      <c r="IUK2019" s="349"/>
      <c r="IUL2019" s="349"/>
      <c r="IUM2019" s="349"/>
      <c r="IUN2019" s="349"/>
      <c r="IUO2019" s="349"/>
      <c r="IUP2019" s="349"/>
      <c r="IUQ2019" s="349"/>
      <c r="IUR2019" s="349"/>
      <c r="IUS2019" s="349"/>
      <c r="IUT2019" s="349"/>
      <c r="IUU2019" s="349"/>
      <c r="IUV2019" s="349"/>
      <c r="IUW2019" s="349"/>
      <c r="IUX2019" s="349"/>
      <c r="IUY2019" s="349"/>
      <c r="IUZ2019" s="349"/>
      <c r="IVA2019" s="349"/>
      <c r="IVB2019" s="349"/>
      <c r="IVC2019" s="349"/>
      <c r="IVD2019" s="349"/>
      <c r="IVE2019" s="349"/>
      <c r="IVF2019" s="349"/>
      <c r="IVG2019" s="349"/>
      <c r="IVH2019" s="349"/>
      <c r="IVI2019" s="349"/>
      <c r="IVJ2019" s="349"/>
      <c r="IVK2019" s="349"/>
      <c r="IVL2019" s="349"/>
      <c r="IVM2019" s="349"/>
      <c r="IVN2019" s="349"/>
      <c r="IVO2019" s="349"/>
      <c r="IVP2019" s="349"/>
      <c r="IVQ2019" s="349"/>
      <c r="IVR2019" s="349"/>
      <c r="IVS2019" s="349"/>
      <c r="IVT2019" s="349"/>
      <c r="IVU2019" s="349"/>
      <c r="IVV2019" s="349"/>
      <c r="IVW2019" s="349"/>
      <c r="IVX2019" s="349"/>
      <c r="IVY2019" s="349"/>
      <c r="IVZ2019" s="349"/>
      <c r="IWA2019" s="349"/>
      <c r="IWB2019" s="349"/>
      <c r="IWC2019" s="349"/>
      <c r="IWD2019" s="349"/>
      <c r="IWE2019" s="349"/>
      <c r="IWF2019" s="349"/>
      <c r="IWG2019" s="349"/>
      <c r="IWH2019" s="349"/>
      <c r="IWI2019" s="349"/>
      <c r="IWJ2019" s="349"/>
      <c r="IWK2019" s="349"/>
      <c r="IWL2019" s="349"/>
      <c r="IWM2019" s="349"/>
      <c r="IWN2019" s="349"/>
      <c r="IWO2019" s="349"/>
      <c r="IWP2019" s="349"/>
      <c r="IWQ2019" s="349"/>
      <c r="IWR2019" s="349"/>
      <c r="IWS2019" s="349"/>
      <c r="IWT2019" s="349"/>
      <c r="IWU2019" s="349"/>
      <c r="IWV2019" s="349"/>
      <c r="IWW2019" s="349"/>
      <c r="IWX2019" s="349"/>
      <c r="IWY2019" s="349"/>
      <c r="IWZ2019" s="349"/>
      <c r="IXA2019" s="349"/>
      <c r="IXB2019" s="349"/>
      <c r="IXC2019" s="349"/>
      <c r="IXD2019" s="349"/>
      <c r="IXE2019" s="349"/>
      <c r="IXF2019" s="349"/>
      <c r="IXG2019" s="349"/>
      <c r="IXH2019" s="349"/>
      <c r="IXI2019" s="349"/>
      <c r="IXJ2019" s="349"/>
      <c r="IXK2019" s="349"/>
      <c r="IXL2019" s="349"/>
      <c r="IXM2019" s="349"/>
      <c r="IXN2019" s="349"/>
      <c r="IXO2019" s="349"/>
      <c r="IXP2019" s="349"/>
      <c r="IXQ2019" s="349"/>
      <c r="IXR2019" s="349"/>
      <c r="IXS2019" s="349"/>
      <c r="IXT2019" s="349"/>
      <c r="IXU2019" s="349"/>
      <c r="IXV2019" s="349"/>
      <c r="IXW2019" s="349"/>
      <c r="IXX2019" s="349"/>
      <c r="IXY2019" s="349"/>
      <c r="IXZ2019" s="349"/>
      <c r="IYA2019" s="349"/>
      <c r="IYB2019" s="349"/>
      <c r="IYC2019" s="349"/>
      <c r="IYD2019" s="349"/>
      <c r="IYE2019" s="349"/>
      <c r="IYF2019" s="349"/>
      <c r="IYG2019" s="349"/>
      <c r="IYH2019" s="349"/>
      <c r="IYI2019" s="349"/>
      <c r="IYJ2019" s="349"/>
      <c r="IYK2019" s="349"/>
      <c r="IYL2019" s="349"/>
      <c r="IYM2019" s="349"/>
      <c r="IYN2019" s="349"/>
      <c r="IYO2019" s="349"/>
      <c r="IYP2019" s="349"/>
      <c r="IYQ2019" s="349"/>
      <c r="IYR2019" s="349"/>
      <c r="IYS2019" s="349"/>
      <c r="IYT2019" s="349"/>
      <c r="IYU2019" s="349"/>
      <c r="IYV2019" s="349"/>
      <c r="IYW2019" s="349"/>
      <c r="IYX2019" s="349"/>
      <c r="IYY2019" s="349"/>
      <c r="IYZ2019" s="349"/>
      <c r="IZA2019" s="349"/>
      <c r="IZB2019" s="349"/>
      <c r="IZC2019" s="349"/>
      <c r="IZD2019" s="349"/>
      <c r="IZE2019" s="349"/>
      <c r="IZF2019" s="349"/>
      <c r="IZG2019" s="349"/>
      <c r="IZH2019" s="349"/>
      <c r="IZI2019" s="349"/>
      <c r="IZJ2019" s="349"/>
      <c r="IZK2019" s="349"/>
      <c r="IZL2019" s="349"/>
      <c r="IZM2019" s="349"/>
      <c r="IZN2019" s="349"/>
      <c r="IZO2019" s="349"/>
      <c r="IZP2019" s="349"/>
      <c r="IZQ2019" s="349"/>
      <c r="IZR2019" s="349"/>
      <c r="IZS2019" s="349"/>
      <c r="IZT2019" s="349"/>
      <c r="IZU2019" s="349"/>
      <c r="IZV2019" s="349"/>
      <c r="IZW2019" s="349"/>
      <c r="IZX2019" s="349"/>
      <c r="IZY2019" s="349"/>
      <c r="IZZ2019" s="349"/>
      <c r="JAA2019" s="349"/>
      <c r="JAB2019" s="349"/>
      <c r="JAC2019" s="349"/>
      <c r="JAD2019" s="349"/>
      <c r="JAE2019" s="349"/>
      <c r="JAF2019" s="349"/>
      <c r="JAG2019" s="349"/>
      <c r="JAH2019" s="349"/>
      <c r="JAI2019" s="349"/>
      <c r="JAJ2019" s="349"/>
      <c r="JAK2019" s="349"/>
      <c r="JAL2019" s="349"/>
      <c r="JAM2019" s="349"/>
      <c r="JAN2019" s="349"/>
      <c r="JAO2019" s="349"/>
      <c r="JAP2019" s="349"/>
      <c r="JAQ2019" s="349"/>
      <c r="JAR2019" s="349"/>
      <c r="JAS2019" s="349"/>
      <c r="JAT2019" s="349"/>
      <c r="JAU2019" s="349"/>
      <c r="JAV2019" s="349"/>
      <c r="JAW2019" s="349"/>
      <c r="JAX2019" s="349"/>
      <c r="JAY2019" s="349"/>
      <c r="JAZ2019" s="349"/>
      <c r="JBA2019" s="349"/>
      <c r="JBB2019" s="349"/>
      <c r="JBC2019" s="349"/>
      <c r="JBD2019" s="349"/>
      <c r="JBE2019" s="349"/>
      <c r="JBF2019" s="349"/>
      <c r="JBG2019" s="349"/>
      <c r="JBH2019" s="349"/>
      <c r="JBI2019" s="349"/>
      <c r="JBJ2019" s="349"/>
      <c r="JBK2019" s="349"/>
      <c r="JBL2019" s="349"/>
      <c r="JBM2019" s="349"/>
      <c r="JBN2019" s="349"/>
      <c r="JBO2019" s="349"/>
      <c r="JBP2019" s="349"/>
      <c r="JBQ2019" s="349"/>
      <c r="JBR2019" s="349"/>
      <c r="JBS2019" s="349"/>
      <c r="JBT2019" s="349"/>
      <c r="JBU2019" s="349"/>
      <c r="JBV2019" s="349"/>
      <c r="JBW2019" s="349"/>
      <c r="JBX2019" s="349"/>
      <c r="JBY2019" s="349"/>
      <c r="JBZ2019" s="349"/>
      <c r="JCA2019" s="349"/>
      <c r="JCB2019" s="349"/>
      <c r="JCC2019" s="349"/>
      <c r="JCD2019" s="349"/>
      <c r="JCE2019" s="349"/>
      <c r="JCF2019" s="349"/>
      <c r="JCG2019" s="349"/>
      <c r="JCH2019" s="349"/>
      <c r="JCI2019" s="349"/>
      <c r="JCJ2019" s="349"/>
      <c r="JCK2019" s="349"/>
      <c r="JCL2019" s="349"/>
      <c r="JCM2019" s="349"/>
      <c r="JCN2019" s="349"/>
      <c r="JCO2019" s="349"/>
      <c r="JCP2019" s="349"/>
      <c r="JCQ2019" s="349"/>
      <c r="JCR2019" s="349"/>
      <c r="JCS2019" s="349"/>
      <c r="JCT2019" s="349"/>
      <c r="JCU2019" s="349"/>
      <c r="JCV2019" s="349"/>
      <c r="JCW2019" s="349"/>
      <c r="JCX2019" s="349"/>
      <c r="JCY2019" s="349"/>
      <c r="JCZ2019" s="349"/>
      <c r="JDA2019" s="349"/>
      <c r="JDB2019" s="349"/>
      <c r="JDC2019" s="349"/>
      <c r="JDD2019" s="349"/>
      <c r="JDE2019" s="349"/>
      <c r="JDF2019" s="349"/>
      <c r="JDG2019" s="349"/>
      <c r="JDH2019" s="349"/>
      <c r="JDI2019" s="349"/>
      <c r="JDJ2019" s="349"/>
      <c r="JDK2019" s="349"/>
      <c r="JDL2019" s="349"/>
      <c r="JDM2019" s="349"/>
      <c r="JDN2019" s="349"/>
      <c r="JDO2019" s="349"/>
      <c r="JDP2019" s="349"/>
      <c r="JDQ2019" s="349"/>
      <c r="JDR2019" s="349"/>
      <c r="JDS2019" s="349"/>
      <c r="JDT2019" s="349"/>
      <c r="JDU2019" s="349"/>
      <c r="JDV2019" s="349"/>
      <c r="JDW2019" s="349"/>
      <c r="JDX2019" s="349"/>
      <c r="JDY2019" s="349"/>
      <c r="JDZ2019" s="349"/>
      <c r="JEA2019" s="349"/>
      <c r="JEB2019" s="349"/>
      <c r="JEC2019" s="349"/>
      <c r="JED2019" s="349"/>
      <c r="JEE2019" s="349"/>
      <c r="JEF2019" s="349"/>
      <c r="JEG2019" s="349"/>
      <c r="JEH2019" s="349"/>
      <c r="JEI2019" s="349"/>
      <c r="JEJ2019" s="349"/>
      <c r="JEK2019" s="349"/>
      <c r="JEL2019" s="349"/>
      <c r="JEM2019" s="349"/>
      <c r="JEN2019" s="349"/>
      <c r="JEO2019" s="349"/>
      <c r="JEP2019" s="349"/>
      <c r="JEQ2019" s="349"/>
      <c r="JER2019" s="349"/>
      <c r="JES2019" s="349"/>
      <c r="JET2019" s="349"/>
      <c r="JEU2019" s="349"/>
      <c r="JEV2019" s="349"/>
      <c r="JEW2019" s="349"/>
      <c r="JEX2019" s="349"/>
      <c r="JEY2019" s="349"/>
      <c r="JEZ2019" s="349"/>
      <c r="JFA2019" s="349"/>
      <c r="JFB2019" s="349"/>
      <c r="JFC2019" s="349"/>
      <c r="JFD2019" s="349"/>
      <c r="JFE2019" s="349"/>
      <c r="JFF2019" s="349"/>
      <c r="JFG2019" s="349"/>
      <c r="JFH2019" s="349"/>
      <c r="JFI2019" s="349"/>
      <c r="JFJ2019" s="349"/>
      <c r="JFK2019" s="349"/>
      <c r="JFL2019" s="349"/>
      <c r="JFM2019" s="349"/>
      <c r="JFN2019" s="349"/>
      <c r="JFO2019" s="349"/>
      <c r="JFP2019" s="349"/>
      <c r="JFQ2019" s="349"/>
      <c r="JFR2019" s="349"/>
      <c r="JFS2019" s="349"/>
      <c r="JFT2019" s="349"/>
      <c r="JFU2019" s="349"/>
      <c r="JFV2019" s="349"/>
      <c r="JFW2019" s="349"/>
      <c r="JFX2019" s="349"/>
      <c r="JFY2019" s="349"/>
      <c r="JFZ2019" s="349"/>
      <c r="JGA2019" s="349"/>
      <c r="JGB2019" s="349"/>
      <c r="JGC2019" s="349"/>
      <c r="JGD2019" s="349"/>
      <c r="JGE2019" s="349"/>
      <c r="JGF2019" s="349"/>
      <c r="JGG2019" s="349"/>
      <c r="JGH2019" s="349"/>
      <c r="JGI2019" s="349"/>
      <c r="JGJ2019" s="349"/>
      <c r="JGK2019" s="349"/>
      <c r="JGL2019" s="349"/>
      <c r="JGM2019" s="349"/>
      <c r="JGN2019" s="349"/>
      <c r="JGO2019" s="349"/>
      <c r="JGP2019" s="349"/>
      <c r="JGQ2019" s="349"/>
      <c r="JGR2019" s="349"/>
      <c r="JGS2019" s="349"/>
      <c r="JGT2019" s="349"/>
      <c r="JGU2019" s="349"/>
      <c r="JGV2019" s="349"/>
      <c r="JGW2019" s="349"/>
      <c r="JGX2019" s="349"/>
      <c r="JGY2019" s="349"/>
      <c r="JGZ2019" s="349"/>
      <c r="JHA2019" s="349"/>
      <c r="JHB2019" s="349"/>
      <c r="JHC2019" s="349"/>
      <c r="JHD2019" s="349"/>
      <c r="JHE2019" s="349"/>
      <c r="JHF2019" s="349"/>
      <c r="JHG2019" s="349"/>
      <c r="JHH2019" s="349"/>
      <c r="JHI2019" s="349"/>
      <c r="JHJ2019" s="349"/>
      <c r="JHK2019" s="349"/>
      <c r="JHL2019" s="349"/>
      <c r="JHM2019" s="349"/>
      <c r="JHN2019" s="349"/>
      <c r="JHO2019" s="349"/>
      <c r="JHP2019" s="349"/>
      <c r="JHQ2019" s="349"/>
      <c r="JHR2019" s="349"/>
      <c r="JHS2019" s="349"/>
      <c r="JHT2019" s="349"/>
      <c r="JHU2019" s="349"/>
      <c r="JHV2019" s="349"/>
      <c r="JHW2019" s="349"/>
      <c r="JHX2019" s="349"/>
      <c r="JHY2019" s="349"/>
      <c r="JHZ2019" s="349"/>
      <c r="JIA2019" s="349"/>
      <c r="JIB2019" s="349"/>
      <c r="JIC2019" s="349"/>
      <c r="JID2019" s="349"/>
      <c r="JIE2019" s="349"/>
      <c r="JIF2019" s="349"/>
      <c r="JIG2019" s="349"/>
      <c r="JIH2019" s="349"/>
      <c r="JII2019" s="349"/>
      <c r="JIJ2019" s="349"/>
      <c r="JIK2019" s="349"/>
      <c r="JIL2019" s="349"/>
      <c r="JIM2019" s="349"/>
      <c r="JIN2019" s="349"/>
      <c r="JIO2019" s="349"/>
      <c r="JIP2019" s="349"/>
      <c r="JIQ2019" s="349"/>
      <c r="JIR2019" s="349"/>
      <c r="JIS2019" s="349"/>
      <c r="JIT2019" s="349"/>
      <c r="JIU2019" s="349"/>
      <c r="JIV2019" s="349"/>
      <c r="JIW2019" s="349"/>
      <c r="JIX2019" s="349"/>
      <c r="JIY2019" s="349"/>
      <c r="JIZ2019" s="349"/>
      <c r="JJA2019" s="349"/>
      <c r="JJB2019" s="349"/>
      <c r="JJC2019" s="349"/>
      <c r="JJD2019" s="349"/>
      <c r="JJE2019" s="349"/>
      <c r="JJF2019" s="349"/>
      <c r="JJG2019" s="349"/>
      <c r="JJH2019" s="349"/>
      <c r="JJI2019" s="349"/>
      <c r="JJJ2019" s="349"/>
      <c r="JJK2019" s="349"/>
      <c r="JJL2019" s="349"/>
      <c r="JJM2019" s="349"/>
      <c r="JJN2019" s="349"/>
      <c r="JJO2019" s="349"/>
      <c r="JJP2019" s="349"/>
      <c r="JJQ2019" s="349"/>
      <c r="JJR2019" s="349"/>
      <c r="JJS2019" s="349"/>
      <c r="JJT2019" s="349"/>
      <c r="JJU2019" s="349"/>
      <c r="JJV2019" s="349"/>
      <c r="JJW2019" s="349"/>
      <c r="JJX2019" s="349"/>
      <c r="JJY2019" s="349"/>
      <c r="JJZ2019" s="349"/>
      <c r="JKA2019" s="349"/>
      <c r="JKB2019" s="349"/>
      <c r="JKC2019" s="349"/>
      <c r="JKD2019" s="349"/>
      <c r="JKE2019" s="349"/>
      <c r="JKF2019" s="349"/>
      <c r="JKG2019" s="349"/>
      <c r="JKH2019" s="349"/>
      <c r="JKI2019" s="349"/>
      <c r="JKJ2019" s="349"/>
      <c r="JKK2019" s="349"/>
      <c r="JKL2019" s="349"/>
      <c r="JKM2019" s="349"/>
      <c r="JKN2019" s="349"/>
      <c r="JKO2019" s="349"/>
      <c r="JKP2019" s="349"/>
      <c r="JKQ2019" s="349"/>
      <c r="JKR2019" s="349"/>
      <c r="JKS2019" s="349"/>
      <c r="JKT2019" s="349"/>
      <c r="JKU2019" s="349"/>
      <c r="JKV2019" s="349"/>
      <c r="JKW2019" s="349"/>
      <c r="JKX2019" s="349"/>
      <c r="JKY2019" s="349"/>
      <c r="JKZ2019" s="349"/>
      <c r="JLA2019" s="349"/>
      <c r="JLB2019" s="349"/>
      <c r="JLC2019" s="349"/>
      <c r="JLD2019" s="349"/>
      <c r="JLE2019" s="349"/>
      <c r="JLF2019" s="349"/>
      <c r="JLG2019" s="349"/>
      <c r="JLH2019" s="349"/>
      <c r="JLI2019" s="349"/>
      <c r="JLJ2019" s="349"/>
      <c r="JLK2019" s="349"/>
      <c r="JLL2019" s="349"/>
      <c r="JLM2019" s="349"/>
      <c r="JLN2019" s="349"/>
      <c r="JLO2019" s="349"/>
      <c r="JLP2019" s="349"/>
      <c r="JLQ2019" s="349"/>
      <c r="JLR2019" s="349"/>
      <c r="JLS2019" s="349"/>
      <c r="JLT2019" s="349"/>
      <c r="JLU2019" s="349"/>
      <c r="JLV2019" s="349"/>
      <c r="JLW2019" s="349"/>
      <c r="JLX2019" s="349"/>
      <c r="JLY2019" s="349"/>
      <c r="JLZ2019" s="349"/>
      <c r="JMA2019" s="349"/>
      <c r="JMB2019" s="349"/>
      <c r="JMC2019" s="349"/>
      <c r="JMD2019" s="349"/>
      <c r="JME2019" s="349"/>
      <c r="JMF2019" s="349"/>
      <c r="JMG2019" s="349"/>
      <c r="JMH2019" s="349"/>
      <c r="JMI2019" s="349"/>
      <c r="JMJ2019" s="349"/>
      <c r="JMK2019" s="349"/>
      <c r="JML2019" s="349"/>
      <c r="JMM2019" s="349"/>
      <c r="JMN2019" s="349"/>
      <c r="JMO2019" s="349"/>
      <c r="JMP2019" s="349"/>
      <c r="JMQ2019" s="349"/>
      <c r="JMR2019" s="349"/>
      <c r="JMS2019" s="349"/>
      <c r="JMT2019" s="349"/>
      <c r="JMU2019" s="349"/>
      <c r="JMV2019" s="349"/>
      <c r="JMW2019" s="349"/>
      <c r="JMX2019" s="349"/>
      <c r="JMY2019" s="349"/>
      <c r="JMZ2019" s="349"/>
      <c r="JNA2019" s="349"/>
      <c r="JNB2019" s="349"/>
      <c r="JNC2019" s="349"/>
      <c r="JND2019" s="349"/>
      <c r="JNE2019" s="349"/>
      <c r="JNF2019" s="349"/>
      <c r="JNG2019" s="349"/>
      <c r="JNH2019" s="349"/>
      <c r="JNI2019" s="349"/>
      <c r="JNJ2019" s="349"/>
      <c r="JNK2019" s="349"/>
      <c r="JNL2019" s="349"/>
      <c r="JNM2019" s="349"/>
      <c r="JNN2019" s="349"/>
      <c r="JNO2019" s="349"/>
      <c r="JNP2019" s="349"/>
      <c r="JNQ2019" s="349"/>
      <c r="JNR2019" s="349"/>
      <c r="JNS2019" s="349"/>
      <c r="JNT2019" s="349"/>
      <c r="JNU2019" s="349"/>
      <c r="JNV2019" s="349"/>
      <c r="JNW2019" s="349"/>
      <c r="JNX2019" s="349"/>
      <c r="JNY2019" s="349"/>
      <c r="JNZ2019" s="349"/>
      <c r="JOA2019" s="349"/>
      <c r="JOB2019" s="349"/>
      <c r="JOC2019" s="349"/>
      <c r="JOD2019" s="349"/>
      <c r="JOE2019" s="349"/>
      <c r="JOF2019" s="349"/>
      <c r="JOG2019" s="349"/>
      <c r="JOH2019" s="349"/>
      <c r="JOI2019" s="349"/>
      <c r="JOJ2019" s="349"/>
      <c r="JOK2019" s="349"/>
      <c r="JOL2019" s="349"/>
      <c r="JOM2019" s="349"/>
      <c r="JON2019" s="349"/>
      <c r="JOO2019" s="349"/>
      <c r="JOP2019" s="349"/>
      <c r="JOQ2019" s="349"/>
      <c r="JOR2019" s="349"/>
      <c r="JOS2019" s="349"/>
      <c r="JOT2019" s="349"/>
      <c r="JOU2019" s="349"/>
      <c r="JOV2019" s="349"/>
      <c r="JOW2019" s="349"/>
      <c r="JOX2019" s="349"/>
      <c r="JOY2019" s="349"/>
      <c r="JOZ2019" s="349"/>
      <c r="JPA2019" s="349"/>
      <c r="JPB2019" s="349"/>
      <c r="JPC2019" s="349"/>
      <c r="JPD2019" s="349"/>
      <c r="JPE2019" s="349"/>
      <c r="JPF2019" s="349"/>
      <c r="JPG2019" s="349"/>
      <c r="JPH2019" s="349"/>
      <c r="JPI2019" s="349"/>
      <c r="JPJ2019" s="349"/>
      <c r="JPK2019" s="349"/>
      <c r="JPL2019" s="349"/>
      <c r="JPM2019" s="349"/>
      <c r="JPN2019" s="349"/>
      <c r="JPO2019" s="349"/>
      <c r="JPP2019" s="349"/>
      <c r="JPQ2019" s="349"/>
      <c r="JPR2019" s="349"/>
      <c r="JPS2019" s="349"/>
      <c r="JPT2019" s="349"/>
      <c r="JPU2019" s="349"/>
      <c r="JPV2019" s="349"/>
      <c r="JPW2019" s="349"/>
      <c r="JPX2019" s="349"/>
      <c r="JPY2019" s="349"/>
      <c r="JPZ2019" s="349"/>
      <c r="JQA2019" s="349"/>
      <c r="JQB2019" s="349"/>
      <c r="JQC2019" s="349"/>
      <c r="JQD2019" s="349"/>
      <c r="JQE2019" s="349"/>
      <c r="JQF2019" s="349"/>
      <c r="JQG2019" s="349"/>
      <c r="JQH2019" s="349"/>
      <c r="JQI2019" s="349"/>
      <c r="JQJ2019" s="349"/>
      <c r="JQK2019" s="349"/>
      <c r="JQL2019" s="349"/>
      <c r="JQM2019" s="349"/>
      <c r="JQN2019" s="349"/>
      <c r="JQO2019" s="349"/>
      <c r="JQP2019" s="349"/>
      <c r="JQQ2019" s="349"/>
      <c r="JQR2019" s="349"/>
      <c r="JQS2019" s="349"/>
      <c r="JQT2019" s="349"/>
      <c r="JQU2019" s="349"/>
      <c r="JQV2019" s="349"/>
      <c r="JQW2019" s="349"/>
      <c r="JQX2019" s="349"/>
      <c r="JQY2019" s="349"/>
      <c r="JQZ2019" s="349"/>
      <c r="JRA2019" s="349"/>
      <c r="JRB2019" s="349"/>
      <c r="JRC2019" s="349"/>
      <c r="JRD2019" s="349"/>
      <c r="JRE2019" s="349"/>
      <c r="JRF2019" s="349"/>
      <c r="JRG2019" s="349"/>
      <c r="JRH2019" s="349"/>
      <c r="JRI2019" s="349"/>
      <c r="JRJ2019" s="349"/>
      <c r="JRK2019" s="349"/>
      <c r="JRL2019" s="349"/>
      <c r="JRM2019" s="349"/>
      <c r="JRN2019" s="349"/>
      <c r="JRO2019" s="349"/>
      <c r="JRP2019" s="349"/>
      <c r="JRQ2019" s="349"/>
      <c r="JRR2019" s="349"/>
      <c r="JRS2019" s="349"/>
      <c r="JRT2019" s="349"/>
      <c r="JRU2019" s="349"/>
      <c r="JRV2019" s="349"/>
      <c r="JRW2019" s="349"/>
      <c r="JRX2019" s="349"/>
      <c r="JRY2019" s="349"/>
      <c r="JRZ2019" s="349"/>
      <c r="JSA2019" s="349"/>
      <c r="JSB2019" s="349"/>
      <c r="JSC2019" s="349"/>
      <c r="JSD2019" s="349"/>
      <c r="JSE2019" s="349"/>
      <c r="JSF2019" s="349"/>
      <c r="JSG2019" s="349"/>
      <c r="JSH2019" s="349"/>
      <c r="JSI2019" s="349"/>
      <c r="JSJ2019" s="349"/>
      <c r="JSK2019" s="349"/>
      <c r="JSL2019" s="349"/>
      <c r="JSM2019" s="349"/>
      <c r="JSN2019" s="349"/>
      <c r="JSO2019" s="349"/>
      <c r="JSP2019" s="349"/>
      <c r="JSQ2019" s="349"/>
      <c r="JSR2019" s="349"/>
      <c r="JSS2019" s="349"/>
      <c r="JST2019" s="349"/>
      <c r="JSU2019" s="349"/>
      <c r="JSV2019" s="349"/>
      <c r="JSW2019" s="349"/>
      <c r="JSX2019" s="349"/>
      <c r="JSY2019" s="349"/>
      <c r="JSZ2019" s="349"/>
      <c r="JTA2019" s="349"/>
      <c r="JTB2019" s="349"/>
      <c r="JTC2019" s="349"/>
      <c r="JTD2019" s="349"/>
      <c r="JTE2019" s="349"/>
      <c r="JTF2019" s="349"/>
      <c r="JTG2019" s="349"/>
      <c r="JTH2019" s="349"/>
      <c r="JTI2019" s="349"/>
      <c r="JTJ2019" s="349"/>
      <c r="JTK2019" s="349"/>
      <c r="JTL2019" s="349"/>
      <c r="JTM2019" s="349"/>
      <c r="JTN2019" s="349"/>
      <c r="JTO2019" s="349"/>
      <c r="JTP2019" s="349"/>
      <c r="JTQ2019" s="349"/>
      <c r="JTR2019" s="349"/>
      <c r="JTS2019" s="349"/>
      <c r="JTT2019" s="349"/>
      <c r="JTU2019" s="349"/>
      <c r="JTV2019" s="349"/>
      <c r="JTW2019" s="349"/>
      <c r="JTX2019" s="349"/>
      <c r="JTY2019" s="349"/>
      <c r="JTZ2019" s="349"/>
      <c r="JUA2019" s="349"/>
      <c r="JUB2019" s="349"/>
      <c r="JUC2019" s="349"/>
      <c r="JUD2019" s="349"/>
      <c r="JUE2019" s="349"/>
      <c r="JUF2019" s="349"/>
      <c r="JUG2019" s="349"/>
      <c r="JUH2019" s="349"/>
      <c r="JUI2019" s="349"/>
      <c r="JUJ2019" s="349"/>
      <c r="JUK2019" s="349"/>
      <c r="JUL2019" s="349"/>
      <c r="JUM2019" s="349"/>
      <c r="JUN2019" s="349"/>
      <c r="JUO2019" s="349"/>
      <c r="JUP2019" s="349"/>
      <c r="JUQ2019" s="349"/>
      <c r="JUR2019" s="349"/>
      <c r="JUS2019" s="349"/>
      <c r="JUT2019" s="349"/>
      <c r="JUU2019" s="349"/>
      <c r="JUV2019" s="349"/>
      <c r="JUW2019" s="349"/>
      <c r="JUX2019" s="349"/>
      <c r="JUY2019" s="349"/>
      <c r="JUZ2019" s="349"/>
      <c r="JVA2019" s="349"/>
      <c r="JVB2019" s="349"/>
      <c r="JVC2019" s="349"/>
      <c r="JVD2019" s="349"/>
      <c r="JVE2019" s="349"/>
      <c r="JVF2019" s="349"/>
      <c r="JVG2019" s="349"/>
      <c r="JVH2019" s="349"/>
      <c r="JVI2019" s="349"/>
      <c r="JVJ2019" s="349"/>
      <c r="JVK2019" s="349"/>
      <c r="JVL2019" s="349"/>
      <c r="JVM2019" s="349"/>
      <c r="JVN2019" s="349"/>
      <c r="JVO2019" s="349"/>
      <c r="JVP2019" s="349"/>
      <c r="JVQ2019" s="349"/>
      <c r="JVR2019" s="349"/>
      <c r="JVS2019" s="349"/>
      <c r="JVT2019" s="349"/>
      <c r="JVU2019" s="349"/>
      <c r="JVV2019" s="349"/>
      <c r="JVW2019" s="349"/>
      <c r="JVX2019" s="349"/>
      <c r="JVY2019" s="349"/>
      <c r="JVZ2019" s="349"/>
      <c r="JWA2019" s="349"/>
      <c r="JWB2019" s="349"/>
      <c r="JWC2019" s="349"/>
      <c r="JWD2019" s="349"/>
      <c r="JWE2019" s="349"/>
      <c r="JWF2019" s="349"/>
      <c r="JWG2019" s="349"/>
      <c r="JWH2019" s="349"/>
      <c r="JWI2019" s="349"/>
      <c r="JWJ2019" s="349"/>
      <c r="JWK2019" s="349"/>
      <c r="JWL2019" s="349"/>
      <c r="JWM2019" s="349"/>
      <c r="JWN2019" s="349"/>
      <c r="JWO2019" s="349"/>
      <c r="JWP2019" s="349"/>
      <c r="JWQ2019" s="349"/>
      <c r="JWR2019" s="349"/>
      <c r="JWS2019" s="349"/>
      <c r="JWT2019" s="349"/>
      <c r="JWU2019" s="349"/>
      <c r="JWV2019" s="349"/>
      <c r="JWW2019" s="349"/>
      <c r="JWX2019" s="349"/>
      <c r="JWY2019" s="349"/>
      <c r="JWZ2019" s="349"/>
      <c r="JXA2019" s="349"/>
      <c r="JXB2019" s="349"/>
      <c r="JXC2019" s="349"/>
      <c r="JXD2019" s="349"/>
      <c r="JXE2019" s="349"/>
      <c r="JXF2019" s="349"/>
      <c r="JXG2019" s="349"/>
      <c r="JXH2019" s="349"/>
      <c r="JXI2019" s="349"/>
      <c r="JXJ2019" s="349"/>
      <c r="JXK2019" s="349"/>
      <c r="JXL2019" s="349"/>
      <c r="JXM2019" s="349"/>
      <c r="JXN2019" s="349"/>
      <c r="JXO2019" s="349"/>
      <c r="JXP2019" s="349"/>
      <c r="JXQ2019" s="349"/>
      <c r="JXR2019" s="349"/>
      <c r="JXS2019" s="349"/>
      <c r="JXT2019" s="349"/>
      <c r="JXU2019" s="349"/>
      <c r="JXV2019" s="349"/>
      <c r="JXW2019" s="349"/>
      <c r="JXX2019" s="349"/>
      <c r="JXY2019" s="349"/>
      <c r="JXZ2019" s="349"/>
      <c r="JYA2019" s="349"/>
      <c r="JYB2019" s="349"/>
      <c r="JYC2019" s="349"/>
      <c r="JYD2019" s="349"/>
      <c r="JYE2019" s="349"/>
      <c r="JYF2019" s="349"/>
      <c r="JYG2019" s="349"/>
      <c r="JYH2019" s="349"/>
      <c r="JYI2019" s="349"/>
      <c r="JYJ2019" s="349"/>
      <c r="JYK2019" s="349"/>
      <c r="JYL2019" s="349"/>
      <c r="JYM2019" s="349"/>
      <c r="JYN2019" s="349"/>
      <c r="JYO2019" s="349"/>
      <c r="JYP2019" s="349"/>
      <c r="JYQ2019" s="349"/>
      <c r="JYR2019" s="349"/>
      <c r="JYS2019" s="349"/>
      <c r="JYT2019" s="349"/>
      <c r="JYU2019" s="349"/>
      <c r="JYV2019" s="349"/>
      <c r="JYW2019" s="349"/>
      <c r="JYX2019" s="349"/>
      <c r="JYY2019" s="349"/>
      <c r="JYZ2019" s="349"/>
      <c r="JZA2019" s="349"/>
      <c r="JZB2019" s="349"/>
      <c r="JZC2019" s="349"/>
      <c r="JZD2019" s="349"/>
      <c r="JZE2019" s="349"/>
      <c r="JZF2019" s="349"/>
      <c r="JZG2019" s="349"/>
      <c r="JZH2019" s="349"/>
      <c r="JZI2019" s="349"/>
      <c r="JZJ2019" s="349"/>
      <c r="JZK2019" s="349"/>
      <c r="JZL2019" s="349"/>
      <c r="JZM2019" s="349"/>
      <c r="JZN2019" s="349"/>
      <c r="JZO2019" s="349"/>
      <c r="JZP2019" s="349"/>
      <c r="JZQ2019" s="349"/>
      <c r="JZR2019" s="349"/>
      <c r="JZS2019" s="349"/>
      <c r="JZT2019" s="349"/>
      <c r="JZU2019" s="349"/>
      <c r="JZV2019" s="349"/>
      <c r="JZW2019" s="349"/>
      <c r="JZX2019" s="349"/>
      <c r="JZY2019" s="349"/>
      <c r="JZZ2019" s="349"/>
      <c r="KAA2019" s="349"/>
      <c r="KAB2019" s="349"/>
      <c r="KAC2019" s="349"/>
      <c r="KAD2019" s="349"/>
      <c r="KAE2019" s="349"/>
      <c r="KAF2019" s="349"/>
      <c r="KAG2019" s="349"/>
      <c r="KAH2019" s="349"/>
      <c r="KAI2019" s="349"/>
      <c r="KAJ2019" s="349"/>
      <c r="KAK2019" s="349"/>
      <c r="KAL2019" s="349"/>
      <c r="KAM2019" s="349"/>
      <c r="KAN2019" s="349"/>
      <c r="KAO2019" s="349"/>
      <c r="KAP2019" s="349"/>
      <c r="KAQ2019" s="349"/>
      <c r="KAR2019" s="349"/>
      <c r="KAS2019" s="349"/>
      <c r="KAT2019" s="349"/>
      <c r="KAU2019" s="349"/>
      <c r="KAV2019" s="349"/>
      <c r="KAW2019" s="349"/>
      <c r="KAX2019" s="349"/>
      <c r="KAY2019" s="349"/>
      <c r="KAZ2019" s="349"/>
      <c r="KBA2019" s="349"/>
      <c r="KBB2019" s="349"/>
      <c r="KBC2019" s="349"/>
      <c r="KBD2019" s="349"/>
      <c r="KBE2019" s="349"/>
      <c r="KBF2019" s="349"/>
      <c r="KBG2019" s="349"/>
      <c r="KBH2019" s="349"/>
      <c r="KBI2019" s="349"/>
      <c r="KBJ2019" s="349"/>
      <c r="KBK2019" s="349"/>
      <c r="KBL2019" s="349"/>
      <c r="KBM2019" s="349"/>
      <c r="KBN2019" s="349"/>
      <c r="KBO2019" s="349"/>
      <c r="KBP2019" s="349"/>
      <c r="KBQ2019" s="349"/>
      <c r="KBR2019" s="349"/>
      <c r="KBS2019" s="349"/>
      <c r="KBT2019" s="349"/>
      <c r="KBU2019" s="349"/>
      <c r="KBV2019" s="349"/>
      <c r="KBW2019" s="349"/>
      <c r="KBX2019" s="349"/>
      <c r="KBY2019" s="349"/>
      <c r="KBZ2019" s="349"/>
      <c r="KCA2019" s="349"/>
      <c r="KCB2019" s="349"/>
      <c r="KCC2019" s="349"/>
      <c r="KCD2019" s="349"/>
      <c r="KCE2019" s="349"/>
      <c r="KCF2019" s="349"/>
      <c r="KCG2019" s="349"/>
      <c r="KCH2019" s="349"/>
      <c r="KCI2019" s="349"/>
      <c r="KCJ2019" s="349"/>
      <c r="KCK2019" s="349"/>
      <c r="KCL2019" s="349"/>
      <c r="KCM2019" s="349"/>
      <c r="KCN2019" s="349"/>
      <c r="KCO2019" s="349"/>
      <c r="KCP2019" s="349"/>
      <c r="KCQ2019" s="349"/>
      <c r="KCR2019" s="349"/>
      <c r="KCS2019" s="349"/>
      <c r="KCT2019" s="349"/>
      <c r="KCU2019" s="349"/>
      <c r="KCV2019" s="349"/>
      <c r="KCW2019" s="349"/>
      <c r="KCX2019" s="349"/>
      <c r="KCY2019" s="349"/>
      <c r="KCZ2019" s="349"/>
      <c r="KDA2019" s="349"/>
      <c r="KDB2019" s="349"/>
      <c r="KDC2019" s="349"/>
      <c r="KDD2019" s="349"/>
      <c r="KDE2019" s="349"/>
      <c r="KDF2019" s="349"/>
      <c r="KDG2019" s="349"/>
      <c r="KDH2019" s="349"/>
      <c r="KDI2019" s="349"/>
      <c r="KDJ2019" s="349"/>
      <c r="KDK2019" s="349"/>
      <c r="KDL2019" s="349"/>
      <c r="KDM2019" s="349"/>
      <c r="KDN2019" s="349"/>
      <c r="KDO2019" s="349"/>
      <c r="KDP2019" s="349"/>
      <c r="KDQ2019" s="349"/>
      <c r="KDR2019" s="349"/>
      <c r="KDS2019" s="349"/>
      <c r="KDT2019" s="349"/>
      <c r="KDU2019" s="349"/>
      <c r="KDV2019" s="349"/>
      <c r="KDW2019" s="349"/>
      <c r="KDX2019" s="349"/>
      <c r="KDY2019" s="349"/>
      <c r="KDZ2019" s="349"/>
      <c r="KEA2019" s="349"/>
      <c r="KEB2019" s="349"/>
      <c r="KEC2019" s="349"/>
      <c r="KED2019" s="349"/>
      <c r="KEE2019" s="349"/>
      <c r="KEF2019" s="349"/>
      <c r="KEG2019" s="349"/>
      <c r="KEH2019" s="349"/>
      <c r="KEI2019" s="349"/>
      <c r="KEJ2019" s="349"/>
      <c r="KEK2019" s="349"/>
      <c r="KEL2019" s="349"/>
      <c r="KEM2019" s="349"/>
      <c r="KEN2019" s="349"/>
      <c r="KEO2019" s="349"/>
      <c r="KEP2019" s="349"/>
      <c r="KEQ2019" s="349"/>
      <c r="KER2019" s="349"/>
      <c r="KES2019" s="349"/>
      <c r="KET2019" s="349"/>
      <c r="KEU2019" s="349"/>
      <c r="KEV2019" s="349"/>
      <c r="KEW2019" s="349"/>
      <c r="KEX2019" s="349"/>
      <c r="KEY2019" s="349"/>
      <c r="KEZ2019" s="349"/>
      <c r="KFA2019" s="349"/>
      <c r="KFB2019" s="349"/>
      <c r="KFC2019" s="349"/>
      <c r="KFD2019" s="349"/>
      <c r="KFE2019" s="349"/>
      <c r="KFF2019" s="349"/>
      <c r="KFG2019" s="349"/>
      <c r="KFH2019" s="349"/>
      <c r="KFI2019" s="349"/>
      <c r="KFJ2019" s="349"/>
      <c r="KFK2019" s="349"/>
      <c r="KFL2019" s="349"/>
      <c r="KFM2019" s="349"/>
      <c r="KFN2019" s="349"/>
      <c r="KFO2019" s="349"/>
      <c r="KFP2019" s="349"/>
      <c r="KFQ2019" s="349"/>
      <c r="KFR2019" s="349"/>
      <c r="KFS2019" s="349"/>
      <c r="KFT2019" s="349"/>
      <c r="KFU2019" s="349"/>
      <c r="KFV2019" s="349"/>
      <c r="KFW2019" s="349"/>
      <c r="KFX2019" s="349"/>
      <c r="KFY2019" s="349"/>
      <c r="KFZ2019" s="349"/>
      <c r="KGA2019" s="349"/>
      <c r="KGB2019" s="349"/>
      <c r="KGC2019" s="349"/>
      <c r="KGD2019" s="349"/>
      <c r="KGE2019" s="349"/>
      <c r="KGF2019" s="349"/>
      <c r="KGG2019" s="349"/>
      <c r="KGH2019" s="349"/>
      <c r="KGI2019" s="349"/>
      <c r="KGJ2019" s="349"/>
      <c r="KGK2019" s="349"/>
      <c r="KGL2019" s="349"/>
      <c r="KGM2019" s="349"/>
      <c r="KGN2019" s="349"/>
      <c r="KGO2019" s="349"/>
      <c r="KGP2019" s="349"/>
      <c r="KGQ2019" s="349"/>
      <c r="KGR2019" s="349"/>
      <c r="KGS2019" s="349"/>
      <c r="KGT2019" s="349"/>
      <c r="KGU2019" s="349"/>
      <c r="KGV2019" s="349"/>
      <c r="KGW2019" s="349"/>
      <c r="KGX2019" s="349"/>
      <c r="KGY2019" s="349"/>
      <c r="KGZ2019" s="349"/>
      <c r="KHA2019" s="349"/>
      <c r="KHB2019" s="349"/>
      <c r="KHC2019" s="349"/>
      <c r="KHD2019" s="349"/>
      <c r="KHE2019" s="349"/>
      <c r="KHF2019" s="349"/>
      <c r="KHG2019" s="349"/>
      <c r="KHH2019" s="349"/>
      <c r="KHI2019" s="349"/>
      <c r="KHJ2019" s="349"/>
      <c r="KHK2019" s="349"/>
      <c r="KHL2019" s="349"/>
      <c r="KHM2019" s="349"/>
      <c r="KHN2019" s="349"/>
      <c r="KHO2019" s="349"/>
      <c r="KHP2019" s="349"/>
      <c r="KHQ2019" s="349"/>
      <c r="KHR2019" s="349"/>
      <c r="KHS2019" s="349"/>
      <c r="KHT2019" s="349"/>
      <c r="KHU2019" s="349"/>
      <c r="KHV2019" s="349"/>
      <c r="KHW2019" s="349"/>
      <c r="KHX2019" s="349"/>
      <c r="KHY2019" s="349"/>
      <c r="KHZ2019" s="349"/>
      <c r="KIA2019" s="349"/>
      <c r="KIB2019" s="349"/>
      <c r="KIC2019" s="349"/>
      <c r="KID2019" s="349"/>
      <c r="KIE2019" s="349"/>
      <c r="KIF2019" s="349"/>
      <c r="KIG2019" s="349"/>
      <c r="KIH2019" s="349"/>
      <c r="KII2019" s="349"/>
      <c r="KIJ2019" s="349"/>
      <c r="KIK2019" s="349"/>
      <c r="KIL2019" s="349"/>
      <c r="KIM2019" s="349"/>
      <c r="KIN2019" s="349"/>
      <c r="KIO2019" s="349"/>
      <c r="KIP2019" s="349"/>
      <c r="KIQ2019" s="349"/>
      <c r="KIR2019" s="349"/>
      <c r="KIS2019" s="349"/>
      <c r="KIT2019" s="349"/>
      <c r="KIU2019" s="349"/>
      <c r="KIV2019" s="349"/>
      <c r="KIW2019" s="349"/>
      <c r="KIX2019" s="349"/>
      <c r="KIY2019" s="349"/>
      <c r="KIZ2019" s="349"/>
      <c r="KJA2019" s="349"/>
      <c r="KJB2019" s="349"/>
      <c r="KJC2019" s="349"/>
      <c r="KJD2019" s="349"/>
      <c r="KJE2019" s="349"/>
      <c r="KJF2019" s="349"/>
      <c r="KJG2019" s="349"/>
      <c r="KJH2019" s="349"/>
      <c r="KJI2019" s="349"/>
      <c r="KJJ2019" s="349"/>
      <c r="KJK2019" s="349"/>
      <c r="KJL2019" s="349"/>
      <c r="KJM2019" s="349"/>
      <c r="KJN2019" s="349"/>
      <c r="KJO2019" s="349"/>
      <c r="KJP2019" s="349"/>
      <c r="KJQ2019" s="349"/>
      <c r="KJR2019" s="349"/>
      <c r="KJS2019" s="349"/>
      <c r="KJT2019" s="349"/>
      <c r="KJU2019" s="349"/>
      <c r="KJV2019" s="349"/>
      <c r="KJW2019" s="349"/>
      <c r="KJX2019" s="349"/>
      <c r="KJY2019" s="349"/>
      <c r="KJZ2019" s="349"/>
      <c r="KKA2019" s="349"/>
      <c r="KKB2019" s="349"/>
      <c r="KKC2019" s="349"/>
      <c r="KKD2019" s="349"/>
      <c r="KKE2019" s="349"/>
      <c r="KKF2019" s="349"/>
      <c r="KKG2019" s="349"/>
      <c r="KKH2019" s="349"/>
      <c r="KKI2019" s="349"/>
      <c r="KKJ2019" s="349"/>
      <c r="KKK2019" s="349"/>
      <c r="KKL2019" s="349"/>
      <c r="KKM2019" s="349"/>
      <c r="KKN2019" s="349"/>
      <c r="KKO2019" s="349"/>
      <c r="KKP2019" s="349"/>
      <c r="KKQ2019" s="349"/>
      <c r="KKR2019" s="349"/>
      <c r="KKS2019" s="349"/>
      <c r="KKT2019" s="349"/>
      <c r="KKU2019" s="349"/>
      <c r="KKV2019" s="349"/>
      <c r="KKW2019" s="349"/>
      <c r="KKX2019" s="349"/>
      <c r="KKY2019" s="349"/>
      <c r="KKZ2019" s="349"/>
      <c r="KLA2019" s="349"/>
      <c r="KLB2019" s="349"/>
      <c r="KLC2019" s="349"/>
      <c r="KLD2019" s="349"/>
      <c r="KLE2019" s="349"/>
      <c r="KLF2019" s="349"/>
      <c r="KLG2019" s="349"/>
      <c r="KLH2019" s="349"/>
      <c r="KLI2019" s="349"/>
      <c r="KLJ2019" s="349"/>
      <c r="KLK2019" s="349"/>
      <c r="KLL2019" s="349"/>
      <c r="KLM2019" s="349"/>
      <c r="KLN2019" s="349"/>
      <c r="KLO2019" s="349"/>
      <c r="KLP2019" s="349"/>
      <c r="KLQ2019" s="349"/>
      <c r="KLR2019" s="349"/>
      <c r="KLS2019" s="349"/>
      <c r="KLT2019" s="349"/>
      <c r="KLU2019" s="349"/>
      <c r="KLV2019" s="349"/>
      <c r="KLW2019" s="349"/>
      <c r="KLX2019" s="349"/>
      <c r="KLY2019" s="349"/>
      <c r="KLZ2019" s="349"/>
      <c r="KMA2019" s="349"/>
      <c r="KMB2019" s="349"/>
      <c r="KMC2019" s="349"/>
      <c r="KMD2019" s="349"/>
      <c r="KME2019" s="349"/>
      <c r="KMF2019" s="349"/>
      <c r="KMG2019" s="349"/>
      <c r="KMH2019" s="349"/>
      <c r="KMI2019" s="349"/>
      <c r="KMJ2019" s="349"/>
      <c r="KMK2019" s="349"/>
      <c r="KML2019" s="349"/>
      <c r="KMM2019" s="349"/>
      <c r="KMN2019" s="349"/>
      <c r="KMO2019" s="349"/>
      <c r="KMP2019" s="349"/>
      <c r="KMQ2019" s="349"/>
      <c r="KMR2019" s="349"/>
      <c r="KMS2019" s="349"/>
      <c r="KMT2019" s="349"/>
      <c r="KMU2019" s="349"/>
      <c r="KMV2019" s="349"/>
      <c r="KMW2019" s="349"/>
      <c r="KMX2019" s="349"/>
      <c r="KMY2019" s="349"/>
      <c r="KMZ2019" s="349"/>
      <c r="KNA2019" s="349"/>
      <c r="KNB2019" s="349"/>
      <c r="KNC2019" s="349"/>
      <c r="KND2019" s="349"/>
      <c r="KNE2019" s="349"/>
      <c r="KNF2019" s="349"/>
      <c r="KNG2019" s="349"/>
      <c r="KNH2019" s="349"/>
      <c r="KNI2019" s="349"/>
      <c r="KNJ2019" s="349"/>
      <c r="KNK2019" s="349"/>
      <c r="KNL2019" s="349"/>
      <c r="KNM2019" s="349"/>
      <c r="KNN2019" s="349"/>
      <c r="KNO2019" s="349"/>
      <c r="KNP2019" s="349"/>
      <c r="KNQ2019" s="349"/>
      <c r="KNR2019" s="349"/>
      <c r="KNS2019" s="349"/>
      <c r="KNT2019" s="349"/>
      <c r="KNU2019" s="349"/>
      <c r="KNV2019" s="349"/>
      <c r="KNW2019" s="349"/>
      <c r="KNX2019" s="349"/>
      <c r="KNY2019" s="349"/>
      <c r="KNZ2019" s="349"/>
      <c r="KOA2019" s="349"/>
      <c r="KOB2019" s="349"/>
      <c r="KOC2019" s="349"/>
      <c r="KOD2019" s="349"/>
      <c r="KOE2019" s="349"/>
      <c r="KOF2019" s="349"/>
      <c r="KOG2019" s="349"/>
      <c r="KOH2019" s="349"/>
      <c r="KOI2019" s="349"/>
      <c r="KOJ2019" s="349"/>
      <c r="KOK2019" s="349"/>
      <c r="KOL2019" s="349"/>
      <c r="KOM2019" s="349"/>
      <c r="KON2019" s="349"/>
      <c r="KOO2019" s="349"/>
      <c r="KOP2019" s="349"/>
      <c r="KOQ2019" s="349"/>
      <c r="KOR2019" s="349"/>
      <c r="KOS2019" s="349"/>
      <c r="KOT2019" s="349"/>
      <c r="KOU2019" s="349"/>
      <c r="KOV2019" s="349"/>
      <c r="KOW2019" s="349"/>
      <c r="KOX2019" s="349"/>
      <c r="KOY2019" s="349"/>
      <c r="KOZ2019" s="349"/>
      <c r="KPA2019" s="349"/>
      <c r="KPB2019" s="349"/>
      <c r="KPC2019" s="349"/>
      <c r="KPD2019" s="349"/>
      <c r="KPE2019" s="349"/>
      <c r="KPF2019" s="349"/>
      <c r="KPG2019" s="349"/>
      <c r="KPH2019" s="349"/>
      <c r="KPI2019" s="349"/>
      <c r="KPJ2019" s="349"/>
      <c r="KPK2019" s="349"/>
      <c r="KPL2019" s="349"/>
      <c r="KPM2019" s="349"/>
      <c r="KPN2019" s="349"/>
      <c r="KPO2019" s="349"/>
      <c r="KPP2019" s="349"/>
      <c r="KPQ2019" s="349"/>
      <c r="KPR2019" s="349"/>
      <c r="KPS2019" s="349"/>
      <c r="KPT2019" s="349"/>
      <c r="KPU2019" s="349"/>
      <c r="KPV2019" s="349"/>
      <c r="KPW2019" s="349"/>
      <c r="KPX2019" s="349"/>
      <c r="KPY2019" s="349"/>
      <c r="KPZ2019" s="349"/>
      <c r="KQA2019" s="349"/>
      <c r="KQB2019" s="349"/>
      <c r="KQC2019" s="349"/>
      <c r="KQD2019" s="349"/>
      <c r="KQE2019" s="349"/>
      <c r="KQF2019" s="349"/>
      <c r="KQG2019" s="349"/>
      <c r="KQH2019" s="349"/>
      <c r="KQI2019" s="349"/>
      <c r="KQJ2019" s="349"/>
      <c r="KQK2019" s="349"/>
      <c r="KQL2019" s="349"/>
      <c r="KQM2019" s="349"/>
      <c r="KQN2019" s="349"/>
      <c r="KQO2019" s="349"/>
      <c r="KQP2019" s="349"/>
      <c r="KQQ2019" s="349"/>
      <c r="KQR2019" s="349"/>
      <c r="KQS2019" s="349"/>
      <c r="KQT2019" s="349"/>
      <c r="KQU2019" s="349"/>
      <c r="KQV2019" s="349"/>
      <c r="KQW2019" s="349"/>
      <c r="KQX2019" s="349"/>
      <c r="KQY2019" s="349"/>
      <c r="KQZ2019" s="349"/>
      <c r="KRA2019" s="349"/>
      <c r="KRB2019" s="349"/>
      <c r="KRC2019" s="349"/>
      <c r="KRD2019" s="349"/>
      <c r="KRE2019" s="349"/>
      <c r="KRF2019" s="349"/>
      <c r="KRG2019" s="349"/>
      <c r="KRH2019" s="349"/>
      <c r="KRI2019" s="349"/>
      <c r="KRJ2019" s="349"/>
      <c r="KRK2019" s="349"/>
      <c r="KRL2019" s="349"/>
      <c r="KRM2019" s="349"/>
      <c r="KRN2019" s="349"/>
      <c r="KRO2019" s="349"/>
      <c r="KRP2019" s="349"/>
      <c r="KRQ2019" s="349"/>
      <c r="KRR2019" s="349"/>
      <c r="KRS2019" s="349"/>
      <c r="KRT2019" s="349"/>
      <c r="KRU2019" s="349"/>
      <c r="KRV2019" s="349"/>
      <c r="KRW2019" s="349"/>
      <c r="KRX2019" s="349"/>
      <c r="KRY2019" s="349"/>
      <c r="KRZ2019" s="349"/>
      <c r="KSA2019" s="349"/>
      <c r="KSB2019" s="349"/>
      <c r="KSC2019" s="349"/>
      <c r="KSD2019" s="349"/>
      <c r="KSE2019" s="349"/>
      <c r="KSF2019" s="349"/>
      <c r="KSG2019" s="349"/>
      <c r="KSH2019" s="349"/>
      <c r="KSI2019" s="349"/>
      <c r="KSJ2019" s="349"/>
      <c r="KSK2019" s="349"/>
      <c r="KSL2019" s="349"/>
      <c r="KSM2019" s="349"/>
      <c r="KSN2019" s="349"/>
      <c r="KSO2019" s="349"/>
      <c r="KSP2019" s="349"/>
      <c r="KSQ2019" s="349"/>
      <c r="KSR2019" s="349"/>
      <c r="KSS2019" s="349"/>
      <c r="KST2019" s="349"/>
      <c r="KSU2019" s="349"/>
      <c r="KSV2019" s="349"/>
      <c r="KSW2019" s="349"/>
      <c r="KSX2019" s="349"/>
      <c r="KSY2019" s="349"/>
      <c r="KSZ2019" s="349"/>
      <c r="KTA2019" s="349"/>
      <c r="KTB2019" s="349"/>
      <c r="KTC2019" s="349"/>
      <c r="KTD2019" s="349"/>
      <c r="KTE2019" s="349"/>
      <c r="KTF2019" s="349"/>
      <c r="KTG2019" s="349"/>
      <c r="KTH2019" s="349"/>
      <c r="KTI2019" s="349"/>
      <c r="KTJ2019" s="349"/>
      <c r="KTK2019" s="349"/>
      <c r="KTL2019" s="349"/>
      <c r="KTM2019" s="349"/>
      <c r="KTN2019" s="349"/>
      <c r="KTO2019" s="349"/>
      <c r="KTP2019" s="349"/>
      <c r="KTQ2019" s="349"/>
      <c r="KTR2019" s="349"/>
      <c r="KTS2019" s="349"/>
      <c r="KTT2019" s="349"/>
      <c r="KTU2019" s="349"/>
      <c r="KTV2019" s="349"/>
      <c r="KTW2019" s="349"/>
      <c r="KTX2019" s="349"/>
      <c r="KTY2019" s="349"/>
      <c r="KTZ2019" s="349"/>
      <c r="KUA2019" s="349"/>
      <c r="KUB2019" s="349"/>
      <c r="KUC2019" s="349"/>
      <c r="KUD2019" s="349"/>
      <c r="KUE2019" s="349"/>
      <c r="KUF2019" s="349"/>
      <c r="KUG2019" s="349"/>
      <c r="KUH2019" s="349"/>
      <c r="KUI2019" s="349"/>
      <c r="KUJ2019" s="349"/>
      <c r="KUK2019" s="349"/>
      <c r="KUL2019" s="349"/>
      <c r="KUM2019" s="349"/>
      <c r="KUN2019" s="349"/>
      <c r="KUO2019" s="349"/>
      <c r="KUP2019" s="349"/>
      <c r="KUQ2019" s="349"/>
      <c r="KUR2019" s="349"/>
      <c r="KUS2019" s="349"/>
      <c r="KUT2019" s="349"/>
      <c r="KUU2019" s="349"/>
      <c r="KUV2019" s="349"/>
      <c r="KUW2019" s="349"/>
      <c r="KUX2019" s="349"/>
      <c r="KUY2019" s="349"/>
      <c r="KUZ2019" s="349"/>
      <c r="KVA2019" s="349"/>
      <c r="KVB2019" s="349"/>
      <c r="KVC2019" s="349"/>
      <c r="KVD2019" s="349"/>
      <c r="KVE2019" s="349"/>
      <c r="KVF2019" s="349"/>
      <c r="KVG2019" s="349"/>
      <c r="KVH2019" s="349"/>
      <c r="KVI2019" s="349"/>
      <c r="KVJ2019" s="349"/>
      <c r="KVK2019" s="349"/>
      <c r="KVL2019" s="349"/>
      <c r="KVM2019" s="349"/>
      <c r="KVN2019" s="349"/>
      <c r="KVO2019" s="349"/>
      <c r="KVP2019" s="349"/>
      <c r="KVQ2019" s="349"/>
      <c r="KVR2019" s="349"/>
      <c r="KVS2019" s="349"/>
      <c r="KVT2019" s="349"/>
      <c r="KVU2019" s="349"/>
      <c r="KVV2019" s="349"/>
      <c r="KVW2019" s="349"/>
      <c r="KVX2019" s="349"/>
      <c r="KVY2019" s="349"/>
      <c r="KVZ2019" s="349"/>
      <c r="KWA2019" s="349"/>
      <c r="KWB2019" s="349"/>
      <c r="KWC2019" s="349"/>
      <c r="KWD2019" s="349"/>
      <c r="KWE2019" s="349"/>
      <c r="KWF2019" s="349"/>
      <c r="KWG2019" s="349"/>
      <c r="KWH2019" s="349"/>
      <c r="KWI2019" s="349"/>
      <c r="KWJ2019" s="349"/>
      <c r="KWK2019" s="349"/>
      <c r="KWL2019" s="349"/>
      <c r="KWM2019" s="349"/>
      <c r="KWN2019" s="349"/>
      <c r="KWO2019" s="349"/>
      <c r="KWP2019" s="349"/>
      <c r="KWQ2019" s="349"/>
      <c r="KWR2019" s="349"/>
      <c r="KWS2019" s="349"/>
      <c r="KWT2019" s="349"/>
      <c r="KWU2019" s="349"/>
      <c r="KWV2019" s="349"/>
      <c r="KWW2019" s="349"/>
      <c r="KWX2019" s="349"/>
      <c r="KWY2019" s="349"/>
      <c r="KWZ2019" s="349"/>
      <c r="KXA2019" s="349"/>
      <c r="KXB2019" s="349"/>
      <c r="KXC2019" s="349"/>
      <c r="KXD2019" s="349"/>
      <c r="KXE2019" s="349"/>
      <c r="KXF2019" s="349"/>
      <c r="KXG2019" s="349"/>
      <c r="KXH2019" s="349"/>
      <c r="KXI2019" s="349"/>
      <c r="KXJ2019" s="349"/>
      <c r="KXK2019" s="349"/>
      <c r="KXL2019" s="349"/>
      <c r="KXM2019" s="349"/>
      <c r="KXN2019" s="349"/>
      <c r="KXO2019" s="349"/>
      <c r="KXP2019" s="349"/>
      <c r="KXQ2019" s="349"/>
      <c r="KXR2019" s="349"/>
      <c r="KXS2019" s="349"/>
      <c r="KXT2019" s="349"/>
      <c r="KXU2019" s="349"/>
      <c r="KXV2019" s="349"/>
      <c r="KXW2019" s="349"/>
      <c r="KXX2019" s="349"/>
      <c r="KXY2019" s="349"/>
      <c r="KXZ2019" s="349"/>
      <c r="KYA2019" s="349"/>
      <c r="KYB2019" s="349"/>
      <c r="KYC2019" s="349"/>
      <c r="KYD2019" s="349"/>
      <c r="KYE2019" s="349"/>
      <c r="KYF2019" s="349"/>
      <c r="KYG2019" s="349"/>
      <c r="KYH2019" s="349"/>
      <c r="KYI2019" s="349"/>
      <c r="KYJ2019" s="349"/>
      <c r="KYK2019" s="349"/>
      <c r="KYL2019" s="349"/>
      <c r="KYM2019" s="349"/>
      <c r="KYN2019" s="349"/>
      <c r="KYO2019" s="349"/>
      <c r="KYP2019" s="349"/>
      <c r="KYQ2019" s="349"/>
      <c r="KYR2019" s="349"/>
      <c r="KYS2019" s="349"/>
      <c r="KYT2019" s="349"/>
      <c r="KYU2019" s="349"/>
      <c r="KYV2019" s="349"/>
      <c r="KYW2019" s="349"/>
      <c r="KYX2019" s="349"/>
      <c r="KYY2019" s="349"/>
      <c r="KYZ2019" s="349"/>
      <c r="KZA2019" s="349"/>
      <c r="KZB2019" s="349"/>
      <c r="KZC2019" s="349"/>
      <c r="KZD2019" s="349"/>
      <c r="KZE2019" s="349"/>
      <c r="KZF2019" s="349"/>
      <c r="KZG2019" s="349"/>
      <c r="KZH2019" s="349"/>
      <c r="KZI2019" s="349"/>
      <c r="KZJ2019" s="349"/>
      <c r="KZK2019" s="349"/>
      <c r="KZL2019" s="349"/>
      <c r="KZM2019" s="349"/>
      <c r="KZN2019" s="349"/>
      <c r="KZO2019" s="349"/>
      <c r="KZP2019" s="349"/>
      <c r="KZQ2019" s="349"/>
      <c r="KZR2019" s="349"/>
      <c r="KZS2019" s="349"/>
      <c r="KZT2019" s="349"/>
      <c r="KZU2019" s="349"/>
      <c r="KZV2019" s="349"/>
      <c r="KZW2019" s="349"/>
      <c r="KZX2019" s="349"/>
      <c r="KZY2019" s="349"/>
      <c r="KZZ2019" s="349"/>
      <c r="LAA2019" s="349"/>
      <c r="LAB2019" s="349"/>
      <c r="LAC2019" s="349"/>
      <c r="LAD2019" s="349"/>
      <c r="LAE2019" s="349"/>
      <c r="LAF2019" s="349"/>
      <c r="LAG2019" s="349"/>
      <c r="LAH2019" s="349"/>
      <c r="LAI2019" s="349"/>
      <c r="LAJ2019" s="349"/>
      <c r="LAK2019" s="349"/>
      <c r="LAL2019" s="349"/>
      <c r="LAM2019" s="349"/>
      <c r="LAN2019" s="349"/>
      <c r="LAO2019" s="349"/>
      <c r="LAP2019" s="349"/>
      <c r="LAQ2019" s="349"/>
      <c r="LAR2019" s="349"/>
      <c r="LAS2019" s="349"/>
      <c r="LAT2019" s="349"/>
      <c r="LAU2019" s="349"/>
      <c r="LAV2019" s="349"/>
      <c r="LAW2019" s="349"/>
      <c r="LAX2019" s="349"/>
      <c r="LAY2019" s="349"/>
      <c r="LAZ2019" s="349"/>
      <c r="LBA2019" s="349"/>
      <c r="LBB2019" s="349"/>
      <c r="LBC2019" s="349"/>
      <c r="LBD2019" s="349"/>
      <c r="LBE2019" s="349"/>
      <c r="LBF2019" s="349"/>
      <c r="LBG2019" s="349"/>
      <c r="LBH2019" s="349"/>
      <c r="LBI2019" s="349"/>
      <c r="LBJ2019" s="349"/>
      <c r="LBK2019" s="349"/>
      <c r="LBL2019" s="349"/>
      <c r="LBM2019" s="349"/>
      <c r="LBN2019" s="349"/>
      <c r="LBO2019" s="349"/>
      <c r="LBP2019" s="349"/>
      <c r="LBQ2019" s="349"/>
      <c r="LBR2019" s="349"/>
      <c r="LBS2019" s="349"/>
      <c r="LBT2019" s="349"/>
      <c r="LBU2019" s="349"/>
      <c r="LBV2019" s="349"/>
      <c r="LBW2019" s="349"/>
      <c r="LBX2019" s="349"/>
      <c r="LBY2019" s="349"/>
      <c r="LBZ2019" s="349"/>
      <c r="LCA2019" s="349"/>
      <c r="LCB2019" s="349"/>
      <c r="LCC2019" s="349"/>
      <c r="LCD2019" s="349"/>
      <c r="LCE2019" s="349"/>
      <c r="LCF2019" s="349"/>
      <c r="LCG2019" s="349"/>
      <c r="LCH2019" s="349"/>
      <c r="LCI2019" s="349"/>
      <c r="LCJ2019" s="349"/>
      <c r="LCK2019" s="349"/>
      <c r="LCL2019" s="349"/>
      <c r="LCM2019" s="349"/>
      <c r="LCN2019" s="349"/>
      <c r="LCO2019" s="349"/>
      <c r="LCP2019" s="349"/>
      <c r="LCQ2019" s="349"/>
      <c r="LCR2019" s="349"/>
      <c r="LCS2019" s="349"/>
      <c r="LCT2019" s="349"/>
      <c r="LCU2019" s="349"/>
      <c r="LCV2019" s="349"/>
      <c r="LCW2019" s="349"/>
      <c r="LCX2019" s="349"/>
      <c r="LCY2019" s="349"/>
      <c r="LCZ2019" s="349"/>
      <c r="LDA2019" s="349"/>
      <c r="LDB2019" s="349"/>
      <c r="LDC2019" s="349"/>
      <c r="LDD2019" s="349"/>
      <c r="LDE2019" s="349"/>
      <c r="LDF2019" s="349"/>
      <c r="LDG2019" s="349"/>
      <c r="LDH2019" s="349"/>
      <c r="LDI2019" s="349"/>
      <c r="LDJ2019" s="349"/>
      <c r="LDK2019" s="349"/>
      <c r="LDL2019" s="349"/>
      <c r="LDM2019" s="349"/>
      <c r="LDN2019" s="349"/>
      <c r="LDO2019" s="349"/>
      <c r="LDP2019" s="349"/>
      <c r="LDQ2019" s="349"/>
      <c r="LDR2019" s="349"/>
      <c r="LDS2019" s="349"/>
      <c r="LDT2019" s="349"/>
      <c r="LDU2019" s="349"/>
      <c r="LDV2019" s="349"/>
      <c r="LDW2019" s="349"/>
      <c r="LDX2019" s="349"/>
      <c r="LDY2019" s="349"/>
      <c r="LDZ2019" s="349"/>
      <c r="LEA2019" s="349"/>
      <c r="LEB2019" s="349"/>
      <c r="LEC2019" s="349"/>
      <c r="LED2019" s="349"/>
      <c r="LEE2019" s="349"/>
      <c r="LEF2019" s="349"/>
      <c r="LEG2019" s="349"/>
      <c r="LEH2019" s="349"/>
      <c r="LEI2019" s="349"/>
      <c r="LEJ2019" s="349"/>
      <c r="LEK2019" s="349"/>
      <c r="LEL2019" s="349"/>
      <c r="LEM2019" s="349"/>
      <c r="LEN2019" s="349"/>
      <c r="LEO2019" s="349"/>
      <c r="LEP2019" s="349"/>
      <c r="LEQ2019" s="349"/>
      <c r="LER2019" s="349"/>
      <c r="LES2019" s="349"/>
      <c r="LET2019" s="349"/>
      <c r="LEU2019" s="349"/>
      <c r="LEV2019" s="349"/>
      <c r="LEW2019" s="349"/>
      <c r="LEX2019" s="349"/>
      <c r="LEY2019" s="349"/>
      <c r="LEZ2019" s="349"/>
      <c r="LFA2019" s="349"/>
      <c r="LFB2019" s="349"/>
      <c r="LFC2019" s="349"/>
      <c r="LFD2019" s="349"/>
      <c r="LFE2019" s="349"/>
      <c r="LFF2019" s="349"/>
      <c r="LFG2019" s="349"/>
      <c r="LFH2019" s="349"/>
      <c r="LFI2019" s="349"/>
      <c r="LFJ2019" s="349"/>
      <c r="LFK2019" s="349"/>
      <c r="LFL2019" s="349"/>
      <c r="LFM2019" s="349"/>
      <c r="LFN2019" s="349"/>
      <c r="LFO2019" s="349"/>
      <c r="LFP2019" s="349"/>
      <c r="LFQ2019" s="349"/>
      <c r="LFR2019" s="349"/>
      <c r="LFS2019" s="349"/>
      <c r="LFT2019" s="349"/>
      <c r="LFU2019" s="349"/>
      <c r="LFV2019" s="349"/>
      <c r="LFW2019" s="349"/>
      <c r="LFX2019" s="349"/>
      <c r="LFY2019" s="349"/>
      <c r="LFZ2019" s="349"/>
      <c r="LGA2019" s="349"/>
      <c r="LGB2019" s="349"/>
      <c r="LGC2019" s="349"/>
      <c r="LGD2019" s="349"/>
      <c r="LGE2019" s="349"/>
      <c r="LGF2019" s="349"/>
      <c r="LGG2019" s="349"/>
      <c r="LGH2019" s="349"/>
      <c r="LGI2019" s="349"/>
      <c r="LGJ2019" s="349"/>
      <c r="LGK2019" s="349"/>
      <c r="LGL2019" s="349"/>
      <c r="LGM2019" s="349"/>
      <c r="LGN2019" s="349"/>
      <c r="LGO2019" s="349"/>
      <c r="LGP2019" s="349"/>
      <c r="LGQ2019" s="349"/>
      <c r="LGR2019" s="349"/>
      <c r="LGS2019" s="349"/>
      <c r="LGT2019" s="349"/>
      <c r="LGU2019" s="349"/>
      <c r="LGV2019" s="349"/>
      <c r="LGW2019" s="349"/>
      <c r="LGX2019" s="349"/>
      <c r="LGY2019" s="349"/>
      <c r="LGZ2019" s="349"/>
      <c r="LHA2019" s="349"/>
      <c r="LHB2019" s="349"/>
      <c r="LHC2019" s="349"/>
      <c r="LHD2019" s="349"/>
      <c r="LHE2019" s="349"/>
      <c r="LHF2019" s="349"/>
      <c r="LHG2019" s="349"/>
      <c r="LHH2019" s="349"/>
      <c r="LHI2019" s="349"/>
      <c r="LHJ2019" s="349"/>
      <c r="LHK2019" s="349"/>
      <c r="LHL2019" s="349"/>
      <c r="LHM2019" s="349"/>
      <c r="LHN2019" s="349"/>
      <c r="LHO2019" s="349"/>
      <c r="LHP2019" s="349"/>
      <c r="LHQ2019" s="349"/>
      <c r="LHR2019" s="349"/>
      <c r="LHS2019" s="349"/>
      <c r="LHT2019" s="349"/>
      <c r="LHU2019" s="349"/>
      <c r="LHV2019" s="349"/>
      <c r="LHW2019" s="349"/>
      <c r="LHX2019" s="349"/>
      <c r="LHY2019" s="349"/>
      <c r="LHZ2019" s="349"/>
      <c r="LIA2019" s="349"/>
      <c r="LIB2019" s="349"/>
      <c r="LIC2019" s="349"/>
      <c r="LID2019" s="349"/>
      <c r="LIE2019" s="349"/>
      <c r="LIF2019" s="349"/>
      <c r="LIG2019" s="349"/>
      <c r="LIH2019" s="349"/>
      <c r="LII2019" s="349"/>
      <c r="LIJ2019" s="349"/>
      <c r="LIK2019" s="349"/>
      <c r="LIL2019" s="349"/>
      <c r="LIM2019" s="349"/>
      <c r="LIN2019" s="349"/>
      <c r="LIO2019" s="349"/>
      <c r="LIP2019" s="349"/>
      <c r="LIQ2019" s="349"/>
      <c r="LIR2019" s="349"/>
      <c r="LIS2019" s="349"/>
      <c r="LIT2019" s="349"/>
      <c r="LIU2019" s="349"/>
      <c r="LIV2019" s="349"/>
      <c r="LIW2019" s="349"/>
      <c r="LIX2019" s="349"/>
      <c r="LIY2019" s="349"/>
      <c r="LIZ2019" s="349"/>
      <c r="LJA2019" s="349"/>
      <c r="LJB2019" s="349"/>
      <c r="LJC2019" s="349"/>
      <c r="LJD2019" s="349"/>
      <c r="LJE2019" s="349"/>
      <c r="LJF2019" s="349"/>
      <c r="LJG2019" s="349"/>
      <c r="LJH2019" s="349"/>
      <c r="LJI2019" s="349"/>
      <c r="LJJ2019" s="349"/>
      <c r="LJK2019" s="349"/>
      <c r="LJL2019" s="349"/>
      <c r="LJM2019" s="349"/>
      <c r="LJN2019" s="349"/>
      <c r="LJO2019" s="349"/>
      <c r="LJP2019" s="349"/>
      <c r="LJQ2019" s="349"/>
      <c r="LJR2019" s="349"/>
      <c r="LJS2019" s="349"/>
      <c r="LJT2019" s="349"/>
      <c r="LJU2019" s="349"/>
      <c r="LJV2019" s="349"/>
      <c r="LJW2019" s="349"/>
      <c r="LJX2019" s="349"/>
      <c r="LJY2019" s="349"/>
      <c r="LJZ2019" s="349"/>
      <c r="LKA2019" s="349"/>
      <c r="LKB2019" s="349"/>
      <c r="LKC2019" s="349"/>
      <c r="LKD2019" s="349"/>
      <c r="LKE2019" s="349"/>
      <c r="LKF2019" s="349"/>
      <c r="LKG2019" s="349"/>
      <c r="LKH2019" s="349"/>
      <c r="LKI2019" s="349"/>
      <c r="LKJ2019" s="349"/>
      <c r="LKK2019" s="349"/>
      <c r="LKL2019" s="349"/>
      <c r="LKM2019" s="349"/>
      <c r="LKN2019" s="349"/>
      <c r="LKO2019" s="349"/>
      <c r="LKP2019" s="349"/>
      <c r="LKQ2019" s="349"/>
      <c r="LKR2019" s="349"/>
      <c r="LKS2019" s="349"/>
      <c r="LKT2019" s="349"/>
      <c r="LKU2019" s="349"/>
      <c r="LKV2019" s="349"/>
      <c r="LKW2019" s="349"/>
      <c r="LKX2019" s="349"/>
      <c r="LKY2019" s="349"/>
      <c r="LKZ2019" s="349"/>
      <c r="LLA2019" s="349"/>
      <c r="LLB2019" s="349"/>
      <c r="LLC2019" s="349"/>
      <c r="LLD2019" s="349"/>
      <c r="LLE2019" s="349"/>
      <c r="LLF2019" s="349"/>
      <c r="LLG2019" s="349"/>
      <c r="LLH2019" s="349"/>
      <c r="LLI2019" s="349"/>
      <c r="LLJ2019" s="349"/>
      <c r="LLK2019" s="349"/>
      <c r="LLL2019" s="349"/>
      <c r="LLM2019" s="349"/>
      <c r="LLN2019" s="349"/>
      <c r="LLO2019" s="349"/>
      <c r="LLP2019" s="349"/>
      <c r="LLQ2019" s="349"/>
      <c r="LLR2019" s="349"/>
      <c r="LLS2019" s="349"/>
      <c r="LLT2019" s="349"/>
      <c r="LLU2019" s="349"/>
      <c r="LLV2019" s="349"/>
      <c r="LLW2019" s="349"/>
      <c r="LLX2019" s="349"/>
      <c r="LLY2019" s="349"/>
      <c r="LLZ2019" s="349"/>
      <c r="LMA2019" s="349"/>
      <c r="LMB2019" s="349"/>
      <c r="LMC2019" s="349"/>
      <c r="LMD2019" s="349"/>
      <c r="LME2019" s="349"/>
      <c r="LMF2019" s="349"/>
      <c r="LMG2019" s="349"/>
      <c r="LMH2019" s="349"/>
      <c r="LMI2019" s="349"/>
      <c r="LMJ2019" s="349"/>
      <c r="LMK2019" s="349"/>
      <c r="LML2019" s="349"/>
      <c r="LMM2019" s="349"/>
      <c r="LMN2019" s="349"/>
      <c r="LMO2019" s="349"/>
      <c r="LMP2019" s="349"/>
      <c r="LMQ2019" s="349"/>
      <c r="LMR2019" s="349"/>
      <c r="LMS2019" s="349"/>
      <c r="LMT2019" s="349"/>
      <c r="LMU2019" s="349"/>
      <c r="LMV2019" s="349"/>
      <c r="LMW2019" s="349"/>
      <c r="LMX2019" s="349"/>
      <c r="LMY2019" s="349"/>
      <c r="LMZ2019" s="349"/>
      <c r="LNA2019" s="349"/>
      <c r="LNB2019" s="349"/>
      <c r="LNC2019" s="349"/>
      <c r="LND2019" s="349"/>
      <c r="LNE2019" s="349"/>
      <c r="LNF2019" s="349"/>
      <c r="LNG2019" s="349"/>
      <c r="LNH2019" s="349"/>
      <c r="LNI2019" s="349"/>
      <c r="LNJ2019" s="349"/>
      <c r="LNK2019" s="349"/>
      <c r="LNL2019" s="349"/>
      <c r="LNM2019" s="349"/>
      <c r="LNN2019" s="349"/>
      <c r="LNO2019" s="349"/>
      <c r="LNP2019" s="349"/>
      <c r="LNQ2019" s="349"/>
      <c r="LNR2019" s="349"/>
      <c r="LNS2019" s="349"/>
      <c r="LNT2019" s="349"/>
      <c r="LNU2019" s="349"/>
      <c r="LNV2019" s="349"/>
      <c r="LNW2019" s="349"/>
      <c r="LNX2019" s="349"/>
      <c r="LNY2019" s="349"/>
      <c r="LNZ2019" s="349"/>
      <c r="LOA2019" s="349"/>
      <c r="LOB2019" s="349"/>
      <c r="LOC2019" s="349"/>
      <c r="LOD2019" s="349"/>
      <c r="LOE2019" s="349"/>
      <c r="LOF2019" s="349"/>
      <c r="LOG2019" s="349"/>
      <c r="LOH2019" s="349"/>
      <c r="LOI2019" s="349"/>
      <c r="LOJ2019" s="349"/>
      <c r="LOK2019" s="349"/>
      <c r="LOL2019" s="349"/>
      <c r="LOM2019" s="349"/>
      <c r="LON2019" s="349"/>
      <c r="LOO2019" s="349"/>
      <c r="LOP2019" s="349"/>
      <c r="LOQ2019" s="349"/>
      <c r="LOR2019" s="349"/>
      <c r="LOS2019" s="349"/>
      <c r="LOT2019" s="349"/>
      <c r="LOU2019" s="349"/>
      <c r="LOV2019" s="349"/>
      <c r="LOW2019" s="349"/>
      <c r="LOX2019" s="349"/>
      <c r="LOY2019" s="349"/>
      <c r="LOZ2019" s="349"/>
      <c r="LPA2019" s="349"/>
      <c r="LPB2019" s="349"/>
      <c r="LPC2019" s="349"/>
      <c r="LPD2019" s="349"/>
      <c r="LPE2019" s="349"/>
      <c r="LPF2019" s="349"/>
      <c r="LPG2019" s="349"/>
      <c r="LPH2019" s="349"/>
      <c r="LPI2019" s="349"/>
      <c r="LPJ2019" s="349"/>
      <c r="LPK2019" s="349"/>
      <c r="LPL2019" s="349"/>
      <c r="LPM2019" s="349"/>
      <c r="LPN2019" s="349"/>
      <c r="LPO2019" s="349"/>
      <c r="LPP2019" s="349"/>
      <c r="LPQ2019" s="349"/>
      <c r="LPR2019" s="349"/>
      <c r="LPS2019" s="349"/>
      <c r="LPT2019" s="349"/>
      <c r="LPU2019" s="349"/>
      <c r="LPV2019" s="349"/>
      <c r="LPW2019" s="349"/>
      <c r="LPX2019" s="349"/>
      <c r="LPY2019" s="349"/>
      <c r="LPZ2019" s="349"/>
      <c r="LQA2019" s="349"/>
      <c r="LQB2019" s="349"/>
      <c r="LQC2019" s="349"/>
      <c r="LQD2019" s="349"/>
      <c r="LQE2019" s="349"/>
      <c r="LQF2019" s="349"/>
      <c r="LQG2019" s="349"/>
      <c r="LQH2019" s="349"/>
      <c r="LQI2019" s="349"/>
      <c r="LQJ2019" s="349"/>
      <c r="LQK2019" s="349"/>
      <c r="LQL2019" s="349"/>
      <c r="LQM2019" s="349"/>
      <c r="LQN2019" s="349"/>
      <c r="LQO2019" s="349"/>
      <c r="LQP2019" s="349"/>
      <c r="LQQ2019" s="349"/>
      <c r="LQR2019" s="349"/>
      <c r="LQS2019" s="349"/>
      <c r="LQT2019" s="349"/>
      <c r="LQU2019" s="349"/>
      <c r="LQV2019" s="349"/>
      <c r="LQW2019" s="349"/>
      <c r="LQX2019" s="349"/>
      <c r="LQY2019" s="349"/>
      <c r="LQZ2019" s="349"/>
      <c r="LRA2019" s="349"/>
      <c r="LRB2019" s="349"/>
      <c r="LRC2019" s="349"/>
      <c r="LRD2019" s="349"/>
      <c r="LRE2019" s="349"/>
      <c r="LRF2019" s="349"/>
      <c r="LRG2019" s="349"/>
      <c r="LRH2019" s="349"/>
      <c r="LRI2019" s="349"/>
      <c r="LRJ2019" s="349"/>
      <c r="LRK2019" s="349"/>
      <c r="LRL2019" s="349"/>
      <c r="LRM2019" s="349"/>
      <c r="LRN2019" s="349"/>
      <c r="LRO2019" s="349"/>
      <c r="LRP2019" s="349"/>
      <c r="LRQ2019" s="349"/>
      <c r="LRR2019" s="349"/>
      <c r="LRS2019" s="349"/>
      <c r="LRT2019" s="349"/>
      <c r="LRU2019" s="349"/>
      <c r="LRV2019" s="349"/>
      <c r="LRW2019" s="349"/>
      <c r="LRX2019" s="349"/>
      <c r="LRY2019" s="349"/>
      <c r="LRZ2019" s="349"/>
      <c r="LSA2019" s="349"/>
      <c r="LSB2019" s="349"/>
      <c r="LSC2019" s="349"/>
      <c r="LSD2019" s="349"/>
      <c r="LSE2019" s="349"/>
      <c r="LSF2019" s="349"/>
      <c r="LSG2019" s="349"/>
      <c r="LSH2019" s="349"/>
      <c r="LSI2019" s="349"/>
      <c r="LSJ2019" s="349"/>
      <c r="LSK2019" s="349"/>
      <c r="LSL2019" s="349"/>
      <c r="LSM2019" s="349"/>
      <c r="LSN2019" s="349"/>
      <c r="LSO2019" s="349"/>
      <c r="LSP2019" s="349"/>
      <c r="LSQ2019" s="349"/>
      <c r="LSR2019" s="349"/>
      <c r="LSS2019" s="349"/>
      <c r="LST2019" s="349"/>
      <c r="LSU2019" s="349"/>
      <c r="LSV2019" s="349"/>
      <c r="LSW2019" s="349"/>
      <c r="LSX2019" s="349"/>
      <c r="LSY2019" s="349"/>
      <c r="LSZ2019" s="349"/>
      <c r="LTA2019" s="349"/>
      <c r="LTB2019" s="349"/>
      <c r="LTC2019" s="349"/>
      <c r="LTD2019" s="349"/>
      <c r="LTE2019" s="349"/>
      <c r="LTF2019" s="349"/>
      <c r="LTG2019" s="349"/>
      <c r="LTH2019" s="349"/>
      <c r="LTI2019" s="349"/>
      <c r="LTJ2019" s="349"/>
      <c r="LTK2019" s="349"/>
      <c r="LTL2019" s="349"/>
      <c r="LTM2019" s="349"/>
      <c r="LTN2019" s="349"/>
      <c r="LTO2019" s="349"/>
      <c r="LTP2019" s="349"/>
      <c r="LTQ2019" s="349"/>
      <c r="LTR2019" s="349"/>
      <c r="LTS2019" s="349"/>
      <c r="LTT2019" s="349"/>
      <c r="LTU2019" s="349"/>
      <c r="LTV2019" s="349"/>
      <c r="LTW2019" s="349"/>
      <c r="LTX2019" s="349"/>
      <c r="LTY2019" s="349"/>
      <c r="LTZ2019" s="349"/>
      <c r="LUA2019" s="349"/>
      <c r="LUB2019" s="349"/>
      <c r="LUC2019" s="349"/>
      <c r="LUD2019" s="349"/>
      <c r="LUE2019" s="349"/>
      <c r="LUF2019" s="349"/>
      <c r="LUG2019" s="349"/>
      <c r="LUH2019" s="349"/>
      <c r="LUI2019" s="349"/>
      <c r="LUJ2019" s="349"/>
      <c r="LUK2019" s="349"/>
      <c r="LUL2019" s="349"/>
      <c r="LUM2019" s="349"/>
      <c r="LUN2019" s="349"/>
      <c r="LUO2019" s="349"/>
      <c r="LUP2019" s="349"/>
      <c r="LUQ2019" s="349"/>
      <c r="LUR2019" s="349"/>
      <c r="LUS2019" s="349"/>
      <c r="LUT2019" s="349"/>
      <c r="LUU2019" s="349"/>
      <c r="LUV2019" s="349"/>
      <c r="LUW2019" s="349"/>
      <c r="LUX2019" s="349"/>
      <c r="LUY2019" s="349"/>
      <c r="LUZ2019" s="349"/>
      <c r="LVA2019" s="349"/>
      <c r="LVB2019" s="349"/>
      <c r="LVC2019" s="349"/>
      <c r="LVD2019" s="349"/>
      <c r="LVE2019" s="349"/>
      <c r="LVF2019" s="349"/>
      <c r="LVG2019" s="349"/>
      <c r="LVH2019" s="349"/>
      <c r="LVI2019" s="349"/>
      <c r="LVJ2019" s="349"/>
      <c r="LVK2019" s="349"/>
      <c r="LVL2019" s="349"/>
      <c r="LVM2019" s="349"/>
      <c r="LVN2019" s="349"/>
      <c r="LVO2019" s="349"/>
      <c r="LVP2019" s="349"/>
      <c r="LVQ2019" s="349"/>
      <c r="LVR2019" s="349"/>
      <c r="LVS2019" s="349"/>
      <c r="LVT2019" s="349"/>
      <c r="LVU2019" s="349"/>
      <c r="LVV2019" s="349"/>
      <c r="LVW2019" s="349"/>
      <c r="LVX2019" s="349"/>
      <c r="LVY2019" s="349"/>
      <c r="LVZ2019" s="349"/>
      <c r="LWA2019" s="349"/>
      <c r="LWB2019" s="349"/>
      <c r="LWC2019" s="349"/>
      <c r="LWD2019" s="349"/>
      <c r="LWE2019" s="349"/>
      <c r="LWF2019" s="349"/>
      <c r="LWG2019" s="349"/>
      <c r="LWH2019" s="349"/>
      <c r="LWI2019" s="349"/>
      <c r="LWJ2019" s="349"/>
      <c r="LWK2019" s="349"/>
      <c r="LWL2019" s="349"/>
      <c r="LWM2019" s="349"/>
      <c r="LWN2019" s="349"/>
      <c r="LWO2019" s="349"/>
      <c r="LWP2019" s="349"/>
      <c r="LWQ2019" s="349"/>
      <c r="LWR2019" s="349"/>
      <c r="LWS2019" s="349"/>
      <c r="LWT2019" s="349"/>
      <c r="LWU2019" s="349"/>
      <c r="LWV2019" s="349"/>
      <c r="LWW2019" s="349"/>
      <c r="LWX2019" s="349"/>
      <c r="LWY2019" s="349"/>
      <c r="LWZ2019" s="349"/>
      <c r="LXA2019" s="349"/>
      <c r="LXB2019" s="349"/>
      <c r="LXC2019" s="349"/>
      <c r="LXD2019" s="349"/>
      <c r="LXE2019" s="349"/>
      <c r="LXF2019" s="349"/>
      <c r="LXG2019" s="349"/>
      <c r="LXH2019" s="349"/>
      <c r="LXI2019" s="349"/>
      <c r="LXJ2019" s="349"/>
      <c r="LXK2019" s="349"/>
      <c r="LXL2019" s="349"/>
      <c r="LXM2019" s="349"/>
      <c r="LXN2019" s="349"/>
      <c r="LXO2019" s="349"/>
      <c r="LXP2019" s="349"/>
      <c r="LXQ2019" s="349"/>
      <c r="LXR2019" s="349"/>
      <c r="LXS2019" s="349"/>
      <c r="LXT2019" s="349"/>
      <c r="LXU2019" s="349"/>
      <c r="LXV2019" s="349"/>
      <c r="LXW2019" s="349"/>
      <c r="LXX2019" s="349"/>
      <c r="LXY2019" s="349"/>
      <c r="LXZ2019" s="349"/>
      <c r="LYA2019" s="349"/>
      <c r="LYB2019" s="349"/>
      <c r="LYC2019" s="349"/>
      <c r="LYD2019" s="349"/>
      <c r="LYE2019" s="349"/>
      <c r="LYF2019" s="349"/>
      <c r="LYG2019" s="349"/>
      <c r="LYH2019" s="349"/>
      <c r="LYI2019" s="349"/>
      <c r="LYJ2019" s="349"/>
      <c r="LYK2019" s="349"/>
      <c r="LYL2019" s="349"/>
      <c r="LYM2019" s="349"/>
      <c r="LYN2019" s="349"/>
      <c r="LYO2019" s="349"/>
      <c r="LYP2019" s="349"/>
      <c r="LYQ2019" s="349"/>
      <c r="LYR2019" s="349"/>
      <c r="LYS2019" s="349"/>
      <c r="LYT2019" s="349"/>
      <c r="LYU2019" s="349"/>
      <c r="LYV2019" s="349"/>
      <c r="LYW2019" s="349"/>
      <c r="LYX2019" s="349"/>
      <c r="LYY2019" s="349"/>
      <c r="LYZ2019" s="349"/>
      <c r="LZA2019" s="349"/>
      <c r="LZB2019" s="349"/>
      <c r="LZC2019" s="349"/>
      <c r="LZD2019" s="349"/>
      <c r="LZE2019" s="349"/>
      <c r="LZF2019" s="349"/>
      <c r="LZG2019" s="349"/>
      <c r="LZH2019" s="349"/>
      <c r="LZI2019" s="349"/>
      <c r="LZJ2019" s="349"/>
      <c r="LZK2019" s="349"/>
      <c r="LZL2019" s="349"/>
      <c r="LZM2019" s="349"/>
      <c r="LZN2019" s="349"/>
      <c r="LZO2019" s="349"/>
      <c r="LZP2019" s="349"/>
      <c r="LZQ2019" s="349"/>
      <c r="LZR2019" s="349"/>
      <c r="LZS2019" s="349"/>
      <c r="LZT2019" s="349"/>
      <c r="LZU2019" s="349"/>
      <c r="LZV2019" s="349"/>
      <c r="LZW2019" s="349"/>
      <c r="LZX2019" s="349"/>
      <c r="LZY2019" s="349"/>
      <c r="LZZ2019" s="349"/>
      <c r="MAA2019" s="349"/>
      <c r="MAB2019" s="349"/>
      <c r="MAC2019" s="349"/>
      <c r="MAD2019" s="349"/>
      <c r="MAE2019" s="349"/>
      <c r="MAF2019" s="349"/>
      <c r="MAG2019" s="349"/>
      <c r="MAH2019" s="349"/>
      <c r="MAI2019" s="349"/>
      <c r="MAJ2019" s="349"/>
      <c r="MAK2019" s="349"/>
      <c r="MAL2019" s="349"/>
      <c r="MAM2019" s="349"/>
      <c r="MAN2019" s="349"/>
      <c r="MAO2019" s="349"/>
      <c r="MAP2019" s="349"/>
      <c r="MAQ2019" s="349"/>
      <c r="MAR2019" s="349"/>
      <c r="MAS2019" s="349"/>
      <c r="MAT2019" s="349"/>
      <c r="MAU2019" s="349"/>
      <c r="MAV2019" s="349"/>
      <c r="MAW2019" s="349"/>
      <c r="MAX2019" s="349"/>
      <c r="MAY2019" s="349"/>
      <c r="MAZ2019" s="349"/>
      <c r="MBA2019" s="349"/>
      <c r="MBB2019" s="349"/>
      <c r="MBC2019" s="349"/>
      <c r="MBD2019" s="349"/>
      <c r="MBE2019" s="349"/>
      <c r="MBF2019" s="349"/>
      <c r="MBG2019" s="349"/>
      <c r="MBH2019" s="349"/>
      <c r="MBI2019" s="349"/>
      <c r="MBJ2019" s="349"/>
      <c r="MBK2019" s="349"/>
      <c r="MBL2019" s="349"/>
      <c r="MBM2019" s="349"/>
      <c r="MBN2019" s="349"/>
      <c r="MBO2019" s="349"/>
      <c r="MBP2019" s="349"/>
      <c r="MBQ2019" s="349"/>
      <c r="MBR2019" s="349"/>
      <c r="MBS2019" s="349"/>
      <c r="MBT2019" s="349"/>
      <c r="MBU2019" s="349"/>
      <c r="MBV2019" s="349"/>
      <c r="MBW2019" s="349"/>
      <c r="MBX2019" s="349"/>
      <c r="MBY2019" s="349"/>
      <c r="MBZ2019" s="349"/>
      <c r="MCA2019" s="349"/>
      <c r="MCB2019" s="349"/>
      <c r="MCC2019" s="349"/>
      <c r="MCD2019" s="349"/>
      <c r="MCE2019" s="349"/>
      <c r="MCF2019" s="349"/>
      <c r="MCG2019" s="349"/>
      <c r="MCH2019" s="349"/>
      <c r="MCI2019" s="349"/>
      <c r="MCJ2019" s="349"/>
      <c r="MCK2019" s="349"/>
      <c r="MCL2019" s="349"/>
      <c r="MCM2019" s="349"/>
      <c r="MCN2019" s="349"/>
      <c r="MCO2019" s="349"/>
      <c r="MCP2019" s="349"/>
      <c r="MCQ2019" s="349"/>
      <c r="MCR2019" s="349"/>
      <c r="MCS2019" s="349"/>
      <c r="MCT2019" s="349"/>
      <c r="MCU2019" s="349"/>
      <c r="MCV2019" s="349"/>
      <c r="MCW2019" s="349"/>
      <c r="MCX2019" s="349"/>
      <c r="MCY2019" s="349"/>
      <c r="MCZ2019" s="349"/>
      <c r="MDA2019" s="349"/>
      <c r="MDB2019" s="349"/>
      <c r="MDC2019" s="349"/>
      <c r="MDD2019" s="349"/>
      <c r="MDE2019" s="349"/>
      <c r="MDF2019" s="349"/>
      <c r="MDG2019" s="349"/>
      <c r="MDH2019" s="349"/>
      <c r="MDI2019" s="349"/>
      <c r="MDJ2019" s="349"/>
      <c r="MDK2019" s="349"/>
      <c r="MDL2019" s="349"/>
      <c r="MDM2019" s="349"/>
      <c r="MDN2019" s="349"/>
      <c r="MDO2019" s="349"/>
      <c r="MDP2019" s="349"/>
      <c r="MDQ2019" s="349"/>
      <c r="MDR2019" s="349"/>
      <c r="MDS2019" s="349"/>
      <c r="MDT2019" s="349"/>
      <c r="MDU2019" s="349"/>
      <c r="MDV2019" s="349"/>
      <c r="MDW2019" s="349"/>
      <c r="MDX2019" s="349"/>
      <c r="MDY2019" s="349"/>
      <c r="MDZ2019" s="349"/>
      <c r="MEA2019" s="349"/>
      <c r="MEB2019" s="349"/>
      <c r="MEC2019" s="349"/>
      <c r="MED2019" s="349"/>
      <c r="MEE2019" s="349"/>
      <c r="MEF2019" s="349"/>
      <c r="MEG2019" s="349"/>
      <c r="MEH2019" s="349"/>
      <c r="MEI2019" s="349"/>
      <c r="MEJ2019" s="349"/>
      <c r="MEK2019" s="349"/>
      <c r="MEL2019" s="349"/>
      <c r="MEM2019" s="349"/>
      <c r="MEN2019" s="349"/>
      <c r="MEO2019" s="349"/>
      <c r="MEP2019" s="349"/>
      <c r="MEQ2019" s="349"/>
      <c r="MER2019" s="349"/>
      <c r="MES2019" s="349"/>
      <c r="MET2019" s="349"/>
      <c r="MEU2019" s="349"/>
      <c r="MEV2019" s="349"/>
      <c r="MEW2019" s="349"/>
      <c r="MEX2019" s="349"/>
      <c r="MEY2019" s="349"/>
      <c r="MEZ2019" s="349"/>
      <c r="MFA2019" s="349"/>
      <c r="MFB2019" s="349"/>
      <c r="MFC2019" s="349"/>
      <c r="MFD2019" s="349"/>
      <c r="MFE2019" s="349"/>
      <c r="MFF2019" s="349"/>
      <c r="MFG2019" s="349"/>
      <c r="MFH2019" s="349"/>
      <c r="MFI2019" s="349"/>
      <c r="MFJ2019" s="349"/>
      <c r="MFK2019" s="349"/>
      <c r="MFL2019" s="349"/>
      <c r="MFM2019" s="349"/>
      <c r="MFN2019" s="349"/>
      <c r="MFO2019" s="349"/>
      <c r="MFP2019" s="349"/>
      <c r="MFQ2019" s="349"/>
      <c r="MFR2019" s="349"/>
      <c r="MFS2019" s="349"/>
      <c r="MFT2019" s="349"/>
      <c r="MFU2019" s="349"/>
      <c r="MFV2019" s="349"/>
      <c r="MFW2019" s="349"/>
      <c r="MFX2019" s="349"/>
      <c r="MFY2019" s="349"/>
      <c r="MFZ2019" s="349"/>
      <c r="MGA2019" s="349"/>
      <c r="MGB2019" s="349"/>
      <c r="MGC2019" s="349"/>
      <c r="MGD2019" s="349"/>
      <c r="MGE2019" s="349"/>
      <c r="MGF2019" s="349"/>
      <c r="MGG2019" s="349"/>
      <c r="MGH2019" s="349"/>
      <c r="MGI2019" s="349"/>
      <c r="MGJ2019" s="349"/>
      <c r="MGK2019" s="349"/>
      <c r="MGL2019" s="349"/>
      <c r="MGM2019" s="349"/>
      <c r="MGN2019" s="349"/>
      <c r="MGO2019" s="349"/>
      <c r="MGP2019" s="349"/>
      <c r="MGQ2019" s="349"/>
      <c r="MGR2019" s="349"/>
      <c r="MGS2019" s="349"/>
      <c r="MGT2019" s="349"/>
      <c r="MGU2019" s="349"/>
      <c r="MGV2019" s="349"/>
      <c r="MGW2019" s="349"/>
      <c r="MGX2019" s="349"/>
      <c r="MGY2019" s="349"/>
      <c r="MGZ2019" s="349"/>
      <c r="MHA2019" s="349"/>
      <c r="MHB2019" s="349"/>
      <c r="MHC2019" s="349"/>
      <c r="MHD2019" s="349"/>
      <c r="MHE2019" s="349"/>
      <c r="MHF2019" s="349"/>
      <c r="MHG2019" s="349"/>
      <c r="MHH2019" s="349"/>
      <c r="MHI2019" s="349"/>
      <c r="MHJ2019" s="349"/>
      <c r="MHK2019" s="349"/>
      <c r="MHL2019" s="349"/>
      <c r="MHM2019" s="349"/>
      <c r="MHN2019" s="349"/>
      <c r="MHO2019" s="349"/>
      <c r="MHP2019" s="349"/>
      <c r="MHQ2019" s="349"/>
      <c r="MHR2019" s="349"/>
      <c r="MHS2019" s="349"/>
      <c r="MHT2019" s="349"/>
      <c r="MHU2019" s="349"/>
      <c r="MHV2019" s="349"/>
      <c r="MHW2019" s="349"/>
      <c r="MHX2019" s="349"/>
      <c r="MHY2019" s="349"/>
      <c r="MHZ2019" s="349"/>
      <c r="MIA2019" s="349"/>
      <c r="MIB2019" s="349"/>
      <c r="MIC2019" s="349"/>
      <c r="MID2019" s="349"/>
      <c r="MIE2019" s="349"/>
      <c r="MIF2019" s="349"/>
      <c r="MIG2019" s="349"/>
      <c r="MIH2019" s="349"/>
      <c r="MII2019" s="349"/>
      <c r="MIJ2019" s="349"/>
      <c r="MIK2019" s="349"/>
      <c r="MIL2019" s="349"/>
      <c r="MIM2019" s="349"/>
      <c r="MIN2019" s="349"/>
      <c r="MIO2019" s="349"/>
      <c r="MIP2019" s="349"/>
      <c r="MIQ2019" s="349"/>
      <c r="MIR2019" s="349"/>
      <c r="MIS2019" s="349"/>
      <c r="MIT2019" s="349"/>
      <c r="MIU2019" s="349"/>
      <c r="MIV2019" s="349"/>
      <c r="MIW2019" s="349"/>
      <c r="MIX2019" s="349"/>
      <c r="MIY2019" s="349"/>
      <c r="MIZ2019" s="349"/>
      <c r="MJA2019" s="349"/>
      <c r="MJB2019" s="349"/>
      <c r="MJC2019" s="349"/>
      <c r="MJD2019" s="349"/>
      <c r="MJE2019" s="349"/>
      <c r="MJF2019" s="349"/>
      <c r="MJG2019" s="349"/>
      <c r="MJH2019" s="349"/>
      <c r="MJI2019" s="349"/>
      <c r="MJJ2019" s="349"/>
      <c r="MJK2019" s="349"/>
      <c r="MJL2019" s="349"/>
      <c r="MJM2019" s="349"/>
      <c r="MJN2019" s="349"/>
      <c r="MJO2019" s="349"/>
      <c r="MJP2019" s="349"/>
      <c r="MJQ2019" s="349"/>
      <c r="MJR2019" s="349"/>
      <c r="MJS2019" s="349"/>
      <c r="MJT2019" s="349"/>
      <c r="MJU2019" s="349"/>
      <c r="MJV2019" s="349"/>
      <c r="MJW2019" s="349"/>
      <c r="MJX2019" s="349"/>
      <c r="MJY2019" s="349"/>
      <c r="MJZ2019" s="349"/>
      <c r="MKA2019" s="349"/>
      <c r="MKB2019" s="349"/>
      <c r="MKC2019" s="349"/>
      <c r="MKD2019" s="349"/>
      <c r="MKE2019" s="349"/>
      <c r="MKF2019" s="349"/>
      <c r="MKG2019" s="349"/>
      <c r="MKH2019" s="349"/>
      <c r="MKI2019" s="349"/>
      <c r="MKJ2019" s="349"/>
      <c r="MKK2019" s="349"/>
      <c r="MKL2019" s="349"/>
      <c r="MKM2019" s="349"/>
      <c r="MKN2019" s="349"/>
      <c r="MKO2019" s="349"/>
      <c r="MKP2019" s="349"/>
      <c r="MKQ2019" s="349"/>
      <c r="MKR2019" s="349"/>
      <c r="MKS2019" s="349"/>
      <c r="MKT2019" s="349"/>
      <c r="MKU2019" s="349"/>
      <c r="MKV2019" s="349"/>
      <c r="MKW2019" s="349"/>
      <c r="MKX2019" s="349"/>
      <c r="MKY2019" s="349"/>
      <c r="MKZ2019" s="349"/>
      <c r="MLA2019" s="349"/>
      <c r="MLB2019" s="349"/>
      <c r="MLC2019" s="349"/>
      <c r="MLD2019" s="349"/>
      <c r="MLE2019" s="349"/>
      <c r="MLF2019" s="349"/>
      <c r="MLG2019" s="349"/>
      <c r="MLH2019" s="349"/>
      <c r="MLI2019" s="349"/>
      <c r="MLJ2019" s="349"/>
      <c r="MLK2019" s="349"/>
      <c r="MLL2019" s="349"/>
      <c r="MLM2019" s="349"/>
      <c r="MLN2019" s="349"/>
      <c r="MLO2019" s="349"/>
      <c r="MLP2019" s="349"/>
      <c r="MLQ2019" s="349"/>
      <c r="MLR2019" s="349"/>
      <c r="MLS2019" s="349"/>
      <c r="MLT2019" s="349"/>
      <c r="MLU2019" s="349"/>
      <c r="MLV2019" s="349"/>
      <c r="MLW2019" s="349"/>
      <c r="MLX2019" s="349"/>
      <c r="MLY2019" s="349"/>
      <c r="MLZ2019" s="349"/>
      <c r="MMA2019" s="349"/>
      <c r="MMB2019" s="349"/>
      <c r="MMC2019" s="349"/>
      <c r="MMD2019" s="349"/>
      <c r="MME2019" s="349"/>
      <c r="MMF2019" s="349"/>
      <c r="MMG2019" s="349"/>
      <c r="MMH2019" s="349"/>
      <c r="MMI2019" s="349"/>
      <c r="MMJ2019" s="349"/>
      <c r="MMK2019" s="349"/>
      <c r="MML2019" s="349"/>
      <c r="MMM2019" s="349"/>
      <c r="MMN2019" s="349"/>
      <c r="MMO2019" s="349"/>
      <c r="MMP2019" s="349"/>
      <c r="MMQ2019" s="349"/>
      <c r="MMR2019" s="349"/>
      <c r="MMS2019" s="349"/>
      <c r="MMT2019" s="349"/>
      <c r="MMU2019" s="349"/>
      <c r="MMV2019" s="349"/>
      <c r="MMW2019" s="349"/>
      <c r="MMX2019" s="349"/>
      <c r="MMY2019" s="349"/>
      <c r="MMZ2019" s="349"/>
      <c r="MNA2019" s="349"/>
      <c r="MNB2019" s="349"/>
      <c r="MNC2019" s="349"/>
      <c r="MND2019" s="349"/>
      <c r="MNE2019" s="349"/>
      <c r="MNF2019" s="349"/>
      <c r="MNG2019" s="349"/>
      <c r="MNH2019" s="349"/>
      <c r="MNI2019" s="349"/>
      <c r="MNJ2019" s="349"/>
      <c r="MNK2019" s="349"/>
      <c r="MNL2019" s="349"/>
      <c r="MNM2019" s="349"/>
      <c r="MNN2019" s="349"/>
      <c r="MNO2019" s="349"/>
      <c r="MNP2019" s="349"/>
      <c r="MNQ2019" s="349"/>
      <c r="MNR2019" s="349"/>
      <c r="MNS2019" s="349"/>
      <c r="MNT2019" s="349"/>
      <c r="MNU2019" s="349"/>
      <c r="MNV2019" s="349"/>
      <c r="MNW2019" s="349"/>
      <c r="MNX2019" s="349"/>
      <c r="MNY2019" s="349"/>
      <c r="MNZ2019" s="349"/>
      <c r="MOA2019" s="349"/>
      <c r="MOB2019" s="349"/>
      <c r="MOC2019" s="349"/>
      <c r="MOD2019" s="349"/>
      <c r="MOE2019" s="349"/>
      <c r="MOF2019" s="349"/>
      <c r="MOG2019" s="349"/>
      <c r="MOH2019" s="349"/>
      <c r="MOI2019" s="349"/>
      <c r="MOJ2019" s="349"/>
      <c r="MOK2019" s="349"/>
      <c r="MOL2019" s="349"/>
      <c r="MOM2019" s="349"/>
      <c r="MON2019" s="349"/>
      <c r="MOO2019" s="349"/>
      <c r="MOP2019" s="349"/>
      <c r="MOQ2019" s="349"/>
      <c r="MOR2019" s="349"/>
      <c r="MOS2019" s="349"/>
      <c r="MOT2019" s="349"/>
      <c r="MOU2019" s="349"/>
      <c r="MOV2019" s="349"/>
      <c r="MOW2019" s="349"/>
      <c r="MOX2019" s="349"/>
      <c r="MOY2019" s="349"/>
      <c r="MOZ2019" s="349"/>
      <c r="MPA2019" s="349"/>
      <c r="MPB2019" s="349"/>
      <c r="MPC2019" s="349"/>
      <c r="MPD2019" s="349"/>
      <c r="MPE2019" s="349"/>
      <c r="MPF2019" s="349"/>
      <c r="MPG2019" s="349"/>
      <c r="MPH2019" s="349"/>
      <c r="MPI2019" s="349"/>
      <c r="MPJ2019" s="349"/>
      <c r="MPK2019" s="349"/>
      <c r="MPL2019" s="349"/>
      <c r="MPM2019" s="349"/>
      <c r="MPN2019" s="349"/>
      <c r="MPO2019" s="349"/>
      <c r="MPP2019" s="349"/>
      <c r="MPQ2019" s="349"/>
      <c r="MPR2019" s="349"/>
      <c r="MPS2019" s="349"/>
      <c r="MPT2019" s="349"/>
      <c r="MPU2019" s="349"/>
      <c r="MPV2019" s="349"/>
      <c r="MPW2019" s="349"/>
      <c r="MPX2019" s="349"/>
      <c r="MPY2019" s="349"/>
      <c r="MPZ2019" s="349"/>
      <c r="MQA2019" s="349"/>
      <c r="MQB2019" s="349"/>
      <c r="MQC2019" s="349"/>
      <c r="MQD2019" s="349"/>
      <c r="MQE2019" s="349"/>
      <c r="MQF2019" s="349"/>
      <c r="MQG2019" s="349"/>
      <c r="MQH2019" s="349"/>
      <c r="MQI2019" s="349"/>
      <c r="MQJ2019" s="349"/>
      <c r="MQK2019" s="349"/>
      <c r="MQL2019" s="349"/>
      <c r="MQM2019" s="349"/>
      <c r="MQN2019" s="349"/>
      <c r="MQO2019" s="349"/>
      <c r="MQP2019" s="349"/>
      <c r="MQQ2019" s="349"/>
      <c r="MQR2019" s="349"/>
      <c r="MQS2019" s="349"/>
      <c r="MQT2019" s="349"/>
      <c r="MQU2019" s="349"/>
      <c r="MQV2019" s="349"/>
      <c r="MQW2019" s="349"/>
      <c r="MQX2019" s="349"/>
      <c r="MQY2019" s="349"/>
      <c r="MQZ2019" s="349"/>
      <c r="MRA2019" s="349"/>
      <c r="MRB2019" s="349"/>
      <c r="MRC2019" s="349"/>
      <c r="MRD2019" s="349"/>
      <c r="MRE2019" s="349"/>
      <c r="MRF2019" s="349"/>
      <c r="MRG2019" s="349"/>
      <c r="MRH2019" s="349"/>
      <c r="MRI2019" s="349"/>
      <c r="MRJ2019" s="349"/>
      <c r="MRK2019" s="349"/>
      <c r="MRL2019" s="349"/>
      <c r="MRM2019" s="349"/>
      <c r="MRN2019" s="349"/>
      <c r="MRO2019" s="349"/>
      <c r="MRP2019" s="349"/>
      <c r="MRQ2019" s="349"/>
      <c r="MRR2019" s="349"/>
      <c r="MRS2019" s="349"/>
      <c r="MRT2019" s="349"/>
      <c r="MRU2019" s="349"/>
      <c r="MRV2019" s="349"/>
      <c r="MRW2019" s="349"/>
      <c r="MRX2019" s="349"/>
      <c r="MRY2019" s="349"/>
      <c r="MRZ2019" s="349"/>
      <c r="MSA2019" s="349"/>
      <c r="MSB2019" s="349"/>
      <c r="MSC2019" s="349"/>
      <c r="MSD2019" s="349"/>
      <c r="MSE2019" s="349"/>
      <c r="MSF2019" s="349"/>
      <c r="MSG2019" s="349"/>
      <c r="MSH2019" s="349"/>
      <c r="MSI2019" s="349"/>
      <c r="MSJ2019" s="349"/>
      <c r="MSK2019" s="349"/>
      <c r="MSL2019" s="349"/>
      <c r="MSM2019" s="349"/>
      <c r="MSN2019" s="349"/>
      <c r="MSO2019" s="349"/>
      <c r="MSP2019" s="349"/>
      <c r="MSQ2019" s="349"/>
      <c r="MSR2019" s="349"/>
      <c r="MSS2019" s="349"/>
      <c r="MST2019" s="349"/>
      <c r="MSU2019" s="349"/>
      <c r="MSV2019" s="349"/>
      <c r="MSW2019" s="349"/>
      <c r="MSX2019" s="349"/>
      <c r="MSY2019" s="349"/>
      <c r="MSZ2019" s="349"/>
      <c r="MTA2019" s="349"/>
      <c r="MTB2019" s="349"/>
      <c r="MTC2019" s="349"/>
      <c r="MTD2019" s="349"/>
      <c r="MTE2019" s="349"/>
      <c r="MTF2019" s="349"/>
      <c r="MTG2019" s="349"/>
      <c r="MTH2019" s="349"/>
      <c r="MTI2019" s="349"/>
      <c r="MTJ2019" s="349"/>
      <c r="MTK2019" s="349"/>
      <c r="MTL2019" s="349"/>
      <c r="MTM2019" s="349"/>
      <c r="MTN2019" s="349"/>
      <c r="MTO2019" s="349"/>
      <c r="MTP2019" s="349"/>
      <c r="MTQ2019" s="349"/>
      <c r="MTR2019" s="349"/>
      <c r="MTS2019" s="349"/>
      <c r="MTT2019" s="349"/>
      <c r="MTU2019" s="349"/>
      <c r="MTV2019" s="349"/>
      <c r="MTW2019" s="349"/>
      <c r="MTX2019" s="349"/>
      <c r="MTY2019" s="349"/>
      <c r="MTZ2019" s="349"/>
      <c r="MUA2019" s="349"/>
      <c r="MUB2019" s="349"/>
      <c r="MUC2019" s="349"/>
      <c r="MUD2019" s="349"/>
      <c r="MUE2019" s="349"/>
      <c r="MUF2019" s="349"/>
      <c r="MUG2019" s="349"/>
      <c r="MUH2019" s="349"/>
      <c r="MUI2019" s="349"/>
      <c r="MUJ2019" s="349"/>
      <c r="MUK2019" s="349"/>
      <c r="MUL2019" s="349"/>
      <c r="MUM2019" s="349"/>
      <c r="MUN2019" s="349"/>
      <c r="MUO2019" s="349"/>
      <c r="MUP2019" s="349"/>
      <c r="MUQ2019" s="349"/>
      <c r="MUR2019" s="349"/>
      <c r="MUS2019" s="349"/>
      <c r="MUT2019" s="349"/>
      <c r="MUU2019" s="349"/>
      <c r="MUV2019" s="349"/>
      <c r="MUW2019" s="349"/>
      <c r="MUX2019" s="349"/>
      <c r="MUY2019" s="349"/>
      <c r="MUZ2019" s="349"/>
      <c r="MVA2019" s="349"/>
      <c r="MVB2019" s="349"/>
      <c r="MVC2019" s="349"/>
      <c r="MVD2019" s="349"/>
      <c r="MVE2019" s="349"/>
      <c r="MVF2019" s="349"/>
      <c r="MVG2019" s="349"/>
      <c r="MVH2019" s="349"/>
      <c r="MVI2019" s="349"/>
      <c r="MVJ2019" s="349"/>
      <c r="MVK2019" s="349"/>
      <c r="MVL2019" s="349"/>
      <c r="MVM2019" s="349"/>
      <c r="MVN2019" s="349"/>
      <c r="MVO2019" s="349"/>
      <c r="MVP2019" s="349"/>
      <c r="MVQ2019" s="349"/>
      <c r="MVR2019" s="349"/>
      <c r="MVS2019" s="349"/>
      <c r="MVT2019" s="349"/>
      <c r="MVU2019" s="349"/>
      <c r="MVV2019" s="349"/>
      <c r="MVW2019" s="349"/>
      <c r="MVX2019" s="349"/>
      <c r="MVY2019" s="349"/>
      <c r="MVZ2019" s="349"/>
      <c r="MWA2019" s="349"/>
      <c r="MWB2019" s="349"/>
      <c r="MWC2019" s="349"/>
      <c r="MWD2019" s="349"/>
      <c r="MWE2019" s="349"/>
      <c r="MWF2019" s="349"/>
      <c r="MWG2019" s="349"/>
      <c r="MWH2019" s="349"/>
      <c r="MWI2019" s="349"/>
      <c r="MWJ2019" s="349"/>
      <c r="MWK2019" s="349"/>
      <c r="MWL2019" s="349"/>
      <c r="MWM2019" s="349"/>
      <c r="MWN2019" s="349"/>
      <c r="MWO2019" s="349"/>
      <c r="MWP2019" s="349"/>
      <c r="MWQ2019" s="349"/>
      <c r="MWR2019" s="349"/>
      <c r="MWS2019" s="349"/>
      <c r="MWT2019" s="349"/>
      <c r="MWU2019" s="349"/>
      <c r="MWV2019" s="349"/>
      <c r="MWW2019" s="349"/>
      <c r="MWX2019" s="349"/>
      <c r="MWY2019" s="349"/>
      <c r="MWZ2019" s="349"/>
      <c r="MXA2019" s="349"/>
      <c r="MXB2019" s="349"/>
      <c r="MXC2019" s="349"/>
      <c r="MXD2019" s="349"/>
      <c r="MXE2019" s="349"/>
      <c r="MXF2019" s="349"/>
      <c r="MXG2019" s="349"/>
      <c r="MXH2019" s="349"/>
      <c r="MXI2019" s="349"/>
      <c r="MXJ2019" s="349"/>
      <c r="MXK2019" s="349"/>
      <c r="MXL2019" s="349"/>
      <c r="MXM2019" s="349"/>
      <c r="MXN2019" s="349"/>
      <c r="MXO2019" s="349"/>
      <c r="MXP2019" s="349"/>
      <c r="MXQ2019" s="349"/>
      <c r="MXR2019" s="349"/>
      <c r="MXS2019" s="349"/>
      <c r="MXT2019" s="349"/>
      <c r="MXU2019" s="349"/>
      <c r="MXV2019" s="349"/>
      <c r="MXW2019" s="349"/>
      <c r="MXX2019" s="349"/>
      <c r="MXY2019" s="349"/>
      <c r="MXZ2019" s="349"/>
      <c r="MYA2019" s="349"/>
      <c r="MYB2019" s="349"/>
      <c r="MYC2019" s="349"/>
      <c r="MYD2019" s="349"/>
      <c r="MYE2019" s="349"/>
      <c r="MYF2019" s="349"/>
      <c r="MYG2019" s="349"/>
      <c r="MYH2019" s="349"/>
      <c r="MYI2019" s="349"/>
      <c r="MYJ2019" s="349"/>
      <c r="MYK2019" s="349"/>
      <c r="MYL2019" s="349"/>
      <c r="MYM2019" s="349"/>
      <c r="MYN2019" s="349"/>
      <c r="MYO2019" s="349"/>
      <c r="MYP2019" s="349"/>
      <c r="MYQ2019" s="349"/>
      <c r="MYR2019" s="349"/>
      <c r="MYS2019" s="349"/>
      <c r="MYT2019" s="349"/>
      <c r="MYU2019" s="349"/>
      <c r="MYV2019" s="349"/>
      <c r="MYW2019" s="349"/>
      <c r="MYX2019" s="349"/>
      <c r="MYY2019" s="349"/>
      <c r="MYZ2019" s="349"/>
      <c r="MZA2019" s="349"/>
      <c r="MZB2019" s="349"/>
      <c r="MZC2019" s="349"/>
      <c r="MZD2019" s="349"/>
      <c r="MZE2019" s="349"/>
      <c r="MZF2019" s="349"/>
      <c r="MZG2019" s="349"/>
      <c r="MZH2019" s="349"/>
      <c r="MZI2019" s="349"/>
      <c r="MZJ2019" s="349"/>
      <c r="MZK2019" s="349"/>
      <c r="MZL2019" s="349"/>
      <c r="MZM2019" s="349"/>
      <c r="MZN2019" s="349"/>
      <c r="MZO2019" s="349"/>
      <c r="MZP2019" s="349"/>
      <c r="MZQ2019" s="349"/>
      <c r="MZR2019" s="349"/>
      <c r="MZS2019" s="349"/>
      <c r="MZT2019" s="349"/>
      <c r="MZU2019" s="349"/>
      <c r="MZV2019" s="349"/>
      <c r="MZW2019" s="349"/>
      <c r="MZX2019" s="349"/>
      <c r="MZY2019" s="349"/>
      <c r="MZZ2019" s="349"/>
      <c r="NAA2019" s="349"/>
      <c r="NAB2019" s="349"/>
      <c r="NAC2019" s="349"/>
      <c r="NAD2019" s="349"/>
      <c r="NAE2019" s="349"/>
      <c r="NAF2019" s="349"/>
      <c r="NAG2019" s="349"/>
      <c r="NAH2019" s="349"/>
      <c r="NAI2019" s="349"/>
      <c r="NAJ2019" s="349"/>
      <c r="NAK2019" s="349"/>
      <c r="NAL2019" s="349"/>
      <c r="NAM2019" s="349"/>
      <c r="NAN2019" s="349"/>
      <c r="NAO2019" s="349"/>
      <c r="NAP2019" s="349"/>
      <c r="NAQ2019" s="349"/>
      <c r="NAR2019" s="349"/>
      <c r="NAS2019" s="349"/>
      <c r="NAT2019" s="349"/>
      <c r="NAU2019" s="349"/>
      <c r="NAV2019" s="349"/>
      <c r="NAW2019" s="349"/>
      <c r="NAX2019" s="349"/>
      <c r="NAY2019" s="349"/>
      <c r="NAZ2019" s="349"/>
      <c r="NBA2019" s="349"/>
      <c r="NBB2019" s="349"/>
      <c r="NBC2019" s="349"/>
      <c r="NBD2019" s="349"/>
      <c r="NBE2019" s="349"/>
      <c r="NBF2019" s="349"/>
      <c r="NBG2019" s="349"/>
      <c r="NBH2019" s="349"/>
      <c r="NBI2019" s="349"/>
      <c r="NBJ2019" s="349"/>
      <c r="NBK2019" s="349"/>
      <c r="NBL2019" s="349"/>
      <c r="NBM2019" s="349"/>
      <c r="NBN2019" s="349"/>
      <c r="NBO2019" s="349"/>
      <c r="NBP2019" s="349"/>
      <c r="NBQ2019" s="349"/>
      <c r="NBR2019" s="349"/>
      <c r="NBS2019" s="349"/>
      <c r="NBT2019" s="349"/>
      <c r="NBU2019" s="349"/>
      <c r="NBV2019" s="349"/>
      <c r="NBW2019" s="349"/>
      <c r="NBX2019" s="349"/>
      <c r="NBY2019" s="349"/>
      <c r="NBZ2019" s="349"/>
      <c r="NCA2019" s="349"/>
      <c r="NCB2019" s="349"/>
      <c r="NCC2019" s="349"/>
      <c r="NCD2019" s="349"/>
      <c r="NCE2019" s="349"/>
      <c r="NCF2019" s="349"/>
      <c r="NCG2019" s="349"/>
      <c r="NCH2019" s="349"/>
      <c r="NCI2019" s="349"/>
      <c r="NCJ2019" s="349"/>
      <c r="NCK2019" s="349"/>
      <c r="NCL2019" s="349"/>
      <c r="NCM2019" s="349"/>
      <c r="NCN2019" s="349"/>
      <c r="NCO2019" s="349"/>
      <c r="NCP2019" s="349"/>
      <c r="NCQ2019" s="349"/>
      <c r="NCR2019" s="349"/>
      <c r="NCS2019" s="349"/>
      <c r="NCT2019" s="349"/>
      <c r="NCU2019" s="349"/>
      <c r="NCV2019" s="349"/>
      <c r="NCW2019" s="349"/>
      <c r="NCX2019" s="349"/>
      <c r="NCY2019" s="349"/>
      <c r="NCZ2019" s="349"/>
      <c r="NDA2019" s="349"/>
      <c r="NDB2019" s="349"/>
      <c r="NDC2019" s="349"/>
      <c r="NDD2019" s="349"/>
      <c r="NDE2019" s="349"/>
      <c r="NDF2019" s="349"/>
      <c r="NDG2019" s="349"/>
      <c r="NDH2019" s="349"/>
      <c r="NDI2019" s="349"/>
      <c r="NDJ2019" s="349"/>
      <c r="NDK2019" s="349"/>
      <c r="NDL2019" s="349"/>
      <c r="NDM2019" s="349"/>
      <c r="NDN2019" s="349"/>
      <c r="NDO2019" s="349"/>
      <c r="NDP2019" s="349"/>
      <c r="NDQ2019" s="349"/>
      <c r="NDR2019" s="349"/>
      <c r="NDS2019" s="349"/>
      <c r="NDT2019" s="349"/>
      <c r="NDU2019" s="349"/>
      <c r="NDV2019" s="349"/>
      <c r="NDW2019" s="349"/>
      <c r="NDX2019" s="349"/>
      <c r="NDY2019" s="349"/>
      <c r="NDZ2019" s="349"/>
      <c r="NEA2019" s="349"/>
      <c r="NEB2019" s="349"/>
      <c r="NEC2019" s="349"/>
      <c r="NED2019" s="349"/>
      <c r="NEE2019" s="349"/>
      <c r="NEF2019" s="349"/>
      <c r="NEG2019" s="349"/>
      <c r="NEH2019" s="349"/>
      <c r="NEI2019" s="349"/>
      <c r="NEJ2019" s="349"/>
      <c r="NEK2019" s="349"/>
      <c r="NEL2019" s="349"/>
      <c r="NEM2019" s="349"/>
      <c r="NEN2019" s="349"/>
      <c r="NEO2019" s="349"/>
      <c r="NEP2019" s="349"/>
      <c r="NEQ2019" s="349"/>
      <c r="NER2019" s="349"/>
      <c r="NES2019" s="349"/>
      <c r="NET2019" s="349"/>
      <c r="NEU2019" s="349"/>
      <c r="NEV2019" s="349"/>
      <c r="NEW2019" s="349"/>
      <c r="NEX2019" s="349"/>
      <c r="NEY2019" s="349"/>
      <c r="NEZ2019" s="349"/>
      <c r="NFA2019" s="349"/>
      <c r="NFB2019" s="349"/>
      <c r="NFC2019" s="349"/>
      <c r="NFD2019" s="349"/>
      <c r="NFE2019" s="349"/>
      <c r="NFF2019" s="349"/>
      <c r="NFG2019" s="349"/>
      <c r="NFH2019" s="349"/>
      <c r="NFI2019" s="349"/>
      <c r="NFJ2019" s="349"/>
      <c r="NFK2019" s="349"/>
      <c r="NFL2019" s="349"/>
      <c r="NFM2019" s="349"/>
      <c r="NFN2019" s="349"/>
      <c r="NFO2019" s="349"/>
      <c r="NFP2019" s="349"/>
      <c r="NFQ2019" s="349"/>
      <c r="NFR2019" s="349"/>
      <c r="NFS2019" s="349"/>
      <c r="NFT2019" s="349"/>
      <c r="NFU2019" s="349"/>
      <c r="NFV2019" s="349"/>
      <c r="NFW2019" s="349"/>
      <c r="NFX2019" s="349"/>
      <c r="NFY2019" s="349"/>
      <c r="NFZ2019" s="349"/>
      <c r="NGA2019" s="349"/>
      <c r="NGB2019" s="349"/>
      <c r="NGC2019" s="349"/>
      <c r="NGD2019" s="349"/>
      <c r="NGE2019" s="349"/>
      <c r="NGF2019" s="349"/>
      <c r="NGG2019" s="349"/>
      <c r="NGH2019" s="349"/>
      <c r="NGI2019" s="349"/>
      <c r="NGJ2019" s="349"/>
      <c r="NGK2019" s="349"/>
      <c r="NGL2019" s="349"/>
      <c r="NGM2019" s="349"/>
      <c r="NGN2019" s="349"/>
      <c r="NGO2019" s="349"/>
      <c r="NGP2019" s="349"/>
      <c r="NGQ2019" s="349"/>
      <c r="NGR2019" s="349"/>
      <c r="NGS2019" s="349"/>
      <c r="NGT2019" s="349"/>
      <c r="NGU2019" s="349"/>
      <c r="NGV2019" s="349"/>
      <c r="NGW2019" s="349"/>
      <c r="NGX2019" s="349"/>
      <c r="NGY2019" s="349"/>
      <c r="NGZ2019" s="349"/>
      <c r="NHA2019" s="349"/>
      <c r="NHB2019" s="349"/>
      <c r="NHC2019" s="349"/>
      <c r="NHD2019" s="349"/>
      <c r="NHE2019" s="349"/>
      <c r="NHF2019" s="349"/>
      <c r="NHG2019" s="349"/>
      <c r="NHH2019" s="349"/>
      <c r="NHI2019" s="349"/>
      <c r="NHJ2019" s="349"/>
      <c r="NHK2019" s="349"/>
      <c r="NHL2019" s="349"/>
      <c r="NHM2019" s="349"/>
      <c r="NHN2019" s="349"/>
      <c r="NHO2019" s="349"/>
      <c r="NHP2019" s="349"/>
      <c r="NHQ2019" s="349"/>
      <c r="NHR2019" s="349"/>
      <c r="NHS2019" s="349"/>
      <c r="NHT2019" s="349"/>
      <c r="NHU2019" s="349"/>
      <c r="NHV2019" s="349"/>
      <c r="NHW2019" s="349"/>
      <c r="NHX2019" s="349"/>
      <c r="NHY2019" s="349"/>
      <c r="NHZ2019" s="349"/>
      <c r="NIA2019" s="349"/>
      <c r="NIB2019" s="349"/>
      <c r="NIC2019" s="349"/>
      <c r="NID2019" s="349"/>
      <c r="NIE2019" s="349"/>
      <c r="NIF2019" s="349"/>
      <c r="NIG2019" s="349"/>
      <c r="NIH2019" s="349"/>
      <c r="NII2019" s="349"/>
      <c r="NIJ2019" s="349"/>
      <c r="NIK2019" s="349"/>
      <c r="NIL2019" s="349"/>
      <c r="NIM2019" s="349"/>
      <c r="NIN2019" s="349"/>
      <c r="NIO2019" s="349"/>
      <c r="NIP2019" s="349"/>
      <c r="NIQ2019" s="349"/>
      <c r="NIR2019" s="349"/>
      <c r="NIS2019" s="349"/>
      <c r="NIT2019" s="349"/>
      <c r="NIU2019" s="349"/>
      <c r="NIV2019" s="349"/>
      <c r="NIW2019" s="349"/>
      <c r="NIX2019" s="349"/>
      <c r="NIY2019" s="349"/>
      <c r="NIZ2019" s="349"/>
      <c r="NJA2019" s="349"/>
      <c r="NJB2019" s="349"/>
      <c r="NJC2019" s="349"/>
      <c r="NJD2019" s="349"/>
      <c r="NJE2019" s="349"/>
      <c r="NJF2019" s="349"/>
      <c r="NJG2019" s="349"/>
      <c r="NJH2019" s="349"/>
      <c r="NJI2019" s="349"/>
      <c r="NJJ2019" s="349"/>
      <c r="NJK2019" s="349"/>
      <c r="NJL2019" s="349"/>
      <c r="NJM2019" s="349"/>
      <c r="NJN2019" s="349"/>
      <c r="NJO2019" s="349"/>
      <c r="NJP2019" s="349"/>
      <c r="NJQ2019" s="349"/>
      <c r="NJR2019" s="349"/>
      <c r="NJS2019" s="349"/>
      <c r="NJT2019" s="349"/>
      <c r="NJU2019" s="349"/>
      <c r="NJV2019" s="349"/>
      <c r="NJW2019" s="349"/>
      <c r="NJX2019" s="349"/>
      <c r="NJY2019" s="349"/>
      <c r="NJZ2019" s="349"/>
      <c r="NKA2019" s="349"/>
      <c r="NKB2019" s="349"/>
      <c r="NKC2019" s="349"/>
      <c r="NKD2019" s="349"/>
      <c r="NKE2019" s="349"/>
      <c r="NKF2019" s="349"/>
      <c r="NKG2019" s="349"/>
      <c r="NKH2019" s="349"/>
      <c r="NKI2019" s="349"/>
      <c r="NKJ2019" s="349"/>
      <c r="NKK2019" s="349"/>
      <c r="NKL2019" s="349"/>
      <c r="NKM2019" s="349"/>
      <c r="NKN2019" s="349"/>
      <c r="NKO2019" s="349"/>
      <c r="NKP2019" s="349"/>
      <c r="NKQ2019" s="349"/>
      <c r="NKR2019" s="349"/>
      <c r="NKS2019" s="349"/>
      <c r="NKT2019" s="349"/>
      <c r="NKU2019" s="349"/>
      <c r="NKV2019" s="349"/>
      <c r="NKW2019" s="349"/>
      <c r="NKX2019" s="349"/>
      <c r="NKY2019" s="349"/>
      <c r="NKZ2019" s="349"/>
      <c r="NLA2019" s="349"/>
      <c r="NLB2019" s="349"/>
      <c r="NLC2019" s="349"/>
      <c r="NLD2019" s="349"/>
      <c r="NLE2019" s="349"/>
      <c r="NLF2019" s="349"/>
      <c r="NLG2019" s="349"/>
      <c r="NLH2019" s="349"/>
      <c r="NLI2019" s="349"/>
      <c r="NLJ2019" s="349"/>
      <c r="NLK2019" s="349"/>
      <c r="NLL2019" s="349"/>
      <c r="NLM2019" s="349"/>
      <c r="NLN2019" s="349"/>
      <c r="NLO2019" s="349"/>
      <c r="NLP2019" s="349"/>
      <c r="NLQ2019" s="349"/>
      <c r="NLR2019" s="349"/>
      <c r="NLS2019" s="349"/>
      <c r="NLT2019" s="349"/>
      <c r="NLU2019" s="349"/>
      <c r="NLV2019" s="349"/>
      <c r="NLW2019" s="349"/>
      <c r="NLX2019" s="349"/>
      <c r="NLY2019" s="349"/>
      <c r="NLZ2019" s="349"/>
      <c r="NMA2019" s="349"/>
      <c r="NMB2019" s="349"/>
      <c r="NMC2019" s="349"/>
      <c r="NMD2019" s="349"/>
      <c r="NME2019" s="349"/>
      <c r="NMF2019" s="349"/>
      <c r="NMG2019" s="349"/>
      <c r="NMH2019" s="349"/>
      <c r="NMI2019" s="349"/>
      <c r="NMJ2019" s="349"/>
      <c r="NMK2019" s="349"/>
      <c r="NML2019" s="349"/>
      <c r="NMM2019" s="349"/>
      <c r="NMN2019" s="349"/>
      <c r="NMO2019" s="349"/>
      <c r="NMP2019" s="349"/>
      <c r="NMQ2019" s="349"/>
      <c r="NMR2019" s="349"/>
      <c r="NMS2019" s="349"/>
      <c r="NMT2019" s="349"/>
      <c r="NMU2019" s="349"/>
      <c r="NMV2019" s="349"/>
      <c r="NMW2019" s="349"/>
      <c r="NMX2019" s="349"/>
      <c r="NMY2019" s="349"/>
      <c r="NMZ2019" s="349"/>
      <c r="NNA2019" s="349"/>
      <c r="NNB2019" s="349"/>
      <c r="NNC2019" s="349"/>
      <c r="NND2019" s="349"/>
      <c r="NNE2019" s="349"/>
      <c r="NNF2019" s="349"/>
      <c r="NNG2019" s="349"/>
      <c r="NNH2019" s="349"/>
      <c r="NNI2019" s="349"/>
      <c r="NNJ2019" s="349"/>
      <c r="NNK2019" s="349"/>
      <c r="NNL2019" s="349"/>
      <c r="NNM2019" s="349"/>
      <c r="NNN2019" s="349"/>
      <c r="NNO2019" s="349"/>
      <c r="NNP2019" s="349"/>
      <c r="NNQ2019" s="349"/>
      <c r="NNR2019" s="349"/>
      <c r="NNS2019" s="349"/>
      <c r="NNT2019" s="349"/>
      <c r="NNU2019" s="349"/>
      <c r="NNV2019" s="349"/>
      <c r="NNW2019" s="349"/>
      <c r="NNX2019" s="349"/>
      <c r="NNY2019" s="349"/>
      <c r="NNZ2019" s="349"/>
      <c r="NOA2019" s="349"/>
      <c r="NOB2019" s="349"/>
      <c r="NOC2019" s="349"/>
      <c r="NOD2019" s="349"/>
      <c r="NOE2019" s="349"/>
      <c r="NOF2019" s="349"/>
      <c r="NOG2019" s="349"/>
      <c r="NOH2019" s="349"/>
      <c r="NOI2019" s="349"/>
      <c r="NOJ2019" s="349"/>
      <c r="NOK2019" s="349"/>
      <c r="NOL2019" s="349"/>
      <c r="NOM2019" s="349"/>
      <c r="NON2019" s="349"/>
      <c r="NOO2019" s="349"/>
      <c r="NOP2019" s="349"/>
      <c r="NOQ2019" s="349"/>
      <c r="NOR2019" s="349"/>
      <c r="NOS2019" s="349"/>
      <c r="NOT2019" s="349"/>
      <c r="NOU2019" s="349"/>
      <c r="NOV2019" s="349"/>
      <c r="NOW2019" s="349"/>
      <c r="NOX2019" s="349"/>
      <c r="NOY2019" s="349"/>
      <c r="NOZ2019" s="349"/>
      <c r="NPA2019" s="349"/>
      <c r="NPB2019" s="349"/>
      <c r="NPC2019" s="349"/>
      <c r="NPD2019" s="349"/>
      <c r="NPE2019" s="349"/>
      <c r="NPF2019" s="349"/>
      <c r="NPG2019" s="349"/>
      <c r="NPH2019" s="349"/>
      <c r="NPI2019" s="349"/>
      <c r="NPJ2019" s="349"/>
      <c r="NPK2019" s="349"/>
      <c r="NPL2019" s="349"/>
      <c r="NPM2019" s="349"/>
      <c r="NPN2019" s="349"/>
      <c r="NPO2019" s="349"/>
      <c r="NPP2019" s="349"/>
      <c r="NPQ2019" s="349"/>
      <c r="NPR2019" s="349"/>
      <c r="NPS2019" s="349"/>
      <c r="NPT2019" s="349"/>
      <c r="NPU2019" s="349"/>
      <c r="NPV2019" s="349"/>
      <c r="NPW2019" s="349"/>
      <c r="NPX2019" s="349"/>
      <c r="NPY2019" s="349"/>
      <c r="NPZ2019" s="349"/>
      <c r="NQA2019" s="349"/>
      <c r="NQB2019" s="349"/>
      <c r="NQC2019" s="349"/>
      <c r="NQD2019" s="349"/>
      <c r="NQE2019" s="349"/>
      <c r="NQF2019" s="349"/>
      <c r="NQG2019" s="349"/>
      <c r="NQH2019" s="349"/>
      <c r="NQI2019" s="349"/>
      <c r="NQJ2019" s="349"/>
      <c r="NQK2019" s="349"/>
      <c r="NQL2019" s="349"/>
      <c r="NQM2019" s="349"/>
      <c r="NQN2019" s="349"/>
      <c r="NQO2019" s="349"/>
      <c r="NQP2019" s="349"/>
      <c r="NQQ2019" s="349"/>
      <c r="NQR2019" s="349"/>
      <c r="NQS2019" s="349"/>
      <c r="NQT2019" s="349"/>
      <c r="NQU2019" s="349"/>
      <c r="NQV2019" s="349"/>
      <c r="NQW2019" s="349"/>
      <c r="NQX2019" s="349"/>
      <c r="NQY2019" s="349"/>
      <c r="NQZ2019" s="349"/>
      <c r="NRA2019" s="349"/>
      <c r="NRB2019" s="349"/>
      <c r="NRC2019" s="349"/>
      <c r="NRD2019" s="349"/>
      <c r="NRE2019" s="349"/>
      <c r="NRF2019" s="349"/>
      <c r="NRG2019" s="349"/>
      <c r="NRH2019" s="349"/>
      <c r="NRI2019" s="349"/>
      <c r="NRJ2019" s="349"/>
      <c r="NRK2019" s="349"/>
      <c r="NRL2019" s="349"/>
      <c r="NRM2019" s="349"/>
      <c r="NRN2019" s="349"/>
      <c r="NRO2019" s="349"/>
      <c r="NRP2019" s="349"/>
      <c r="NRQ2019" s="349"/>
      <c r="NRR2019" s="349"/>
      <c r="NRS2019" s="349"/>
      <c r="NRT2019" s="349"/>
      <c r="NRU2019" s="349"/>
      <c r="NRV2019" s="349"/>
      <c r="NRW2019" s="349"/>
      <c r="NRX2019" s="349"/>
      <c r="NRY2019" s="349"/>
      <c r="NRZ2019" s="349"/>
      <c r="NSA2019" s="349"/>
      <c r="NSB2019" s="349"/>
      <c r="NSC2019" s="349"/>
      <c r="NSD2019" s="349"/>
      <c r="NSE2019" s="349"/>
      <c r="NSF2019" s="349"/>
      <c r="NSG2019" s="349"/>
      <c r="NSH2019" s="349"/>
      <c r="NSI2019" s="349"/>
      <c r="NSJ2019" s="349"/>
      <c r="NSK2019" s="349"/>
      <c r="NSL2019" s="349"/>
      <c r="NSM2019" s="349"/>
      <c r="NSN2019" s="349"/>
      <c r="NSO2019" s="349"/>
      <c r="NSP2019" s="349"/>
      <c r="NSQ2019" s="349"/>
      <c r="NSR2019" s="349"/>
      <c r="NSS2019" s="349"/>
      <c r="NST2019" s="349"/>
      <c r="NSU2019" s="349"/>
      <c r="NSV2019" s="349"/>
      <c r="NSW2019" s="349"/>
      <c r="NSX2019" s="349"/>
      <c r="NSY2019" s="349"/>
      <c r="NSZ2019" s="349"/>
      <c r="NTA2019" s="349"/>
      <c r="NTB2019" s="349"/>
      <c r="NTC2019" s="349"/>
      <c r="NTD2019" s="349"/>
      <c r="NTE2019" s="349"/>
      <c r="NTF2019" s="349"/>
      <c r="NTG2019" s="349"/>
      <c r="NTH2019" s="349"/>
      <c r="NTI2019" s="349"/>
      <c r="NTJ2019" s="349"/>
      <c r="NTK2019" s="349"/>
      <c r="NTL2019" s="349"/>
      <c r="NTM2019" s="349"/>
      <c r="NTN2019" s="349"/>
      <c r="NTO2019" s="349"/>
      <c r="NTP2019" s="349"/>
      <c r="NTQ2019" s="349"/>
      <c r="NTR2019" s="349"/>
      <c r="NTS2019" s="349"/>
      <c r="NTT2019" s="349"/>
      <c r="NTU2019" s="349"/>
      <c r="NTV2019" s="349"/>
      <c r="NTW2019" s="349"/>
      <c r="NTX2019" s="349"/>
      <c r="NTY2019" s="349"/>
      <c r="NTZ2019" s="349"/>
      <c r="NUA2019" s="349"/>
      <c r="NUB2019" s="349"/>
      <c r="NUC2019" s="349"/>
      <c r="NUD2019" s="349"/>
      <c r="NUE2019" s="349"/>
      <c r="NUF2019" s="349"/>
      <c r="NUG2019" s="349"/>
      <c r="NUH2019" s="349"/>
      <c r="NUI2019" s="349"/>
      <c r="NUJ2019" s="349"/>
      <c r="NUK2019" s="349"/>
      <c r="NUL2019" s="349"/>
      <c r="NUM2019" s="349"/>
      <c r="NUN2019" s="349"/>
      <c r="NUO2019" s="349"/>
      <c r="NUP2019" s="349"/>
      <c r="NUQ2019" s="349"/>
      <c r="NUR2019" s="349"/>
      <c r="NUS2019" s="349"/>
      <c r="NUT2019" s="349"/>
      <c r="NUU2019" s="349"/>
      <c r="NUV2019" s="349"/>
      <c r="NUW2019" s="349"/>
      <c r="NUX2019" s="349"/>
      <c r="NUY2019" s="349"/>
      <c r="NUZ2019" s="349"/>
      <c r="NVA2019" s="349"/>
      <c r="NVB2019" s="349"/>
      <c r="NVC2019" s="349"/>
      <c r="NVD2019" s="349"/>
      <c r="NVE2019" s="349"/>
      <c r="NVF2019" s="349"/>
      <c r="NVG2019" s="349"/>
      <c r="NVH2019" s="349"/>
      <c r="NVI2019" s="349"/>
      <c r="NVJ2019" s="349"/>
      <c r="NVK2019" s="349"/>
      <c r="NVL2019" s="349"/>
      <c r="NVM2019" s="349"/>
      <c r="NVN2019" s="349"/>
      <c r="NVO2019" s="349"/>
      <c r="NVP2019" s="349"/>
      <c r="NVQ2019" s="349"/>
      <c r="NVR2019" s="349"/>
      <c r="NVS2019" s="349"/>
      <c r="NVT2019" s="349"/>
      <c r="NVU2019" s="349"/>
      <c r="NVV2019" s="349"/>
      <c r="NVW2019" s="349"/>
      <c r="NVX2019" s="349"/>
      <c r="NVY2019" s="349"/>
      <c r="NVZ2019" s="349"/>
      <c r="NWA2019" s="349"/>
      <c r="NWB2019" s="349"/>
      <c r="NWC2019" s="349"/>
      <c r="NWD2019" s="349"/>
      <c r="NWE2019" s="349"/>
      <c r="NWF2019" s="349"/>
      <c r="NWG2019" s="349"/>
      <c r="NWH2019" s="349"/>
      <c r="NWI2019" s="349"/>
      <c r="NWJ2019" s="349"/>
      <c r="NWK2019" s="349"/>
      <c r="NWL2019" s="349"/>
      <c r="NWM2019" s="349"/>
      <c r="NWN2019" s="349"/>
      <c r="NWO2019" s="349"/>
      <c r="NWP2019" s="349"/>
      <c r="NWQ2019" s="349"/>
      <c r="NWR2019" s="349"/>
      <c r="NWS2019" s="349"/>
      <c r="NWT2019" s="349"/>
      <c r="NWU2019" s="349"/>
      <c r="NWV2019" s="349"/>
      <c r="NWW2019" s="349"/>
      <c r="NWX2019" s="349"/>
      <c r="NWY2019" s="349"/>
      <c r="NWZ2019" s="349"/>
      <c r="NXA2019" s="349"/>
      <c r="NXB2019" s="349"/>
      <c r="NXC2019" s="349"/>
      <c r="NXD2019" s="349"/>
      <c r="NXE2019" s="349"/>
      <c r="NXF2019" s="349"/>
      <c r="NXG2019" s="349"/>
      <c r="NXH2019" s="349"/>
      <c r="NXI2019" s="349"/>
      <c r="NXJ2019" s="349"/>
      <c r="NXK2019" s="349"/>
      <c r="NXL2019" s="349"/>
      <c r="NXM2019" s="349"/>
      <c r="NXN2019" s="349"/>
      <c r="NXO2019" s="349"/>
      <c r="NXP2019" s="349"/>
      <c r="NXQ2019" s="349"/>
      <c r="NXR2019" s="349"/>
      <c r="NXS2019" s="349"/>
      <c r="NXT2019" s="349"/>
      <c r="NXU2019" s="349"/>
      <c r="NXV2019" s="349"/>
      <c r="NXW2019" s="349"/>
      <c r="NXX2019" s="349"/>
      <c r="NXY2019" s="349"/>
      <c r="NXZ2019" s="349"/>
      <c r="NYA2019" s="349"/>
      <c r="NYB2019" s="349"/>
      <c r="NYC2019" s="349"/>
      <c r="NYD2019" s="349"/>
      <c r="NYE2019" s="349"/>
      <c r="NYF2019" s="349"/>
      <c r="NYG2019" s="349"/>
      <c r="NYH2019" s="349"/>
      <c r="NYI2019" s="349"/>
      <c r="NYJ2019" s="349"/>
      <c r="NYK2019" s="349"/>
      <c r="NYL2019" s="349"/>
      <c r="NYM2019" s="349"/>
      <c r="NYN2019" s="349"/>
      <c r="NYO2019" s="349"/>
      <c r="NYP2019" s="349"/>
      <c r="NYQ2019" s="349"/>
      <c r="NYR2019" s="349"/>
      <c r="NYS2019" s="349"/>
      <c r="NYT2019" s="349"/>
      <c r="NYU2019" s="349"/>
      <c r="NYV2019" s="349"/>
      <c r="NYW2019" s="349"/>
      <c r="NYX2019" s="349"/>
      <c r="NYY2019" s="349"/>
      <c r="NYZ2019" s="349"/>
      <c r="NZA2019" s="349"/>
      <c r="NZB2019" s="349"/>
      <c r="NZC2019" s="349"/>
      <c r="NZD2019" s="349"/>
      <c r="NZE2019" s="349"/>
      <c r="NZF2019" s="349"/>
      <c r="NZG2019" s="349"/>
      <c r="NZH2019" s="349"/>
      <c r="NZI2019" s="349"/>
      <c r="NZJ2019" s="349"/>
      <c r="NZK2019" s="349"/>
      <c r="NZL2019" s="349"/>
      <c r="NZM2019" s="349"/>
      <c r="NZN2019" s="349"/>
      <c r="NZO2019" s="349"/>
      <c r="NZP2019" s="349"/>
      <c r="NZQ2019" s="349"/>
      <c r="NZR2019" s="349"/>
      <c r="NZS2019" s="349"/>
      <c r="NZT2019" s="349"/>
      <c r="NZU2019" s="349"/>
      <c r="NZV2019" s="349"/>
      <c r="NZW2019" s="349"/>
      <c r="NZX2019" s="349"/>
      <c r="NZY2019" s="349"/>
      <c r="NZZ2019" s="349"/>
      <c r="OAA2019" s="349"/>
      <c r="OAB2019" s="349"/>
      <c r="OAC2019" s="349"/>
      <c r="OAD2019" s="349"/>
      <c r="OAE2019" s="349"/>
      <c r="OAF2019" s="349"/>
      <c r="OAG2019" s="349"/>
      <c r="OAH2019" s="349"/>
      <c r="OAI2019" s="349"/>
      <c r="OAJ2019" s="349"/>
      <c r="OAK2019" s="349"/>
      <c r="OAL2019" s="349"/>
      <c r="OAM2019" s="349"/>
      <c r="OAN2019" s="349"/>
      <c r="OAO2019" s="349"/>
      <c r="OAP2019" s="349"/>
      <c r="OAQ2019" s="349"/>
      <c r="OAR2019" s="349"/>
      <c r="OAS2019" s="349"/>
      <c r="OAT2019" s="349"/>
      <c r="OAU2019" s="349"/>
      <c r="OAV2019" s="349"/>
      <c r="OAW2019" s="349"/>
      <c r="OAX2019" s="349"/>
      <c r="OAY2019" s="349"/>
      <c r="OAZ2019" s="349"/>
      <c r="OBA2019" s="349"/>
      <c r="OBB2019" s="349"/>
      <c r="OBC2019" s="349"/>
      <c r="OBD2019" s="349"/>
      <c r="OBE2019" s="349"/>
      <c r="OBF2019" s="349"/>
      <c r="OBG2019" s="349"/>
      <c r="OBH2019" s="349"/>
      <c r="OBI2019" s="349"/>
      <c r="OBJ2019" s="349"/>
      <c r="OBK2019" s="349"/>
      <c r="OBL2019" s="349"/>
      <c r="OBM2019" s="349"/>
      <c r="OBN2019" s="349"/>
      <c r="OBO2019" s="349"/>
      <c r="OBP2019" s="349"/>
      <c r="OBQ2019" s="349"/>
      <c r="OBR2019" s="349"/>
      <c r="OBS2019" s="349"/>
      <c r="OBT2019" s="349"/>
      <c r="OBU2019" s="349"/>
      <c r="OBV2019" s="349"/>
      <c r="OBW2019" s="349"/>
      <c r="OBX2019" s="349"/>
      <c r="OBY2019" s="349"/>
      <c r="OBZ2019" s="349"/>
      <c r="OCA2019" s="349"/>
      <c r="OCB2019" s="349"/>
      <c r="OCC2019" s="349"/>
      <c r="OCD2019" s="349"/>
      <c r="OCE2019" s="349"/>
      <c r="OCF2019" s="349"/>
      <c r="OCG2019" s="349"/>
      <c r="OCH2019" s="349"/>
      <c r="OCI2019" s="349"/>
      <c r="OCJ2019" s="349"/>
      <c r="OCK2019" s="349"/>
      <c r="OCL2019" s="349"/>
      <c r="OCM2019" s="349"/>
      <c r="OCN2019" s="349"/>
      <c r="OCO2019" s="349"/>
      <c r="OCP2019" s="349"/>
      <c r="OCQ2019" s="349"/>
      <c r="OCR2019" s="349"/>
      <c r="OCS2019" s="349"/>
      <c r="OCT2019" s="349"/>
      <c r="OCU2019" s="349"/>
      <c r="OCV2019" s="349"/>
      <c r="OCW2019" s="349"/>
      <c r="OCX2019" s="349"/>
      <c r="OCY2019" s="349"/>
      <c r="OCZ2019" s="349"/>
      <c r="ODA2019" s="349"/>
      <c r="ODB2019" s="349"/>
      <c r="ODC2019" s="349"/>
      <c r="ODD2019" s="349"/>
      <c r="ODE2019" s="349"/>
      <c r="ODF2019" s="349"/>
      <c r="ODG2019" s="349"/>
      <c r="ODH2019" s="349"/>
      <c r="ODI2019" s="349"/>
      <c r="ODJ2019" s="349"/>
      <c r="ODK2019" s="349"/>
      <c r="ODL2019" s="349"/>
      <c r="ODM2019" s="349"/>
      <c r="ODN2019" s="349"/>
      <c r="ODO2019" s="349"/>
      <c r="ODP2019" s="349"/>
      <c r="ODQ2019" s="349"/>
      <c r="ODR2019" s="349"/>
      <c r="ODS2019" s="349"/>
      <c r="ODT2019" s="349"/>
      <c r="ODU2019" s="349"/>
      <c r="ODV2019" s="349"/>
      <c r="ODW2019" s="349"/>
      <c r="ODX2019" s="349"/>
      <c r="ODY2019" s="349"/>
      <c r="ODZ2019" s="349"/>
      <c r="OEA2019" s="349"/>
      <c r="OEB2019" s="349"/>
      <c r="OEC2019" s="349"/>
      <c r="OED2019" s="349"/>
      <c r="OEE2019" s="349"/>
      <c r="OEF2019" s="349"/>
      <c r="OEG2019" s="349"/>
      <c r="OEH2019" s="349"/>
      <c r="OEI2019" s="349"/>
      <c r="OEJ2019" s="349"/>
      <c r="OEK2019" s="349"/>
      <c r="OEL2019" s="349"/>
      <c r="OEM2019" s="349"/>
      <c r="OEN2019" s="349"/>
      <c r="OEO2019" s="349"/>
      <c r="OEP2019" s="349"/>
      <c r="OEQ2019" s="349"/>
      <c r="OER2019" s="349"/>
      <c r="OES2019" s="349"/>
      <c r="OET2019" s="349"/>
      <c r="OEU2019" s="349"/>
      <c r="OEV2019" s="349"/>
      <c r="OEW2019" s="349"/>
      <c r="OEX2019" s="349"/>
      <c r="OEY2019" s="349"/>
      <c r="OEZ2019" s="349"/>
      <c r="OFA2019" s="349"/>
      <c r="OFB2019" s="349"/>
      <c r="OFC2019" s="349"/>
      <c r="OFD2019" s="349"/>
      <c r="OFE2019" s="349"/>
      <c r="OFF2019" s="349"/>
      <c r="OFG2019" s="349"/>
      <c r="OFH2019" s="349"/>
      <c r="OFI2019" s="349"/>
      <c r="OFJ2019" s="349"/>
      <c r="OFK2019" s="349"/>
      <c r="OFL2019" s="349"/>
      <c r="OFM2019" s="349"/>
      <c r="OFN2019" s="349"/>
      <c r="OFO2019" s="349"/>
      <c r="OFP2019" s="349"/>
      <c r="OFQ2019" s="349"/>
      <c r="OFR2019" s="349"/>
      <c r="OFS2019" s="349"/>
      <c r="OFT2019" s="349"/>
      <c r="OFU2019" s="349"/>
      <c r="OFV2019" s="349"/>
      <c r="OFW2019" s="349"/>
      <c r="OFX2019" s="349"/>
      <c r="OFY2019" s="349"/>
      <c r="OFZ2019" s="349"/>
      <c r="OGA2019" s="349"/>
      <c r="OGB2019" s="349"/>
      <c r="OGC2019" s="349"/>
      <c r="OGD2019" s="349"/>
      <c r="OGE2019" s="349"/>
      <c r="OGF2019" s="349"/>
      <c r="OGG2019" s="349"/>
      <c r="OGH2019" s="349"/>
      <c r="OGI2019" s="349"/>
      <c r="OGJ2019" s="349"/>
      <c r="OGK2019" s="349"/>
      <c r="OGL2019" s="349"/>
      <c r="OGM2019" s="349"/>
      <c r="OGN2019" s="349"/>
      <c r="OGO2019" s="349"/>
      <c r="OGP2019" s="349"/>
      <c r="OGQ2019" s="349"/>
      <c r="OGR2019" s="349"/>
      <c r="OGS2019" s="349"/>
      <c r="OGT2019" s="349"/>
      <c r="OGU2019" s="349"/>
      <c r="OGV2019" s="349"/>
      <c r="OGW2019" s="349"/>
      <c r="OGX2019" s="349"/>
      <c r="OGY2019" s="349"/>
      <c r="OGZ2019" s="349"/>
      <c r="OHA2019" s="349"/>
      <c r="OHB2019" s="349"/>
      <c r="OHC2019" s="349"/>
      <c r="OHD2019" s="349"/>
      <c r="OHE2019" s="349"/>
      <c r="OHF2019" s="349"/>
      <c r="OHG2019" s="349"/>
      <c r="OHH2019" s="349"/>
      <c r="OHI2019" s="349"/>
      <c r="OHJ2019" s="349"/>
      <c r="OHK2019" s="349"/>
      <c r="OHL2019" s="349"/>
      <c r="OHM2019" s="349"/>
      <c r="OHN2019" s="349"/>
      <c r="OHO2019" s="349"/>
      <c r="OHP2019" s="349"/>
      <c r="OHQ2019" s="349"/>
      <c r="OHR2019" s="349"/>
      <c r="OHS2019" s="349"/>
      <c r="OHT2019" s="349"/>
      <c r="OHU2019" s="349"/>
      <c r="OHV2019" s="349"/>
      <c r="OHW2019" s="349"/>
      <c r="OHX2019" s="349"/>
      <c r="OHY2019" s="349"/>
      <c r="OHZ2019" s="349"/>
      <c r="OIA2019" s="349"/>
      <c r="OIB2019" s="349"/>
      <c r="OIC2019" s="349"/>
      <c r="OID2019" s="349"/>
      <c r="OIE2019" s="349"/>
      <c r="OIF2019" s="349"/>
      <c r="OIG2019" s="349"/>
      <c r="OIH2019" s="349"/>
      <c r="OII2019" s="349"/>
      <c r="OIJ2019" s="349"/>
      <c r="OIK2019" s="349"/>
      <c r="OIL2019" s="349"/>
      <c r="OIM2019" s="349"/>
      <c r="OIN2019" s="349"/>
      <c r="OIO2019" s="349"/>
      <c r="OIP2019" s="349"/>
      <c r="OIQ2019" s="349"/>
      <c r="OIR2019" s="349"/>
      <c r="OIS2019" s="349"/>
      <c r="OIT2019" s="349"/>
      <c r="OIU2019" s="349"/>
      <c r="OIV2019" s="349"/>
      <c r="OIW2019" s="349"/>
      <c r="OIX2019" s="349"/>
      <c r="OIY2019" s="349"/>
      <c r="OIZ2019" s="349"/>
      <c r="OJA2019" s="349"/>
      <c r="OJB2019" s="349"/>
      <c r="OJC2019" s="349"/>
      <c r="OJD2019" s="349"/>
      <c r="OJE2019" s="349"/>
      <c r="OJF2019" s="349"/>
      <c r="OJG2019" s="349"/>
      <c r="OJH2019" s="349"/>
      <c r="OJI2019" s="349"/>
      <c r="OJJ2019" s="349"/>
      <c r="OJK2019" s="349"/>
      <c r="OJL2019" s="349"/>
      <c r="OJM2019" s="349"/>
      <c r="OJN2019" s="349"/>
      <c r="OJO2019" s="349"/>
      <c r="OJP2019" s="349"/>
      <c r="OJQ2019" s="349"/>
      <c r="OJR2019" s="349"/>
      <c r="OJS2019" s="349"/>
      <c r="OJT2019" s="349"/>
      <c r="OJU2019" s="349"/>
      <c r="OJV2019" s="349"/>
      <c r="OJW2019" s="349"/>
      <c r="OJX2019" s="349"/>
      <c r="OJY2019" s="349"/>
      <c r="OJZ2019" s="349"/>
      <c r="OKA2019" s="349"/>
      <c r="OKB2019" s="349"/>
      <c r="OKC2019" s="349"/>
      <c r="OKD2019" s="349"/>
      <c r="OKE2019" s="349"/>
      <c r="OKF2019" s="349"/>
      <c r="OKG2019" s="349"/>
      <c r="OKH2019" s="349"/>
      <c r="OKI2019" s="349"/>
      <c r="OKJ2019" s="349"/>
      <c r="OKK2019" s="349"/>
      <c r="OKL2019" s="349"/>
      <c r="OKM2019" s="349"/>
      <c r="OKN2019" s="349"/>
      <c r="OKO2019" s="349"/>
      <c r="OKP2019" s="349"/>
      <c r="OKQ2019" s="349"/>
      <c r="OKR2019" s="349"/>
      <c r="OKS2019" s="349"/>
      <c r="OKT2019" s="349"/>
      <c r="OKU2019" s="349"/>
      <c r="OKV2019" s="349"/>
      <c r="OKW2019" s="349"/>
      <c r="OKX2019" s="349"/>
      <c r="OKY2019" s="349"/>
      <c r="OKZ2019" s="349"/>
      <c r="OLA2019" s="349"/>
      <c r="OLB2019" s="349"/>
      <c r="OLC2019" s="349"/>
      <c r="OLD2019" s="349"/>
      <c r="OLE2019" s="349"/>
      <c r="OLF2019" s="349"/>
      <c r="OLG2019" s="349"/>
      <c r="OLH2019" s="349"/>
      <c r="OLI2019" s="349"/>
      <c r="OLJ2019" s="349"/>
      <c r="OLK2019" s="349"/>
      <c r="OLL2019" s="349"/>
      <c r="OLM2019" s="349"/>
      <c r="OLN2019" s="349"/>
      <c r="OLO2019" s="349"/>
      <c r="OLP2019" s="349"/>
      <c r="OLQ2019" s="349"/>
      <c r="OLR2019" s="349"/>
      <c r="OLS2019" s="349"/>
      <c r="OLT2019" s="349"/>
      <c r="OLU2019" s="349"/>
      <c r="OLV2019" s="349"/>
      <c r="OLW2019" s="349"/>
      <c r="OLX2019" s="349"/>
      <c r="OLY2019" s="349"/>
      <c r="OLZ2019" s="349"/>
      <c r="OMA2019" s="349"/>
      <c r="OMB2019" s="349"/>
      <c r="OMC2019" s="349"/>
      <c r="OMD2019" s="349"/>
      <c r="OME2019" s="349"/>
      <c r="OMF2019" s="349"/>
      <c r="OMG2019" s="349"/>
      <c r="OMH2019" s="349"/>
      <c r="OMI2019" s="349"/>
      <c r="OMJ2019" s="349"/>
      <c r="OMK2019" s="349"/>
      <c r="OML2019" s="349"/>
      <c r="OMM2019" s="349"/>
      <c r="OMN2019" s="349"/>
      <c r="OMO2019" s="349"/>
      <c r="OMP2019" s="349"/>
      <c r="OMQ2019" s="349"/>
      <c r="OMR2019" s="349"/>
      <c r="OMS2019" s="349"/>
      <c r="OMT2019" s="349"/>
      <c r="OMU2019" s="349"/>
      <c r="OMV2019" s="349"/>
      <c r="OMW2019" s="349"/>
      <c r="OMX2019" s="349"/>
      <c r="OMY2019" s="349"/>
      <c r="OMZ2019" s="349"/>
      <c r="ONA2019" s="349"/>
      <c r="ONB2019" s="349"/>
      <c r="ONC2019" s="349"/>
      <c r="OND2019" s="349"/>
      <c r="ONE2019" s="349"/>
      <c r="ONF2019" s="349"/>
      <c r="ONG2019" s="349"/>
      <c r="ONH2019" s="349"/>
      <c r="ONI2019" s="349"/>
      <c r="ONJ2019" s="349"/>
      <c r="ONK2019" s="349"/>
      <c r="ONL2019" s="349"/>
      <c r="ONM2019" s="349"/>
      <c r="ONN2019" s="349"/>
      <c r="ONO2019" s="349"/>
      <c r="ONP2019" s="349"/>
      <c r="ONQ2019" s="349"/>
      <c r="ONR2019" s="349"/>
      <c r="ONS2019" s="349"/>
      <c r="ONT2019" s="349"/>
      <c r="ONU2019" s="349"/>
      <c r="ONV2019" s="349"/>
      <c r="ONW2019" s="349"/>
      <c r="ONX2019" s="349"/>
      <c r="ONY2019" s="349"/>
      <c r="ONZ2019" s="349"/>
      <c r="OOA2019" s="349"/>
      <c r="OOB2019" s="349"/>
      <c r="OOC2019" s="349"/>
      <c r="OOD2019" s="349"/>
      <c r="OOE2019" s="349"/>
      <c r="OOF2019" s="349"/>
      <c r="OOG2019" s="349"/>
      <c r="OOH2019" s="349"/>
      <c r="OOI2019" s="349"/>
      <c r="OOJ2019" s="349"/>
      <c r="OOK2019" s="349"/>
      <c r="OOL2019" s="349"/>
      <c r="OOM2019" s="349"/>
      <c r="OON2019" s="349"/>
      <c r="OOO2019" s="349"/>
      <c r="OOP2019" s="349"/>
      <c r="OOQ2019" s="349"/>
      <c r="OOR2019" s="349"/>
      <c r="OOS2019" s="349"/>
      <c r="OOT2019" s="349"/>
      <c r="OOU2019" s="349"/>
      <c r="OOV2019" s="349"/>
      <c r="OOW2019" s="349"/>
      <c r="OOX2019" s="349"/>
      <c r="OOY2019" s="349"/>
      <c r="OOZ2019" s="349"/>
      <c r="OPA2019" s="349"/>
      <c r="OPB2019" s="349"/>
      <c r="OPC2019" s="349"/>
      <c r="OPD2019" s="349"/>
      <c r="OPE2019" s="349"/>
      <c r="OPF2019" s="349"/>
      <c r="OPG2019" s="349"/>
      <c r="OPH2019" s="349"/>
      <c r="OPI2019" s="349"/>
      <c r="OPJ2019" s="349"/>
      <c r="OPK2019" s="349"/>
      <c r="OPL2019" s="349"/>
      <c r="OPM2019" s="349"/>
      <c r="OPN2019" s="349"/>
      <c r="OPO2019" s="349"/>
      <c r="OPP2019" s="349"/>
      <c r="OPQ2019" s="349"/>
      <c r="OPR2019" s="349"/>
      <c r="OPS2019" s="349"/>
      <c r="OPT2019" s="349"/>
      <c r="OPU2019" s="349"/>
      <c r="OPV2019" s="349"/>
      <c r="OPW2019" s="349"/>
      <c r="OPX2019" s="349"/>
      <c r="OPY2019" s="349"/>
      <c r="OPZ2019" s="349"/>
      <c r="OQA2019" s="349"/>
      <c r="OQB2019" s="349"/>
      <c r="OQC2019" s="349"/>
      <c r="OQD2019" s="349"/>
      <c r="OQE2019" s="349"/>
      <c r="OQF2019" s="349"/>
      <c r="OQG2019" s="349"/>
      <c r="OQH2019" s="349"/>
      <c r="OQI2019" s="349"/>
      <c r="OQJ2019" s="349"/>
      <c r="OQK2019" s="349"/>
      <c r="OQL2019" s="349"/>
      <c r="OQM2019" s="349"/>
      <c r="OQN2019" s="349"/>
      <c r="OQO2019" s="349"/>
      <c r="OQP2019" s="349"/>
      <c r="OQQ2019" s="349"/>
      <c r="OQR2019" s="349"/>
      <c r="OQS2019" s="349"/>
      <c r="OQT2019" s="349"/>
      <c r="OQU2019" s="349"/>
      <c r="OQV2019" s="349"/>
      <c r="OQW2019" s="349"/>
      <c r="OQX2019" s="349"/>
      <c r="OQY2019" s="349"/>
      <c r="OQZ2019" s="349"/>
      <c r="ORA2019" s="349"/>
      <c r="ORB2019" s="349"/>
      <c r="ORC2019" s="349"/>
      <c r="ORD2019" s="349"/>
      <c r="ORE2019" s="349"/>
      <c r="ORF2019" s="349"/>
      <c r="ORG2019" s="349"/>
      <c r="ORH2019" s="349"/>
      <c r="ORI2019" s="349"/>
      <c r="ORJ2019" s="349"/>
      <c r="ORK2019" s="349"/>
      <c r="ORL2019" s="349"/>
      <c r="ORM2019" s="349"/>
      <c r="ORN2019" s="349"/>
      <c r="ORO2019" s="349"/>
      <c r="ORP2019" s="349"/>
      <c r="ORQ2019" s="349"/>
      <c r="ORR2019" s="349"/>
      <c r="ORS2019" s="349"/>
      <c r="ORT2019" s="349"/>
      <c r="ORU2019" s="349"/>
      <c r="ORV2019" s="349"/>
      <c r="ORW2019" s="349"/>
      <c r="ORX2019" s="349"/>
      <c r="ORY2019" s="349"/>
      <c r="ORZ2019" s="349"/>
      <c r="OSA2019" s="349"/>
      <c r="OSB2019" s="349"/>
      <c r="OSC2019" s="349"/>
      <c r="OSD2019" s="349"/>
      <c r="OSE2019" s="349"/>
      <c r="OSF2019" s="349"/>
      <c r="OSG2019" s="349"/>
      <c r="OSH2019" s="349"/>
      <c r="OSI2019" s="349"/>
      <c r="OSJ2019" s="349"/>
      <c r="OSK2019" s="349"/>
      <c r="OSL2019" s="349"/>
      <c r="OSM2019" s="349"/>
      <c r="OSN2019" s="349"/>
      <c r="OSO2019" s="349"/>
      <c r="OSP2019" s="349"/>
      <c r="OSQ2019" s="349"/>
      <c r="OSR2019" s="349"/>
      <c r="OSS2019" s="349"/>
      <c r="OST2019" s="349"/>
      <c r="OSU2019" s="349"/>
      <c r="OSV2019" s="349"/>
      <c r="OSW2019" s="349"/>
      <c r="OSX2019" s="349"/>
      <c r="OSY2019" s="349"/>
      <c r="OSZ2019" s="349"/>
      <c r="OTA2019" s="349"/>
      <c r="OTB2019" s="349"/>
      <c r="OTC2019" s="349"/>
      <c r="OTD2019" s="349"/>
      <c r="OTE2019" s="349"/>
      <c r="OTF2019" s="349"/>
      <c r="OTG2019" s="349"/>
      <c r="OTH2019" s="349"/>
      <c r="OTI2019" s="349"/>
      <c r="OTJ2019" s="349"/>
      <c r="OTK2019" s="349"/>
      <c r="OTL2019" s="349"/>
      <c r="OTM2019" s="349"/>
      <c r="OTN2019" s="349"/>
      <c r="OTO2019" s="349"/>
      <c r="OTP2019" s="349"/>
      <c r="OTQ2019" s="349"/>
      <c r="OTR2019" s="349"/>
      <c r="OTS2019" s="349"/>
      <c r="OTT2019" s="349"/>
      <c r="OTU2019" s="349"/>
      <c r="OTV2019" s="349"/>
      <c r="OTW2019" s="349"/>
      <c r="OTX2019" s="349"/>
      <c r="OTY2019" s="349"/>
      <c r="OTZ2019" s="349"/>
      <c r="OUA2019" s="349"/>
      <c r="OUB2019" s="349"/>
      <c r="OUC2019" s="349"/>
      <c r="OUD2019" s="349"/>
      <c r="OUE2019" s="349"/>
      <c r="OUF2019" s="349"/>
      <c r="OUG2019" s="349"/>
      <c r="OUH2019" s="349"/>
      <c r="OUI2019" s="349"/>
      <c r="OUJ2019" s="349"/>
      <c r="OUK2019" s="349"/>
      <c r="OUL2019" s="349"/>
      <c r="OUM2019" s="349"/>
      <c r="OUN2019" s="349"/>
      <c r="OUO2019" s="349"/>
      <c r="OUP2019" s="349"/>
      <c r="OUQ2019" s="349"/>
      <c r="OUR2019" s="349"/>
      <c r="OUS2019" s="349"/>
      <c r="OUT2019" s="349"/>
      <c r="OUU2019" s="349"/>
      <c r="OUV2019" s="349"/>
      <c r="OUW2019" s="349"/>
      <c r="OUX2019" s="349"/>
      <c r="OUY2019" s="349"/>
      <c r="OUZ2019" s="349"/>
      <c r="OVA2019" s="349"/>
      <c r="OVB2019" s="349"/>
      <c r="OVC2019" s="349"/>
      <c r="OVD2019" s="349"/>
      <c r="OVE2019" s="349"/>
      <c r="OVF2019" s="349"/>
      <c r="OVG2019" s="349"/>
      <c r="OVH2019" s="349"/>
      <c r="OVI2019" s="349"/>
      <c r="OVJ2019" s="349"/>
      <c r="OVK2019" s="349"/>
      <c r="OVL2019" s="349"/>
      <c r="OVM2019" s="349"/>
      <c r="OVN2019" s="349"/>
      <c r="OVO2019" s="349"/>
      <c r="OVP2019" s="349"/>
      <c r="OVQ2019" s="349"/>
      <c r="OVR2019" s="349"/>
      <c r="OVS2019" s="349"/>
      <c r="OVT2019" s="349"/>
      <c r="OVU2019" s="349"/>
      <c r="OVV2019" s="349"/>
      <c r="OVW2019" s="349"/>
      <c r="OVX2019" s="349"/>
      <c r="OVY2019" s="349"/>
      <c r="OVZ2019" s="349"/>
      <c r="OWA2019" s="349"/>
      <c r="OWB2019" s="349"/>
      <c r="OWC2019" s="349"/>
      <c r="OWD2019" s="349"/>
      <c r="OWE2019" s="349"/>
      <c r="OWF2019" s="349"/>
      <c r="OWG2019" s="349"/>
      <c r="OWH2019" s="349"/>
      <c r="OWI2019" s="349"/>
      <c r="OWJ2019" s="349"/>
      <c r="OWK2019" s="349"/>
      <c r="OWL2019" s="349"/>
      <c r="OWM2019" s="349"/>
      <c r="OWN2019" s="349"/>
      <c r="OWO2019" s="349"/>
      <c r="OWP2019" s="349"/>
      <c r="OWQ2019" s="349"/>
      <c r="OWR2019" s="349"/>
      <c r="OWS2019" s="349"/>
      <c r="OWT2019" s="349"/>
      <c r="OWU2019" s="349"/>
      <c r="OWV2019" s="349"/>
      <c r="OWW2019" s="349"/>
      <c r="OWX2019" s="349"/>
      <c r="OWY2019" s="349"/>
      <c r="OWZ2019" s="349"/>
      <c r="OXA2019" s="349"/>
      <c r="OXB2019" s="349"/>
      <c r="OXC2019" s="349"/>
      <c r="OXD2019" s="349"/>
      <c r="OXE2019" s="349"/>
      <c r="OXF2019" s="349"/>
      <c r="OXG2019" s="349"/>
      <c r="OXH2019" s="349"/>
      <c r="OXI2019" s="349"/>
      <c r="OXJ2019" s="349"/>
      <c r="OXK2019" s="349"/>
      <c r="OXL2019" s="349"/>
      <c r="OXM2019" s="349"/>
      <c r="OXN2019" s="349"/>
      <c r="OXO2019" s="349"/>
      <c r="OXP2019" s="349"/>
      <c r="OXQ2019" s="349"/>
      <c r="OXR2019" s="349"/>
      <c r="OXS2019" s="349"/>
      <c r="OXT2019" s="349"/>
      <c r="OXU2019" s="349"/>
      <c r="OXV2019" s="349"/>
      <c r="OXW2019" s="349"/>
      <c r="OXX2019" s="349"/>
      <c r="OXY2019" s="349"/>
      <c r="OXZ2019" s="349"/>
      <c r="OYA2019" s="349"/>
      <c r="OYB2019" s="349"/>
      <c r="OYC2019" s="349"/>
      <c r="OYD2019" s="349"/>
      <c r="OYE2019" s="349"/>
      <c r="OYF2019" s="349"/>
      <c r="OYG2019" s="349"/>
      <c r="OYH2019" s="349"/>
      <c r="OYI2019" s="349"/>
      <c r="OYJ2019" s="349"/>
      <c r="OYK2019" s="349"/>
      <c r="OYL2019" s="349"/>
      <c r="OYM2019" s="349"/>
      <c r="OYN2019" s="349"/>
      <c r="OYO2019" s="349"/>
      <c r="OYP2019" s="349"/>
      <c r="OYQ2019" s="349"/>
      <c r="OYR2019" s="349"/>
      <c r="OYS2019" s="349"/>
      <c r="OYT2019" s="349"/>
      <c r="OYU2019" s="349"/>
      <c r="OYV2019" s="349"/>
      <c r="OYW2019" s="349"/>
      <c r="OYX2019" s="349"/>
      <c r="OYY2019" s="349"/>
      <c r="OYZ2019" s="349"/>
      <c r="OZA2019" s="349"/>
      <c r="OZB2019" s="349"/>
      <c r="OZC2019" s="349"/>
      <c r="OZD2019" s="349"/>
      <c r="OZE2019" s="349"/>
      <c r="OZF2019" s="349"/>
      <c r="OZG2019" s="349"/>
      <c r="OZH2019" s="349"/>
      <c r="OZI2019" s="349"/>
      <c r="OZJ2019" s="349"/>
      <c r="OZK2019" s="349"/>
      <c r="OZL2019" s="349"/>
      <c r="OZM2019" s="349"/>
      <c r="OZN2019" s="349"/>
      <c r="OZO2019" s="349"/>
      <c r="OZP2019" s="349"/>
      <c r="OZQ2019" s="349"/>
      <c r="OZR2019" s="349"/>
      <c r="OZS2019" s="349"/>
      <c r="OZT2019" s="349"/>
      <c r="OZU2019" s="349"/>
      <c r="OZV2019" s="349"/>
      <c r="OZW2019" s="349"/>
      <c r="OZX2019" s="349"/>
      <c r="OZY2019" s="349"/>
      <c r="OZZ2019" s="349"/>
      <c r="PAA2019" s="349"/>
      <c r="PAB2019" s="349"/>
      <c r="PAC2019" s="349"/>
      <c r="PAD2019" s="349"/>
      <c r="PAE2019" s="349"/>
      <c r="PAF2019" s="349"/>
      <c r="PAG2019" s="349"/>
      <c r="PAH2019" s="349"/>
      <c r="PAI2019" s="349"/>
      <c r="PAJ2019" s="349"/>
      <c r="PAK2019" s="349"/>
      <c r="PAL2019" s="349"/>
      <c r="PAM2019" s="349"/>
      <c r="PAN2019" s="349"/>
      <c r="PAO2019" s="349"/>
      <c r="PAP2019" s="349"/>
      <c r="PAQ2019" s="349"/>
      <c r="PAR2019" s="349"/>
      <c r="PAS2019" s="349"/>
      <c r="PAT2019" s="349"/>
      <c r="PAU2019" s="349"/>
      <c r="PAV2019" s="349"/>
      <c r="PAW2019" s="349"/>
      <c r="PAX2019" s="349"/>
      <c r="PAY2019" s="349"/>
      <c r="PAZ2019" s="349"/>
      <c r="PBA2019" s="349"/>
      <c r="PBB2019" s="349"/>
      <c r="PBC2019" s="349"/>
      <c r="PBD2019" s="349"/>
      <c r="PBE2019" s="349"/>
      <c r="PBF2019" s="349"/>
      <c r="PBG2019" s="349"/>
      <c r="PBH2019" s="349"/>
      <c r="PBI2019" s="349"/>
      <c r="PBJ2019" s="349"/>
      <c r="PBK2019" s="349"/>
      <c r="PBL2019" s="349"/>
      <c r="PBM2019" s="349"/>
      <c r="PBN2019" s="349"/>
      <c r="PBO2019" s="349"/>
      <c r="PBP2019" s="349"/>
      <c r="PBQ2019" s="349"/>
      <c r="PBR2019" s="349"/>
      <c r="PBS2019" s="349"/>
      <c r="PBT2019" s="349"/>
      <c r="PBU2019" s="349"/>
      <c r="PBV2019" s="349"/>
      <c r="PBW2019" s="349"/>
      <c r="PBX2019" s="349"/>
      <c r="PBY2019" s="349"/>
      <c r="PBZ2019" s="349"/>
      <c r="PCA2019" s="349"/>
      <c r="PCB2019" s="349"/>
      <c r="PCC2019" s="349"/>
      <c r="PCD2019" s="349"/>
      <c r="PCE2019" s="349"/>
      <c r="PCF2019" s="349"/>
      <c r="PCG2019" s="349"/>
      <c r="PCH2019" s="349"/>
      <c r="PCI2019" s="349"/>
      <c r="PCJ2019" s="349"/>
      <c r="PCK2019" s="349"/>
      <c r="PCL2019" s="349"/>
      <c r="PCM2019" s="349"/>
      <c r="PCN2019" s="349"/>
      <c r="PCO2019" s="349"/>
      <c r="PCP2019" s="349"/>
      <c r="PCQ2019" s="349"/>
      <c r="PCR2019" s="349"/>
      <c r="PCS2019" s="349"/>
      <c r="PCT2019" s="349"/>
      <c r="PCU2019" s="349"/>
      <c r="PCV2019" s="349"/>
      <c r="PCW2019" s="349"/>
      <c r="PCX2019" s="349"/>
      <c r="PCY2019" s="349"/>
      <c r="PCZ2019" s="349"/>
      <c r="PDA2019" s="349"/>
      <c r="PDB2019" s="349"/>
      <c r="PDC2019" s="349"/>
      <c r="PDD2019" s="349"/>
      <c r="PDE2019" s="349"/>
      <c r="PDF2019" s="349"/>
      <c r="PDG2019" s="349"/>
      <c r="PDH2019" s="349"/>
      <c r="PDI2019" s="349"/>
      <c r="PDJ2019" s="349"/>
      <c r="PDK2019" s="349"/>
      <c r="PDL2019" s="349"/>
      <c r="PDM2019" s="349"/>
      <c r="PDN2019" s="349"/>
      <c r="PDO2019" s="349"/>
      <c r="PDP2019" s="349"/>
      <c r="PDQ2019" s="349"/>
      <c r="PDR2019" s="349"/>
      <c r="PDS2019" s="349"/>
      <c r="PDT2019" s="349"/>
      <c r="PDU2019" s="349"/>
      <c r="PDV2019" s="349"/>
      <c r="PDW2019" s="349"/>
      <c r="PDX2019" s="349"/>
      <c r="PDY2019" s="349"/>
      <c r="PDZ2019" s="349"/>
      <c r="PEA2019" s="349"/>
      <c r="PEB2019" s="349"/>
      <c r="PEC2019" s="349"/>
      <c r="PED2019" s="349"/>
      <c r="PEE2019" s="349"/>
      <c r="PEF2019" s="349"/>
      <c r="PEG2019" s="349"/>
      <c r="PEH2019" s="349"/>
      <c r="PEI2019" s="349"/>
      <c r="PEJ2019" s="349"/>
      <c r="PEK2019" s="349"/>
      <c r="PEL2019" s="349"/>
      <c r="PEM2019" s="349"/>
      <c r="PEN2019" s="349"/>
      <c r="PEO2019" s="349"/>
      <c r="PEP2019" s="349"/>
      <c r="PEQ2019" s="349"/>
      <c r="PER2019" s="349"/>
      <c r="PES2019" s="349"/>
      <c r="PET2019" s="349"/>
      <c r="PEU2019" s="349"/>
      <c r="PEV2019" s="349"/>
      <c r="PEW2019" s="349"/>
      <c r="PEX2019" s="349"/>
      <c r="PEY2019" s="349"/>
      <c r="PEZ2019" s="349"/>
      <c r="PFA2019" s="349"/>
      <c r="PFB2019" s="349"/>
      <c r="PFC2019" s="349"/>
      <c r="PFD2019" s="349"/>
      <c r="PFE2019" s="349"/>
      <c r="PFF2019" s="349"/>
      <c r="PFG2019" s="349"/>
      <c r="PFH2019" s="349"/>
      <c r="PFI2019" s="349"/>
      <c r="PFJ2019" s="349"/>
      <c r="PFK2019" s="349"/>
      <c r="PFL2019" s="349"/>
      <c r="PFM2019" s="349"/>
      <c r="PFN2019" s="349"/>
      <c r="PFO2019" s="349"/>
      <c r="PFP2019" s="349"/>
      <c r="PFQ2019" s="349"/>
      <c r="PFR2019" s="349"/>
      <c r="PFS2019" s="349"/>
      <c r="PFT2019" s="349"/>
      <c r="PFU2019" s="349"/>
      <c r="PFV2019" s="349"/>
      <c r="PFW2019" s="349"/>
      <c r="PFX2019" s="349"/>
      <c r="PFY2019" s="349"/>
      <c r="PFZ2019" s="349"/>
      <c r="PGA2019" s="349"/>
      <c r="PGB2019" s="349"/>
      <c r="PGC2019" s="349"/>
      <c r="PGD2019" s="349"/>
      <c r="PGE2019" s="349"/>
      <c r="PGF2019" s="349"/>
      <c r="PGG2019" s="349"/>
      <c r="PGH2019" s="349"/>
      <c r="PGI2019" s="349"/>
      <c r="PGJ2019" s="349"/>
      <c r="PGK2019" s="349"/>
      <c r="PGL2019" s="349"/>
      <c r="PGM2019" s="349"/>
      <c r="PGN2019" s="349"/>
      <c r="PGO2019" s="349"/>
      <c r="PGP2019" s="349"/>
      <c r="PGQ2019" s="349"/>
      <c r="PGR2019" s="349"/>
      <c r="PGS2019" s="349"/>
      <c r="PGT2019" s="349"/>
      <c r="PGU2019" s="349"/>
      <c r="PGV2019" s="349"/>
      <c r="PGW2019" s="349"/>
      <c r="PGX2019" s="349"/>
      <c r="PGY2019" s="349"/>
      <c r="PGZ2019" s="349"/>
      <c r="PHA2019" s="349"/>
      <c r="PHB2019" s="349"/>
      <c r="PHC2019" s="349"/>
      <c r="PHD2019" s="349"/>
      <c r="PHE2019" s="349"/>
      <c r="PHF2019" s="349"/>
      <c r="PHG2019" s="349"/>
      <c r="PHH2019" s="349"/>
      <c r="PHI2019" s="349"/>
      <c r="PHJ2019" s="349"/>
      <c r="PHK2019" s="349"/>
      <c r="PHL2019" s="349"/>
      <c r="PHM2019" s="349"/>
      <c r="PHN2019" s="349"/>
      <c r="PHO2019" s="349"/>
      <c r="PHP2019" s="349"/>
      <c r="PHQ2019" s="349"/>
      <c r="PHR2019" s="349"/>
      <c r="PHS2019" s="349"/>
      <c r="PHT2019" s="349"/>
      <c r="PHU2019" s="349"/>
      <c r="PHV2019" s="349"/>
      <c r="PHW2019" s="349"/>
      <c r="PHX2019" s="349"/>
      <c r="PHY2019" s="349"/>
      <c r="PHZ2019" s="349"/>
      <c r="PIA2019" s="349"/>
      <c r="PIB2019" s="349"/>
      <c r="PIC2019" s="349"/>
      <c r="PID2019" s="349"/>
      <c r="PIE2019" s="349"/>
      <c r="PIF2019" s="349"/>
      <c r="PIG2019" s="349"/>
      <c r="PIH2019" s="349"/>
      <c r="PII2019" s="349"/>
      <c r="PIJ2019" s="349"/>
      <c r="PIK2019" s="349"/>
      <c r="PIL2019" s="349"/>
      <c r="PIM2019" s="349"/>
      <c r="PIN2019" s="349"/>
      <c r="PIO2019" s="349"/>
      <c r="PIP2019" s="349"/>
      <c r="PIQ2019" s="349"/>
      <c r="PIR2019" s="349"/>
      <c r="PIS2019" s="349"/>
      <c r="PIT2019" s="349"/>
      <c r="PIU2019" s="349"/>
      <c r="PIV2019" s="349"/>
      <c r="PIW2019" s="349"/>
      <c r="PIX2019" s="349"/>
      <c r="PIY2019" s="349"/>
      <c r="PIZ2019" s="349"/>
      <c r="PJA2019" s="349"/>
      <c r="PJB2019" s="349"/>
      <c r="PJC2019" s="349"/>
      <c r="PJD2019" s="349"/>
      <c r="PJE2019" s="349"/>
      <c r="PJF2019" s="349"/>
      <c r="PJG2019" s="349"/>
      <c r="PJH2019" s="349"/>
      <c r="PJI2019" s="349"/>
      <c r="PJJ2019" s="349"/>
      <c r="PJK2019" s="349"/>
      <c r="PJL2019" s="349"/>
      <c r="PJM2019" s="349"/>
      <c r="PJN2019" s="349"/>
      <c r="PJO2019" s="349"/>
      <c r="PJP2019" s="349"/>
      <c r="PJQ2019" s="349"/>
      <c r="PJR2019" s="349"/>
      <c r="PJS2019" s="349"/>
      <c r="PJT2019" s="349"/>
      <c r="PJU2019" s="349"/>
      <c r="PJV2019" s="349"/>
      <c r="PJW2019" s="349"/>
      <c r="PJX2019" s="349"/>
      <c r="PJY2019" s="349"/>
      <c r="PJZ2019" s="349"/>
      <c r="PKA2019" s="349"/>
      <c r="PKB2019" s="349"/>
      <c r="PKC2019" s="349"/>
      <c r="PKD2019" s="349"/>
      <c r="PKE2019" s="349"/>
      <c r="PKF2019" s="349"/>
      <c r="PKG2019" s="349"/>
      <c r="PKH2019" s="349"/>
      <c r="PKI2019" s="349"/>
      <c r="PKJ2019" s="349"/>
      <c r="PKK2019" s="349"/>
      <c r="PKL2019" s="349"/>
      <c r="PKM2019" s="349"/>
      <c r="PKN2019" s="349"/>
      <c r="PKO2019" s="349"/>
      <c r="PKP2019" s="349"/>
      <c r="PKQ2019" s="349"/>
      <c r="PKR2019" s="349"/>
      <c r="PKS2019" s="349"/>
      <c r="PKT2019" s="349"/>
      <c r="PKU2019" s="349"/>
      <c r="PKV2019" s="349"/>
      <c r="PKW2019" s="349"/>
      <c r="PKX2019" s="349"/>
      <c r="PKY2019" s="349"/>
      <c r="PKZ2019" s="349"/>
      <c r="PLA2019" s="349"/>
      <c r="PLB2019" s="349"/>
      <c r="PLC2019" s="349"/>
      <c r="PLD2019" s="349"/>
      <c r="PLE2019" s="349"/>
      <c r="PLF2019" s="349"/>
      <c r="PLG2019" s="349"/>
      <c r="PLH2019" s="349"/>
      <c r="PLI2019" s="349"/>
      <c r="PLJ2019" s="349"/>
      <c r="PLK2019" s="349"/>
      <c r="PLL2019" s="349"/>
      <c r="PLM2019" s="349"/>
      <c r="PLN2019" s="349"/>
      <c r="PLO2019" s="349"/>
      <c r="PLP2019" s="349"/>
      <c r="PLQ2019" s="349"/>
      <c r="PLR2019" s="349"/>
      <c r="PLS2019" s="349"/>
      <c r="PLT2019" s="349"/>
      <c r="PLU2019" s="349"/>
      <c r="PLV2019" s="349"/>
      <c r="PLW2019" s="349"/>
      <c r="PLX2019" s="349"/>
      <c r="PLY2019" s="349"/>
      <c r="PLZ2019" s="349"/>
      <c r="PMA2019" s="349"/>
      <c r="PMB2019" s="349"/>
      <c r="PMC2019" s="349"/>
      <c r="PMD2019" s="349"/>
      <c r="PME2019" s="349"/>
      <c r="PMF2019" s="349"/>
      <c r="PMG2019" s="349"/>
      <c r="PMH2019" s="349"/>
      <c r="PMI2019" s="349"/>
      <c r="PMJ2019" s="349"/>
      <c r="PMK2019" s="349"/>
      <c r="PML2019" s="349"/>
      <c r="PMM2019" s="349"/>
      <c r="PMN2019" s="349"/>
      <c r="PMO2019" s="349"/>
      <c r="PMP2019" s="349"/>
      <c r="PMQ2019" s="349"/>
      <c r="PMR2019" s="349"/>
      <c r="PMS2019" s="349"/>
      <c r="PMT2019" s="349"/>
      <c r="PMU2019" s="349"/>
      <c r="PMV2019" s="349"/>
      <c r="PMW2019" s="349"/>
      <c r="PMX2019" s="349"/>
      <c r="PMY2019" s="349"/>
      <c r="PMZ2019" s="349"/>
      <c r="PNA2019" s="349"/>
      <c r="PNB2019" s="349"/>
      <c r="PNC2019" s="349"/>
      <c r="PND2019" s="349"/>
      <c r="PNE2019" s="349"/>
      <c r="PNF2019" s="349"/>
      <c r="PNG2019" s="349"/>
      <c r="PNH2019" s="349"/>
      <c r="PNI2019" s="349"/>
      <c r="PNJ2019" s="349"/>
      <c r="PNK2019" s="349"/>
      <c r="PNL2019" s="349"/>
      <c r="PNM2019" s="349"/>
      <c r="PNN2019" s="349"/>
      <c r="PNO2019" s="349"/>
      <c r="PNP2019" s="349"/>
      <c r="PNQ2019" s="349"/>
      <c r="PNR2019" s="349"/>
      <c r="PNS2019" s="349"/>
      <c r="PNT2019" s="349"/>
      <c r="PNU2019" s="349"/>
      <c r="PNV2019" s="349"/>
      <c r="PNW2019" s="349"/>
      <c r="PNX2019" s="349"/>
      <c r="PNY2019" s="349"/>
      <c r="PNZ2019" s="349"/>
      <c r="POA2019" s="349"/>
      <c r="POB2019" s="349"/>
      <c r="POC2019" s="349"/>
      <c r="POD2019" s="349"/>
      <c r="POE2019" s="349"/>
      <c r="POF2019" s="349"/>
      <c r="POG2019" s="349"/>
      <c r="POH2019" s="349"/>
      <c r="POI2019" s="349"/>
      <c r="POJ2019" s="349"/>
      <c r="POK2019" s="349"/>
      <c r="POL2019" s="349"/>
      <c r="POM2019" s="349"/>
      <c r="PON2019" s="349"/>
      <c r="POO2019" s="349"/>
      <c r="POP2019" s="349"/>
      <c r="POQ2019" s="349"/>
      <c r="POR2019" s="349"/>
      <c r="POS2019" s="349"/>
      <c r="POT2019" s="349"/>
      <c r="POU2019" s="349"/>
      <c r="POV2019" s="349"/>
      <c r="POW2019" s="349"/>
      <c r="POX2019" s="349"/>
      <c r="POY2019" s="349"/>
      <c r="POZ2019" s="349"/>
      <c r="PPA2019" s="349"/>
      <c r="PPB2019" s="349"/>
      <c r="PPC2019" s="349"/>
      <c r="PPD2019" s="349"/>
      <c r="PPE2019" s="349"/>
      <c r="PPF2019" s="349"/>
      <c r="PPG2019" s="349"/>
      <c r="PPH2019" s="349"/>
      <c r="PPI2019" s="349"/>
      <c r="PPJ2019" s="349"/>
      <c r="PPK2019" s="349"/>
      <c r="PPL2019" s="349"/>
      <c r="PPM2019" s="349"/>
      <c r="PPN2019" s="349"/>
      <c r="PPO2019" s="349"/>
      <c r="PPP2019" s="349"/>
      <c r="PPQ2019" s="349"/>
      <c r="PPR2019" s="349"/>
      <c r="PPS2019" s="349"/>
      <c r="PPT2019" s="349"/>
      <c r="PPU2019" s="349"/>
      <c r="PPV2019" s="349"/>
      <c r="PPW2019" s="349"/>
      <c r="PPX2019" s="349"/>
      <c r="PPY2019" s="349"/>
      <c r="PPZ2019" s="349"/>
      <c r="PQA2019" s="349"/>
      <c r="PQB2019" s="349"/>
      <c r="PQC2019" s="349"/>
      <c r="PQD2019" s="349"/>
      <c r="PQE2019" s="349"/>
      <c r="PQF2019" s="349"/>
      <c r="PQG2019" s="349"/>
      <c r="PQH2019" s="349"/>
      <c r="PQI2019" s="349"/>
      <c r="PQJ2019" s="349"/>
      <c r="PQK2019" s="349"/>
      <c r="PQL2019" s="349"/>
      <c r="PQM2019" s="349"/>
      <c r="PQN2019" s="349"/>
      <c r="PQO2019" s="349"/>
      <c r="PQP2019" s="349"/>
      <c r="PQQ2019" s="349"/>
      <c r="PQR2019" s="349"/>
      <c r="PQS2019" s="349"/>
      <c r="PQT2019" s="349"/>
      <c r="PQU2019" s="349"/>
      <c r="PQV2019" s="349"/>
      <c r="PQW2019" s="349"/>
      <c r="PQX2019" s="349"/>
      <c r="PQY2019" s="349"/>
      <c r="PQZ2019" s="349"/>
      <c r="PRA2019" s="349"/>
      <c r="PRB2019" s="349"/>
      <c r="PRC2019" s="349"/>
      <c r="PRD2019" s="349"/>
      <c r="PRE2019" s="349"/>
      <c r="PRF2019" s="349"/>
      <c r="PRG2019" s="349"/>
      <c r="PRH2019" s="349"/>
      <c r="PRI2019" s="349"/>
      <c r="PRJ2019" s="349"/>
      <c r="PRK2019" s="349"/>
      <c r="PRL2019" s="349"/>
      <c r="PRM2019" s="349"/>
      <c r="PRN2019" s="349"/>
      <c r="PRO2019" s="349"/>
      <c r="PRP2019" s="349"/>
      <c r="PRQ2019" s="349"/>
      <c r="PRR2019" s="349"/>
      <c r="PRS2019" s="349"/>
      <c r="PRT2019" s="349"/>
      <c r="PRU2019" s="349"/>
      <c r="PRV2019" s="349"/>
      <c r="PRW2019" s="349"/>
      <c r="PRX2019" s="349"/>
      <c r="PRY2019" s="349"/>
      <c r="PRZ2019" s="349"/>
      <c r="PSA2019" s="349"/>
      <c r="PSB2019" s="349"/>
      <c r="PSC2019" s="349"/>
      <c r="PSD2019" s="349"/>
      <c r="PSE2019" s="349"/>
      <c r="PSF2019" s="349"/>
      <c r="PSG2019" s="349"/>
      <c r="PSH2019" s="349"/>
      <c r="PSI2019" s="349"/>
      <c r="PSJ2019" s="349"/>
      <c r="PSK2019" s="349"/>
      <c r="PSL2019" s="349"/>
      <c r="PSM2019" s="349"/>
      <c r="PSN2019" s="349"/>
      <c r="PSO2019" s="349"/>
      <c r="PSP2019" s="349"/>
      <c r="PSQ2019" s="349"/>
      <c r="PSR2019" s="349"/>
      <c r="PSS2019" s="349"/>
      <c r="PST2019" s="349"/>
      <c r="PSU2019" s="349"/>
      <c r="PSV2019" s="349"/>
      <c r="PSW2019" s="349"/>
      <c r="PSX2019" s="349"/>
      <c r="PSY2019" s="349"/>
      <c r="PSZ2019" s="349"/>
      <c r="PTA2019" s="349"/>
      <c r="PTB2019" s="349"/>
      <c r="PTC2019" s="349"/>
      <c r="PTD2019" s="349"/>
      <c r="PTE2019" s="349"/>
      <c r="PTF2019" s="349"/>
      <c r="PTG2019" s="349"/>
      <c r="PTH2019" s="349"/>
      <c r="PTI2019" s="349"/>
      <c r="PTJ2019" s="349"/>
      <c r="PTK2019" s="349"/>
      <c r="PTL2019" s="349"/>
      <c r="PTM2019" s="349"/>
      <c r="PTN2019" s="349"/>
      <c r="PTO2019" s="349"/>
      <c r="PTP2019" s="349"/>
      <c r="PTQ2019" s="349"/>
      <c r="PTR2019" s="349"/>
      <c r="PTS2019" s="349"/>
      <c r="PTT2019" s="349"/>
      <c r="PTU2019" s="349"/>
      <c r="PTV2019" s="349"/>
      <c r="PTW2019" s="349"/>
      <c r="PTX2019" s="349"/>
      <c r="PTY2019" s="349"/>
      <c r="PTZ2019" s="349"/>
      <c r="PUA2019" s="349"/>
      <c r="PUB2019" s="349"/>
      <c r="PUC2019" s="349"/>
      <c r="PUD2019" s="349"/>
      <c r="PUE2019" s="349"/>
      <c r="PUF2019" s="349"/>
      <c r="PUG2019" s="349"/>
      <c r="PUH2019" s="349"/>
      <c r="PUI2019" s="349"/>
      <c r="PUJ2019" s="349"/>
      <c r="PUK2019" s="349"/>
      <c r="PUL2019" s="349"/>
      <c r="PUM2019" s="349"/>
      <c r="PUN2019" s="349"/>
      <c r="PUO2019" s="349"/>
      <c r="PUP2019" s="349"/>
      <c r="PUQ2019" s="349"/>
      <c r="PUR2019" s="349"/>
      <c r="PUS2019" s="349"/>
      <c r="PUT2019" s="349"/>
      <c r="PUU2019" s="349"/>
      <c r="PUV2019" s="349"/>
      <c r="PUW2019" s="349"/>
      <c r="PUX2019" s="349"/>
      <c r="PUY2019" s="349"/>
      <c r="PUZ2019" s="349"/>
      <c r="PVA2019" s="349"/>
      <c r="PVB2019" s="349"/>
      <c r="PVC2019" s="349"/>
      <c r="PVD2019" s="349"/>
      <c r="PVE2019" s="349"/>
      <c r="PVF2019" s="349"/>
      <c r="PVG2019" s="349"/>
      <c r="PVH2019" s="349"/>
      <c r="PVI2019" s="349"/>
      <c r="PVJ2019" s="349"/>
      <c r="PVK2019" s="349"/>
      <c r="PVL2019" s="349"/>
      <c r="PVM2019" s="349"/>
      <c r="PVN2019" s="349"/>
      <c r="PVO2019" s="349"/>
      <c r="PVP2019" s="349"/>
      <c r="PVQ2019" s="349"/>
      <c r="PVR2019" s="349"/>
      <c r="PVS2019" s="349"/>
      <c r="PVT2019" s="349"/>
      <c r="PVU2019" s="349"/>
      <c r="PVV2019" s="349"/>
      <c r="PVW2019" s="349"/>
      <c r="PVX2019" s="349"/>
      <c r="PVY2019" s="349"/>
      <c r="PVZ2019" s="349"/>
      <c r="PWA2019" s="349"/>
      <c r="PWB2019" s="349"/>
      <c r="PWC2019" s="349"/>
      <c r="PWD2019" s="349"/>
      <c r="PWE2019" s="349"/>
      <c r="PWF2019" s="349"/>
      <c r="PWG2019" s="349"/>
      <c r="PWH2019" s="349"/>
      <c r="PWI2019" s="349"/>
      <c r="PWJ2019" s="349"/>
      <c r="PWK2019" s="349"/>
      <c r="PWL2019" s="349"/>
      <c r="PWM2019" s="349"/>
      <c r="PWN2019" s="349"/>
      <c r="PWO2019" s="349"/>
      <c r="PWP2019" s="349"/>
      <c r="PWQ2019" s="349"/>
      <c r="PWR2019" s="349"/>
      <c r="PWS2019" s="349"/>
      <c r="PWT2019" s="349"/>
      <c r="PWU2019" s="349"/>
      <c r="PWV2019" s="349"/>
      <c r="PWW2019" s="349"/>
      <c r="PWX2019" s="349"/>
      <c r="PWY2019" s="349"/>
      <c r="PWZ2019" s="349"/>
      <c r="PXA2019" s="349"/>
      <c r="PXB2019" s="349"/>
      <c r="PXC2019" s="349"/>
      <c r="PXD2019" s="349"/>
      <c r="PXE2019" s="349"/>
      <c r="PXF2019" s="349"/>
      <c r="PXG2019" s="349"/>
      <c r="PXH2019" s="349"/>
      <c r="PXI2019" s="349"/>
      <c r="PXJ2019" s="349"/>
      <c r="PXK2019" s="349"/>
      <c r="PXL2019" s="349"/>
      <c r="PXM2019" s="349"/>
      <c r="PXN2019" s="349"/>
      <c r="PXO2019" s="349"/>
      <c r="PXP2019" s="349"/>
      <c r="PXQ2019" s="349"/>
      <c r="PXR2019" s="349"/>
      <c r="PXS2019" s="349"/>
      <c r="PXT2019" s="349"/>
      <c r="PXU2019" s="349"/>
      <c r="PXV2019" s="349"/>
      <c r="PXW2019" s="349"/>
      <c r="PXX2019" s="349"/>
      <c r="PXY2019" s="349"/>
      <c r="PXZ2019" s="349"/>
      <c r="PYA2019" s="349"/>
      <c r="PYB2019" s="349"/>
      <c r="PYC2019" s="349"/>
      <c r="PYD2019" s="349"/>
      <c r="PYE2019" s="349"/>
      <c r="PYF2019" s="349"/>
      <c r="PYG2019" s="349"/>
      <c r="PYH2019" s="349"/>
      <c r="PYI2019" s="349"/>
      <c r="PYJ2019" s="349"/>
      <c r="PYK2019" s="349"/>
      <c r="PYL2019" s="349"/>
      <c r="PYM2019" s="349"/>
      <c r="PYN2019" s="349"/>
      <c r="PYO2019" s="349"/>
      <c r="PYP2019" s="349"/>
      <c r="PYQ2019" s="349"/>
      <c r="PYR2019" s="349"/>
      <c r="PYS2019" s="349"/>
      <c r="PYT2019" s="349"/>
      <c r="PYU2019" s="349"/>
      <c r="PYV2019" s="349"/>
      <c r="PYW2019" s="349"/>
      <c r="PYX2019" s="349"/>
      <c r="PYY2019" s="349"/>
      <c r="PYZ2019" s="349"/>
      <c r="PZA2019" s="349"/>
      <c r="PZB2019" s="349"/>
      <c r="PZC2019" s="349"/>
      <c r="PZD2019" s="349"/>
      <c r="PZE2019" s="349"/>
      <c r="PZF2019" s="349"/>
      <c r="PZG2019" s="349"/>
      <c r="PZH2019" s="349"/>
      <c r="PZI2019" s="349"/>
      <c r="PZJ2019" s="349"/>
      <c r="PZK2019" s="349"/>
      <c r="PZL2019" s="349"/>
      <c r="PZM2019" s="349"/>
      <c r="PZN2019" s="349"/>
      <c r="PZO2019" s="349"/>
      <c r="PZP2019" s="349"/>
      <c r="PZQ2019" s="349"/>
      <c r="PZR2019" s="349"/>
      <c r="PZS2019" s="349"/>
      <c r="PZT2019" s="349"/>
      <c r="PZU2019" s="349"/>
      <c r="PZV2019" s="349"/>
      <c r="PZW2019" s="349"/>
      <c r="PZX2019" s="349"/>
      <c r="PZY2019" s="349"/>
      <c r="PZZ2019" s="349"/>
      <c r="QAA2019" s="349"/>
      <c r="QAB2019" s="349"/>
      <c r="QAC2019" s="349"/>
      <c r="QAD2019" s="349"/>
      <c r="QAE2019" s="349"/>
      <c r="QAF2019" s="349"/>
      <c r="QAG2019" s="349"/>
      <c r="QAH2019" s="349"/>
      <c r="QAI2019" s="349"/>
      <c r="QAJ2019" s="349"/>
      <c r="QAK2019" s="349"/>
      <c r="QAL2019" s="349"/>
      <c r="QAM2019" s="349"/>
      <c r="QAN2019" s="349"/>
      <c r="QAO2019" s="349"/>
      <c r="QAP2019" s="349"/>
      <c r="QAQ2019" s="349"/>
      <c r="QAR2019" s="349"/>
      <c r="QAS2019" s="349"/>
      <c r="QAT2019" s="349"/>
      <c r="QAU2019" s="349"/>
      <c r="QAV2019" s="349"/>
      <c r="QAW2019" s="349"/>
      <c r="QAX2019" s="349"/>
      <c r="QAY2019" s="349"/>
      <c r="QAZ2019" s="349"/>
      <c r="QBA2019" s="349"/>
      <c r="QBB2019" s="349"/>
      <c r="QBC2019" s="349"/>
      <c r="QBD2019" s="349"/>
      <c r="QBE2019" s="349"/>
      <c r="QBF2019" s="349"/>
      <c r="QBG2019" s="349"/>
      <c r="QBH2019" s="349"/>
      <c r="QBI2019" s="349"/>
      <c r="QBJ2019" s="349"/>
      <c r="QBK2019" s="349"/>
      <c r="QBL2019" s="349"/>
      <c r="QBM2019" s="349"/>
      <c r="QBN2019" s="349"/>
      <c r="QBO2019" s="349"/>
      <c r="QBP2019" s="349"/>
      <c r="QBQ2019" s="349"/>
      <c r="QBR2019" s="349"/>
      <c r="QBS2019" s="349"/>
      <c r="QBT2019" s="349"/>
      <c r="QBU2019" s="349"/>
      <c r="QBV2019" s="349"/>
      <c r="QBW2019" s="349"/>
      <c r="QBX2019" s="349"/>
      <c r="QBY2019" s="349"/>
      <c r="QBZ2019" s="349"/>
      <c r="QCA2019" s="349"/>
      <c r="QCB2019" s="349"/>
      <c r="QCC2019" s="349"/>
      <c r="QCD2019" s="349"/>
      <c r="QCE2019" s="349"/>
      <c r="QCF2019" s="349"/>
      <c r="QCG2019" s="349"/>
      <c r="QCH2019" s="349"/>
      <c r="QCI2019" s="349"/>
      <c r="QCJ2019" s="349"/>
      <c r="QCK2019" s="349"/>
      <c r="QCL2019" s="349"/>
      <c r="QCM2019" s="349"/>
      <c r="QCN2019" s="349"/>
      <c r="QCO2019" s="349"/>
      <c r="QCP2019" s="349"/>
      <c r="QCQ2019" s="349"/>
      <c r="QCR2019" s="349"/>
      <c r="QCS2019" s="349"/>
      <c r="QCT2019" s="349"/>
      <c r="QCU2019" s="349"/>
      <c r="QCV2019" s="349"/>
      <c r="QCW2019" s="349"/>
      <c r="QCX2019" s="349"/>
      <c r="QCY2019" s="349"/>
      <c r="QCZ2019" s="349"/>
      <c r="QDA2019" s="349"/>
      <c r="QDB2019" s="349"/>
      <c r="QDC2019" s="349"/>
      <c r="QDD2019" s="349"/>
      <c r="QDE2019" s="349"/>
      <c r="QDF2019" s="349"/>
      <c r="QDG2019" s="349"/>
      <c r="QDH2019" s="349"/>
      <c r="QDI2019" s="349"/>
      <c r="QDJ2019" s="349"/>
      <c r="QDK2019" s="349"/>
      <c r="QDL2019" s="349"/>
      <c r="QDM2019" s="349"/>
      <c r="QDN2019" s="349"/>
      <c r="QDO2019" s="349"/>
      <c r="QDP2019" s="349"/>
      <c r="QDQ2019" s="349"/>
      <c r="QDR2019" s="349"/>
      <c r="QDS2019" s="349"/>
      <c r="QDT2019" s="349"/>
      <c r="QDU2019" s="349"/>
      <c r="QDV2019" s="349"/>
      <c r="QDW2019" s="349"/>
      <c r="QDX2019" s="349"/>
      <c r="QDY2019" s="349"/>
      <c r="QDZ2019" s="349"/>
      <c r="QEA2019" s="349"/>
      <c r="QEB2019" s="349"/>
      <c r="QEC2019" s="349"/>
      <c r="QED2019" s="349"/>
      <c r="QEE2019" s="349"/>
      <c r="QEF2019" s="349"/>
      <c r="QEG2019" s="349"/>
      <c r="QEH2019" s="349"/>
      <c r="QEI2019" s="349"/>
      <c r="QEJ2019" s="349"/>
      <c r="QEK2019" s="349"/>
      <c r="QEL2019" s="349"/>
      <c r="QEM2019" s="349"/>
      <c r="QEN2019" s="349"/>
      <c r="QEO2019" s="349"/>
      <c r="QEP2019" s="349"/>
      <c r="QEQ2019" s="349"/>
      <c r="QER2019" s="349"/>
      <c r="QES2019" s="349"/>
      <c r="QET2019" s="349"/>
      <c r="QEU2019" s="349"/>
      <c r="QEV2019" s="349"/>
      <c r="QEW2019" s="349"/>
      <c r="QEX2019" s="349"/>
      <c r="QEY2019" s="349"/>
      <c r="QEZ2019" s="349"/>
      <c r="QFA2019" s="349"/>
      <c r="QFB2019" s="349"/>
      <c r="QFC2019" s="349"/>
      <c r="QFD2019" s="349"/>
      <c r="QFE2019" s="349"/>
      <c r="QFF2019" s="349"/>
      <c r="QFG2019" s="349"/>
      <c r="QFH2019" s="349"/>
      <c r="QFI2019" s="349"/>
      <c r="QFJ2019" s="349"/>
      <c r="QFK2019" s="349"/>
      <c r="QFL2019" s="349"/>
      <c r="QFM2019" s="349"/>
      <c r="QFN2019" s="349"/>
      <c r="QFO2019" s="349"/>
      <c r="QFP2019" s="349"/>
      <c r="QFQ2019" s="349"/>
      <c r="QFR2019" s="349"/>
      <c r="QFS2019" s="349"/>
      <c r="QFT2019" s="349"/>
      <c r="QFU2019" s="349"/>
      <c r="QFV2019" s="349"/>
      <c r="QFW2019" s="349"/>
      <c r="QFX2019" s="349"/>
      <c r="QFY2019" s="349"/>
      <c r="QFZ2019" s="349"/>
      <c r="QGA2019" s="349"/>
      <c r="QGB2019" s="349"/>
      <c r="QGC2019" s="349"/>
      <c r="QGD2019" s="349"/>
      <c r="QGE2019" s="349"/>
      <c r="QGF2019" s="349"/>
      <c r="QGG2019" s="349"/>
      <c r="QGH2019" s="349"/>
      <c r="QGI2019" s="349"/>
      <c r="QGJ2019" s="349"/>
      <c r="QGK2019" s="349"/>
      <c r="QGL2019" s="349"/>
      <c r="QGM2019" s="349"/>
      <c r="QGN2019" s="349"/>
      <c r="QGO2019" s="349"/>
      <c r="QGP2019" s="349"/>
      <c r="QGQ2019" s="349"/>
      <c r="QGR2019" s="349"/>
      <c r="QGS2019" s="349"/>
      <c r="QGT2019" s="349"/>
      <c r="QGU2019" s="349"/>
      <c r="QGV2019" s="349"/>
      <c r="QGW2019" s="349"/>
      <c r="QGX2019" s="349"/>
      <c r="QGY2019" s="349"/>
      <c r="QGZ2019" s="349"/>
      <c r="QHA2019" s="349"/>
      <c r="QHB2019" s="349"/>
      <c r="QHC2019" s="349"/>
      <c r="QHD2019" s="349"/>
      <c r="QHE2019" s="349"/>
      <c r="QHF2019" s="349"/>
      <c r="QHG2019" s="349"/>
      <c r="QHH2019" s="349"/>
      <c r="QHI2019" s="349"/>
      <c r="QHJ2019" s="349"/>
      <c r="QHK2019" s="349"/>
      <c r="QHL2019" s="349"/>
      <c r="QHM2019" s="349"/>
      <c r="QHN2019" s="349"/>
      <c r="QHO2019" s="349"/>
      <c r="QHP2019" s="349"/>
      <c r="QHQ2019" s="349"/>
      <c r="QHR2019" s="349"/>
      <c r="QHS2019" s="349"/>
      <c r="QHT2019" s="349"/>
      <c r="QHU2019" s="349"/>
      <c r="QHV2019" s="349"/>
      <c r="QHW2019" s="349"/>
      <c r="QHX2019" s="349"/>
      <c r="QHY2019" s="349"/>
      <c r="QHZ2019" s="349"/>
      <c r="QIA2019" s="349"/>
      <c r="QIB2019" s="349"/>
      <c r="QIC2019" s="349"/>
      <c r="QID2019" s="349"/>
      <c r="QIE2019" s="349"/>
      <c r="QIF2019" s="349"/>
      <c r="QIG2019" s="349"/>
      <c r="QIH2019" s="349"/>
      <c r="QII2019" s="349"/>
      <c r="QIJ2019" s="349"/>
      <c r="QIK2019" s="349"/>
      <c r="QIL2019" s="349"/>
      <c r="QIM2019" s="349"/>
      <c r="QIN2019" s="349"/>
      <c r="QIO2019" s="349"/>
      <c r="QIP2019" s="349"/>
      <c r="QIQ2019" s="349"/>
      <c r="QIR2019" s="349"/>
      <c r="QIS2019" s="349"/>
      <c r="QIT2019" s="349"/>
      <c r="QIU2019" s="349"/>
      <c r="QIV2019" s="349"/>
      <c r="QIW2019" s="349"/>
      <c r="QIX2019" s="349"/>
      <c r="QIY2019" s="349"/>
      <c r="QIZ2019" s="349"/>
      <c r="QJA2019" s="349"/>
      <c r="QJB2019" s="349"/>
      <c r="QJC2019" s="349"/>
      <c r="QJD2019" s="349"/>
      <c r="QJE2019" s="349"/>
      <c r="QJF2019" s="349"/>
      <c r="QJG2019" s="349"/>
      <c r="QJH2019" s="349"/>
      <c r="QJI2019" s="349"/>
      <c r="QJJ2019" s="349"/>
      <c r="QJK2019" s="349"/>
      <c r="QJL2019" s="349"/>
      <c r="QJM2019" s="349"/>
      <c r="QJN2019" s="349"/>
      <c r="QJO2019" s="349"/>
      <c r="QJP2019" s="349"/>
      <c r="QJQ2019" s="349"/>
      <c r="QJR2019" s="349"/>
      <c r="QJS2019" s="349"/>
      <c r="QJT2019" s="349"/>
      <c r="QJU2019" s="349"/>
      <c r="QJV2019" s="349"/>
      <c r="QJW2019" s="349"/>
      <c r="QJX2019" s="349"/>
      <c r="QJY2019" s="349"/>
      <c r="QJZ2019" s="349"/>
      <c r="QKA2019" s="349"/>
      <c r="QKB2019" s="349"/>
      <c r="QKC2019" s="349"/>
      <c r="QKD2019" s="349"/>
      <c r="QKE2019" s="349"/>
      <c r="QKF2019" s="349"/>
      <c r="QKG2019" s="349"/>
      <c r="QKH2019" s="349"/>
      <c r="QKI2019" s="349"/>
      <c r="QKJ2019" s="349"/>
      <c r="QKK2019" s="349"/>
      <c r="QKL2019" s="349"/>
      <c r="QKM2019" s="349"/>
      <c r="QKN2019" s="349"/>
      <c r="QKO2019" s="349"/>
      <c r="QKP2019" s="349"/>
      <c r="QKQ2019" s="349"/>
      <c r="QKR2019" s="349"/>
      <c r="QKS2019" s="349"/>
      <c r="QKT2019" s="349"/>
      <c r="QKU2019" s="349"/>
      <c r="QKV2019" s="349"/>
      <c r="QKW2019" s="349"/>
      <c r="QKX2019" s="349"/>
      <c r="QKY2019" s="349"/>
      <c r="QKZ2019" s="349"/>
      <c r="QLA2019" s="349"/>
      <c r="QLB2019" s="349"/>
      <c r="QLC2019" s="349"/>
      <c r="QLD2019" s="349"/>
      <c r="QLE2019" s="349"/>
      <c r="QLF2019" s="349"/>
      <c r="QLG2019" s="349"/>
      <c r="QLH2019" s="349"/>
      <c r="QLI2019" s="349"/>
      <c r="QLJ2019" s="349"/>
      <c r="QLK2019" s="349"/>
      <c r="QLL2019" s="349"/>
      <c r="QLM2019" s="349"/>
      <c r="QLN2019" s="349"/>
      <c r="QLO2019" s="349"/>
      <c r="QLP2019" s="349"/>
      <c r="QLQ2019" s="349"/>
      <c r="QLR2019" s="349"/>
      <c r="QLS2019" s="349"/>
      <c r="QLT2019" s="349"/>
      <c r="QLU2019" s="349"/>
      <c r="QLV2019" s="349"/>
      <c r="QLW2019" s="349"/>
      <c r="QLX2019" s="349"/>
      <c r="QLY2019" s="349"/>
      <c r="QLZ2019" s="349"/>
      <c r="QMA2019" s="349"/>
      <c r="QMB2019" s="349"/>
      <c r="QMC2019" s="349"/>
      <c r="QMD2019" s="349"/>
      <c r="QME2019" s="349"/>
      <c r="QMF2019" s="349"/>
      <c r="QMG2019" s="349"/>
      <c r="QMH2019" s="349"/>
      <c r="QMI2019" s="349"/>
      <c r="QMJ2019" s="349"/>
      <c r="QMK2019" s="349"/>
      <c r="QML2019" s="349"/>
      <c r="QMM2019" s="349"/>
      <c r="QMN2019" s="349"/>
      <c r="QMO2019" s="349"/>
      <c r="QMP2019" s="349"/>
      <c r="QMQ2019" s="349"/>
      <c r="QMR2019" s="349"/>
      <c r="QMS2019" s="349"/>
      <c r="QMT2019" s="349"/>
      <c r="QMU2019" s="349"/>
      <c r="QMV2019" s="349"/>
      <c r="QMW2019" s="349"/>
      <c r="QMX2019" s="349"/>
      <c r="QMY2019" s="349"/>
      <c r="QMZ2019" s="349"/>
      <c r="QNA2019" s="349"/>
      <c r="QNB2019" s="349"/>
      <c r="QNC2019" s="349"/>
      <c r="QND2019" s="349"/>
      <c r="QNE2019" s="349"/>
      <c r="QNF2019" s="349"/>
      <c r="QNG2019" s="349"/>
      <c r="QNH2019" s="349"/>
      <c r="QNI2019" s="349"/>
      <c r="QNJ2019" s="349"/>
      <c r="QNK2019" s="349"/>
      <c r="QNL2019" s="349"/>
      <c r="QNM2019" s="349"/>
      <c r="QNN2019" s="349"/>
      <c r="QNO2019" s="349"/>
      <c r="QNP2019" s="349"/>
      <c r="QNQ2019" s="349"/>
      <c r="QNR2019" s="349"/>
      <c r="QNS2019" s="349"/>
      <c r="QNT2019" s="349"/>
      <c r="QNU2019" s="349"/>
      <c r="QNV2019" s="349"/>
      <c r="QNW2019" s="349"/>
      <c r="QNX2019" s="349"/>
      <c r="QNY2019" s="349"/>
      <c r="QNZ2019" s="349"/>
      <c r="QOA2019" s="349"/>
      <c r="QOB2019" s="349"/>
      <c r="QOC2019" s="349"/>
      <c r="QOD2019" s="349"/>
      <c r="QOE2019" s="349"/>
      <c r="QOF2019" s="349"/>
      <c r="QOG2019" s="349"/>
      <c r="QOH2019" s="349"/>
      <c r="QOI2019" s="349"/>
      <c r="QOJ2019" s="349"/>
      <c r="QOK2019" s="349"/>
      <c r="QOL2019" s="349"/>
      <c r="QOM2019" s="349"/>
      <c r="QON2019" s="349"/>
      <c r="QOO2019" s="349"/>
      <c r="QOP2019" s="349"/>
      <c r="QOQ2019" s="349"/>
      <c r="QOR2019" s="349"/>
      <c r="QOS2019" s="349"/>
      <c r="QOT2019" s="349"/>
      <c r="QOU2019" s="349"/>
      <c r="QOV2019" s="349"/>
      <c r="QOW2019" s="349"/>
      <c r="QOX2019" s="349"/>
      <c r="QOY2019" s="349"/>
      <c r="QOZ2019" s="349"/>
      <c r="QPA2019" s="349"/>
      <c r="QPB2019" s="349"/>
      <c r="QPC2019" s="349"/>
      <c r="QPD2019" s="349"/>
      <c r="QPE2019" s="349"/>
      <c r="QPF2019" s="349"/>
      <c r="QPG2019" s="349"/>
      <c r="QPH2019" s="349"/>
      <c r="QPI2019" s="349"/>
      <c r="QPJ2019" s="349"/>
      <c r="QPK2019" s="349"/>
      <c r="QPL2019" s="349"/>
      <c r="QPM2019" s="349"/>
      <c r="QPN2019" s="349"/>
      <c r="QPO2019" s="349"/>
      <c r="QPP2019" s="349"/>
      <c r="QPQ2019" s="349"/>
      <c r="QPR2019" s="349"/>
      <c r="QPS2019" s="349"/>
      <c r="QPT2019" s="349"/>
      <c r="QPU2019" s="349"/>
      <c r="QPV2019" s="349"/>
      <c r="QPW2019" s="349"/>
      <c r="QPX2019" s="349"/>
      <c r="QPY2019" s="349"/>
      <c r="QPZ2019" s="349"/>
      <c r="QQA2019" s="349"/>
      <c r="QQB2019" s="349"/>
      <c r="QQC2019" s="349"/>
      <c r="QQD2019" s="349"/>
      <c r="QQE2019" s="349"/>
      <c r="QQF2019" s="349"/>
      <c r="QQG2019" s="349"/>
      <c r="QQH2019" s="349"/>
      <c r="QQI2019" s="349"/>
      <c r="QQJ2019" s="349"/>
      <c r="QQK2019" s="349"/>
      <c r="QQL2019" s="349"/>
      <c r="QQM2019" s="349"/>
      <c r="QQN2019" s="349"/>
      <c r="QQO2019" s="349"/>
      <c r="QQP2019" s="349"/>
      <c r="QQQ2019" s="349"/>
      <c r="QQR2019" s="349"/>
      <c r="QQS2019" s="349"/>
      <c r="QQT2019" s="349"/>
      <c r="QQU2019" s="349"/>
      <c r="QQV2019" s="349"/>
      <c r="QQW2019" s="349"/>
      <c r="QQX2019" s="349"/>
      <c r="QQY2019" s="349"/>
      <c r="QQZ2019" s="349"/>
      <c r="QRA2019" s="349"/>
      <c r="QRB2019" s="349"/>
      <c r="QRC2019" s="349"/>
      <c r="QRD2019" s="349"/>
      <c r="QRE2019" s="349"/>
      <c r="QRF2019" s="349"/>
      <c r="QRG2019" s="349"/>
      <c r="QRH2019" s="349"/>
      <c r="QRI2019" s="349"/>
      <c r="QRJ2019" s="349"/>
      <c r="QRK2019" s="349"/>
      <c r="QRL2019" s="349"/>
      <c r="QRM2019" s="349"/>
      <c r="QRN2019" s="349"/>
      <c r="QRO2019" s="349"/>
      <c r="QRP2019" s="349"/>
      <c r="QRQ2019" s="349"/>
      <c r="QRR2019" s="349"/>
      <c r="QRS2019" s="349"/>
      <c r="QRT2019" s="349"/>
      <c r="QRU2019" s="349"/>
      <c r="QRV2019" s="349"/>
      <c r="QRW2019" s="349"/>
      <c r="QRX2019" s="349"/>
      <c r="QRY2019" s="349"/>
      <c r="QRZ2019" s="349"/>
      <c r="QSA2019" s="349"/>
      <c r="QSB2019" s="349"/>
      <c r="QSC2019" s="349"/>
      <c r="QSD2019" s="349"/>
      <c r="QSE2019" s="349"/>
      <c r="QSF2019" s="349"/>
      <c r="QSG2019" s="349"/>
      <c r="QSH2019" s="349"/>
      <c r="QSI2019" s="349"/>
      <c r="QSJ2019" s="349"/>
      <c r="QSK2019" s="349"/>
      <c r="QSL2019" s="349"/>
      <c r="QSM2019" s="349"/>
      <c r="QSN2019" s="349"/>
      <c r="QSO2019" s="349"/>
      <c r="QSP2019" s="349"/>
      <c r="QSQ2019" s="349"/>
      <c r="QSR2019" s="349"/>
      <c r="QSS2019" s="349"/>
      <c r="QST2019" s="349"/>
      <c r="QSU2019" s="349"/>
      <c r="QSV2019" s="349"/>
      <c r="QSW2019" s="349"/>
      <c r="QSX2019" s="349"/>
      <c r="QSY2019" s="349"/>
      <c r="QSZ2019" s="349"/>
      <c r="QTA2019" s="349"/>
      <c r="QTB2019" s="349"/>
      <c r="QTC2019" s="349"/>
      <c r="QTD2019" s="349"/>
      <c r="QTE2019" s="349"/>
      <c r="QTF2019" s="349"/>
      <c r="QTG2019" s="349"/>
      <c r="QTH2019" s="349"/>
      <c r="QTI2019" s="349"/>
      <c r="QTJ2019" s="349"/>
      <c r="QTK2019" s="349"/>
      <c r="QTL2019" s="349"/>
      <c r="QTM2019" s="349"/>
      <c r="QTN2019" s="349"/>
      <c r="QTO2019" s="349"/>
      <c r="QTP2019" s="349"/>
      <c r="QTQ2019" s="349"/>
      <c r="QTR2019" s="349"/>
      <c r="QTS2019" s="349"/>
      <c r="QTT2019" s="349"/>
      <c r="QTU2019" s="349"/>
      <c r="QTV2019" s="349"/>
      <c r="QTW2019" s="349"/>
      <c r="QTX2019" s="349"/>
      <c r="QTY2019" s="349"/>
      <c r="QTZ2019" s="349"/>
      <c r="QUA2019" s="349"/>
      <c r="QUB2019" s="349"/>
      <c r="QUC2019" s="349"/>
      <c r="QUD2019" s="349"/>
      <c r="QUE2019" s="349"/>
      <c r="QUF2019" s="349"/>
      <c r="QUG2019" s="349"/>
      <c r="QUH2019" s="349"/>
      <c r="QUI2019" s="349"/>
      <c r="QUJ2019" s="349"/>
      <c r="QUK2019" s="349"/>
      <c r="QUL2019" s="349"/>
      <c r="QUM2019" s="349"/>
      <c r="QUN2019" s="349"/>
      <c r="QUO2019" s="349"/>
      <c r="QUP2019" s="349"/>
      <c r="QUQ2019" s="349"/>
      <c r="QUR2019" s="349"/>
      <c r="QUS2019" s="349"/>
      <c r="QUT2019" s="349"/>
      <c r="QUU2019" s="349"/>
      <c r="QUV2019" s="349"/>
      <c r="QUW2019" s="349"/>
      <c r="QUX2019" s="349"/>
      <c r="QUY2019" s="349"/>
      <c r="QUZ2019" s="349"/>
      <c r="QVA2019" s="349"/>
      <c r="QVB2019" s="349"/>
      <c r="QVC2019" s="349"/>
      <c r="QVD2019" s="349"/>
      <c r="QVE2019" s="349"/>
      <c r="QVF2019" s="349"/>
      <c r="QVG2019" s="349"/>
      <c r="QVH2019" s="349"/>
      <c r="QVI2019" s="349"/>
      <c r="QVJ2019" s="349"/>
      <c r="QVK2019" s="349"/>
      <c r="QVL2019" s="349"/>
      <c r="QVM2019" s="349"/>
      <c r="QVN2019" s="349"/>
      <c r="QVO2019" s="349"/>
      <c r="QVP2019" s="349"/>
      <c r="QVQ2019" s="349"/>
      <c r="QVR2019" s="349"/>
      <c r="QVS2019" s="349"/>
      <c r="QVT2019" s="349"/>
      <c r="QVU2019" s="349"/>
      <c r="QVV2019" s="349"/>
      <c r="QVW2019" s="349"/>
      <c r="QVX2019" s="349"/>
      <c r="QVY2019" s="349"/>
      <c r="QVZ2019" s="349"/>
      <c r="QWA2019" s="349"/>
      <c r="QWB2019" s="349"/>
      <c r="QWC2019" s="349"/>
      <c r="QWD2019" s="349"/>
      <c r="QWE2019" s="349"/>
      <c r="QWF2019" s="349"/>
      <c r="QWG2019" s="349"/>
      <c r="QWH2019" s="349"/>
      <c r="QWI2019" s="349"/>
      <c r="QWJ2019" s="349"/>
      <c r="QWK2019" s="349"/>
      <c r="QWL2019" s="349"/>
      <c r="QWM2019" s="349"/>
      <c r="QWN2019" s="349"/>
      <c r="QWO2019" s="349"/>
      <c r="QWP2019" s="349"/>
      <c r="QWQ2019" s="349"/>
      <c r="QWR2019" s="349"/>
      <c r="QWS2019" s="349"/>
      <c r="QWT2019" s="349"/>
      <c r="QWU2019" s="349"/>
      <c r="QWV2019" s="349"/>
      <c r="QWW2019" s="349"/>
      <c r="QWX2019" s="349"/>
      <c r="QWY2019" s="349"/>
      <c r="QWZ2019" s="349"/>
      <c r="QXA2019" s="349"/>
      <c r="QXB2019" s="349"/>
      <c r="QXC2019" s="349"/>
      <c r="QXD2019" s="349"/>
      <c r="QXE2019" s="349"/>
      <c r="QXF2019" s="349"/>
      <c r="QXG2019" s="349"/>
      <c r="QXH2019" s="349"/>
      <c r="QXI2019" s="349"/>
      <c r="QXJ2019" s="349"/>
      <c r="QXK2019" s="349"/>
      <c r="QXL2019" s="349"/>
      <c r="QXM2019" s="349"/>
      <c r="QXN2019" s="349"/>
      <c r="QXO2019" s="349"/>
      <c r="QXP2019" s="349"/>
      <c r="QXQ2019" s="349"/>
      <c r="QXR2019" s="349"/>
      <c r="QXS2019" s="349"/>
      <c r="QXT2019" s="349"/>
      <c r="QXU2019" s="349"/>
      <c r="QXV2019" s="349"/>
      <c r="QXW2019" s="349"/>
      <c r="QXX2019" s="349"/>
      <c r="QXY2019" s="349"/>
      <c r="QXZ2019" s="349"/>
      <c r="QYA2019" s="349"/>
      <c r="QYB2019" s="349"/>
      <c r="QYC2019" s="349"/>
      <c r="QYD2019" s="349"/>
      <c r="QYE2019" s="349"/>
      <c r="QYF2019" s="349"/>
      <c r="QYG2019" s="349"/>
      <c r="QYH2019" s="349"/>
      <c r="QYI2019" s="349"/>
      <c r="QYJ2019" s="349"/>
      <c r="QYK2019" s="349"/>
      <c r="QYL2019" s="349"/>
      <c r="QYM2019" s="349"/>
      <c r="QYN2019" s="349"/>
      <c r="QYO2019" s="349"/>
      <c r="QYP2019" s="349"/>
      <c r="QYQ2019" s="349"/>
      <c r="QYR2019" s="349"/>
      <c r="QYS2019" s="349"/>
      <c r="QYT2019" s="349"/>
      <c r="QYU2019" s="349"/>
      <c r="QYV2019" s="349"/>
      <c r="QYW2019" s="349"/>
      <c r="QYX2019" s="349"/>
      <c r="QYY2019" s="349"/>
      <c r="QYZ2019" s="349"/>
      <c r="QZA2019" s="349"/>
      <c r="QZB2019" s="349"/>
      <c r="QZC2019" s="349"/>
      <c r="QZD2019" s="349"/>
      <c r="QZE2019" s="349"/>
      <c r="QZF2019" s="349"/>
      <c r="QZG2019" s="349"/>
      <c r="QZH2019" s="349"/>
      <c r="QZI2019" s="349"/>
      <c r="QZJ2019" s="349"/>
      <c r="QZK2019" s="349"/>
      <c r="QZL2019" s="349"/>
      <c r="QZM2019" s="349"/>
      <c r="QZN2019" s="349"/>
      <c r="QZO2019" s="349"/>
      <c r="QZP2019" s="349"/>
      <c r="QZQ2019" s="349"/>
      <c r="QZR2019" s="349"/>
      <c r="QZS2019" s="349"/>
      <c r="QZT2019" s="349"/>
      <c r="QZU2019" s="349"/>
      <c r="QZV2019" s="349"/>
      <c r="QZW2019" s="349"/>
      <c r="QZX2019" s="349"/>
      <c r="QZY2019" s="349"/>
      <c r="QZZ2019" s="349"/>
      <c r="RAA2019" s="349"/>
      <c r="RAB2019" s="349"/>
      <c r="RAC2019" s="349"/>
      <c r="RAD2019" s="349"/>
      <c r="RAE2019" s="349"/>
      <c r="RAF2019" s="349"/>
      <c r="RAG2019" s="349"/>
      <c r="RAH2019" s="349"/>
      <c r="RAI2019" s="349"/>
      <c r="RAJ2019" s="349"/>
      <c r="RAK2019" s="349"/>
      <c r="RAL2019" s="349"/>
      <c r="RAM2019" s="349"/>
      <c r="RAN2019" s="349"/>
      <c r="RAO2019" s="349"/>
      <c r="RAP2019" s="349"/>
      <c r="RAQ2019" s="349"/>
      <c r="RAR2019" s="349"/>
      <c r="RAS2019" s="349"/>
      <c r="RAT2019" s="349"/>
      <c r="RAU2019" s="349"/>
      <c r="RAV2019" s="349"/>
      <c r="RAW2019" s="349"/>
      <c r="RAX2019" s="349"/>
      <c r="RAY2019" s="349"/>
      <c r="RAZ2019" s="349"/>
      <c r="RBA2019" s="349"/>
      <c r="RBB2019" s="349"/>
      <c r="RBC2019" s="349"/>
      <c r="RBD2019" s="349"/>
      <c r="RBE2019" s="349"/>
      <c r="RBF2019" s="349"/>
      <c r="RBG2019" s="349"/>
      <c r="RBH2019" s="349"/>
      <c r="RBI2019" s="349"/>
      <c r="RBJ2019" s="349"/>
      <c r="RBK2019" s="349"/>
      <c r="RBL2019" s="349"/>
      <c r="RBM2019" s="349"/>
      <c r="RBN2019" s="349"/>
      <c r="RBO2019" s="349"/>
      <c r="RBP2019" s="349"/>
      <c r="RBQ2019" s="349"/>
      <c r="RBR2019" s="349"/>
      <c r="RBS2019" s="349"/>
      <c r="RBT2019" s="349"/>
      <c r="RBU2019" s="349"/>
      <c r="RBV2019" s="349"/>
      <c r="RBW2019" s="349"/>
      <c r="RBX2019" s="349"/>
      <c r="RBY2019" s="349"/>
      <c r="RBZ2019" s="349"/>
      <c r="RCA2019" s="349"/>
      <c r="RCB2019" s="349"/>
      <c r="RCC2019" s="349"/>
      <c r="RCD2019" s="349"/>
      <c r="RCE2019" s="349"/>
      <c r="RCF2019" s="349"/>
      <c r="RCG2019" s="349"/>
      <c r="RCH2019" s="349"/>
      <c r="RCI2019" s="349"/>
      <c r="RCJ2019" s="349"/>
      <c r="RCK2019" s="349"/>
      <c r="RCL2019" s="349"/>
      <c r="RCM2019" s="349"/>
      <c r="RCN2019" s="349"/>
      <c r="RCO2019" s="349"/>
      <c r="RCP2019" s="349"/>
      <c r="RCQ2019" s="349"/>
      <c r="RCR2019" s="349"/>
      <c r="RCS2019" s="349"/>
      <c r="RCT2019" s="349"/>
      <c r="RCU2019" s="349"/>
      <c r="RCV2019" s="349"/>
      <c r="RCW2019" s="349"/>
      <c r="RCX2019" s="349"/>
      <c r="RCY2019" s="349"/>
      <c r="RCZ2019" s="349"/>
      <c r="RDA2019" s="349"/>
      <c r="RDB2019" s="349"/>
      <c r="RDC2019" s="349"/>
      <c r="RDD2019" s="349"/>
      <c r="RDE2019" s="349"/>
      <c r="RDF2019" s="349"/>
      <c r="RDG2019" s="349"/>
      <c r="RDH2019" s="349"/>
      <c r="RDI2019" s="349"/>
      <c r="RDJ2019" s="349"/>
      <c r="RDK2019" s="349"/>
      <c r="RDL2019" s="349"/>
      <c r="RDM2019" s="349"/>
      <c r="RDN2019" s="349"/>
      <c r="RDO2019" s="349"/>
      <c r="RDP2019" s="349"/>
      <c r="RDQ2019" s="349"/>
      <c r="RDR2019" s="349"/>
      <c r="RDS2019" s="349"/>
      <c r="RDT2019" s="349"/>
      <c r="RDU2019" s="349"/>
      <c r="RDV2019" s="349"/>
      <c r="RDW2019" s="349"/>
      <c r="RDX2019" s="349"/>
      <c r="RDY2019" s="349"/>
      <c r="RDZ2019" s="349"/>
      <c r="REA2019" s="349"/>
      <c r="REB2019" s="349"/>
      <c r="REC2019" s="349"/>
      <c r="RED2019" s="349"/>
      <c r="REE2019" s="349"/>
      <c r="REF2019" s="349"/>
      <c r="REG2019" s="349"/>
      <c r="REH2019" s="349"/>
      <c r="REI2019" s="349"/>
      <c r="REJ2019" s="349"/>
      <c r="REK2019" s="349"/>
      <c r="REL2019" s="349"/>
      <c r="REM2019" s="349"/>
      <c r="REN2019" s="349"/>
      <c r="REO2019" s="349"/>
      <c r="REP2019" s="349"/>
      <c r="REQ2019" s="349"/>
      <c r="RER2019" s="349"/>
      <c r="RES2019" s="349"/>
      <c r="RET2019" s="349"/>
      <c r="REU2019" s="349"/>
      <c r="REV2019" s="349"/>
      <c r="REW2019" s="349"/>
      <c r="REX2019" s="349"/>
      <c r="REY2019" s="349"/>
      <c r="REZ2019" s="349"/>
      <c r="RFA2019" s="349"/>
      <c r="RFB2019" s="349"/>
      <c r="RFC2019" s="349"/>
      <c r="RFD2019" s="349"/>
      <c r="RFE2019" s="349"/>
      <c r="RFF2019" s="349"/>
      <c r="RFG2019" s="349"/>
      <c r="RFH2019" s="349"/>
      <c r="RFI2019" s="349"/>
      <c r="RFJ2019" s="349"/>
      <c r="RFK2019" s="349"/>
      <c r="RFL2019" s="349"/>
      <c r="RFM2019" s="349"/>
      <c r="RFN2019" s="349"/>
      <c r="RFO2019" s="349"/>
      <c r="RFP2019" s="349"/>
      <c r="RFQ2019" s="349"/>
      <c r="RFR2019" s="349"/>
      <c r="RFS2019" s="349"/>
      <c r="RFT2019" s="349"/>
      <c r="RFU2019" s="349"/>
      <c r="RFV2019" s="349"/>
      <c r="RFW2019" s="349"/>
      <c r="RFX2019" s="349"/>
      <c r="RFY2019" s="349"/>
      <c r="RFZ2019" s="349"/>
      <c r="RGA2019" s="349"/>
      <c r="RGB2019" s="349"/>
      <c r="RGC2019" s="349"/>
      <c r="RGD2019" s="349"/>
      <c r="RGE2019" s="349"/>
      <c r="RGF2019" s="349"/>
      <c r="RGG2019" s="349"/>
      <c r="RGH2019" s="349"/>
      <c r="RGI2019" s="349"/>
      <c r="RGJ2019" s="349"/>
      <c r="RGK2019" s="349"/>
      <c r="RGL2019" s="349"/>
      <c r="RGM2019" s="349"/>
      <c r="RGN2019" s="349"/>
      <c r="RGO2019" s="349"/>
      <c r="RGP2019" s="349"/>
      <c r="RGQ2019" s="349"/>
      <c r="RGR2019" s="349"/>
      <c r="RGS2019" s="349"/>
      <c r="RGT2019" s="349"/>
      <c r="RGU2019" s="349"/>
      <c r="RGV2019" s="349"/>
      <c r="RGW2019" s="349"/>
      <c r="RGX2019" s="349"/>
      <c r="RGY2019" s="349"/>
      <c r="RGZ2019" s="349"/>
      <c r="RHA2019" s="349"/>
      <c r="RHB2019" s="349"/>
      <c r="RHC2019" s="349"/>
      <c r="RHD2019" s="349"/>
      <c r="RHE2019" s="349"/>
      <c r="RHF2019" s="349"/>
      <c r="RHG2019" s="349"/>
      <c r="RHH2019" s="349"/>
      <c r="RHI2019" s="349"/>
      <c r="RHJ2019" s="349"/>
      <c r="RHK2019" s="349"/>
      <c r="RHL2019" s="349"/>
      <c r="RHM2019" s="349"/>
      <c r="RHN2019" s="349"/>
      <c r="RHO2019" s="349"/>
      <c r="RHP2019" s="349"/>
      <c r="RHQ2019" s="349"/>
      <c r="RHR2019" s="349"/>
      <c r="RHS2019" s="349"/>
      <c r="RHT2019" s="349"/>
      <c r="RHU2019" s="349"/>
      <c r="RHV2019" s="349"/>
      <c r="RHW2019" s="349"/>
      <c r="RHX2019" s="349"/>
      <c r="RHY2019" s="349"/>
      <c r="RHZ2019" s="349"/>
      <c r="RIA2019" s="349"/>
      <c r="RIB2019" s="349"/>
      <c r="RIC2019" s="349"/>
      <c r="RID2019" s="349"/>
      <c r="RIE2019" s="349"/>
      <c r="RIF2019" s="349"/>
      <c r="RIG2019" s="349"/>
      <c r="RIH2019" s="349"/>
      <c r="RII2019" s="349"/>
      <c r="RIJ2019" s="349"/>
      <c r="RIK2019" s="349"/>
      <c r="RIL2019" s="349"/>
      <c r="RIM2019" s="349"/>
      <c r="RIN2019" s="349"/>
      <c r="RIO2019" s="349"/>
      <c r="RIP2019" s="349"/>
      <c r="RIQ2019" s="349"/>
      <c r="RIR2019" s="349"/>
      <c r="RIS2019" s="349"/>
      <c r="RIT2019" s="349"/>
      <c r="RIU2019" s="349"/>
      <c r="RIV2019" s="349"/>
      <c r="RIW2019" s="349"/>
      <c r="RIX2019" s="349"/>
      <c r="RIY2019" s="349"/>
      <c r="RIZ2019" s="349"/>
      <c r="RJA2019" s="349"/>
      <c r="RJB2019" s="349"/>
      <c r="RJC2019" s="349"/>
      <c r="RJD2019" s="349"/>
      <c r="RJE2019" s="349"/>
      <c r="RJF2019" s="349"/>
      <c r="RJG2019" s="349"/>
      <c r="RJH2019" s="349"/>
      <c r="RJI2019" s="349"/>
      <c r="RJJ2019" s="349"/>
      <c r="RJK2019" s="349"/>
      <c r="RJL2019" s="349"/>
      <c r="RJM2019" s="349"/>
      <c r="RJN2019" s="349"/>
      <c r="RJO2019" s="349"/>
      <c r="RJP2019" s="349"/>
      <c r="RJQ2019" s="349"/>
      <c r="RJR2019" s="349"/>
      <c r="RJS2019" s="349"/>
      <c r="RJT2019" s="349"/>
      <c r="RJU2019" s="349"/>
      <c r="RJV2019" s="349"/>
      <c r="RJW2019" s="349"/>
      <c r="RJX2019" s="349"/>
      <c r="RJY2019" s="349"/>
      <c r="RJZ2019" s="349"/>
      <c r="RKA2019" s="349"/>
      <c r="RKB2019" s="349"/>
      <c r="RKC2019" s="349"/>
      <c r="RKD2019" s="349"/>
      <c r="RKE2019" s="349"/>
      <c r="RKF2019" s="349"/>
      <c r="RKG2019" s="349"/>
      <c r="RKH2019" s="349"/>
      <c r="RKI2019" s="349"/>
      <c r="RKJ2019" s="349"/>
      <c r="RKK2019" s="349"/>
      <c r="RKL2019" s="349"/>
      <c r="RKM2019" s="349"/>
      <c r="RKN2019" s="349"/>
      <c r="RKO2019" s="349"/>
      <c r="RKP2019" s="349"/>
      <c r="RKQ2019" s="349"/>
      <c r="RKR2019" s="349"/>
      <c r="RKS2019" s="349"/>
      <c r="RKT2019" s="349"/>
      <c r="RKU2019" s="349"/>
      <c r="RKV2019" s="349"/>
      <c r="RKW2019" s="349"/>
      <c r="RKX2019" s="349"/>
      <c r="RKY2019" s="349"/>
      <c r="RKZ2019" s="349"/>
      <c r="RLA2019" s="349"/>
      <c r="RLB2019" s="349"/>
      <c r="RLC2019" s="349"/>
      <c r="RLD2019" s="349"/>
      <c r="RLE2019" s="349"/>
      <c r="RLF2019" s="349"/>
      <c r="RLG2019" s="349"/>
      <c r="RLH2019" s="349"/>
      <c r="RLI2019" s="349"/>
      <c r="RLJ2019" s="349"/>
      <c r="RLK2019" s="349"/>
      <c r="RLL2019" s="349"/>
      <c r="RLM2019" s="349"/>
      <c r="RLN2019" s="349"/>
      <c r="RLO2019" s="349"/>
      <c r="RLP2019" s="349"/>
      <c r="RLQ2019" s="349"/>
      <c r="RLR2019" s="349"/>
      <c r="RLS2019" s="349"/>
      <c r="RLT2019" s="349"/>
      <c r="RLU2019" s="349"/>
      <c r="RLV2019" s="349"/>
      <c r="RLW2019" s="349"/>
      <c r="RLX2019" s="349"/>
      <c r="RLY2019" s="349"/>
      <c r="RLZ2019" s="349"/>
      <c r="RMA2019" s="349"/>
      <c r="RMB2019" s="349"/>
      <c r="RMC2019" s="349"/>
      <c r="RMD2019" s="349"/>
      <c r="RME2019" s="349"/>
      <c r="RMF2019" s="349"/>
      <c r="RMG2019" s="349"/>
      <c r="RMH2019" s="349"/>
      <c r="RMI2019" s="349"/>
      <c r="RMJ2019" s="349"/>
      <c r="RMK2019" s="349"/>
      <c r="RML2019" s="349"/>
      <c r="RMM2019" s="349"/>
      <c r="RMN2019" s="349"/>
      <c r="RMO2019" s="349"/>
      <c r="RMP2019" s="349"/>
      <c r="RMQ2019" s="349"/>
      <c r="RMR2019" s="349"/>
      <c r="RMS2019" s="349"/>
      <c r="RMT2019" s="349"/>
      <c r="RMU2019" s="349"/>
      <c r="RMV2019" s="349"/>
      <c r="RMW2019" s="349"/>
      <c r="RMX2019" s="349"/>
      <c r="RMY2019" s="349"/>
      <c r="RMZ2019" s="349"/>
      <c r="RNA2019" s="349"/>
      <c r="RNB2019" s="349"/>
      <c r="RNC2019" s="349"/>
      <c r="RND2019" s="349"/>
      <c r="RNE2019" s="349"/>
      <c r="RNF2019" s="349"/>
      <c r="RNG2019" s="349"/>
      <c r="RNH2019" s="349"/>
      <c r="RNI2019" s="349"/>
      <c r="RNJ2019" s="349"/>
      <c r="RNK2019" s="349"/>
      <c r="RNL2019" s="349"/>
      <c r="RNM2019" s="349"/>
      <c r="RNN2019" s="349"/>
      <c r="RNO2019" s="349"/>
      <c r="RNP2019" s="349"/>
      <c r="RNQ2019" s="349"/>
      <c r="RNR2019" s="349"/>
      <c r="RNS2019" s="349"/>
      <c r="RNT2019" s="349"/>
      <c r="RNU2019" s="349"/>
      <c r="RNV2019" s="349"/>
      <c r="RNW2019" s="349"/>
      <c r="RNX2019" s="349"/>
      <c r="RNY2019" s="349"/>
      <c r="RNZ2019" s="349"/>
      <c r="ROA2019" s="349"/>
      <c r="ROB2019" s="349"/>
      <c r="ROC2019" s="349"/>
      <c r="ROD2019" s="349"/>
      <c r="ROE2019" s="349"/>
      <c r="ROF2019" s="349"/>
      <c r="ROG2019" s="349"/>
      <c r="ROH2019" s="349"/>
      <c r="ROI2019" s="349"/>
      <c r="ROJ2019" s="349"/>
      <c r="ROK2019" s="349"/>
      <c r="ROL2019" s="349"/>
      <c r="ROM2019" s="349"/>
      <c r="RON2019" s="349"/>
      <c r="ROO2019" s="349"/>
      <c r="ROP2019" s="349"/>
      <c r="ROQ2019" s="349"/>
      <c r="ROR2019" s="349"/>
      <c r="ROS2019" s="349"/>
      <c r="ROT2019" s="349"/>
      <c r="ROU2019" s="349"/>
      <c r="ROV2019" s="349"/>
      <c r="ROW2019" s="349"/>
      <c r="ROX2019" s="349"/>
      <c r="ROY2019" s="349"/>
      <c r="ROZ2019" s="349"/>
      <c r="RPA2019" s="349"/>
      <c r="RPB2019" s="349"/>
      <c r="RPC2019" s="349"/>
      <c r="RPD2019" s="349"/>
      <c r="RPE2019" s="349"/>
      <c r="RPF2019" s="349"/>
      <c r="RPG2019" s="349"/>
      <c r="RPH2019" s="349"/>
      <c r="RPI2019" s="349"/>
      <c r="RPJ2019" s="349"/>
      <c r="RPK2019" s="349"/>
      <c r="RPL2019" s="349"/>
      <c r="RPM2019" s="349"/>
      <c r="RPN2019" s="349"/>
      <c r="RPO2019" s="349"/>
      <c r="RPP2019" s="349"/>
      <c r="RPQ2019" s="349"/>
      <c r="RPR2019" s="349"/>
      <c r="RPS2019" s="349"/>
      <c r="RPT2019" s="349"/>
      <c r="RPU2019" s="349"/>
      <c r="RPV2019" s="349"/>
      <c r="RPW2019" s="349"/>
      <c r="RPX2019" s="349"/>
      <c r="RPY2019" s="349"/>
      <c r="RPZ2019" s="349"/>
      <c r="RQA2019" s="349"/>
      <c r="RQB2019" s="349"/>
      <c r="RQC2019" s="349"/>
      <c r="RQD2019" s="349"/>
      <c r="RQE2019" s="349"/>
      <c r="RQF2019" s="349"/>
      <c r="RQG2019" s="349"/>
      <c r="RQH2019" s="349"/>
      <c r="RQI2019" s="349"/>
      <c r="RQJ2019" s="349"/>
      <c r="RQK2019" s="349"/>
      <c r="RQL2019" s="349"/>
      <c r="RQM2019" s="349"/>
      <c r="RQN2019" s="349"/>
      <c r="RQO2019" s="349"/>
      <c r="RQP2019" s="349"/>
      <c r="RQQ2019" s="349"/>
      <c r="RQR2019" s="349"/>
      <c r="RQS2019" s="349"/>
      <c r="RQT2019" s="349"/>
      <c r="RQU2019" s="349"/>
      <c r="RQV2019" s="349"/>
      <c r="RQW2019" s="349"/>
      <c r="RQX2019" s="349"/>
      <c r="RQY2019" s="349"/>
      <c r="RQZ2019" s="349"/>
      <c r="RRA2019" s="349"/>
      <c r="RRB2019" s="349"/>
      <c r="RRC2019" s="349"/>
      <c r="RRD2019" s="349"/>
      <c r="RRE2019" s="349"/>
      <c r="RRF2019" s="349"/>
      <c r="RRG2019" s="349"/>
      <c r="RRH2019" s="349"/>
      <c r="RRI2019" s="349"/>
      <c r="RRJ2019" s="349"/>
      <c r="RRK2019" s="349"/>
      <c r="RRL2019" s="349"/>
      <c r="RRM2019" s="349"/>
      <c r="RRN2019" s="349"/>
      <c r="RRO2019" s="349"/>
      <c r="RRP2019" s="349"/>
      <c r="RRQ2019" s="349"/>
      <c r="RRR2019" s="349"/>
      <c r="RRS2019" s="349"/>
      <c r="RRT2019" s="349"/>
      <c r="RRU2019" s="349"/>
      <c r="RRV2019" s="349"/>
      <c r="RRW2019" s="349"/>
      <c r="RRX2019" s="349"/>
      <c r="RRY2019" s="349"/>
      <c r="RRZ2019" s="349"/>
      <c r="RSA2019" s="349"/>
      <c r="RSB2019" s="349"/>
      <c r="RSC2019" s="349"/>
      <c r="RSD2019" s="349"/>
      <c r="RSE2019" s="349"/>
      <c r="RSF2019" s="349"/>
      <c r="RSG2019" s="349"/>
      <c r="RSH2019" s="349"/>
      <c r="RSI2019" s="349"/>
      <c r="RSJ2019" s="349"/>
      <c r="RSK2019" s="349"/>
      <c r="RSL2019" s="349"/>
      <c r="RSM2019" s="349"/>
      <c r="RSN2019" s="349"/>
      <c r="RSO2019" s="349"/>
      <c r="RSP2019" s="349"/>
      <c r="RSQ2019" s="349"/>
      <c r="RSR2019" s="349"/>
      <c r="RSS2019" s="349"/>
      <c r="RST2019" s="349"/>
      <c r="RSU2019" s="349"/>
      <c r="RSV2019" s="349"/>
      <c r="RSW2019" s="349"/>
      <c r="RSX2019" s="349"/>
      <c r="RSY2019" s="349"/>
      <c r="RSZ2019" s="349"/>
      <c r="RTA2019" s="349"/>
      <c r="RTB2019" s="349"/>
      <c r="RTC2019" s="349"/>
      <c r="RTD2019" s="349"/>
      <c r="RTE2019" s="349"/>
      <c r="RTF2019" s="349"/>
      <c r="RTG2019" s="349"/>
      <c r="RTH2019" s="349"/>
      <c r="RTI2019" s="349"/>
      <c r="RTJ2019" s="349"/>
      <c r="RTK2019" s="349"/>
      <c r="RTL2019" s="349"/>
      <c r="RTM2019" s="349"/>
      <c r="RTN2019" s="349"/>
      <c r="RTO2019" s="349"/>
      <c r="RTP2019" s="349"/>
      <c r="RTQ2019" s="349"/>
      <c r="RTR2019" s="349"/>
      <c r="RTS2019" s="349"/>
      <c r="RTT2019" s="349"/>
      <c r="RTU2019" s="349"/>
      <c r="RTV2019" s="349"/>
      <c r="RTW2019" s="349"/>
      <c r="RTX2019" s="349"/>
      <c r="RTY2019" s="349"/>
      <c r="RTZ2019" s="349"/>
      <c r="RUA2019" s="349"/>
      <c r="RUB2019" s="349"/>
      <c r="RUC2019" s="349"/>
      <c r="RUD2019" s="349"/>
      <c r="RUE2019" s="349"/>
      <c r="RUF2019" s="349"/>
      <c r="RUG2019" s="349"/>
      <c r="RUH2019" s="349"/>
      <c r="RUI2019" s="349"/>
      <c r="RUJ2019" s="349"/>
      <c r="RUK2019" s="349"/>
      <c r="RUL2019" s="349"/>
      <c r="RUM2019" s="349"/>
      <c r="RUN2019" s="349"/>
      <c r="RUO2019" s="349"/>
      <c r="RUP2019" s="349"/>
      <c r="RUQ2019" s="349"/>
      <c r="RUR2019" s="349"/>
      <c r="RUS2019" s="349"/>
      <c r="RUT2019" s="349"/>
      <c r="RUU2019" s="349"/>
      <c r="RUV2019" s="349"/>
      <c r="RUW2019" s="349"/>
      <c r="RUX2019" s="349"/>
      <c r="RUY2019" s="349"/>
      <c r="RUZ2019" s="349"/>
      <c r="RVA2019" s="349"/>
      <c r="RVB2019" s="349"/>
      <c r="RVC2019" s="349"/>
      <c r="RVD2019" s="349"/>
      <c r="RVE2019" s="349"/>
      <c r="RVF2019" s="349"/>
      <c r="RVG2019" s="349"/>
      <c r="RVH2019" s="349"/>
      <c r="RVI2019" s="349"/>
      <c r="RVJ2019" s="349"/>
      <c r="RVK2019" s="349"/>
      <c r="RVL2019" s="349"/>
      <c r="RVM2019" s="349"/>
      <c r="RVN2019" s="349"/>
      <c r="RVO2019" s="349"/>
      <c r="RVP2019" s="349"/>
      <c r="RVQ2019" s="349"/>
      <c r="RVR2019" s="349"/>
      <c r="RVS2019" s="349"/>
      <c r="RVT2019" s="349"/>
      <c r="RVU2019" s="349"/>
      <c r="RVV2019" s="349"/>
      <c r="RVW2019" s="349"/>
      <c r="RVX2019" s="349"/>
      <c r="RVY2019" s="349"/>
      <c r="RVZ2019" s="349"/>
      <c r="RWA2019" s="349"/>
      <c r="RWB2019" s="349"/>
      <c r="RWC2019" s="349"/>
      <c r="RWD2019" s="349"/>
      <c r="RWE2019" s="349"/>
      <c r="RWF2019" s="349"/>
      <c r="RWG2019" s="349"/>
      <c r="RWH2019" s="349"/>
      <c r="RWI2019" s="349"/>
      <c r="RWJ2019" s="349"/>
      <c r="RWK2019" s="349"/>
      <c r="RWL2019" s="349"/>
      <c r="RWM2019" s="349"/>
      <c r="RWN2019" s="349"/>
      <c r="RWO2019" s="349"/>
      <c r="RWP2019" s="349"/>
      <c r="RWQ2019" s="349"/>
      <c r="RWR2019" s="349"/>
      <c r="RWS2019" s="349"/>
      <c r="RWT2019" s="349"/>
      <c r="RWU2019" s="349"/>
      <c r="RWV2019" s="349"/>
      <c r="RWW2019" s="349"/>
      <c r="RWX2019" s="349"/>
      <c r="RWY2019" s="349"/>
      <c r="RWZ2019" s="349"/>
      <c r="RXA2019" s="349"/>
      <c r="RXB2019" s="349"/>
      <c r="RXC2019" s="349"/>
      <c r="RXD2019" s="349"/>
      <c r="RXE2019" s="349"/>
      <c r="RXF2019" s="349"/>
      <c r="RXG2019" s="349"/>
      <c r="RXH2019" s="349"/>
      <c r="RXI2019" s="349"/>
      <c r="RXJ2019" s="349"/>
      <c r="RXK2019" s="349"/>
      <c r="RXL2019" s="349"/>
      <c r="RXM2019" s="349"/>
      <c r="RXN2019" s="349"/>
      <c r="RXO2019" s="349"/>
      <c r="RXP2019" s="349"/>
      <c r="RXQ2019" s="349"/>
      <c r="RXR2019" s="349"/>
      <c r="RXS2019" s="349"/>
      <c r="RXT2019" s="349"/>
      <c r="RXU2019" s="349"/>
      <c r="RXV2019" s="349"/>
      <c r="RXW2019" s="349"/>
      <c r="RXX2019" s="349"/>
      <c r="RXY2019" s="349"/>
      <c r="RXZ2019" s="349"/>
      <c r="RYA2019" s="349"/>
      <c r="RYB2019" s="349"/>
      <c r="RYC2019" s="349"/>
      <c r="RYD2019" s="349"/>
      <c r="RYE2019" s="349"/>
      <c r="RYF2019" s="349"/>
      <c r="RYG2019" s="349"/>
      <c r="RYH2019" s="349"/>
      <c r="RYI2019" s="349"/>
      <c r="RYJ2019" s="349"/>
      <c r="RYK2019" s="349"/>
      <c r="RYL2019" s="349"/>
      <c r="RYM2019" s="349"/>
      <c r="RYN2019" s="349"/>
      <c r="RYO2019" s="349"/>
      <c r="RYP2019" s="349"/>
      <c r="RYQ2019" s="349"/>
      <c r="RYR2019" s="349"/>
      <c r="RYS2019" s="349"/>
      <c r="RYT2019" s="349"/>
      <c r="RYU2019" s="349"/>
      <c r="RYV2019" s="349"/>
      <c r="RYW2019" s="349"/>
      <c r="RYX2019" s="349"/>
      <c r="RYY2019" s="349"/>
      <c r="RYZ2019" s="349"/>
      <c r="RZA2019" s="349"/>
      <c r="RZB2019" s="349"/>
      <c r="RZC2019" s="349"/>
      <c r="RZD2019" s="349"/>
      <c r="RZE2019" s="349"/>
      <c r="RZF2019" s="349"/>
      <c r="RZG2019" s="349"/>
      <c r="RZH2019" s="349"/>
      <c r="RZI2019" s="349"/>
      <c r="RZJ2019" s="349"/>
      <c r="RZK2019" s="349"/>
      <c r="RZL2019" s="349"/>
      <c r="RZM2019" s="349"/>
      <c r="RZN2019" s="349"/>
      <c r="RZO2019" s="349"/>
      <c r="RZP2019" s="349"/>
      <c r="RZQ2019" s="349"/>
      <c r="RZR2019" s="349"/>
      <c r="RZS2019" s="349"/>
      <c r="RZT2019" s="349"/>
      <c r="RZU2019" s="349"/>
      <c r="RZV2019" s="349"/>
      <c r="RZW2019" s="349"/>
      <c r="RZX2019" s="349"/>
      <c r="RZY2019" s="349"/>
      <c r="RZZ2019" s="349"/>
      <c r="SAA2019" s="349"/>
      <c r="SAB2019" s="349"/>
      <c r="SAC2019" s="349"/>
      <c r="SAD2019" s="349"/>
      <c r="SAE2019" s="349"/>
      <c r="SAF2019" s="349"/>
      <c r="SAG2019" s="349"/>
      <c r="SAH2019" s="349"/>
      <c r="SAI2019" s="349"/>
      <c r="SAJ2019" s="349"/>
      <c r="SAK2019" s="349"/>
      <c r="SAL2019" s="349"/>
      <c r="SAM2019" s="349"/>
      <c r="SAN2019" s="349"/>
      <c r="SAO2019" s="349"/>
      <c r="SAP2019" s="349"/>
      <c r="SAQ2019" s="349"/>
      <c r="SAR2019" s="349"/>
      <c r="SAS2019" s="349"/>
      <c r="SAT2019" s="349"/>
      <c r="SAU2019" s="349"/>
      <c r="SAV2019" s="349"/>
      <c r="SAW2019" s="349"/>
      <c r="SAX2019" s="349"/>
      <c r="SAY2019" s="349"/>
      <c r="SAZ2019" s="349"/>
      <c r="SBA2019" s="349"/>
      <c r="SBB2019" s="349"/>
      <c r="SBC2019" s="349"/>
      <c r="SBD2019" s="349"/>
      <c r="SBE2019" s="349"/>
      <c r="SBF2019" s="349"/>
      <c r="SBG2019" s="349"/>
      <c r="SBH2019" s="349"/>
      <c r="SBI2019" s="349"/>
      <c r="SBJ2019" s="349"/>
      <c r="SBK2019" s="349"/>
      <c r="SBL2019" s="349"/>
      <c r="SBM2019" s="349"/>
      <c r="SBN2019" s="349"/>
      <c r="SBO2019" s="349"/>
      <c r="SBP2019" s="349"/>
      <c r="SBQ2019" s="349"/>
      <c r="SBR2019" s="349"/>
      <c r="SBS2019" s="349"/>
      <c r="SBT2019" s="349"/>
      <c r="SBU2019" s="349"/>
      <c r="SBV2019" s="349"/>
      <c r="SBW2019" s="349"/>
      <c r="SBX2019" s="349"/>
      <c r="SBY2019" s="349"/>
      <c r="SBZ2019" s="349"/>
      <c r="SCA2019" s="349"/>
      <c r="SCB2019" s="349"/>
      <c r="SCC2019" s="349"/>
      <c r="SCD2019" s="349"/>
      <c r="SCE2019" s="349"/>
      <c r="SCF2019" s="349"/>
      <c r="SCG2019" s="349"/>
      <c r="SCH2019" s="349"/>
      <c r="SCI2019" s="349"/>
      <c r="SCJ2019" s="349"/>
      <c r="SCK2019" s="349"/>
      <c r="SCL2019" s="349"/>
      <c r="SCM2019" s="349"/>
      <c r="SCN2019" s="349"/>
      <c r="SCO2019" s="349"/>
      <c r="SCP2019" s="349"/>
      <c r="SCQ2019" s="349"/>
      <c r="SCR2019" s="349"/>
      <c r="SCS2019" s="349"/>
      <c r="SCT2019" s="349"/>
      <c r="SCU2019" s="349"/>
      <c r="SCV2019" s="349"/>
      <c r="SCW2019" s="349"/>
      <c r="SCX2019" s="349"/>
      <c r="SCY2019" s="349"/>
      <c r="SCZ2019" s="349"/>
      <c r="SDA2019" s="349"/>
      <c r="SDB2019" s="349"/>
      <c r="SDC2019" s="349"/>
      <c r="SDD2019" s="349"/>
      <c r="SDE2019" s="349"/>
      <c r="SDF2019" s="349"/>
      <c r="SDG2019" s="349"/>
      <c r="SDH2019" s="349"/>
      <c r="SDI2019" s="349"/>
      <c r="SDJ2019" s="349"/>
      <c r="SDK2019" s="349"/>
      <c r="SDL2019" s="349"/>
      <c r="SDM2019" s="349"/>
      <c r="SDN2019" s="349"/>
      <c r="SDO2019" s="349"/>
      <c r="SDP2019" s="349"/>
      <c r="SDQ2019" s="349"/>
      <c r="SDR2019" s="349"/>
      <c r="SDS2019" s="349"/>
      <c r="SDT2019" s="349"/>
      <c r="SDU2019" s="349"/>
      <c r="SDV2019" s="349"/>
      <c r="SDW2019" s="349"/>
      <c r="SDX2019" s="349"/>
      <c r="SDY2019" s="349"/>
      <c r="SDZ2019" s="349"/>
      <c r="SEA2019" s="349"/>
      <c r="SEB2019" s="349"/>
      <c r="SEC2019" s="349"/>
      <c r="SED2019" s="349"/>
      <c r="SEE2019" s="349"/>
      <c r="SEF2019" s="349"/>
      <c r="SEG2019" s="349"/>
      <c r="SEH2019" s="349"/>
      <c r="SEI2019" s="349"/>
      <c r="SEJ2019" s="349"/>
      <c r="SEK2019" s="349"/>
      <c r="SEL2019" s="349"/>
      <c r="SEM2019" s="349"/>
      <c r="SEN2019" s="349"/>
      <c r="SEO2019" s="349"/>
      <c r="SEP2019" s="349"/>
      <c r="SEQ2019" s="349"/>
      <c r="SER2019" s="349"/>
      <c r="SES2019" s="349"/>
      <c r="SET2019" s="349"/>
      <c r="SEU2019" s="349"/>
      <c r="SEV2019" s="349"/>
      <c r="SEW2019" s="349"/>
      <c r="SEX2019" s="349"/>
      <c r="SEY2019" s="349"/>
      <c r="SEZ2019" s="349"/>
      <c r="SFA2019" s="349"/>
      <c r="SFB2019" s="349"/>
      <c r="SFC2019" s="349"/>
      <c r="SFD2019" s="349"/>
      <c r="SFE2019" s="349"/>
      <c r="SFF2019" s="349"/>
      <c r="SFG2019" s="349"/>
      <c r="SFH2019" s="349"/>
      <c r="SFI2019" s="349"/>
      <c r="SFJ2019" s="349"/>
      <c r="SFK2019" s="349"/>
      <c r="SFL2019" s="349"/>
      <c r="SFM2019" s="349"/>
      <c r="SFN2019" s="349"/>
      <c r="SFO2019" s="349"/>
      <c r="SFP2019" s="349"/>
      <c r="SFQ2019" s="349"/>
      <c r="SFR2019" s="349"/>
      <c r="SFS2019" s="349"/>
      <c r="SFT2019" s="349"/>
      <c r="SFU2019" s="349"/>
      <c r="SFV2019" s="349"/>
      <c r="SFW2019" s="349"/>
      <c r="SFX2019" s="349"/>
      <c r="SFY2019" s="349"/>
      <c r="SFZ2019" s="349"/>
      <c r="SGA2019" s="349"/>
      <c r="SGB2019" s="349"/>
      <c r="SGC2019" s="349"/>
      <c r="SGD2019" s="349"/>
      <c r="SGE2019" s="349"/>
      <c r="SGF2019" s="349"/>
      <c r="SGG2019" s="349"/>
      <c r="SGH2019" s="349"/>
      <c r="SGI2019" s="349"/>
      <c r="SGJ2019" s="349"/>
      <c r="SGK2019" s="349"/>
      <c r="SGL2019" s="349"/>
      <c r="SGM2019" s="349"/>
      <c r="SGN2019" s="349"/>
      <c r="SGO2019" s="349"/>
      <c r="SGP2019" s="349"/>
      <c r="SGQ2019" s="349"/>
      <c r="SGR2019" s="349"/>
      <c r="SGS2019" s="349"/>
      <c r="SGT2019" s="349"/>
      <c r="SGU2019" s="349"/>
      <c r="SGV2019" s="349"/>
      <c r="SGW2019" s="349"/>
      <c r="SGX2019" s="349"/>
      <c r="SGY2019" s="349"/>
      <c r="SGZ2019" s="349"/>
      <c r="SHA2019" s="349"/>
      <c r="SHB2019" s="349"/>
      <c r="SHC2019" s="349"/>
      <c r="SHD2019" s="349"/>
      <c r="SHE2019" s="349"/>
      <c r="SHF2019" s="349"/>
      <c r="SHG2019" s="349"/>
      <c r="SHH2019" s="349"/>
      <c r="SHI2019" s="349"/>
      <c r="SHJ2019" s="349"/>
      <c r="SHK2019" s="349"/>
      <c r="SHL2019" s="349"/>
      <c r="SHM2019" s="349"/>
      <c r="SHN2019" s="349"/>
      <c r="SHO2019" s="349"/>
      <c r="SHP2019" s="349"/>
      <c r="SHQ2019" s="349"/>
      <c r="SHR2019" s="349"/>
      <c r="SHS2019" s="349"/>
      <c r="SHT2019" s="349"/>
      <c r="SHU2019" s="349"/>
      <c r="SHV2019" s="349"/>
      <c r="SHW2019" s="349"/>
      <c r="SHX2019" s="349"/>
      <c r="SHY2019" s="349"/>
      <c r="SHZ2019" s="349"/>
      <c r="SIA2019" s="349"/>
      <c r="SIB2019" s="349"/>
      <c r="SIC2019" s="349"/>
      <c r="SID2019" s="349"/>
      <c r="SIE2019" s="349"/>
      <c r="SIF2019" s="349"/>
      <c r="SIG2019" s="349"/>
      <c r="SIH2019" s="349"/>
      <c r="SII2019" s="349"/>
      <c r="SIJ2019" s="349"/>
      <c r="SIK2019" s="349"/>
      <c r="SIL2019" s="349"/>
      <c r="SIM2019" s="349"/>
      <c r="SIN2019" s="349"/>
      <c r="SIO2019" s="349"/>
      <c r="SIP2019" s="349"/>
      <c r="SIQ2019" s="349"/>
      <c r="SIR2019" s="349"/>
      <c r="SIS2019" s="349"/>
      <c r="SIT2019" s="349"/>
      <c r="SIU2019" s="349"/>
      <c r="SIV2019" s="349"/>
      <c r="SIW2019" s="349"/>
      <c r="SIX2019" s="349"/>
      <c r="SIY2019" s="349"/>
      <c r="SIZ2019" s="349"/>
      <c r="SJA2019" s="349"/>
      <c r="SJB2019" s="349"/>
      <c r="SJC2019" s="349"/>
      <c r="SJD2019" s="349"/>
      <c r="SJE2019" s="349"/>
      <c r="SJF2019" s="349"/>
      <c r="SJG2019" s="349"/>
      <c r="SJH2019" s="349"/>
      <c r="SJI2019" s="349"/>
      <c r="SJJ2019" s="349"/>
      <c r="SJK2019" s="349"/>
      <c r="SJL2019" s="349"/>
      <c r="SJM2019" s="349"/>
      <c r="SJN2019" s="349"/>
      <c r="SJO2019" s="349"/>
      <c r="SJP2019" s="349"/>
      <c r="SJQ2019" s="349"/>
      <c r="SJR2019" s="349"/>
      <c r="SJS2019" s="349"/>
      <c r="SJT2019" s="349"/>
      <c r="SJU2019" s="349"/>
      <c r="SJV2019" s="349"/>
      <c r="SJW2019" s="349"/>
      <c r="SJX2019" s="349"/>
      <c r="SJY2019" s="349"/>
      <c r="SJZ2019" s="349"/>
      <c r="SKA2019" s="349"/>
      <c r="SKB2019" s="349"/>
      <c r="SKC2019" s="349"/>
      <c r="SKD2019" s="349"/>
      <c r="SKE2019" s="349"/>
      <c r="SKF2019" s="349"/>
      <c r="SKG2019" s="349"/>
      <c r="SKH2019" s="349"/>
      <c r="SKI2019" s="349"/>
      <c r="SKJ2019" s="349"/>
      <c r="SKK2019" s="349"/>
      <c r="SKL2019" s="349"/>
      <c r="SKM2019" s="349"/>
      <c r="SKN2019" s="349"/>
      <c r="SKO2019" s="349"/>
      <c r="SKP2019" s="349"/>
      <c r="SKQ2019" s="349"/>
      <c r="SKR2019" s="349"/>
      <c r="SKS2019" s="349"/>
      <c r="SKT2019" s="349"/>
      <c r="SKU2019" s="349"/>
      <c r="SKV2019" s="349"/>
      <c r="SKW2019" s="349"/>
      <c r="SKX2019" s="349"/>
      <c r="SKY2019" s="349"/>
      <c r="SKZ2019" s="349"/>
      <c r="SLA2019" s="349"/>
      <c r="SLB2019" s="349"/>
      <c r="SLC2019" s="349"/>
      <c r="SLD2019" s="349"/>
      <c r="SLE2019" s="349"/>
      <c r="SLF2019" s="349"/>
      <c r="SLG2019" s="349"/>
      <c r="SLH2019" s="349"/>
      <c r="SLI2019" s="349"/>
      <c r="SLJ2019" s="349"/>
      <c r="SLK2019" s="349"/>
      <c r="SLL2019" s="349"/>
      <c r="SLM2019" s="349"/>
      <c r="SLN2019" s="349"/>
      <c r="SLO2019" s="349"/>
      <c r="SLP2019" s="349"/>
      <c r="SLQ2019" s="349"/>
      <c r="SLR2019" s="349"/>
      <c r="SLS2019" s="349"/>
      <c r="SLT2019" s="349"/>
      <c r="SLU2019" s="349"/>
      <c r="SLV2019" s="349"/>
      <c r="SLW2019" s="349"/>
      <c r="SLX2019" s="349"/>
      <c r="SLY2019" s="349"/>
      <c r="SLZ2019" s="349"/>
      <c r="SMA2019" s="349"/>
      <c r="SMB2019" s="349"/>
      <c r="SMC2019" s="349"/>
      <c r="SMD2019" s="349"/>
      <c r="SME2019" s="349"/>
      <c r="SMF2019" s="349"/>
      <c r="SMG2019" s="349"/>
      <c r="SMH2019" s="349"/>
      <c r="SMI2019" s="349"/>
      <c r="SMJ2019" s="349"/>
      <c r="SMK2019" s="349"/>
      <c r="SML2019" s="349"/>
      <c r="SMM2019" s="349"/>
      <c r="SMN2019" s="349"/>
      <c r="SMO2019" s="349"/>
      <c r="SMP2019" s="349"/>
      <c r="SMQ2019" s="349"/>
      <c r="SMR2019" s="349"/>
      <c r="SMS2019" s="349"/>
      <c r="SMT2019" s="349"/>
      <c r="SMU2019" s="349"/>
      <c r="SMV2019" s="349"/>
      <c r="SMW2019" s="349"/>
      <c r="SMX2019" s="349"/>
      <c r="SMY2019" s="349"/>
      <c r="SMZ2019" s="349"/>
      <c r="SNA2019" s="349"/>
      <c r="SNB2019" s="349"/>
      <c r="SNC2019" s="349"/>
      <c r="SND2019" s="349"/>
      <c r="SNE2019" s="349"/>
      <c r="SNF2019" s="349"/>
      <c r="SNG2019" s="349"/>
      <c r="SNH2019" s="349"/>
      <c r="SNI2019" s="349"/>
      <c r="SNJ2019" s="349"/>
      <c r="SNK2019" s="349"/>
      <c r="SNL2019" s="349"/>
      <c r="SNM2019" s="349"/>
      <c r="SNN2019" s="349"/>
      <c r="SNO2019" s="349"/>
      <c r="SNP2019" s="349"/>
      <c r="SNQ2019" s="349"/>
      <c r="SNR2019" s="349"/>
      <c r="SNS2019" s="349"/>
      <c r="SNT2019" s="349"/>
      <c r="SNU2019" s="349"/>
      <c r="SNV2019" s="349"/>
      <c r="SNW2019" s="349"/>
      <c r="SNX2019" s="349"/>
      <c r="SNY2019" s="349"/>
      <c r="SNZ2019" s="349"/>
      <c r="SOA2019" s="349"/>
      <c r="SOB2019" s="349"/>
      <c r="SOC2019" s="349"/>
      <c r="SOD2019" s="349"/>
      <c r="SOE2019" s="349"/>
      <c r="SOF2019" s="349"/>
      <c r="SOG2019" s="349"/>
      <c r="SOH2019" s="349"/>
      <c r="SOI2019" s="349"/>
      <c r="SOJ2019" s="349"/>
      <c r="SOK2019" s="349"/>
      <c r="SOL2019" s="349"/>
      <c r="SOM2019" s="349"/>
      <c r="SON2019" s="349"/>
      <c r="SOO2019" s="349"/>
      <c r="SOP2019" s="349"/>
      <c r="SOQ2019" s="349"/>
      <c r="SOR2019" s="349"/>
      <c r="SOS2019" s="349"/>
      <c r="SOT2019" s="349"/>
      <c r="SOU2019" s="349"/>
      <c r="SOV2019" s="349"/>
      <c r="SOW2019" s="349"/>
      <c r="SOX2019" s="349"/>
      <c r="SOY2019" s="349"/>
      <c r="SOZ2019" s="349"/>
      <c r="SPA2019" s="349"/>
      <c r="SPB2019" s="349"/>
      <c r="SPC2019" s="349"/>
      <c r="SPD2019" s="349"/>
      <c r="SPE2019" s="349"/>
      <c r="SPF2019" s="349"/>
      <c r="SPG2019" s="349"/>
      <c r="SPH2019" s="349"/>
      <c r="SPI2019" s="349"/>
      <c r="SPJ2019" s="349"/>
      <c r="SPK2019" s="349"/>
      <c r="SPL2019" s="349"/>
      <c r="SPM2019" s="349"/>
      <c r="SPN2019" s="349"/>
      <c r="SPO2019" s="349"/>
      <c r="SPP2019" s="349"/>
      <c r="SPQ2019" s="349"/>
      <c r="SPR2019" s="349"/>
      <c r="SPS2019" s="349"/>
      <c r="SPT2019" s="349"/>
      <c r="SPU2019" s="349"/>
      <c r="SPV2019" s="349"/>
      <c r="SPW2019" s="349"/>
      <c r="SPX2019" s="349"/>
      <c r="SPY2019" s="349"/>
      <c r="SPZ2019" s="349"/>
      <c r="SQA2019" s="349"/>
      <c r="SQB2019" s="349"/>
      <c r="SQC2019" s="349"/>
      <c r="SQD2019" s="349"/>
      <c r="SQE2019" s="349"/>
      <c r="SQF2019" s="349"/>
      <c r="SQG2019" s="349"/>
      <c r="SQH2019" s="349"/>
      <c r="SQI2019" s="349"/>
      <c r="SQJ2019" s="349"/>
      <c r="SQK2019" s="349"/>
      <c r="SQL2019" s="349"/>
      <c r="SQM2019" s="349"/>
      <c r="SQN2019" s="349"/>
      <c r="SQO2019" s="349"/>
      <c r="SQP2019" s="349"/>
      <c r="SQQ2019" s="349"/>
      <c r="SQR2019" s="349"/>
      <c r="SQS2019" s="349"/>
      <c r="SQT2019" s="349"/>
      <c r="SQU2019" s="349"/>
      <c r="SQV2019" s="349"/>
      <c r="SQW2019" s="349"/>
      <c r="SQX2019" s="349"/>
      <c r="SQY2019" s="349"/>
      <c r="SQZ2019" s="349"/>
      <c r="SRA2019" s="349"/>
      <c r="SRB2019" s="349"/>
      <c r="SRC2019" s="349"/>
      <c r="SRD2019" s="349"/>
      <c r="SRE2019" s="349"/>
      <c r="SRF2019" s="349"/>
      <c r="SRG2019" s="349"/>
      <c r="SRH2019" s="349"/>
      <c r="SRI2019" s="349"/>
      <c r="SRJ2019" s="349"/>
      <c r="SRK2019" s="349"/>
      <c r="SRL2019" s="349"/>
      <c r="SRM2019" s="349"/>
      <c r="SRN2019" s="349"/>
      <c r="SRO2019" s="349"/>
      <c r="SRP2019" s="349"/>
      <c r="SRQ2019" s="349"/>
      <c r="SRR2019" s="349"/>
      <c r="SRS2019" s="349"/>
      <c r="SRT2019" s="349"/>
      <c r="SRU2019" s="349"/>
      <c r="SRV2019" s="349"/>
      <c r="SRW2019" s="349"/>
      <c r="SRX2019" s="349"/>
      <c r="SRY2019" s="349"/>
      <c r="SRZ2019" s="349"/>
      <c r="SSA2019" s="349"/>
      <c r="SSB2019" s="349"/>
      <c r="SSC2019" s="349"/>
      <c r="SSD2019" s="349"/>
      <c r="SSE2019" s="349"/>
      <c r="SSF2019" s="349"/>
      <c r="SSG2019" s="349"/>
      <c r="SSH2019" s="349"/>
      <c r="SSI2019" s="349"/>
      <c r="SSJ2019" s="349"/>
      <c r="SSK2019" s="349"/>
      <c r="SSL2019" s="349"/>
      <c r="SSM2019" s="349"/>
      <c r="SSN2019" s="349"/>
      <c r="SSO2019" s="349"/>
      <c r="SSP2019" s="349"/>
      <c r="SSQ2019" s="349"/>
      <c r="SSR2019" s="349"/>
      <c r="SSS2019" s="349"/>
      <c r="SST2019" s="349"/>
      <c r="SSU2019" s="349"/>
      <c r="SSV2019" s="349"/>
      <c r="SSW2019" s="349"/>
      <c r="SSX2019" s="349"/>
      <c r="SSY2019" s="349"/>
      <c r="SSZ2019" s="349"/>
      <c r="STA2019" s="349"/>
      <c r="STB2019" s="349"/>
      <c r="STC2019" s="349"/>
      <c r="STD2019" s="349"/>
      <c r="STE2019" s="349"/>
      <c r="STF2019" s="349"/>
      <c r="STG2019" s="349"/>
      <c r="STH2019" s="349"/>
      <c r="STI2019" s="349"/>
      <c r="STJ2019" s="349"/>
      <c r="STK2019" s="349"/>
      <c r="STL2019" s="349"/>
      <c r="STM2019" s="349"/>
      <c r="STN2019" s="349"/>
      <c r="STO2019" s="349"/>
      <c r="STP2019" s="349"/>
      <c r="STQ2019" s="349"/>
      <c r="STR2019" s="349"/>
      <c r="STS2019" s="349"/>
      <c r="STT2019" s="349"/>
      <c r="STU2019" s="349"/>
      <c r="STV2019" s="349"/>
      <c r="STW2019" s="349"/>
      <c r="STX2019" s="349"/>
      <c r="STY2019" s="349"/>
      <c r="STZ2019" s="349"/>
      <c r="SUA2019" s="349"/>
      <c r="SUB2019" s="349"/>
      <c r="SUC2019" s="349"/>
      <c r="SUD2019" s="349"/>
      <c r="SUE2019" s="349"/>
      <c r="SUF2019" s="349"/>
      <c r="SUG2019" s="349"/>
      <c r="SUH2019" s="349"/>
      <c r="SUI2019" s="349"/>
      <c r="SUJ2019" s="349"/>
      <c r="SUK2019" s="349"/>
      <c r="SUL2019" s="349"/>
      <c r="SUM2019" s="349"/>
      <c r="SUN2019" s="349"/>
      <c r="SUO2019" s="349"/>
      <c r="SUP2019" s="349"/>
      <c r="SUQ2019" s="349"/>
      <c r="SUR2019" s="349"/>
      <c r="SUS2019" s="349"/>
      <c r="SUT2019" s="349"/>
      <c r="SUU2019" s="349"/>
      <c r="SUV2019" s="349"/>
      <c r="SUW2019" s="349"/>
      <c r="SUX2019" s="349"/>
      <c r="SUY2019" s="349"/>
      <c r="SUZ2019" s="349"/>
      <c r="SVA2019" s="349"/>
      <c r="SVB2019" s="349"/>
      <c r="SVC2019" s="349"/>
      <c r="SVD2019" s="349"/>
      <c r="SVE2019" s="349"/>
      <c r="SVF2019" s="349"/>
      <c r="SVG2019" s="349"/>
      <c r="SVH2019" s="349"/>
      <c r="SVI2019" s="349"/>
      <c r="SVJ2019" s="349"/>
      <c r="SVK2019" s="349"/>
      <c r="SVL2019" s="349"/>
      <c r="SVM2019" s="349"/>
      <c r="SVN2019" s="349"/>
      <c r="SVO2019" s="349"/>
      <c r="SVP2019" s="349"/>
      <c r="SVQ2019" s="349"/>
      <c r="SVR2019" s="349"/>
      <c r="SVS2019" s="349"/>
      <c r="SVT2019" s="349"/>
      <c r="SVU2019" s="349"/>
      <c r="SVV2019" s="349"/>
      <c r="SVW2019" s="349"/>
      <c r="SVX2019" s="349"/>
      <c r="SVY2019" s="349"/>
      <c r="SVZ2019" s="349"/>
      <c r="SWA2019" s="349"/>
      <c r="SWB2019" s="349"/>
      <c r="SWC2019" s="349"/>
      <c r="SWD2019" s="349"/>
      <c r="SWE2019" s="349"/>
      <c r="SWF2019" s="349"/>
      <c r="SWG2019" s="349"/>
      <c r="SWH2019" s="349"/>
      <c r="SWI2019" s="349"/>
      <c r="SWJ2019" s="349"/>
      <c r="SWK2019" s="349"/>
      <c r="SWL2019" s="349"/>
      <c r="SWM2019" s="349"/>
      <c r="SWN2019" s="349"/>
      <c r="SWO2019" s="349"/>
      <c r="SWP2019" s="349"/>
      <c r="SWQ2019" s="349"/>
      <c r="SWR2019" s="349"/>
      <c r="SWS2019" s="349"/>
      <c r="SWT2019" s="349"/>
      <c r="SWU2019" s="349"/>
      <c r="SWV2019" s="349"/>
      <c r="SWW2019" s="349"/>
      <c r="SWX2019" s="349"/>
      <c r="SWY2019" s="349"/>
      <c r="SWZ2019" s="349"/>
      <c r="SXA2019" s="349"/>
      <c r="SXB2019" s="349"/>
      <c r="SXC2019" s="349"/>
      <c r="SXD2019" s="349"/>
      <c r="SXE2019" s="349"/>
      <c r="SXF2019" s="349"/>
      <c r="SXG2019" s="349"/>
      <c r="SXH2019" s="349"/>
      <c r="SXI2019" s="349"/>
      <c r="SXJ2019" s="349"/>
      <c r="SXK2019" s="349"/>
      <c r="SXL2019" s="349"/>
      <c r="SXM2019" s="349"/>
      <c r="SXN2019" s="349"/>
      <c r="SXO2019" s="349"/>
      <c r="SXP2019" s="349"/>
      <c r="SXQ2019" s="349"/>
      <c r="SXR2019" s="349"/>
      <c r="SXS2019" s="349"/>
      <c r="SXT2019" s="349"/>
      <c r="SXU2019" s="349"/>
      <c r="SXV2019" s="349"/>
      <c r="SXW2019" s="349"/>
      <c r="SXX2019" s="349"/>
      <c r="SXY2019" s="349"/>
      <c r="SXZ2019" s="349"/>
      <c r="SYA2019" s="349"/>
      <c r="SYB2019" s="349"/>
      <c r="SYC2019" s="349"/>
      <c r="SYD2019" s="349"/>
      <c r="SYE2019" s="349"/>
      <c r="SYF2019" s="349"/>
      <c r="SYG2019" s="349"/>
      <c r="SYH2019" s="349"/>
      <c r="SYI2019" s="349"/>
      <c r="SYJ2019" s="349"/>
      <c r="SYK2019" s="349"/>
      <c r="SYL2019" s="349"/>
      <c r="SYM2019" s="349"/>
      <c r="SYN2019" s="349"/>
      <c r="SYO2019" s="349"/>
      <c r="SYP2019" s="349"/>
      <c r="SYQ2019" s="349"/>
      <c r="SYR2019" s="349"/>
      <c r="SYS2019" s="349"/>
      <c r="SYT2019" s="349"/>
      <c r="SYU2019" s="349"/>
      <c r="SYV2019" s="349"/>
      <c r="SYW2019" s="349"/>
      <c r="SYX2019" s="349"/>
      <c r="SYY2019" s="349"/>
      <c r="SYZ2019" s="349"/>
      <c r="SZA2019" s="349"/>
      <c r="SZB2019" s="349"/>
      <c r="SZC2019" s="349"/>
      <c r="SZD2019" s="349"/>
      <c r="SZE2019" s="349"/>
      <c r="SZF2019" s="349"/>
      <c r="SZG2019" s="349"/>
      <c r="SZH2019" s="349"/>
      <c r="SZI2019" s="349"/>
      <c r="SZJ2019" s="349"/>
      <c r="SZK2019" s="349"/>
      <c r="SZL2019" s="349"/>
      <c r="SZM2019" s="349"/>
      <c r="SZN2019" s="349"/>
      <c r="SZO2019" s="349"/>
      <c r="SZP2019" s="349"/>
      <c r="SZQ2019" s="349"/>
      <c r="SZR2019" s="349"/>
      <c r="SZS2019" s="349"/>
      <c r="SZT2019" s="349"/>
      <c r="SZU2019" s="349"/>
      <c r="SZV2019" s="349"/>
      <c r="SZW2019" s="349"/>
      <c r="SZX2019" s="349"/>
      <c r="SZY2019" s="349"/>
      <c r="SZZ2019" s="349"/>
      <c r="TAA2019" s="349"/>
      <c r="TAB2019" s="349"/>
      <c r="TAC2019" s="349"/>
      <c r="TAD2019" s="349"/>
      <c r="TAE2019" s="349"/>
      <c r="TAF2019" s="349"/>
      <c r="TAG2019" s="349"/>
      <c r="TAH2019" s="349"/>
      <c r="TAI2019" s="349"/>
      <c r="TAJ2019" s="349"/>
      <c r="TAK2019" s="349"/>
      <c r="TAL2019" s="349"/>
      <c r="TAM2019" s="349"/>
      <c r="TAN2019" s="349"/>
      <c r="TAO2019" s="349"/>
      <c r="TAP2019" s="349"/>
      <c r="TAQ2019" s="349"/>
      <c r="TAR2019" s="349"/>
      <c r="TAS2019" s="349"/>
      <c r="TAT2019" s="349"/>
      <c r="TAU2019" s="349"/>
      <c r="TAV2019" s="349"/>
      <c r="TAW2019" s="349"/>
      <c r="TAX2019" s="349"/>
      <c r="TAY2019" s="349"/>
      <c r="TAZ2019" s="349"/>
      <c r="TBA2019" s="349"/>
      <c r="TBB2019" s="349"/>
      <c r="TBC2019" s="349"/>
      <c r="TBD2019" s="349"/>
      <c r="TBE2019" s="349"/>
      <c r="TBF2019" s="349"/>
      <c r="TBG2019" s="349"/>
      <c r="TBH2019" s="349"/>
      <c r="TBI2019" s="349"/>
      <c r="TBJ2019" s="349"/>
      <c r="TBK2019" s="349"/>
      <c r="TBL2019" s="349"/>
      <c r="TBM2019" s="349"/>
      <c r="TBN2019" s="349"/>
      <c r="TBO2019" s="349"/>
      <c r="TBP2019" s="349"/>
      <c r="TBQ2019" s="349"/>
      <c r="TBR2019" s="349"/>
      <c r="TBS2019" s="349"/>
      <c r="TBT2019" s="349"/>
      <c r="TBU2019" s="349"/>
      <c r="TBV2019" s="349"/>
      <c r="TBW2019" s="349"/>
      <c r="TBX2019" s="349"/>
      <c r="TBY2019" s="349"/>
      <c r="TBZ2019" s="349"/>
      <c r="TCA2019" s="349"/>
      <c r="TCB2019" s="349"/>
      <c r="TCC2019" s="349"/>
      <c r="TCD2019" s="349"/>
      <c r="TCE2019" s="349"/>
      <c r="TCF2019" s="349"/>
      <c r="TCG2019" s="349"/>
      <c r="TCH2019" s="349"/>
      <c r="TCI2019" s="349"/>
      <c r="TCJ2019" s="349"/>
      <c r="TCK2019" s="349"/>
      <c r="TCL2019" s="349"/>
      <c r="TCM2019" s="349"/>
      <c r="TCN2019" s="349"/>
      <c r="TCO2019" s="349"/>
      <c r="TCP2019" s="349"/>
      <c r="TCQ2019" s="349"/>
      <c r="TCR2019" s="349"/>
      <c r="TCS2019" s="349"/>
      <c r="TCT2019" s="349"/>
      <c r="TCU2019" s="349"/>
      <c r="TCV2019" s="349"/>
      <c r="TCW2019" s="349"/>
      <c r="TCX2019" s="349"/>
      <c r="TCY2019" s="349"/>
      <c r="TCZ2019" s="349"/>
      <c r="TDA2019" s="349"/>
      <c r="TDB2019" s="349"/>
      <c r="TDC2019" s="349"/>
      <c r="TDD2019" s="349"/>
      <c r="TDE2019" s="349"/>
      <c r="TDF2019" s="349"/>
      <c r="TDG2019" s="349"/>
      <c r="TDH2019" s="349"/>
      <c r="TDI2019" s="349"/>
      <c r="TDJ2019" s="349"/>
      <c r="TDK2019" s="349"/>
      <c r="TDL2019" s="349"/>
      <c r="TDM2019" s="349"/>
      <c r="TDN2019" s="349"/>
      <c r="TDO2019" s="349"/>
      <c r="TDP2019" s="349"/>
      <c r="TDQ2019" s="349"/>
      <c r="TDR2019" s="349"/>
      <c r="TDS2019" s="349"/>
      <c r="TDT2019" s="349"/>
      <c r="TDU2019" s="349"/>
      <c r="TDV2019" s="349"/>
      <c r="TDW2019" s="349"/>
      <c r="TDX2019" s="349"/>
      <c r="TDY2019" s="349"/>
      <c r="TDZ2019" s="349"/>
      <c r="TEA2019" s="349"/>
      <c r="TEB2019" s="349"/>
      <c r="TEC2019" s="349"/>
      <c r="TED2019" s="349"/>
      <c r="TEE2019" s="349"/>
      <c r="TEF2019" s="349"/>
      <c r="TEG2019" s="349"/>
      <c r="TEH2019" s="349"/>
      <c r="TEI2019" s="349"/>
      <c r="TEJ2019" s="349"/>
      <c r="TEK2019" s="349"/>
      <c r="TEL2019" s="349"/>
      <c r="TEM2019" s="349"/>
      <c r="TEN2019" s="349"/>
      <c r="TEO2019" s="349"/>
      <c r="TEP2019" s="349"/>
      <c r="TEQ2019" s="349"/>
      <c r="TER2019" s="349"/>
      <c r="TES2019" s="349"/>
      <c r="TET2019" s="349"/>
      <c r="TEU2019" s="349"/>
      <c r="TEV2019" s="349"/>
      <c r="TEW2019" s="349"/>
      <c r="TEX2019" s="349"/>
      <c r="TEY2019" s="349"/>
      <c r="TEZ2019" s="349"/>
      <c r="TFA2019" s="349"/>
      <c r="TFB2019" s="349"/>
      <c r="TFC2019" s="349"/>
      <c r="TFD2019" s="349"/>
      <c r="TFE2019" s="349"/>
      <c r="TFF2019" s="349"/>
      <c r="TFG2019" s="349"/>
      <c r="TFH2019" s="349"/>
      <c r="TFI2019" s="349"/>
      <c r="TFJ2019" s="349"/>
      <c r="TFK2019" s="349"/>
      <c r="TFL2019" s="349"/>
      <c r="TFM2019" s="349"/>
      <c r="TFN2019" s="349"/>
      <c r="TFO2019" s="349"/>
      <c r="TFP2019" s="349"/>
      <c r="TFQ2019" s="349"/>
      <c r="TFR2019" s="349"/>
      <c r="TFS2019" s="349"/>
      <c r="TFT2019" s="349"/>
      <c r="TFU2019" s="349"/>
      <c r="TFV2019" s="349"/>
      <c r="TFW2019" s="349"/>
      <c r="TFX2019" s="349"/>
      <c r="TFY2019" s="349"/>
      <c r="TFZ2019" s="349"/>
      <c r="TGA2019" s="349"/>
      <c r="TGB2019" s="349"/>
      <c r="TGC2019" s="349"/>
      <c r="TGD2019" s="349"/>
      <c r="TGE2019" s="349"/>
      <c r="TGF2019" s="349"/>
      <c r="TGG2019" s="349"/>
      <c r="TGH2019" s="349"/>
      <c r="TGI2019" s="349"/>
      <c r="TGJ2019" s="349"/>
      <c r="TGK2019" s="349"/>
      <c r="TGL2019" s="349"/>
      <c r="TGM2019" s="349"/>
      <c r="TGN2019" s="349"/>
      <c r="TGO2019" s="349"/>
      <c r="TGP2019" s="349"/>
      <c r="TGQ2019" s="349"/>
      <c r="TGR2019" s="349"/>
      <c r="TGS2019" s="349"/>
      <c r="TGT2019" s="349"/>
      <c r="TGU2019" s="349"/>
      <c r="TGV2019" s="349"/>
      <c r="TGW2019" s="349"/>
      <c r="TGX2019" s="349"/>
      <c r="TGY2019" s="349"/>
      <c r="TGZ2019" s="349"/>
      <c r="THA2019" s="349"/>
      <c r="THB2019" s="349"/>
      <c r="THC2019" s="349"/>
      <c r="THD2019" s="349"/>
      <c r="THE2019" s="349"/>
      <c r="THF2019" s="349"/>
      <c r="THG2019" s="349"/>
      <c r="THH2019" s="349"/>
      <c r="THI2019" s="349"/>
      <c r="THJ2019" s="349"/>
      <c r="THK2019" s="349"/>
      <c r="THL2019" s="349"/>
      <c r="THM2019" s="349"/>
      <c r="THN2019" s="349"/>
      <c r="THO2019" s="349"/>
      <c r="THP2019" s="349"/>
      <c r="THQ2019" s="349"/>
      <c r="THR2019" s="349"/>
      <c r="THS2019" s="349"/>
      <c r="THT2019" s="349"/>
      <c r="THU2019" s="349"/>
      <c r="THV2019" s="349"/>
      <c r="THW2019" s="349"/>
      <c r="THX2019" s="349"/>
      <c r="THY2019" s="349"/>
      <c r="THZ2019" s="349"/>
      <c r="TIA2019" s="349"/>
      <c r="TIB2019" s="349"/>
      <c r="TIC2019" s="349"/>
      <c r="TID2019" s="349"/>
      <c r="TIE2019" s="349"/>
      <c r="TIF2019" s="349"/>
      <c r="TIG2019" s="349"/>
      <c r="TIH2019" s="349"/>
      <c r="TII2019" s="349"/>
      <c r="TIJ2019" s="349"/>
      <c r="TIK2019" s="349"/>
      <c r="TIL2019" s="349"/>
      <c r="TIM2019" s="349"/>
      <c r="TIN2019" s="349"/>
      <c r="TIO2019" s="349"/>
      <c r="TIP2019" s="349"/>
      <c r="TIQ2019" s="349"/>
      <c r="TIR2019" s="349"/>
      <c r="TIS2019" s="349"/>
      <c r="TIT2019" s="349"/>
      <c r="TIU2019" s="349"/>
      <c r="TIV2019" s="349"/>
      <c r="TIW2019" s="349"/>
      <c r="TIX2019" s="349"/>
      <c r="TIY2019" s="349"/>
      <c r="TIZ2019" s="349"/>
      <c r="TJA2019" s="349"/>
      <c r="TJB2019" s="349"/>
      <c r="TJC2019" s="349"/>
      <c r="TJD2019" s="349"/>
      <c r="TJE2019" s="349"/>
      <c r="TJF2019" s="349"/>
      <c r="TJG2019" s="349"/>
      <c r="TJH2019" s="349"/>
      <c r="TJI2019" s="349"/>
      <c r="TJJ2019" s="349"/>
      <c r="TJK2019" s="349"/>
      <c r="TJL2019" s="349"/>
      <c r="TJM2019" s="349"/>
      <c r="TJN2019" s="349"/>
      <c r="TJO2019" s="349"/>
      <c r="TJP2019" s="349"/>
      <c r="TJQ2019" s="349"/>
      <c r="TJR2019" s="349"/>
      <c r="TJS2019" s="349"/>
      <c r="TJT2019" s="349"/>
      <c r="TJU2019" s="349"/>
      <c r="TJV2019" s="349"/>
      <c r="TJW2019" s="349"/>
      <c r="TJX2019" s="349"/>
      <c r="TJY2019" s="349"/>
      <c r="TJZ2019" s="349"/>
      <c r="TKA2019" s="349"/>
      <c r="TKB2019" s="349"/>
      <c r="TKC2019" s="349"/>
      <c r="TKD2019" s="349"/>
      <c r="TKE2019" s="349"/>
      <c r="TKF2019" s="349"/>
      <c r="TKG2019" s="349"/>
      <c r="TKH2019" s="349"/>
      <c r="TKI2019" s="349"/>
      <c r="TKJ2019" s="349"/>
      <c r="TKK2019" s="349"/>
      <c r="TKL2019" s="349"/>
      <c r="TKM2019" s="349"/>
      <c r="TKN2019" s="349"/>
      <c r="TKO2019" s="349"/>
      <c r="TKP2019" s="349"/>
      <c r="TKQ2019" s="349"/>
      <c r="TKR2019" s="349"/>
      <c r="TKS2019" s="349"/>
      <c r="TKT2019" s="349"/>
      <c r="TKU2019" s="349"/>
      <c r="TKV2019" s="349"/>
      <c r="TKW2019" s="349"/>
      <c r="TKX2019" s="349"/>
      <c r="TKY2019" s="349"/>
      <c r="TKZ2019" s="349"/>
      <c r="TLA2019" s="349"/>
      <c r="TLB2019" s="349"/>
      <c r="TLC2019" s="349"/>
      <c r="TLD2019" s="349"/>
      <c r="TLE2019" s="349"/>
      <c r="TLF2019" s="349"/>
      <c r="TLG2019" s="349"/>
      <c r="TLH2019" s="349"/>
      <c r="TLI2019" s="349"/>
      <c r="TLJ2019" s="349"/>
      <c r="TLK2019" s="349"/>
      <c r="TLL2019" s="349"/>
      <c r="TLM2019" s="349"/>
      <c r="TLN2019" s="349"/>
      <c r="TLO2019" s="349"/>
      <c r="TLP2019" s="349"/>
      <c r="TLQ2019" s="349"/>
      <c r="TLR2019" s="349"/>
      <c r="TLS2019" s="349"/>
      <c r="TLT2019" s="349"/>
      <c r="TLU2019" s="349"/>
      <c r="TLV2019" s="349"/>
      <c r="TLW2019" s="349"/>
      <c r="TLX2019" s="349"/>
      <c r="TLY2019" s="349"/>
      <c r="TLZ2019" s="349"/>
      <c r="TMA2019" s="349"/>
      <c r="TMB2019" s="349"/>
      <c r="TMC2019" s="349"/>
      <c r="TMD2019" s="349"/>
      <c r="TME2019" s="349"/>
      <c r="TMF2019" s="349"/>
      <c r="TMG2019" s="349"/>
      <c r="TMH2019" s="349"/>
      <c r="TMI2019" s="349"/>
      <c r="TMJ2019" s="349"/>
      <c r="TMK2019" s="349"/>
      <c r="TML2019" s="349"/>
      <c r="TMM2019" s="349"/>
      <c r="TMN2019" s="349"/>
      <c r="TMO2019" s="349"/>
      <c r="TMP2019" s="349"/>
      <c r="TMQ2019" s="349"/>
      <c r="TMR2019" s="349"/>
      <c r="TMS2019" s="349"/>
      <c r="TMT2019" s="349"/>
      <c r="TMU2019" s="349"/>
      <c r="TMV2019" s="349"/>
      <c r="TMW2019" s="349"/>
      <c r="TMX2019" s="349"/>
      <c r="TMY2019" s="349"/>
      <c r="TMZ2019" s="349"/>
      <c r="TNA2019" s="349"/>
      <c r="TNB2019" s="349"/>
      <c r="TNC2019" s="349"/>
      <c r="TND2019" s="349"/>
      <c r="TNE2019" s="349"/>
      <c r="TNF2019" s="349"/>
      <c r="TNG2019" s="349"/>
      <c r="TNH2019" s="349"/>
      <c r="TNI2019" s="349"/>
      <c r="TNJ2019" s="349"/>
      <c r="TNK2019" s="349"/>
      <c r="TNL2019" s="349"/>
      <c r="TNM2019" s="349"/>
      <c r="TNN2019" s="349"/>
      <c r="TNO2019" s="349"/>
      <c r="TNP2019" s="349"/>
      <c r="TNQ2019" s="349"/>
      <c r="TNR2019" s="349"/>
      <c r="TNS2019" s="349"/>
      <c r="TNT2019" s="349"/>
      <c r="TNU2019" s="349"/>
      <c r="TNV2019" s="349"/>
      <c r="TNW2019" s="349"/>
      <c r="TNX2019" s="349"/>
      <c r="TNY2019" s="349"/>
      <c r="TNZ2019" s="349"/>
      <c r="TOA2019" s="349"/>
      <c r="TOB2019" s="349"/>
      <c r="TOC2019" s="349"/>
      <c r="TOD2019" s="349"/>
      <c r="TOE2019" s="349"/>
      <c r="TOF2019" s="349"/>
      <c r="TOG2019" s="349"/>
      <c r="TOH2019" s="349"/>
      <c r="TOI2019" s="349"/>
      <c r="TOJ2019" s="349"/>
      <c r="TOK2019" s="349"/>
      <c r="TOL2019" s="349"/>
      <c r="TOM2019" s="349"/>
      <c r="TON2019" s="349"/>
      <c r="TOO2019" s="349"/>
      <c r="TOP2019" s="349"/>
      <c r="TOQ2019" s="349"/>
      <c r="TOR2019" s="349"/>
      <c r="TOS2019" s="349"/>
      <c r="TOT2019" s="349"/>
      <c r="TOU2019" s="349"/>
      <c r="TOV2019" s="349"/>
      <c r="TOW2019" s="349"/>
      <c r="TOX2019" s="349"/>
      <c r="TOY2019" s="349"/>
      <c r="TOZ2019" s="349"/>
      <c r="TPA2019" s="349"/>
      <c r="TPB2019" s="349"/>
      <c r="TPC2019" s="349"/>
      <c r="TPD2019" s="349"/>
      <c r="TPE2019" s="349"/>
      <c r="TPF2019" s="349"/>
      <c r="TPG2019" s="349"/>
      <c r="TPH2019" s="349"/>
      <c r="TPI2019" s="349"/>
      <c r="TPJ2019" s="349"/>
      <c r="TPK2019" s="349"/>
      <c r="TPL2019" s="349"/>
      <c r="TPM2019" s="349"/>
      <c r="TPN2019" s="349"/>
      <c r="TPO2019" s="349"/>
      <c r="TPP2019" s="349"/>
      <c r="TPQ2019" s="349"/>
      <c r="TPR2019" s="349"/>
      <c r="TPS2019" s="349"/>
      <c r="TPT2019" s="349"/>
      <c r="TPU2019" s="349"/>
      <c r="TPV2019" s="349"/>
      <c r="TPW2019" s="349"/>
      <c r="TPX2019" s="349"/>
      <c r="TPY2019" s="349"/>
      <c r="TPZ2019" s="349"/>
      <c r="TQA2019" s="349"/>
      <c r="TQB2019" s="349"/>
      <c r="TQC2019" s="349"/>
      <c r="TQD2019" s="349"/>
      <c r="TQE2019" s="349"/>
      <c r="TQF2019" s="349"/>
      <c r="TQG2019" s="349"/>
      <c r="TQH2019" s="349"/>
      <c r="TQI2019" s="349"/>
      <c r="TQJ2019" s="349"/>
      <c r="TQK2019" s="349"/>
      <c r="TQL2019" s="349"/>
      <c r="TQM2019" s="349"/>
      <c r="TQN2019" s="349"/>
      <c r="TQO2019" s="349"/>
      <c r="TQP2019" s="349"/>
      <c r="TQQ2019" s="349"/>
      <c r="TQR2019" s="349"/>
      <c r="TQS2019" s="349"/>
      <c r="TQT2019" s="349"/>
      <c r="TQU2019" s="349"/>
      <c r="TQV2019" s="349"/>
      <c r="TQW2019" s="349"/>
      <c r="TQX2019" s="349"/>
      <c r="TQY2019" s="349"/>
      <c r="TQZ2019" s="349"/>
      <c r="TRA2019" s="349"/>
      <c r="TRB2019" s="349"/>
      <c r="TRC2019" s="349"/>
      <c r="TRD2019" s="349"/>
      <c r="TRE2019" s="349"/>
      <c r="TRF2019" s="349"/>
      <c r="TRG2019" s="349"/>
      <c r="TRH2019" s="349"/>
      <c r="TRI2019" s="349"/>
      <c r="TRJ2019" s="349"/>
      <c r="TRK2019" s="349"/>
      <c r="TRL2019" s="349"/>
      <c r="TRM2019" s="349"/>
      <c r="TRN2019" s="349"/>
      <c r="TRO2019" s="349"/>
      <c r="TRP2019" s="349"/>
      <c r="TRQ2019" s="349"/>
      <c r="TRR2019" s="349"/>
      <c r="TRS2019" s="349"/>
      <c r="TRT2019" s="349"/>
      <c r="TRU2019" s="349"/>
      <c r="TRV2019" s="349"/>
      <c r="TRW2019" s="349"/>
      <c r="TRX2019" s="349"/>
      <c r="TRY2019" s="349"/>
      <c r="TRZ2019" s="349"/>
      <c r="TSA2019" s="349"/>
      <c r="TSB2019" s="349"/>
      <c r="TSC2019" s="349"/>
      <c r="TSD2019" s="349"/>
      <c r="TSE2019" s="349"/>
      <c r="TSF2019" s="349"/>
      <c r="TSG2019" s="349"/>
      <c r="TSH2019" s="349"/>
      <c r="TSI2019" s="349"/>
      <c r="TSJ2019" s="349"/>
      <c r="TSK2019" s="349"/>
      <c r="TSL2019" s="349"/>
      <c r="TSM2019" s="349"/>
      <c r="TSN2019" s="349"/>
      <c r="TSO2019" s="349"/>
      <c r="TSP2019" s="349"/>
      <c r="TSQ2019" s="349"/>
      <c r="TSR2019" s="349"/>
      <c r="TSS2019" s="349"/>
      <c r="TST2019" s="349"/>
      <c r="TSU2019" s="349"/>
      <c r="TSV2019" s="349"/>
      <c r="TSW2019" s="349"/>
      <c r="TSX2019" s="349"/>
      <c r="TSY2019" s="349"/>
      <c r="TSZ2019" s="349"/>
      <c r="TTA2019" s="349"/>
      <c r="TTB2019" s="349"/>
      <c r="TTC2019" s="349"/>
      <c r="TTD2019" s="349"/>
      <c r="TTE2019" s="349"/>
      <c r="TTF2019" s="349"/>
      <c r="TTG2019" s="349"/>
      <c r="TTH2019" s="349"/>
      <c r="TTI2019" s="349"/>
      <c r="TTJ2019" s="349"/>
      <c r="TTK2019" s="349"/>
      <c r="TTL2019" s="349"/>
      <c r="TTM2019" s="349"/>
      <c r="TTN2019" s="349"/>
      <c r="TTO2019" s="349"/>
      <c r="TTP2019" s="349"/>
      <c r="TTQ2019" s="349"/>
      <c r="TTR2019" s="349"/>
      <c r="TTS2019" s="349"/>
      <c r="TTT2019" s="349"/>
      <c r="TTU2019" s="349"/>
      <c r="TTV2019" s="349"/>
      <c r="TTW2019" s="349"/>
      <c r="TTX2019" s="349"/>
      <c r="TTY2019" s="349"/>
      <c r="TTZ2019" s="349"/>
      <c r="TUA2019" s="349"/>
      <c r="TUB2019" s="349"/>
      <c r="TUC2019" s="349"/>
      <c r="TUD2019" s="349"/>
      <c r="TUE2019" s="349"/>
      <c r="TUF2019" s="349"/>
      <c r="TUG2019" s="349"/>
      <c r="TUH2019" s="349"/>
      <c r="TUI2019" s="349"/>
      <c r="TUJ2019" s="349"/>
      <c r="TUK2019" s="349"/>
      <c r="TUL2019" s="349"/>
      <c r="TUM2019" s="349"/>
      <c r="TUN2019" s="349"/>
      <c r="TUO2019" s="349"/>
      <c r="TUP2019" s="349"/>
      <c r="TUQ2019" s="349"/>
      <c r="TUR2019" s="349"/>
      <c r="TUS2019" s="349"/>
      <c r="TUT2019" s="349"/>
      <c r="TUU2019" s="349"/>
      <c r="TUV2019" s="349"/>
      <c r="TUW2019" s="349"/>
      <c r="TUX2019" s="349"/>
      <c r="TUY2019" s="349"/>
      <c r="TUZ2019" s="349"/>
      <c r="TVA2019" s="349"/>
      <c r="TVB2019" s="349"/>
      <c r="TVC2019" s="349"/>
      <c r="TVD2019" s="349"/>
      <c r="TVE2019" s="349"/>
      <c r="TVF2019" s="349"/>
      <c r="TVG2019" s="349"/>
      <c r="TVH2019" s="349"/>
      <c r="TVI2019" s="349"/>
      <c r="TVJ2019" s="349"/>
      <c r="TVK2019" s="349"/>
      <c r="TVL2019" s="349"/>
      <c r="TVM2019" s="349"/>
      <c r="TVN2019" s="349"/>
      <c r="TVO2019" s="349"/>
      <c r="TVP2019" s="349"/>
      <c r="TVQ2019" s="349"/>
      <c r="TVR2019" s="349"/>
      <c r="TVS2019" s="349"/>
      <c r="TVT2019" s="349"/>
      <c r="TVU2019" s="349"/>
      <c r="TVV2019" s="349"/>
      <c r="TVW2019" s="349"/>
      <c r="TVX2019" s="349"/>
      <c r="TVY2019" s="349"/>
      <c r="TVZ2019" s="349"/>
      <c r="TWA2019" s="349"/>
      <c r="TWB2019" s="349"/>
      <c r="TWC2019" s="349"/>
      <c r="TWD2019" s="349"/>
      <c r="TWE2019" s="349"/>
      <c r="TWF2019" s="349"/>
      <c r="TWG2019" s="349"/>
      <c r="TWH2019" s="349"/>
      <c r="TWI2019" s="349"/>
      <c r="TWJ2019" s="349"/>
      <c r="TWK2019" s="349"/>
      <c r="TWL2019" s="349"/>
      <c r="TWM2019" s="349"/>
      <c r="TWN2019" s="349"/>
      <c r="TWO2019" s="349"/>
      <c r="TWP2019" s="349"/>
      <c r="TWQ2019" s="349"/>
      <c r="TWR2019" s="349"/>
      <c r="TWS2019" s="349"/>
      <c r="TWT2019" s="349"/>
      <c r="TWU2019" s="349"/>
      <c r="TWV2019" s="349"/>
      <c r="TWW2019" s="349"/>
      <c r="TWX2019" s="349"/>
      <c r="TWY2019" s="349"/>
      <c r="TWZ2019" s="349"/>
      <c r="TXA2019" s="349"/>
      <c r="TXB2019" s="349"/>
      <c r="TXC2019" s="349"/>
      <c r="TXD2019" s="349"/>
      <c r="TXE2019" s="349"/>
      <c r="TXF2019" s="349"/>
      <c r="TXG2019" s="349"/>
      <c r="TXH2019" s="349"/>
      <c r="TXI2019" s="349"/>
      <c r="TXJ2019" s="349"/>
      <c r="TXK2019" s="349"/>
      <c r="TXL2019" s="349"/>
      <c r="TXM2019" s="349"/>
      <c r="TXN2019" s="349"/>
      <c r="TXO2019" s="349"/>
      <c r="TXP2019" s="349"/>
      <c r="TXQ2019" s="349"/>
      <c r="TXR2019" s="349"/>
      <c r="TXS2019" s="349"/>
      <c r="TXT2019" s="349"/>
      <c r="TXU2019" s="349"/>
      <c r="TXV2019" s="349"/>
      <c r="TXW2019" s="349"/>
      <c r="TXX2019" s="349"/>
      <c r="TXY2019" s="349"/>
      <c r="TXZ2019" s="349"/>
      <c r="TYA2019" s="349"/>
      <c r="TYB2019" s="349"/>
      <c r="TYC2019" s="349"/>
      <c r="TYD2019" s="349"/>
      <c r="TYE2019" s="349"/>
      <c r="TYF2019" s="349"/>
      <c r="TYG2019" s="349"/>
      <c r="TYH2019" s="349"/>
      <c r="TYI2019" s="349"/>
      <c r="TYJ2019" s="349"/>
      <c r="TYK2019" s="349"/>
      <c r="TYL2019" s="349"/>
      <c r="TYM2019" s="349"/>
      <c r="TYN2019" s="349"/>
      <c r="TYO2019" s="349"/>
      <c r="TYP2019" s="349"/>
      <c r="TYQ2019" s="349"/>
      <c r="TYR2019" s="349"/>
      <c r="TYS2019" s="349"/>
      <c r="TYT2019" s="349"/>
      <c r="TYU2019" s="349"/>
      <c r="TYV2019" s="349"/>
      <c r="TYW2019" s="349"/>
      <c r="TYX2019" s="349"/>
      <c r="TYY2019" s="349"/>
      <c r="TYZ2019" s="349"/>
      <c r="TZA2019" s="349"/>
      <c r="TZB2019" s="349"/>
      <c r="TZC2019" s="349"/>
      <c r="TZD2019" s="349"/>
      <c r="TZE2019" s="349"/>
      <c r="TZF2019" s="349"/>
      <c r="TZG2019" s="349"/>
      <c r="TZH2019" s="349"/>
      <c r="TZI2019" s="349"/>
      <c r="TZJ2019" s="349"/>
      <c r="TZK2019" s="349"/>
      <c r="TZL2019" s="349"/>
      <c r="TZM2019" s="349"/>
      <c r="TZN2019" s="349"/>
      <c r="TZO2019" s="349"/>
      <c r="TZP2019" s="349"/>
      <c r="TZQ2019" s="349"/>
      <c r="TZR2019" s="349"/>
      <c r="TZS2019" s="349"/>
      <c r="TZT2019" s="349"/>
      <c r="TZU2019" s="349"/>
      <c r="TZV2019" s="349"/>
      <c r="TZW2019" s="349"/>
      <c r="TZX2019" s="349"/>
      <c r="TZY2019" s="349"/>
      <c r="TZZ2019" s="349"/>
      <c r="UAA2019" s="349"/>
      <c r="UAB2019" s="349"/>
      <c r="UAC2019" s="349"/>
      <c r="UAD2019" s="349"/>
      <c r="UAE2019" s="349"/>
      <c r="UAF2019" s="349"/>
      <c r="UAG2019" s="349"/>
      <c r="UAH2019" s="349"/>
      <c r="UAI2019" s="349"/>
      <c r="UAJ2019" s="349"/>
      <c r="UAK2019" s="349"/>
      <c r="UAL2019" s="349"/>
      <c r="UAM2019" s="349"/>
      <c r="UAN2019" s="349"/>
      <c r="UAO2019" s="349"/>
      <c r="UAP2019" s="349"/>
      <c r="UAQ2019" s="349"/>
      <c r="UAR2019" s="349"/>
      <c r="UAS2019" s="349"/>
      <c r="UAT2019" s="349"/>
      <c r="UAU2019" s="349"/>
      <c r="UAV2019" s="349"/>
      <c r="UAW2019" s="349"/>
      <c r="UAX2019" s="349"/>
      <c r="UAY2019" s="349"/>
      <c r="UAZ2019" s="349"/>
      <c r="UBA2019" s="349"/>
      <c r="UBB2019" s="349"/>
      <c r="UBC2019" s="349"/>
      <c r="UBD2019" s="349"/>
      <c r="UBE2019" s="349"/>
      <c r="UBF2019" s="349"/>
      <c r="UBG2019" s="349"/>
      <c r="UBH2019" s="349"/>
      <c r="UBI2019" s="349"/>
      <c r="UBJ2019" s="349"/>
      <c r="UBK2019" s="349"/>
      <c r="UBL2019" s="349"/>
      <c r="UBM2019" s="349"/>
      <c r="UBN2019" s="349"/>
      <c r="UBO2019" s="349"/>
      <c r="UBP2019" s="349"/>
      <c r="UBQ2019" s="349"/>
      <c r="UBR2019" s="349"/>
      <c r="UBS2019" s="349"/>
      <c r="UBT2019" s="349"/>
      <c r="UBU2019" s="349"/>
      <c r="UBV2019" s="349"/>
      <c r="UBW2019" s="349"/>
      <c r="UBX2019" s="349"/>
      <c r="UBY2019" s="349"/>
      <c r="UBZ2019" s="349"/>
      <c r="UCA2019" s="349"/>
      <c r="UCB2019" s="349"/>
      <c r="UCC2019" s="349"/>
      <c r="UCD2019" s="349"/>
      <c r="UCE2019" s="349"/>
      <c r="UCF2019" s="349"/>
      <c r="UCG2019" s="349"/>
      <c r="UCH2019" s="349"/>
      <c r="UCI2019" s="349"/>
      <c r="UCJ2019" s="349"/>
      <c r="UCK2019" s="349"/>
      <c r="UCL2019" s="349"/>
      <c r="UCM2019" s="349"/>
      <c r="UCN2019" s="349"/>
      <c r="UCO2019" s="349"/>
      <c r="UCP2019" s="349"/>
      <c r="UCQ2019" s="349"/>
      <c r="UCR2019" s="349"/>
      <c r="UCS2019" s="349"/>
      <c r="UCT2019" s="349"/>
      <c r="UCU2019" s="349"/>
      <c r="UCV2019" s="349"/>
      <c r="UCW2019" s="349"/>
      <c r="UCX2019" s="349"/>
      <c r="UCY2019" s="349"/>
      <c r="UCZ2019" s="349"/>
      <c r="UDA2019" s="349"/>
      <c r="UDB2019" s="349"/>
      <c r="UDC2019" s="349"/>
      <c r="UDD2019" s="349"/>
      <c r="UDE2019" s="349"/>
      <c r="UDF2019" s="349"/>
      <c r="UDG2019" s="349"/>
      <c r="UDH2019" s="349"/>
      <c r="UDI2019" s="349"/>
      <c r="UDJ2019" s="349"/>
      <c r="UDK2019" s="349"/>
      <c r="UDL2019" s="349"/>
      <c r="UDM2019" s="349"/>
      <c r="UDN2019" s="349"/>
      <c r="UDO2019" s="349"/>
      <c r="UDP2019" s="349"/>
      <c r="UDQ2019" s="349"/>
      <c r="UDR2019" s="349"/>
      <c r="UDS2019" s="349"/>
      <c r="UDT2019" s="349"/>
      <c r="UDU2019" s="349"/>
      <c r="UDV2019" s="349"/>
      <c r="UDW2019" s="349"/>
      <c r="UDX2019" s="349"/>
      <c r="UDY2019" s="349"/>
      <c r="UDZ2019" s="349"/>
      <c r="UEA2019" s="349"/>
      <c r="UEB2019" s="349"/>
      <c r="UEC2019" s="349"/>
      <c r="UED2019" s="349"/>
      <c r="UEE2019" s="349"/>
      <c r="UEF2019" s="349"/>
      <c r="UEG2019" s="349"/>
      <c r="UEH2019" s="349"/>
      <c r="UEI2019" s="349"/>
      <c r="UEJ2019" s="349"/>
      <c r="UEK2019" s="349"/>
      <c r="UEL2019" s="349"/>
      <c r="UEM2019" s="349"/>
      <c r="UEN2019" s="349"/>
      <c r="UEO2019" s="349"/>
      <c r="UEP2019" s="349"/>
      <c r="UEQ2019" s="349"/>
      <c r="UER2019" s="349"/>
      <c r="UES2019" s="349"/>
      <c r="UET2019" s="349"/>
      <c r="UEU2019" s="349"/>
      <c r="UEV2019" s="349"/>
      <c r="UEW2019" s="349"/>
      <c r="UEX2019" s="349"/>
      <c r="UEY2019" s="349"/>
      <c r="UEZ2019" s="349"/>
      <c r="UFA2019" s="349"/>
      <c r="UFB2019" s="349"/>
      <c r="UFC2019" s="349"/>
      <c r="UFD2019" s="349"/>
      <c r="UFE2019" s="349"/>
      <c r="UFF2019" s="349"/>
      <c r="UFG2019" s="349"/>
      <c r="UFH2019" s="349"/>
      <c r="UFI2019" s="349"/>
      <c r="UFJ2019" s="349"/>
      <c r="UFK2019" s="349"/>
      <c r="UFL2019" s="349"/>
      <c r="UFM2019" s="349"/>
      <c r="UFN2019" s="349"/>
      <c r="UFO2019" s="349"/>
      <c r="UFP2019" s="349"/>
      <c r="UFQ2019" s="349"/>
      <c r="UFR2019" s="349"/>
      <c r="UFS2019" s="349"/>
      <c r="UFT2019" s="349"/>
      <c r="UFU2019" s="349"/>
      <c r="UFV2019" s="349"/>
      <c r="UFW2019" s="349"/>
      <c r="UFX2019" s="349"/>
      <c r="UFY2019" s="349"/>
      <c r="UFZ2019" s="349"/>
      <c r="UGA2019" s="349"/>
      <c r="UGB2019" s="349"/>
      <c r="UGC2019" s="349"/>
      <c r="UGD2019" s="349"/>
      <c r="UGE2019" s="349"/>
      <c r="UGF2019" s="349"/>
      <c r="UGG2019" s="349"/>
      <c r="UGH2019" s="349"/>
      <c r="UGI2019" s="349"/>
      <c r="UGJ2019" s="349"/>
      <c r="UGK2019" s="349"/>
      <c r="UGL2019" s="349"/>
      <c r="UGM2019" s="349"/>
      <c r="UGN2019" s="349"/>
      <c r="UGO2019" s="349"/>
      <c r="UGP2019" s="349"/>
      <c r="UGQ2019" s="349"/>
      <c r="UGR2019" s="349"/>
      <c r="UGS2019" s="349"/>
      <c r="UGT2019" s="349"/>
      <c r="UGU2019" s="349"/>
      <c r="UGV2019" s="349"/>
      <c r="UGW2019" s="349"/>
      <c r="UGX2019" s="349"/>
      <c r="UGY2019" s="349"/>
      <c r="UGZ2019" s="349"/>
      <c r="UHA2019" s="349"/>
      <c r="UHB2019" s="349"/>
      <c r="UHC2019" s="349"/>
      <c r="UHD2019" s="349"/>
      <c r="UHE2019" s="349"/>
      <c r="UHF2019" s="349"/>
      <c r="UHG2019" s="349"/>
      <c r="UHH2019" s="349"/>
      <c r="UHI2019" s="349"/>
      <c r="UHJ2019" s="349"/>
      <c r="UHK2019" s="349"/>
      <c r="UHL2019" s="349"/>
      <c r="UHM2019" s="349"/>
      <c r="UHN2019" s="349"/>
      <c r="UHO2019" s="349"/>
      <c r="UHP2019" s="349"/>
      <c r="UHQ2019" s="349"/>
      <c r="UHR2019" s="349"/>
      <c r="UHS2019" s="349"/>
      <c r="UHT2019" s="349"/>
      <c r="UHU2019" s="349"/>
      <c r="UHV2019" s="349"/>
      <c r="UHW2019" s="349"/>
      <c r="UHX2019" s="349"/>
      <c r="UHY2019" s="349"/>
      <c r="UHZ2019" s="349"/>
      <c r="UIA2019" s="349"/>
      <c r="UIB2019" s="349"/>
      <c r="UIC2019" s="349"/>
      <c r="UID2019" s="349"/>
      <c r="UIE2019" s="349"/>
      <c r="UIF2019" s="349"/>
      <c r="UIG2019" s="349"/>
      <c r="UIH2019" s="349"/>
      <c r="UII2019" s="349"/>
      <c r="UIJ2019" s="349"/>
      <c r="UIK2019" s="349"/>
      <c r="UIL2019" s="349"/>
      <c r="UIM2019" s="349"/>
      <c r="UIN2019" s="349"/>
      <c r="UIO2019" s="349"/>
      <c r="UIP2019" s="349"/>
      <c r="UIQ2019" s="349"/>
      <c r="UIR2019" s="349"/>
      <c r="UIS2019" s="349"/>
      <c r="UIT2019" s="349"/>
      <c r="UIU2019" s="349"/>
      <c r="UIV2019" s="349"/>
      <c r="UIW2019" s="349"/>
      <c r="UIX2019" s="349"/>
      <c r="UIY2019" s="349"/>
      <c r="UIZ2019" s="349"/>
      <c r="UJA2019" s="349"/>
      <c r="UJB2019" s="349"/>
      <c r="UJC2019" s="349"/>
      <c r="UJD2019" s="349"/>
      <c r="UJE2019" s="349"/>
      <c r="UJF2019" s="349"/>
      <c r="UJG2019" s="349"/>
      <c r="UJH2019" s="349"/>
      <c r="UJI2019" s="349"/>
      <c r="UJJ2019" s="349"/>
      <c r="UJK2019" s="349"/>
      <c r="UJL2019" s="349"/>
      <c r="UJM2019" s="349"/>
      <c r="UJN2019" s="349"/>
      <c r="UJO2019" s="349"/>
      <c r="UJP2019" s="349"/>
      <c r="UJQ2019" s="349"/>
      <c r="UJR2019" s="349"/>
      <c r="UJS2019" s="349"/>
      <c r="UJT2019" s="349"/>
      <c r="UJU2019" s="349"/>
      <c r="UJV2019" s="349"/>
      <c r="UJW2019" s="349"/>
      <c r="UJX2019" s="349"/>
      <c r="UJY2019" s="349"/>
      <c r="UJZ2019" s="349"/>
      <c r="UKA2019" s="349"/>
      <c r="UKB2019" s="349"/>
      <c r="UKC2019" s="349"/>
      <c r="UKD2019" s="349"/>
      <c r="UKE2019" s="349"/>
      <c r="UKF2019" s="349"/>
      <c r="UKG2019" s="349"/>
      <c r="UKH2019" s="349"/>
      <c r="UKI2019" s="349"/>
      <c r="UKJ2019" s="349"/>
      <c r="UKK2019" s="349"/>
      <c r="UKL2019" s="349"/>
      <c r="UKM2019" s="349"/>
      <c r="UKN2019" s="349"/>
      <c r="UKO2019" s="349"/>
      <c r="UKP2019" s="349"/>
      <c r="UKQ2019" s="349"/>
      <c r="UKR2019" s="349"/>
      <c r="UKS2019" s="349"/>
      <c r="UKT2019" s="349"/>
      <c r="UKU2019" s="349"/>
      <c r="UKV2019" s="349"/>
      <c r="UKW2019" s="349"/>
      <c r="UKX2019" s="349"/>
      <c r="UKY2019" s="349"/>
      <c r="UKZ2019" s="349"/>
      <c r="ULA2019" s="349"/>
      <c r="ULB2019" s="349"/>
      <c r="ULC2019" s="349"/>
      <c r="ULD2019" s="349"/>
      <c r="ULE2019" s="349"/>
      <c r="ULF2019" s="349"/>
      <c r="ULG2019" s="349"/>
      <c r="ULH2019" s="349"/>
      <c r="ULI2019" s="349"/>
      <c r="ULJ2019" s="349"/>
      <c r="ULK2019" s="349"/>
      <c r="ULL2019" s="349"/>
      <c r="ULM2019" s="349"/>
      <c r="ULN2019" s="349"/>
      <c r="ULO2019" s="349"/>
      <c r="ULP2019" s="349"/>
      <c r="ULQ2019" s="349"/>
      <c r="ULR2019" s="349"/>
      <c r="ULS2019" s="349"/>
      <c r="ULT2019" s="349"/>
      <c r="ULU2019" s="349"/>
      <c r="ULV2019" s="349"/>
      <c r="ULW2019" s="349"/>
      <c r="ULX2019" s="349"/>
      <c r="ULY2019" s="349"/>
      <c r="ULZ2019" s="349"/>
      <c r="UMA2019" s="349"/>
      <c r="UMB2019" s="349"/>
      <c r="UMC2019" s="349"/>
      <c r="UMD2019" s="349"/>
      <c r="UME2019" s="349"/>
      <c r="UMF2019" s="349"/>
      <c r="UMG2019" s="349"/>
      <c r="UMH2019" s="349"/>
      <c r="UMI2019" s="349"/>
      <c r="UMJ2019" s="349"/>
      <c r="UMK2019" s="349"/>
      <c r="UML2019" s="349"/>
      <c r="UMM2019" s="349"/>
      <c r="UMN2019" s="349"/>
      <c r="UMO2019" s="349"/>
      <c r="UMP2019" s="349"/>
      <c r="UMQ2019" s="349"/>
      <c r="UMR2019" s="349"/>
      <c r="UMS2019" s="349"/>
      <c r="UMT2019" s="349"/>
      <c r="UMU2019" s="349"/>
      <c r="UMV2019" s="349"/>
      <c r="UMW2019" s="349"/>
      <c r="UMX2019" s="349"/>
      <c r="UMY2019" s="349"/>
      <c r="UMZ2019" s="349"/>
      <c r="UNA2019" s="349"/>
      <c r="UNB2019" s="349"/>
      <c r="UNC2019" s="349"/>
      <c r="UND2019" s="349"/>
      <c r="UNE2019" s="349"/>
      <c r="UNF2019" s="349"/>
      <c r="UNG2019" s="349"/>
      <c r="UNH2019" s="349"/>
      <c r="UNI2019" s="349"/>
      <c r="UNJ2019" s="349"/>
      <c r="UNK2019" s="349"/>
      <c r="UNL2019" s="349"/>
      <c r="UNM2019" s="349"/>
      <c r="UNN2019" s="349"/>
      <c r="UNO2019" s="349"/>
      <c r="UNP2019" s="349"/>
      <c r="UNQ2019" s="349"/>
      <c r="UNR2019" s="349"/>
      <c r="UNS2019" s="349"/>
      <c r="UNT2019" s="349"/>
      <c r="UNU2019" s="349"/>
      <c r="UNV2019" s="349"/>
      <c r="UNW2019" s="349"/>
      <c r="UNX2019" s="349"/>
      <c r="UNY2019" s="349"/>
      <c r="UNZ2019" s="349"/>
      <c r="UOA2019" s="349"/>
      <c r="UOB2019" s="349"/>
      <c r="UOC2019" s="349"/>
      <c r="UOD2019" s="349"/>
      <c r="UOE2019" s="349"/>
      <c r="UOF2019" s="349"/>
      <c r="UOG2019" s="349"/>
      <c r="UOH2019" s="349"/>
      <c r="UOI2019" s="349"/>
      <c r="UOJ2019" s="349"/>
      <c r="UOK2019" s="349"/>
      <c r="UOL2019" s="349"/>
      <c r="UOM2019" s="349"/>
      <c r="UON2019" s="349"/>
      <c r="UOO2019" s="349"/>
      <c r="UOP2019" s="349"/>
      <c r="UOQ2019" s="349"/>
      <c r="UOR2019" s="349"/>
      <c r="UOS2019" s="349"/>
      <c r="UOT2019" s="349"/>
      <c r="UOU2019" s="349"/>
      <c r="UOV2019" s="349"/>
      <c r="UOW2019" s="349"/>
      <c r="UOX2019" s="349"/>
      <c r="UOY2019" s="349"/>
      <c r="UOZ2019" s="349"/>
      <c r="UPA2019" s="349"/>
      <c r="UPB2019" s="349"/>
      <c r="UPC2019" s="349"/>
      <c r="UPD2019" s="349"/>
      <c r="UPE2019" s="349"/>
      <c r="UPF2019" s="349"/>
      <c r="UPG2019" s="349"/>
      <c r="UPH2019" s="349"/>
      <c r="UPI2019" s="349"/>
      <c r="UPJ2019" s="349"/>
      <c r="UPK2019" s="349"/>
      <c r="UPL2019" s="349"/>
      <c r="UPM2019" s="349"/>
      <c r="UPN2019" s="349"/>
      <c r="UPO2019" s="349"/>
      <c r="UPP2019" s="349"/>
      <c r="UPQ2019" s="349"/>
      <c r="UPR2019" s="349"/>
      <c r="UPS2019" s="349"/>
      <c r="UPT2019" s="349"/>
      <c r="UPU2019" s="349"/>
      <c r="UPV2019" s="349"/>
      <c r="UPW2019" s="349"/>
      <c r="UPX2019" s="349"/>
      <c r="UPY2019" s="349"/>
      <c r="UPZ2019" s="349"/>
      <c r="UQA2019" s="349"/>
      <c r="UQB2019" s="349"/>
      <c r="UQC2019" s="349"/>
      <c r="UQD2019" s="349"/>
      <c r="UQE2019" s="349"/>
      <c r="UQF2019" s="349"/>
      <c r="UQG2019" s="349"/>
      <c r="UQH2019" s="349"/>
      <c r="UQI2019" s="349"/>
      <c r="UQJ2019" s="349"/>
      <c r="UQK2019" s="349"/>
      <c r="UQL2019" s="349"/>
      <c r="UQM2019" s="349"/>
      <c r="UQN2019" s="349"/>
      <c r="UQO2019" s="349"/>
      <c r="UQP2019" s="349"/>
      <c r="UQQ2019" s="349"/>
      <c r="UQR2019" s="349"/>
      <c r="UQS2019" s="349"/>
      <c r="UQT2019" s="349"/>
      <c r="UQU2019" s="349"/>
      <c r="UQV2019" s="349"/>
      <c r="UQW2019" s="349"/>
      <c r="UQX2019" s="349"/>
      <c r="UQY2019" s="349"/>
      <c r="UQZ2019" s="349"/>
      <c r="URA2019" s="349"/>
      <c r="URB2019" s="349"/>
      <c r="URC2019" s="349"/>
      <c r="URD2019" s="349"/>
      <c r="URE2019" s="349"/>
      <c r="URF2019" s="349"/>
      <c r="URG2019" s="349"/>
      <c r="URH2019" s="349"/>
      <c r="URI2019" s="349"/>
      <c r="URJ2019" s="349"/>
      <c r="URK2019" s="349"/>
      <c r="URL2019" s="349"/>
      <c r="URM2019" s="349"/>
      <c r="URN2019" s="349"/>
      <c r="URO2019" s="349"/>
      <c r="URP2019" s="349"/>
      <c r="URQ2019" s="349"/>
      <c r="URR2019" s="349"/>
      <c r="URS2019" s="349"/>
      <c r="URT2019" s="349"/>
      <c r="URU2019" s="349"/>
      <c r="URV2019" s="349"/>
      <c r="URW2019" s="349"/>
      <c r="URX2019" s="349"/>
      <c r="URY2019" s="349"/>
      <c r="URZ2019" s="349"/>
      <c r="USA2019" s="349"/>
      <c r="USB2019" s="349"/>
      <c r="USC2019" s="349"/>
      <c r="USD2019" s="349"/>
      <c r="USE2019" s="349"/>
      <c r="USF2019" s="349"/>
      <c r="USG2019" s="349"/>
      <c r="USH2019" s="349"/>
      <c r="USI2019" s="349"/>
      <c r="USJ2019" s="349"/>
      <c r="USK2019" s="349"/>
      <c r="USL2019" s="349"/>
      <c r="USM2019" s="349"/>
      <c r="USN2019" s="349"/>
      <c r="USO2019" s="349"/>
      <c r="USP2019" s="349"/>
      <c r="USQ2019" s="349"/>
      <c r="USR2019" s="349"/>
      <c r="USS2019" s="349"/>
      <c r="UST2019" s="349"/>
      <c r="USU2019" s="349"/>
      <c r="USV2019" s="349"/>
      <c r="USW2019" s="349"/>
      <c r="USX2019" s="349"/>
      <c r="USY2019" s="349"/>
      <c r="USZ2019" s="349"/>
      <c r="UTA2019" s="349"/>
      <c r="UTB2019" s="349"/>
      <c r="UTC2019" s="349"/>
      <c r="UTD2019" s="349"/>
      <c r="UTE2019" s="349"/>
      <c r="UTF2019" s="349"/>
      <c r="UTG2019" s="349"/>
      <c r="UTH2019" s="349"/>
      <c r="UTI2019" s="349"/>
      <c r="UTJ2019" s="349"/>
      <c r="UTK2019" s="349"/>
      <c r="UTL2019" s="349"/>
      <c r="UTM2019" s="349"/>
      <c r="UTN2019" s="349"/>
      <c r="UTO2019" s="349"/>
      <c r="UTP2019" s="349"/>
      <c r="UTQ2019" s="349"/>
      <c r="UTR2019" s="349"/>
      <c r="UTS2019" s="349"/>
      <c r="UTT2019" s="349"/>
      <c r="UTU2019" s="349"/>
      <c r="UTV2019" s="349"/>
      <c r="UTW2019" s="349"/>
      <c r="UTX2019" s="349"/>
      <c r="UTY2019" s="349"/>
      <c r="UTZ2019" s="349"/>
      <c r="UUA2019" s="349"/>
      <c r="UUB2019" s="349"/>
      <c r="UUC2019" s="349"/>
      <c r="UUD2019" s="349"/>
      <c r="UUE2019" s="349"/>
      <c r="UUF2019" s="349"/>
      <c r="UUG2019" s="349"/>
      <c r="UUH2019" s="349"/>
      <c r="UUI2019" s="349"/>
      <c r="UUJ2019" s="349"/>
      <c r="UUK2019" s="349"/>
      <c r="UUL2019" s="349"/>
      <c r="UUM2019" s="349"/>
      <c r="UUN2019" s="349"/>
      <c r="UUO2019" s="349"/>
      <c r="UUP2019" s="349"/>
      <c r="UUQ2019" s="349"/>
      <c r="UUR2019" s="349"/>
      <c r="UUS2019" s="349"/>
      <c r="UUT2019" s="349"/>
      <c r="UUU2019" s="349"/>
      <c r="UUV2019" s="349"/>
      <c r="UUW2019" s="349"/>
      <c r="UUX2019" s="349"/>
      <c r="UUY2019" s="349"/>
      <c r="UUZ2019" s="349"/>
      <c r="UVA2019" s="349"/>
      <c r="UVB2019" s="349"/>
      <c r="UVC2019" s="349"/>
      <c r="UVD2019" s="349"/>
      <c r="UVE2019" s="349"/>
      <c r="UVF2019" s="349"/>
      <c r="UVG2019" s="349"/>
      <c r="UVH2019" s="349"/>
      <c r="UVI2019" s="349"/>
      <c r="UVJ2019" s="349"/>
      <c r="UVK2019" s="349"/>
      <c r="UVL2019" s="349"/>
      <c r="UVM2019" s="349"/>
      <c r="UVN2019" s="349"/>
      <c r="UVO2019" s="349"/>
      <c r="UVP2019" s="349"/>
      <c r="UVQ2019" s="349"/>
      <c r="UVR2019" s="349"/>
      <c r="UVS2019" s="349"/>
      <c r="UVT2019" s="349"/>
      <c r="UVU2019" s="349"/>
      <c r="UVV2019" s="349"/>
      <c r="UVW2019" s="349"/>
      <c r="UVX2019" s="349"/>
      <c r="UVY2019" s="349"/>
      <c r="UVZ2019" s="349"/>
      <c r="UWA2019" s="349"/>
      <c r="UWB2019" s="349"/>
      <c r="UWC2019" s="349"/>
      <c r="UWD2019" s="349"/>
      <c r="UWE2019" s="349"/>
      <c r="UWF2019" s="349"/>
      <c r="UWG2019" s="349"/>
      <c r="UWH2019" s="349"/>
      <c r="UWI2019" s="349"/>
      <c r="UWJ2019" s="349"/>
      <c r="UWK2019" s="349"/>
      <c r="UWL2019" s="349"/>
      <c r="UWM2019" s="349"/>
      <c r="UWN2019" s="349"/>
      <c r="UWO2019" s="349"/>
      <c r="UWP2019" s="349"/>
      <c r="UWQ2019" s="349"/>
      <c r="UWR2019" s="349"/>
      <c r="UWS2019" s="349"/>
      <c r="UWT2019" s="349"/>
      <c r="UWU2019" s="349"/>
      <c r="UWV2019" s="349"/>
      <c r="UWW2019" s="349"/>
      <c r="UWX2019" s="349"/>
      <c r="UWY2019" s="349"/>
      <c r="UWZ2019" s="349"/>
      <c r="UXA2019" s="349"/>
      <c r="UXB2019" s="349"/>
      <c r="UXC2019" s="349"/>
      <c r="UXD2019" s="349"/>
      <c r="UXE2019" s="349"/>
      <c r="UXF2019" s="349"/>
      <c r="UXG2019" s="349"/>
      <c r="UXH2019" s="349"/>
      <c r="UXI2019" s="349"/>
      <c r="UXJ2019" s="349"/>
      <c r="UXK2019" s="349"/>
      <c r="UXL2019" s="349"/>
      <c r="UXM2019" s="349"/>
      <c r="UXN2019" s="349"/>
      <c r="UXO2019" s="349"/>
      <c r="UXP2019" s="349"/>
      <c r="UXQ2019" s="349"/>
      <c r="UXR2019" s="349"/>
      <c r="UXS2019" s="349"/>
      <c r="UXT2019" s="349"/>
      <c r="UXU2019" s="349"/>
      <c r="UXV2019" s="349"/>
      <c r="UXW2019" s="349"/>
      <c r="UXX2019" s="349"/>
      <c r="UXY2019" s="349"/>
      <c r="UXZ2019" s="349"/>
      <c r="UYA2019" s="349"/>
      <c r="UYB2019" s="349"/>
      <c r="UYC2019" s="349"/>
      <c r="UYD2019" s="349"/>
      <c r="UYE2019" s="349"/>
      <c r="UYF2019" s="349"/>
      <c r="UYG2019" s="349"/>
      <c r="UYH2019" s="349"/>
      <c r="UYI2019" s="349"/>
      <c r="UYJ2019" s="349"/>
      <c r="UYK2019" s="349"/>
      <c r="UYL2019" s="349"/>
      <c r="UYM2019" s="349"/>
      <c r="UYN2019" s="349"/>
      <c r="UYO2019" s="349"/>
      <c r="UYP2019" s="349"/>
      <c r="UYQ2019" s="349"/>
      <c r="UYR2019" s="349"/>
      <c r="UYS2019" s="349"/>
      <c r="UYT2019" s="349"/>
      <c r="UYU2019" s="349"/>
      <c r="UYV2019" s="349"/>
      <c r="UYW2019" s="349"/>
      <c r="UYX2019" s="349"/>
      <c r="UYY2019" s="349"/>
      <c r="UYZ2019" s="349"/>
      <c r="UZA2019" s="349"/>
      <c r="UZB2019" s="349"/>
      <c r="UZC2019" s="349"/>
      <c r="UZD2019" s="349"/>
      <c r="UZE2019" s="349"/>
      <c r="UZF2019" s="349"/>
      <c r="UZG2019" s="349"/>
      <c r="UZH2019" s="349"/>
      <c r="UZI2019" s="349"/>
      <c r="UZJ2019" s="349"/>
      <c r="UZK2019" s="349"/>
      <c r="UZL2019" s="349"/>
      <c r="UZM2019" s="349"/>
      <c r="UZN2019" s="349"/>
      <c r="UZO2019" s="349"/>
      <c r="UZP2019" s="349"/>
      <c r="UZQ2019" s="349"/>
      <c r="UZR2019" s="349"/>
      <c r="UZS2019" s="349"/>
      <c r="UZT2019" s="349"/>
      <c r="UZU2019" s="349"/>
      <c r="UZV2019" s="349"/>
      <c r="UZW2019" s="349"/>
      <c r="UZX2019" s="349"/>
      <c r="UZY2019" s="349"/>
      <c r="UZZ2019" s="349"/>
      <c r="VAA2019" s="349"/>
      <c r="VAB2019" s="349"/>
      <c r="VAC2019" s="349"/>
      <c r="VAD2019" s="349"/>
      <c r="VAE2019" s="349"/>
      <c r="VAF2019" s="349"/>
      <c r="VAG2019" s="349"/>
      <c r="VAH2019" s="349"/>
      <c r="VAI2019" s="349"/>
      <c r="VAJ2019" s="349"/>
      <c r="VAK2019" s="349"/>
      <c r="VAL2019" s="349"/>
      <c r="VAM2019" s="349"/>
      <c r="VAN2019" s="349"/>
      <c r="VAO2019" s="349"/>
      <c r="VAP2019" s="349"/>
      <c r="VAQ2019" s="349"/>
      <c r="VAR2019" s="349"/>
      <c r="VAS2019" s="349"/>
      <c r="VAT2019" s="349"/>
      <c r="VAU2019" s="349"/>
      <c r="VAV2019" s="349"/>
      <c r="VAW2019" s="349"/>
      <c r="VAX2019" s="349"/>
      <c r="VAY2019" s="349"/>
      <c r="VAZ2019" s="349"/>
      <c r="VBA2019" s="349"/>
      <c r="VBB2019" s="349"/>
      <c r="VBC2019" s="349"/>
      <c r="VBD2019" s="349"/>
      <c r="VBE2019" s="349"/>
      <c r="VBF2019" s="349"/>
      <c r="VBG2019" s="349"/>
      <c r="VBH2019" s="349"/>
      <c r="VBI2019" s="349"/>
      <c r="VBJ2019" s="349"/>
      <c r="VBK2019" s="349"/>
      <c r="VBL2019" s="349"/>
      <c r="VBM2019" s="349"/>
      <c r="VBN2019" s="349"/>
      <c r="VBO2019" s="349"/>
      <c r="VBP2019" s="349"/>
      <c r="VBQ2019" s="349"/>
      <c r="VBR2019" s="349"/>
      <c r="VBS2019" s="349"/>
      <c r="VBT2019" s="349"/>
      <c r="VBU2019" s="349"/>
      <c r="VBV2019" s="349"/>
      <c r="VBW2019" s="349"/>
      <c r="VBX2019" s="349"/>
      <c r="VBY2019" s="349"/>
      <c r="VBZ2019" s="349"/>
      <c r="VCA2019" s="349"/>
      <c r="VCB2019" s="349"/>
      <c r="VCC2019" s="349"/>
      <c r="VCD2019" s="349"/>
      <c r="VCE2019" s="349"/>
      <c r="VCF2019" s="349"/>
      <c r="VCG2019" s="349"/>
      <c r="VCH2019" s="349"/>
      <c r="VCI2019" s="349"/>
      <c r="VCJ2019" s="349"/>
      <c r="VCK2019" s="349"/>
      <c r="VCL2019" s="349"/>
      <c r="VCM2019" s="349"/>
      <c r="VCN2019" s="349"/>
      <c r="VCO2019" s="349"/>
      <c r="VCP2019" s="349"/>
      <c r="VCQ2019" s="349"/>
      <c r="VCR2019" s="349"/>
      <c r="VCS2019" s="349"/>
      <c r="VCT2019" s="349"/>
      <c r="VCU2019" s="349"/>
      <c r="VCV2019" s="349"/>
      <c r="VCW2019" s="349"/>
      <c r="VCX2019" s="349"/>
      <c r="VCY2019" s="349"/>
      <c r="VCZ2019" s="349"/>
      <c r="VDA2019" s="349"/>
      <c r="VDB2019" s="349"/>
      <c r="VDC2019" s="349"/>
      <c r="VDD2019" s="349"/>
      <c r="VDE2019" s="349"/>
      <c r="VDF2019" s="349"/>
      <c r="VDG2019" s="349"/>
      <c r="VDH2019" s="349"/>
      <c r="VDI2019" s="349"/>
      <c r="VDJ2019" s="349"/>
      <c r="VDK2019" s="349"/>
      <c r="VDL2019" s="349"/>
      <c r="VDM2019" s="349"/>
      <c r="VDN2019" s="349"/>
      <c r="VDO2019" s="349"/>
      <c r="VDP2019" s="349"/>
      <c r="VDQ2019" s="349"/>
      <c r="VDR2019" s="349"/>
      <c r="VDS2019" s="349"/>
      <c r="VDT2019" s="349"/>
      <c r="VDU2019" s="349"/>
      <c r="VDV2019" s="349"/>
      <c r="VDW2019" s="349"/>
      <c r="VDX2019" s="349"/>
      <c r="VDY2019" s="349"/>
      <c r="VDZ2019" s="349"/>
      <c r="VEA2019" s="349"/>
      <c r="VEB2019" s="349"/>
      <c r="VEC2019" s="349"/>
      <c r="VED2019" s="349"/>
      <c r="VEE2019" s="349"/>
      <c r="VEF2019" s="349"/>
      <c r="VEG2019" s="349"/>
      <c r="VEH2019" s="349"/>
      <c r="VEI2019" s="349"/>
      <c r="VEJ2019" s="349"/>
      <c r="VEK2019" s="349"/>
      <c r="VEL2019" s="349"/>
      <c r="VEM2019" s="349"/>
      <c r="VEN2019" s="349"/>
      <c r="VEO2019" s="349"/>
      <c r="VEP2019" s="349"/>
      <c r="VEQ2019" s="349"/>
      <c r="VER2019" s="349"/>
      <c r="VES2019" s="349"/>
      <c r="VET2019" s="349"/>
      <c r="VEU2019" s="349"/>
      <c r="VEV2019" s="349"/>
      <c r="VEW2019" s="349"/>
      <c r="VEX2019" s="349"/>
      <c r="VEY2019" s="349"/>
      <c r="VEZ2019" s="349"/>
      <c r="VFA2019" s="349"/>
      <c r="VFB2019" s="349"/>
      <c r="VFC2019" s="349"/>
      <c r="VFD2019" s="349"/>
      <c r="VFE2019" s="349"/>
      <c r="VFF2019" s="349"/>
      <c r="VFG2019" s="349"/>
      <c r="VFH2019" s="349"/>
      <c r="VFI2019" s="349"/>
      <c r="VFJ2019" s="349"/>
      <c r="VFK2019" s="349"/>
      <c r="VFL2019" s="349"/>
      <c r="VFM2019" s="349"/>
      <c r="VFN2019" s="349"/>
      <c r="VFO2019" s="349"/>
      <c r="VFP2019" s="349"/>
      <c r="VFQ2019" s="349"/>
      <c r="VFR2019" s="349"/>
      <c r="VFS2019" s="349"/>
      <c r="VFT2019" s="349"/>
      <c r="VFU2019" s="349"/>
      <c r="VFV2019" s="349"/>
      <c r="VFW2019" s="349"/>
      <c r="VFX2019" s="349"/>
      <c r="VFY2019" s="349"/>
      <c r="VFZ2019" s="349"/>
      <c r="VGA2019" s="349"/>
      <c r="VGB2019" s="349"/>
      <c r="VGC2019" s="349"/>
      <c r="VGD2019" s="349"/>
      <c r="VGE2019" s="349"/>
      <c r="VGF2019" s="349"/>
      <c r="VGG2019" s="349"/>
      <c r="VGH2019" s="349"/>
      <c r="VGI2019" s="349"/>
      <c r="VGJ2019" s="349"/>
      <c r="VGK2019" s="349"/>
      <c r="VGL2019" s="349"/>
      <c r="VGM2019" s="349"/>
      <c r="VGN2019" s="349"/>
      <c r="VGO2019" s="349"/>
      <c r="VGP2019" s="349"/>
      <c r="VGQ2019" s="349"/>
      <c r="VGR2019" s="349"/>
      <c r="VGS2019" s="349"/>
      <c r="VGT2019" s="349"/>
      <c r="VGU2019" s="349"/>
      <c r="VGV2019" s="349"/>
      <c r="VGW2019" s="349"/>
      <c r="VGX2019" s="349"/>
      <c r="VGY2019" s="349"/>
      <c r="VGZ2019" s="349"/>
      <c r="VHA2019" s="349"/>
      <c r="VHB2019" s="349"/>
      <c r="VHC2019" s="349"/>
      <c r="VHD2019" s="349"/>
      <c r="VHE2019" s="349"/>
      <c r="VHF2019" s="349"/>
      <c r="VHG2019" s="349"/>
      <c r="VHH2019" s="349"/>
      <c r="VHI2019" s="349"/>
      <c r="VHJ2019" s="349"/>
      <c r="VHK2019" s="349"/>
      <c r="VHL2019" s="349"/>
      <c r="VHM2019" s="349"/>
      <c r="VHN2019" s="349"/>
      <c r="VHO2019" s="349"/>
      <c r="VHP2019" s="349"/>
      <c r="VHQ2019" s="349"/>
      <c r="VHR2019" s="349"/>
      <c r="VHS2019" s="349"/>
      <c r="VHT2019" s="349"/>
      <c r="VHU2019" s="349"/>
      <c r="VHV2019" s="349"/>
      <c r="VHW2019" s="349"/>
      <c r="VHX2019" s="349"/>
      <c r="VHY2019" s="349"/>
      <c r="VHZ2019" s="349"/>
      <c r="VIA2019" s="349"/>
      <c r="VIB2019" s="349"/>
      <c r="VIC2019" s="349"/>
      <c r="VID2019" s="349"/>
      <c r="VIE2019" s="349"/>
      <c r="VIF2019" s="349"/>
      <c r="VIG2019" s="349"/>
      <c r="VIH2019" s="349"/>
      <c r="VII2019" s="349"/>
      <c r="VIJ2019" s="349"/>
      <c r="VIK2019" s="349"/>
      <c r="VIL2019" s="349"/>
      <c r="VIM2019" s="349"/>
      <c r="VIN2019" s="349"/>
      <c r="VIO2019" s="349"/>
      <c r="VIP2019" s="349"/>
      <c r="VIQ2019" s="349"/>
      <c r="VIR2019" s="349"/>
      <c r="VIS2019" s="349"/>
      <c r="VIT2019" s="349"/>
      <c r="VIU2019" s="349"/>
      <c r="VIV2019" s="349"/>
      <c r="VIW2019" s="349"/>
      <c r="VIX2019" s="349"/>
      <c r="VIY2019" s="349"/>
      <c r="VIZ2019" s="349"/>
      <c r="VJA2019" s="349"/>
      <c r="VJB2019" s="349"/>
      <c r="VJC2019" s="349"/>
      <c r="VJD2019" s="349"/>
      <c r="VJE2019" s="349"/>
      <c r="VJF2019" s="349"/>
      <c r="VJG2019" s="349"/>
      <c r="VJH2019" s="349"/>
      <c r="VJI2019" s="349"/>
      <c r="VJJ2019" s="349"/>
      <c r="VJK2019" s="349"/>
      <c r="VJL2019" s="349"/>
      <c r="VJM2019" s="349"/>
      <c r="VJN2019" s="349"/>
      <c r="VJO2019" s="349"/>
      <c r="VJP2019" s="349"/>
      <c r="VJQ2019" s="349"/>
      <c r="VJR2019" s="349"/>
      <c r="VJS2019" s="349"/>
      <c r="VJT2019" s="349"/>
      <c r="VJU2019" s="349"/>
      <c r="VJV2019" s="349"/>
      <c r="VJW2019" s="349"/>
      <c r="VJX2019" s="349"/>
      <c r="VJY2019" s="349"/>
      <c r="VJZ2019" s="349"/>
      <c r="VKA2019" s="349"/>
      <c r="VKB2019" s="349"/>
      <c r="VKC2019" s="349"/>
      <c r="VKD2019" s="349"/>
      <c r="VKE2019" s="349"/>
      <c r="VKF2019" s="349"/>
      <c r="VKG2019" s="349"/>
      <c r="VKH2019" s="349"/>
      <c r="VKI2019" s="349"/>
      <c r="VKJ2019" s="349"/>
      <c r="VKK2019" s="349"/>
      <c r="VKL2019" s="349"/>
      <c r="VKM2019" s="349"/>
      <c r="VKN2019" s="349"/>
      <c r="VKO2019" s="349"/>
      <c r="VKP2019" s="349"/>
      <c r="VKQ2019" s="349"/>
      <c r="VKR2019" s="349"/>
      <c r="VKS2019" s="349"/>
      <c r="VKT2019" s="349"/>
      <c r="VKU2019" s="349"/>
      <c r="VKV2019" s="349"/>
      <c r="VKW2019" s="349"/>
      <c r="VKX2019" s="349"/>
      <c r="VKY2019" s="349"/>
      <c r="VKZ2019" s="349"/>
      <c r="VLA2019" s="349"/>
      <c r="VLB2019" s="349"/>
      <c r="VLC2019" s="349"/>
      <c r="VLD2019" s="349"/>
      <c r="VLE2019" s="349"/>
      <c r="VLF2019" s="349"/>
      <c r="VLG2019" s="349"/>
      <c r="VLH2019" s="349"/>
      <c r="VLI2019" s="349"/>
      <c r="VLJ2019" s="349"/>
      <c r="VLK2019" s="349"/>
      <c r="VLL2019" s="349"/>
      <c r="VLM2019" s="349"/>
      <c r="VLN2019" s="349"/>
      <c r="VLO2019" s="349"/>
      <c r="VLP2019" s="349"/>
      <c r="VLQ2019" s="349"/>
      <c r="VLR2019" s="349"/>
      <c r="VLS2019" s="349"/>
      <c r="VLT2019" s="349"/>
      <c r="VLU2019" s="349"/>
      <c r="VLV2019" s="349"/>
      <c r="VLW2019" s="349"/>
      <c r="VLX2019" s="349"/>
      <c r="VLY2019" s="349"/>
      <c r="VLZ2019" s="349"/>
      <c r="VMA2019" s="349"/>
      <c r="VMB2019" s="349"/>
      <c r="VMC2019" s="349"/>
      <c r="VMD2019" s="349"/>
      <c r="VME2019" s="349"/>
      <c r="VMF2019" s="349"/>
      <c r="VMG2019" s="349"/>
      <c r="VMH2019" s="349"/>
      <c r="VMI2019" s="349"/>
      <c r="VMJ2019" s="349"/>
      <c r="VMK2019" s="349"/>
      <c r="VML2019" s="349"/>
      <c r="VMM2019" s="349"/>
      <c r="VMN2019" s="349"/>
      <c r="VMO2019" s="349"/>
      <c r="VMP2019" s="349"/>
      <c r="VMQ2019" s="349"/>
      <c r="VMR2019" s="349"/>
      <c r="VMS2019" s="349"/>
      <c r="VMT2019" s="349"/>
      <c r="VMU2019" s="349"/>
      <c r="VMV2019" s="349"/>
      <c r="VMW2019" s="349"/>
      <c r="VMX2019" s="349"/>
      <c r="VMY2019" s="349"/>
      <c r="VMZ2019" s="349"/>
      <c r="VNA2019" s="349"/>
      <c r="VNB2019" s="349"/>
      <c r="VNC2019" s="349"/>
      <c r="VND2019" s="349"/>
      <c r="VNE2019" s="349"/>
      <c r="VNF2019" s="349"/>
      <c r="VNG2019" s="349"/>
      <c r="VNH2019" s="349"/>
      <c r="VNI2019" s="349"/>
      <c r="VNJ2019" s="349"/>
      <c r="VNK2019" s="349"/>
      <c r="VNL2019" s="349"/>
      <c r="VNM2019" s="349"/>
      <c r="VNN2019" s="349"/>
      <c r="VNO2019" s="349"/>
      <c r="VNP2019" s="349"/>
      <c r="VNQ2019" s="349"/>
      <c r="VNR2019" s="349"/>
      <c r="VNS2019" s="349"/>
      <c r="VNT2019" s="349"/>
      <c r="VNU2019" s="349"/>
      <c r="VNV2019" s="349"/>
      <c r="VNW2019" s="349"/>
      <c r="VNX2019" s="349"/>
      <c r="VNY2019" s="349"/>
      <c r="VNZ2019" s="349"/>
      <c r="VOA2019" s="349"/>
      <c r="VOB2019" s="349"/>
      <c r="VOC2019" s="349"/>
      <c r="VOD2019" s="349"/>
      <c r="VOE2019" s="349"/>
      <c r="VOF2019" s="349"/>
      <c r="VOG2019" s="349"/>
      <c r="VOH2019" s="349"/>
      <c r="VOI2019" s="349"/>
      <c r="VOJ2019" s="349"/>
      <c r="VOK2019" s="349"/>
      <c r="VOL2019" s="349"/>
      <c r="VOM2019" s="349"/>
      <c r="VON2019" s="349"/>
      <c r="VOO2019" s="349"/>
      <c r="VOP2019" s="349"/>
      <c r="VOQ2019" s="349"/>
      <c r="VOR2019" s="349"/>
      <c r="VOS2019" s="349"/>
      <c r="VOT2019" s="349"/>
      <c r="VOU2019" s="349"/>
      <c r="VOV2019" s="349"/>
      <c r="VOW2019" s="349"/>
      <c r="VOX2019" s="349"/>
      <c r="VOY2019" s="349"/>
      <c r="VOZ2019" s="349"/>
      <c r="VPA2019" s="349"/>
      <c r="VPB2019" s="349"/>
      <c r="VPC2019" s="349"/>
      <c r="VPD2019" s="349"/>
      <c r="VPE2019" s="349"/>
      <c r="VPF2019" s="349"/>
      <c r="VPG2019" s="349"/>
      <c r="VPH2019" s="349"/>
      <c r="VPI2019" s="349"/>
      <c r="VPJ2019" s="349"/>
      <c r="VPK2019" s="349"/>
      <c r="VPL2019" s="349"/>
      <c r="VPM2019" s="349"/>
      <c r="VPN2019" s="349"/>
      <c r="VPO2019" s="349"/>
      <c r="VPP2019" s="349"/>
      <c r="VPQ2019" s="349"/>
      <c r="VPR2019" s="349"/>
      <c r="VPS2019" s="349"/>
      <c r="VPT2019" s="349"/>
      <c r="VPU2019" s="349"/>
      <c r="VPV2019" s="349"/>
      <c r="VPW2019" s="349"/>
      <c r="VPX2019" s="349"/>
      <c r="VPY2019" s="349"/>
      <c r="VPZ2019" s="349"/>
      <c r="VQA2019" s="349"/>
      <c r="VQB2019" s="349"/>
      <c r="VQC2019" s="349"/>
      <c r="VQD2019" s="349"/>
      <c r="VQE2019" s="349"/>
      <c r="VQF2019" s="349"/>
      <c r="VQG2019" s="349"/>
      <c r="VQH2019" s="349"/>
      <c r="VQI2019" s="349"/>
      <c r="VQJ2019" s="349"/>
      <c r="VQK2019" s="349"/>
      <c r="VQL2019" s="349"/>
      <c r="VQM2019" s="349"/>
      <c r="VQN2019" s="349"/>
      <c r="VQO2019" s="349"/>
      <c r="VQP2019" s="349"/>
      <c r="VQQ2019" s="349"/>
      <c r="VQR2019" s="349"/>
      <c r="VQS2019" s="349"/>
      <c r="VQT2019" s="349"/>
      <c r="VQU2019" s="349"/>
      <c r="VQV2019" s="349"/>
      <c r="VQW2019" s="349"/>
      <c r="VQX2019" s="349"/>
      <c r="VQY2019" s="349"/>
      <c r="VQZ2019" s="349"/>
      <c r="VRA2019" s="349"/>
      <c r="VRB2019" s="349"/>
      <c r="VRC2019" s="349"/>
      <c r="VRD2019" s="349"/>
      <c r="VRE2019" s="349"/>
      <c r="VRF2019" s="349"/>
      <c r="VRG2019" s="349"/>
      <c r="VRH2019" s="349"/>
      <c r="VRI2019" s="349"/>
      <c r="VRJ2019" s="349"/>
      <c r="VRK2019" s="349"/>
      <c r="VRL2019" s="349"/>
      <c r="VRM2019" s="349"/>
      <c r="VRN2019" s="349"/>
      <c r="VRO2019" s="349"/>
      <c r="VRP2019" s="349"/>
      <c r="VRQ2019" s="349"/>
      <c r="VRR2019" s="349"/>
      <c r="VRS2019" s="349"/>
      <c r="VRT2019" s="349"/>
      <c r="VRU2019" s="349"/>
      <c r="VRV2019" s="349"/>
      <c r="VRW2019" s="349"/>
      <c r="VRX2019" s="349"/>
      <c r="VRY2019" s="349"/>
      <c r="VRZ2019" s="349"/>
      <c r="VSA2019" s="349"/>
      <c r="VSB2019" s="349"/>
      <c r="VSC2019" s="349"/>
      <c r="VSD2019" s="349"/>
      <c r="VSE2019" s="349"/>
      <c r="VSF2019" s="349"/>
      <c r="VSG2019" s="349"/>
      <c r="VSH2019" s="349"/>
      <c r="VSI2019" s="349"/>
      <c r="VSJ2019" s="349"/>
      <c r="VSK2019" s="349"/>
      <c r="VSL2019" s="349"/>
      <c r="VSM2019" s="349"/>
      <c r="VSN2019" s="349"/>
      <c r="VSO2019" s="349"/>
      <c r="VSP2019" s="349"/>
      <c r="VSQ2019" s="349"/>
      <c r="VSR2019" s="349"/>
      <c r="VSS2019" s="349"/>
      <c r="VST2019" s="349"/>
      <c r="VSU2019" s="349"/>
      <c r="VSV2019" s="349"/>
      <c r="VSW2019" s="349"/>
      <c r="VSX2019" s="349"/>
      <c r="VSY2019" s="349"/>
      <c r="VSZ2019" s="349"/>
      <c r="VTA2019" s="349"/>
      <c r="VTB2019" s="349"/>
      <c r="VTC2019" s="349"/>
      <c r="VTD2019" s="349"/>
      <c r="VTE2019" s="349"/>
      <c r="VTF2019" s="349"/>
      <c r="VTG2019" s="349"/>
      <c r="VTH2019" s="349"/>
      <c r="VTI2019" s="349"/>
      <c r="VTJ2019" s="349"/>
      <c r="VTK2019" s="349"/>
      <c r="VTL2019" s="349"/>
      <c r="VTM2019" s="349"/>
      <c r="VTN2019" s="349"/>
      <c r="VTO2019" s="349"/>
      <c r="VTP2019" s="349"/>
      <c r="VTQ2019" s="349"/>
      <c r="VTR2019" s="349"/>
      <c r="VTS2019" s="349"/>
      <c r="VTT2019" s="349"/>
      <c r="VTU2019" s="349"/>
      <c r="VTV2019" s="349"/>
      <c r="VTW2019" s="349"/>
      <c r="VTX2019" s="349"/>
      <c r="VTY2019" s="349"/>
      <c r="VTZ2019" s="349"/>
      <c r="VUA2019" s="349"/>
      <c r="VUB2019" s="349"/>
      <c r="VUC2019" s="349"/>
      <c r="VUD2019" s="349"/>
      <c r="VUE2019" s="349"/>
      <c r="VUF2019" s="349"/>
      <c r="VUG2019" s="349"/>
      <c r="VUH2019" s="349"/>
      <c r="VUI2019" s="349"/>
      <c r="VUJ2019" s="349"/>
      <c r="VUK2019" s="349"/>
      <c r="VUL2019" s="349"/>
      <c r="VUM2019" s="349"/>
      <c r="VUN2019" s="349"/>
      <c r="VUO2019" s="349"/>
      <c r="VUP2019" s="349"/>
      <c r="VUQ2019" s="349"/>
      <c r="VUR2019" s="349"/>
      <c r="VUS2019" s="349"/>
      <c r="VUT2019" s="349"/>
      <c r="VUU2019" s="349"/>
      <c r="VUV2019" s="349"/>
      <c r="VUW2019" s="349"/>
      <c r="VUX2019" s="349"/>
      <c r="VUY2019" s="349"/>
      <c r="VUZ2019" s="349"/>
      <c r="VVA2019" s="349"/>
      <c r="VVB2019" s="349"/>
      <c r="VVC2019" s="349"/>
      <c r="VVD2019" s="349"/>
      <c r="VVE2019" s="349"/>
      <c r="VVF2019" s="349"/>
      <c r="VVG2019" s="349"/>
      <c r="VVH2019" s="349"/>
      <c r="VVI2019" s="349"/>
      <c r="VVJ2019" s="349"/>
      <c r="VVK2019" s="349"/>
      <c r="VVL2019" s="349"/>
      <c r="VVM2019" s="349"/>
      <c r="VVN2019" s="349"/>
      <c r="VVO2019" s="349"/>
      <c r="VVP2019" s="349"/>
      <c r="VVQ2019" s="349"/>
      <c r="VVR2019" s="349"/>
      <c r="VVS2019" s="349"/>
      <c r="VVT2019" s="349"/>
      <c r="VVU2019" s="349"/>
      <c r="VVV2019" s="349"/>
      <c r="VVW2019" s="349"/>
      <c r="VVX2019" s="349"/>
      <c r="VVY2019" s="349"/>
      <c r="VVZ2019" s="349"/>
      <c r="VWA2019" s="349"/>
      <c r="VWB2019" s="349"/>
      <c r="VWC2019" s="349"/>
      <c r="VWD2019" s="349"/>
      <c r="VWE2019" s="349"/>
      <c r="VWF2019" s="349"/>
      <c r="VWG2019" s="349"/>
      <c r="VWH2019" s="349"/>
      <c r="VWI2019" s="349"/>
      <c r="VWJ2019" s="349"/>
      <c r="VWK2019" s="349"/>
      <c r="VWL2019" s="349"/>
      <c r="VWM2019" s="349"/>
      <c r="VWN2019" s="349"/>
      <c r="VWO2019" s="349"/>
      <c r="VWP2019" s="349"/>
      <c r="VWQ2019" s="349"/>
      <c r="VWR2019" s="349"/>
      <c r="VWS2019" s="349"/>
      <c r="VWT2019" s="349"/>
      <c r="VWU2019" s="349"/>
      <c r="VWV2019" s="349"/>
      <c r="VWW2019" s="349"/>
      <c r="VWX2019" s="349"/>
      <c r="VWY2019" s="349"/>
      <c r="VWZ2019" s="349"/>
      <c r="VXA2019" s="349"/>
      <c r="VXB2019" s="349"/>
      <c r="VXC2019" s="349"/>
      <c r="VXD2019" s="349"/>
      <c r="VXE2019" s="349"/>
      <c r="VXF2019" s="349"/>
      <c r="VXG2019" s="349"/>
      <c r="VXH2019" s="349"/>
      <c r="VXI2019" s="349"/>
      <c r="VXJ2019" s="349"/>
      <c r="VXK2019" s="349"/>
      <c r="VXL2019" s="349"/>
      <c r="VXM2019" s="349"/>
      <c r="VXN2019" s="349"/>
      <c r="VXO2019" s="349"/>
      <c r="VXP2019" s="349"/>
      <c r="VXQ2019" s="349"/>
      <c r="VXR2019" s="349"/>
      <c r="VXS2019" s="349"/>
      <c r="VXT2019" s="349"/>
      <c r="VXU2019" s="349"/>
      <c r="VXV2019" s="349"/>
      <c r="VXW2019" s="349"/>
      <c r="VXX2019" s="349"/>
      <c r="VXY2019" s="349"/>
      <c r="VXZ2019" s="349"/>
      <c r="VYA2019" s="349"/>
      <c r="VYB2019" s="349"/>
      <c r="VYC2019" s="349"/>
      <c r="VYD2019" s="349"/>
      <c r="VYE2019" s="349"/>
      <c r="VYF2019" s="349"/>
      <c r="VYG2019" s="349"/>
      <c r="VYH2019" s="349"/>
      <c r="VYI2019" s="349"/>
      <c r="VYJ2019" s="349"/>
      <c r="VYK2019" s="349"/>
      <c r="VYL2019" s="349"/>
      <c r="VYM2019" s="349"/>
      <c r="VYN2019" s="349"/>
      <c r="VYO2019" s="349"/>
      <c r="VYP2019" s="349"/>
      <c r="VYQ2019" s="349"/>
      <c r="VYR2019" s="349"/>
      <c r="VYS2019" s="349"/>
      <c r="VYT2019" s="349"/>
      <c r="VYU2019" s="349"/>
      <c r="VYV2019" s="349"/>
      <c r="VYW2019" s="349"/>
      <c r="VYX2019" s="349"/>
      <c r="VYY2019" s="349"/>
      <c r="VYZ2019" s="349"/>
      <c r="VZA2019" s="349"/>
      <c r="VZB2019" s="349"/>
      <c r="VZC2019" s="349"/>
      <c r="VZD2019" s="349"/>
      <c r="VZE2019" s="349"/>
      <c r="VZF2019" s="349"/>
      <c r="VZG2019" s="349"/>
      <c r="VZH2019" s="349"/>
      <c r="VZI2019" s="349"/>
      <c r="VZJ2019" s="349"/>
      <c r="VZK2019" s="349"/>
      <c r="VZL2019" s="349"/>
      <c r="VZM2019" s="349"/>
      <c r="VZN2019" s="349"/>
      <c r="VZO2019" s="349"/>
      <c r="VZP2019" s="349"/>
      <c r="VZQ2019" s="349"/>
      <c r="VZR2019" s="349"/>
      <c r="VZS2019" s="349"/>
      <c r="VZT2019" s="349"/>
      <c r="VZU2019" s="349"/>
      <c r="VZV2019" s="349"/>
      <c r="VZW2019" s="349"/>
      <c r="VZX2019" s="349"/>
      <c r="VZY2019" s="349"/>
      <c r="VZZ2019" s="349"/>
      <c r="WAA2019" s="349"/>
      <c r="WAB2019" s="349"/>
      <c r="WAC2019" s="349"/>
      <c r="WAD2019" s="349"/>
      <c r="WAE2019" s="349"/>
      <c r="WAF2019" s="349"/>
      <c r="WAG2019" s="349"/>
      <c r="WAH2019" s="349"/>
      <c r="WAI2019" s="349"/>
      <c r="WAJ2019" s="349"/>
      <c r="WAK2019" s="349"/>
      <c r="WAL2019" s="349"/>
      <c r="WAM2019" s="349"/>
      <c r="WAN2019" s="349"/>
      <c r="WAO2019" s="349"/>
      <c r="WAP2019" s="349"/>
      <c r="WAQ2019" s="349"/>
      <c r="WAR2019" s="349"/>
      <c r="WAS2019" s="349"/>
      <c r="WAT2019" s="349"/>
      <c r="WAU2019" s="349"/>
      <c r="WAV2019" s="349"/>
      <c r="WAW2019" s="349"/>
      <c r="WAX2019" s="349"/>
      <c r="WAY2019" s="349"/>
      <c r="WAZ2019" s="349"/>
      <c r="WBA2019" s="349"/>
      <c r="WBB2019" s="349"/>
      <c r="WBC2019" s="349"/>
      <c r="WBD2019" s="349"/>
      <c r="WBE2019" s="349"/>
      <c r="WBF2019" s="349"/>
      <c r="WBG2019" s="349"/>
      <c r="WBH2019" s="349"/>
      <c r="WBI2019" s="349"/>
      <c r="WBJ2019" s="349"/>
      <c r="WBK2019" s="349"/>
      <c r="WBL2019" s="349"/>
      <c r="WBM2019" s="349"/>
      <c r="WBN2019" s="349"/>
      <c r="WBO2019" s="349"/>
      <c r="WBP2019" s="349"/>
      <c r="WBQ2019" s="349"/>
      <c r="WBR2019" s="349"/>
      <c r="WBS2019" s="349"/>
      <c r="WBT2019" s="349"/>
      <c r="WBU2019" s="349"/>
      <c r="WBV2019" s="349"/>
      <c r="WBW2019" s="349"/>
      <c r="WBX2019" s="349"/>
      <c r="WBY2019" s="349"/>
      <c r="WBZ2019" s="349"/>
      <c r="WCA2019" s="349"/>
      <c r="WCB2019" s="349"/>
      <c r="WCC2019" s="349"/>
      <c r="WCD2019" s="349"/>
      <c r="WCE2019" s="349"/>
      <c r="WCF2019" s="349"/>
      <c r="WCG2019" s="349"/>
      <c r="WCH2019" s="349"/>
      <c r="WCI2019" s="349"/>
      <c r="WCJ2019" s="349"/>
      <c r="WCK2019" s="349"/>
      <c r="WCL2019" s="349"/>
      <c r="WCM2019" s="349"/>
      <c r="WCN2019" s="349"/>
      <c r="WCO2019" s="349"/>
      <c r="WCP2019" s="349"/>
      <c r="WCQ2019" s="349"/>
      <c r="WCR2019" s="349"/>
      <c r="WCS2019" s="349"/>
      <c r="WCT2019" s="349"/>
      <c r="WCU2019" s="349"/>
      <c r="WCV2019" s="349"/>
      <c r="WCW2019" s="349"/>
      <c r="WCX2019" s="349"/>
      <c r="WCY2019" s="349"/>
      <c r="WCZ2019" s="349"/>
      <c r="WDA2019" s="349"/>
      <c r="WDB2019" s="349"/>
      <c r="WDC2019" s="349"/>
      <c r="WDD2019" s="349"/>
      <c r="WDE2019" s="349"/>
      <c r="WDF2019" s="349"/>
      <c r="WDG2019" s="349"/>
      <c r="WDH2019" s="349"/>
      <c r="WDI2019" s="349"/>
      <c r="WDJ2019" s="349"/>
      <c r="WDK2019" s="349"/>
      <c r="WDL2019" s="349"/>
      <c r="WDM2019" s="349"/>
      <c r="WDN2019" s="349"/>
      <c r="WDO2019" s="349"/>
      <c r="WDP2019" s="349"/>
      <c r="WDQ2019" s="349"/>
      <c r="WDR2019" s="349"/>
      <c r="WDS2019" s="349"/>
      <c r="WDT2019" s="349"/>
      <c r="WDU2019" s="349"/>
      <c r="WDV2019" s="349"/>
      <c r="WDW2019" s="349"/>
      <c r="WDX2019" s="349"/>
      <c r="WDY2019" s="349"/>
      <c r="WDZ2019" s="349"/>
      <c r="WEA2019" s="349"/>
      <c r="WEB2019" s="349"/>
      <c r="WEC2019" s="349"/>
      <c r="WED2019" s="349"/>
      <c r="WEE2019" s="349"/>
      <c r="WEF2019" s="349"/>
      <c r="WEG2019" s="349"/>
      <c r="WEH2019" s="349"/>
      <c r="WEI2019" s="349"/>
      <c r="WEJ2019" s="349"/>
      <c r="WEK2019" s="349"/>
      <c r="WEL2019" s="349"/>
      <c r="WEM2019" s="349"/>
      <c r="WEN2019" s="349"/>
      <c r="WEO2019" s="349"/>
      <c r="WEP2019" s="349"/>
      <c r="WEQ2019" s="349"/>
      <c r="WER2019" s="349"/>
      <c r="WES2019" s="349"/>
      <c r="WET2019" s="349"/>
      <c r="WEU2019" s="349"/>
      <c r="WEV2019" s="349"/>
      <c r="WEW2019" s="349"/>
      <c r="WEX2019" s="349"/>
      <c r="WEY2019" s="349"/>
      <c r="WEZ2019" s="349"/>
      <c r="WFA2019" s="349"/>
      <c r="WFB2019" s="349"/>
      <c r="WFC2019" s="349"/>
      <c r="WFD2019" s="349"/>
      <c r="WFE2019" s="349"/>
      <c r="WFF2019" s="349"/>
      <c r="WFG2019" s="349"/>
      <c r="WFH2019" s="349"/>
      <c r="WFI2019" s="349"/>
      <c r="WFJ2019" s="349"/>
      <c r="WFK2019" s="349"/>
      <c r="WFL2019" s="349"/>
      <c r="WFM2019" s="349"/>
      <c r="WFN2019" s="349"/>
      <c r="WFO2019" s="349"/>
      <c r="WFP2019" s="349"/>
      <c r="WFQ2019" s="349"/>
      <c r="WFR2019" s="349"/>
      <c r="WFS2019" s="349"/>
      <c r="WFT2019" s="349"/>
      <c r="WFU2019" s="349"/>
      <c r="WFV2019" s="349"/>
      <c r="WFW2019" s="349"/>
      <c r="WFX2019" s="349"/>
      <c r="WFY2019" s="349"/>
      <c r="WFZ2019" s="349"/>
      <c r="WGA2019" s="349"/>
      <c r="WGB2019" s="349"/>
      <c r="WGC2019" s="349"/>
      <c r="WGD2019" s="349"/>
      <c r="WGE2019" s="349"/>
      <c r="WGF2019" s="349"/>
      <c r="WGG2019" s="349"/>
      <c r="WGH2019" s="349"/>
      <c r="WGI2019" s="349"/>
      <c r="WGJ2019" s="349"/>
      <c r="WGK2019" s="349"/>
      <c r="WGL2019" s="349"/>
      <c r="WGM2019" s="349"/>
      <c r="WGN2019" s="349"/>
      <c r="WGO2019" s="349"/>
      <c r="WGP2019" s="349"/>
      <c r="WGQ2019" s="349"/>
      <c r="WGR2019" s="349"/>
      <c r="WGS2019" s="349"/>
      <c r="WGT2019" s="349"/>
      <c r="WGU2019" s="349"/>
      <c r="WGV2019" s="349"/>
      <c r="WGW2019" s="349"/>
      <c r="WGX2019" s="349"/>
      <c r="WGY2019" s="349"/>
      <c r="WGZ2019" s="349"/>
      <c r="WHA2019" s="349"/>
      <c r="WHB2019" s="349"/>
      <c r="WHC2019" s="349"/>
      <c r="WHD2019" s="349"/>
      <c r="WHE2019" s="349"/>
      <c r="WHF2019" s="349"/>
      <c r="WHG2019" s="349"/>
      <c r="WHH2019" s="349"/>
      <c r="WHI2019" s="349"/>
      <c r="WHJ2019" s="349"/>
      <c r="WHK2019" s="349"/>
      <c r="WHL2019" s="349"/>
      <c r="WHM2019" s="349"/>
      <c r="WHN2019" s="349"/>
      <c r="WHO2019" s="349"/>
      <c r="WHP2019" s="349"/>
      <c r="WHQ2019" s="349"/>
      <c r="WHR2019" s="349"/>
      <c r="WHS2019" s="349"/>
      <c r="WHT2019" s="349"/>
      <c r="WHU2019" s="349"/>
      <c r="WHV2019" s="349"/>
      <c r="WHW2019" s="349"/>
      <c r="WHX2019" s="349"/>
      <c r="WHY2019" s="349"/>
      <c r="WHZ2019" s="349"/>
      <c r="WIA2019" s="349"/>
      <c r="WIB2019" s="349"/>
      <c r="WIC2019" s="349"/>
      <c r="WID2019" s="349"/>
      <c r="WIE2019" s="349"/>
      <c r="WIF2019" s="349"/>
      <c r="WIG2019" s="349"/>
      <c r="WIH2019" s="349"/>
      <c r="WII2019" s="349"/>
      <c r="WIJ2019" s="349"/>
      <c r="WIK2019" s="349"/>
      <c r="WIL2019" s="349"/>
      <c r="WIM2019" s="349"/>
      <c r="WIN2019" s="349"/>
      <c r="WIO2019" s="349"/>
      <c r="WIP2019" s="349"/>
      <c r="WIQ2019" s="349"/>
      <c r="WIR2019" s="349"/>
      <c r="WIS2019" s="349"/>
      <c r="WIT2019" s="349"/>
      <c r="WIU2019" s="349"/>
      <c r="WIV2019" s="349"/>
      <c r="WIW2019" s="349"/>
      <c r="WIX2019" s="349"/>
      <c r="WIY2019" s="349"/>
      <c r="WIZ2019" s="349"/>
      <c r="WJA2019" s="349"/>
      <c r="WJB2019" s="349"/>
      <c r="WJC2019" s="349"/>
      <c r="WJD2019" s="349"/>
      <c r="WJE2019" s="349"/>
      <c r="WJF2019" s="349"/>
      <c r="WJG2019" s="349"/>
      <c r="WJH2019" s="349"/>
      <c r="WJI2019" s="349"/>
      <c r="WJJ2019" s="349"/>
      <c r="WJK2019" s="349"/>
      <c r="WJL2019" s="349"/>
      <c r="WJM2019" s="349"/>
      <c r="WJN2019" s="349"/>
      <c r="WJO2019" s="349"/>
      <c r="WJP2019" s="349"/>
      <c r="WJQ2019" s="349"/>
      <c r="WJR2019" s="349"/>
      <c r="WJS2019" s="349"/>
      <c r="WJT2019" s="349"/>
      <c r="WJU2019" s="349"/>
      <c r="WJV2019" s="349"/>
      <c r="WJW2019" s="349"/>
      <c r="WJX2019" s="349"/>
      <c r="WJY2019" s="349"/>
      <c r="WJZ2019" s="349"/>
      <c r="WKA2019" s="349"/>
      <c r="WKB2019" s="349"/>
      <c r="WKC2019" s="349"/>
      <c r="WKD2019" s="349"/>
      <c r="WKE2019" s="349"/>
      <c r="WKF2019" s="349"/>
      <c r="WKG2019" s="349"/>
      <c r="WKH2019" s="349"/>
      <c r="WKI2019" s="349"/>
      <c r="WKJ2019" s="349"/>
      <c r="WKK2019" s="349"/>
      <c r="WKL2019" s="349"/>
      <c r="WKM2019" s="349"/>
      <c r="WKN2019" s="349"/>
      <c r="WKO2019" s="349"/>
      <c r="WKP2019" s="349"/>
      <c r="WKQ2019" s="349"/>
      <c r="WKR2019" s="349"/>
      <c r="WKS2019" s="349"/>
      <c r="WKT2019" s="349"/>
      <c r="WKU2019" s="349"/>
      <c r="WKV2019" s="349"/>
      <c r="WKW2019" s="349"/>
      <c r="WKX2019" s="349"/>
      <c r="WKY2019" s="349"/>
      <c r="WKZ2019" s="349"/>
      <c r="WLA2019" s="349"/>
      <c r="WLB2019" s="349"/>
      <c r="WLC2019" s="349"/>
      <c r="WLD2019" s="349"/>
      <c r="WLE2019" s="349"/>
      <c r="WLF2019" s="349"/>
      <c r="WLG2019" s="349"/>
      <c r="WLH2019" s="349"/>
      <c r="WLI2019" s="349"/>
      <c r="WLJ2019" s="349"/>
      <c r="WLK2019" s="349"/>
      <c r="WLL2019" s="349"/>
      <c r="WLM2019" s="349"/>
      <c r="WLN2019" s="349"/>
      <c r="WLO2019" s="349"/>
      <c r="WLP2019" s="349"/>
      <c r="WLQ2019" s="349"/>
      <c r="WLR2019" s="349"/>
      <c r="WLS2019" s="349"/>
      <c r="WLT2019" s="349"/>
      <c r="WLU2019" s="349"/>
      <c r="WLV2019" s="349"/>
      <c r="WLW2019" s="349"/>
      <c r="WLX2019" s="349"/>
      <c r="WLY2019" s="349"/>
      <c r="WLZ2019" s="349"/>
      <c r="WMA2019" s="349"/>
      <c r="WMB2019" s="349"/>
      <c r="WMC2019" s="349"/>
      <c r="WMD2019" s="349"/>
      <c r="WME2019" s="349"/>
      <c r="WMF2019" s="349"/>
      <c r="WMG2019" s="349"/>
      <c r="WMH2019" s="349"/>
      <c r="WMI2019" s="349"/>
      <c r="WMJ2019" s="349"/>
      <c r="WMK2019" s="349"/>
      <c r="WML2019" s="349"/>
      <c r="WMM2019" s="349"/>
      <c r="WMN2019" s="349"/>
      <c r="WMO2019" s="349"/>
      <c r="WMP2019" s="349"/>
      <c r="WMQ2019" s="349"/>
      <c r="WMR2019" s="349"/>
      <c r="WMS2019" s="349"/>
      <c r="WMT2019" s="349"/>
      <c r="WMU2019" s="349"/>
      <c r="WMV2019" s="349"/>
      <c r="WMW2019" s="349"/>
      <c r="WMX2019" s="349"/>
      <c r="WMY2019" s="349"/>
      <c r="WMZ2019" s="349"/>
      <c r="WNA2019" s="349"/>
      <c r="WNB2019" s="349"/>
      <c r="WNC2019" s="349"/>
      <c r="WND2019" s="349"/>
      <c r="WNE2019" s="349"/>
      <c r="WNF2019" s="349"/>
      <c r="WNG2019" s="349"/>
      <c r="WNH2019" s="349"/>
      <c r="WNI2019" s="349"/>
      <c r="WNJ2019" s="349"/>
      <c r="WNK2019" s="349"/>
      <c r="WNL2019" s="349"/>
      <c r="WNM2019" s="349"/>
      <c r="WNN2019" s="349"/>
      <c r="WNO2019" s="349"/>
      <c r="WNP2019" s="349"/>
      <c r="WNQ2019" s="349"/>
      <c r="WNR2019" s="349"/>
      <c r="WNS2019" s="349"/>
      <c r="WNT2019" s="349"/>
      <c r="WNU2019" s="349"/>
      <c r="WNV2019" s="349"/>
      <c r="WNW2019" s="349"/>
      <c r="WNX2019" s="349"/>
      <c r="WNY2019" s="349"/>
      <c r="WNZ2019" s="349"/>
      <c r="WOA2019" s="349"/>
      <c r="WOB2019" s="349"/>
      <c r="WOC2019" s="349"/>
      <c r="WOD2019" s="349"/>
      <c r="WOE2019" s="349"/>
      <c r="WOF2019" s="349"/>
      <c r="WOG2019" s="349"/>
      <c r="WOH2019" s="349"/>
      <c r="WOI2019" s="349"/>
      <c r="WOJ2019" s="349"/>
      <c r="WOK2019" s="349"/>
      <c r="WOL2019" s="349"/>
      <c r="WOM2019" s="349"/>
      <c r="WON2019" s="349"/>
      <c r="WOO2019" s="349"/>
      <c r="WOP2019" s="349"/>
      <c r="WOQ2019" s="349"/>
      <c r="WOR2019" s="349"/>
      <c r="WOS2019" s="349"/>
      <c r="WOT2019" s="349"/>
      <c r="WOU2019" s="349"/>
      <c r="WOV2019" s="349"/>
      <c r="WOW2019" s="349"/>
      <c r="WOX2019" s="349"/>
      <c r="WOY2019" s="349"/>
      <c r="WOZ2019" s="349"/>
      <c r="WPA2019" s="349"/>
      <c r="WPB2019" s="349"/>
      <c r="WPC2019" s="349"/>
      <c r="WPD2019" s="349"/>
      <c r="WPE2019" s="349"/>
      <c r="WPF2019" s="349"/>
      <c r="WPG2019" s="349"/>
      <c r="WPH2019" s="349"/>
      <c r="WPI2019" s="349"/>
      <c r="WPJ2019" s="349"/>
      <c r="WPK2019" s="349"/>
      <c r="WPL2019" s="349"/>
      <c r="WPM2019" s="349"/>
      <c r="WPN2019" s="349"/>
      <c r="WPO2019" s="349"/>
      <c r="WPP2019" s="349"/>
      <c r="WPQ2019" s="349"/>
      <c r="WPR2019" s="349"/>
      <c r="WPS2019" s="349"/>
      <c r="WPT2019" s="349"/>
      <c r="WPU2019" s="349"/>
      <c r="WPV2019" s="349"/>
      <c r="WPW2019" s="349"/>
      <c r="WPX2019" s="349"/>
      <c r="WPY2019" s="349"/>
      <c r="WPZ2019" s="349"/>
      <c r="WQA2019" s="349"/>
      <c r="WQB2019" s="349"/>
      <c r="WQC2019" s="349"/>
      <c r="WQD2019" s="349"/>
      <c r="WQE2019" s="349"/>
      <c r="WQF2019" s="349"/>
      <c r="WQG2019" s="349"/>
      <c r="WQH2019" s="349"/>
      <c r="WQI2019" s="349"/>
      <c r="WQJ2019" s="349"/>
      <c r="WQK2019" s="349"/>
      <c r="WQL2019" s="349"/>
      <c r="WQM2019" s="349"/>
      <c r="WQN2019" s="349"/>
      <c r="WQO2019" s="349"/>
      <c r="WQP2019" s="349"/>
      <c r="WQQ2019" s="349"/>
      <c r="WQR2019" s="349"/>
      <c r="WQS2019" s="349"/>
      <c r="WQT2019" s="349"/>
      <c r="WQU2019" s="349"/>
      <c r="WQV2019" s="349"/>
      <c r="WQW2019" s="349"/>
      <c r="WQX2019" s="349"/>
      <c r="WQY2019" s="349"/>
      <c r="WQZ2019" s="349"/>
      <c r="WRA2019" s="349"/>
      <c r="WRB2019" s="349"/>
      <c r="WRC2019" s="349"/>
      <c r="WRD2019" s="349"/>
      <c r="WRE2019" s="349"/>
      <c r="WRF2019" s="349"/>
      <c r="WRG2019" s="349"/>
      <c r="WRH2019" s="349"/>
      <c r="WRI2019" s="349"/>
      <c r="WRJ2019" s="349"/>
      <c r="WRK2019" s="349"/>
      <c r="WRL2019" s="349"/>
      <c r="WRM2019" s="349"/>
      <c r="WRN2019" s="349"/>
      <c r="WRO2019" s="349"/>
      <c r="WRP2019" s="349"/>
      <c r="WRQ2019" s="349"/>
      <c r="WRR2019" s="349"/>
      <c r="WRS2019" s="349"/>
      <c r="WRT2019" s="349"/>
      <c r="WRU2019" s="349"/>
      <c r="WRV2019" s="349"/>
      <c r="WRW2019" s="349"/>
      <c r="WRX2019" s="349"/>
      <c r="WRY2019" s="349"/>
      <c r="WRZ2019" s="349"/>
      <c r="WSA2019" s="349"/>
      <c r="WSB2019" s="349"/>
      <c r="WSC2019" s="349"/>
      <c r="WSD2019" s="349"/>
      <c r="WSE2019" s="349"/>
      <c r="WSF2019" s="349"/>
      <c r="WSG2019" s="349"/>
      <c r="WSH2019" s="349"/>
      <c r="WSI2019" s="349"/>
      <c r="WSJ2019" s="349"/>
      <c r="WSK2019" s="349"/>
      <c r="WSL2019" s="349"/>
      <c r="WSM2019" s="349"/>
      <c r="WSN2019" s="349"/>
      <c r="WSO2019" s="349"/>
      <c r="WSP2019" s="349"/>
      <c r="WSQ2019" s="349"/>
      <c r="WSR2019" s="349"/>
      <c r="WSS2019" s="349"/>
      <c r="WST2019" s="349"/>
      <c r="WSU2019" s="349"/>
      <c r="WSV2019" s="349"/>
      <c r="WSW2019" s="349"/>
      <c r="WSX2019" s="349"/>
      <c r="WSY2019" s="349"/>
      <c r="WSZ2019" s="349"/>
      <c r="WTA2019" s="349"/>
      <c r="WTB2019" s="349"/>
      <c r="WTC2019" s="349"/>
      <c r="WTD2019" s="349"/>
      <c r="WTE2019" s="349"/>
      <c r="WTF2019" s="349"/>
      <c r="WTG2019" s="349"/>
      <c r="WTH2019" s="349"/>
      <c r="WTI2019" s="349"/>
      <c r="WTJ2019" s="349"/>
      <c r="WTK2019" s="349"/>
      <c r="WTL2019" s="349"/>
      <c r="WTM2019" s="349"/>
      <c r="WTN2019" s="349"/>
      <c r="WTO2019" s="349"/>
      <c r="WTP2019" s="349"/>
      <c r="WTQ2019" s="349"/>
      <c r="WTR2019" s="349"/>
      <c r="WTS2019" s="349"/>
      <c r="WTT2019" s="349"/>
      <c r="WTU2019" s="349"/>
      <c r="WTV2019" s="349"/>
      <c r="WTW2019" s="349"/>
      <c r="WTX2019" s="349"/>
      <c r="WTY2019" s="349"/>
      <c r="WTZ2019" s="349"/>
      <c r="WUA2019" s="349"/>
      <c r="WUB2019" s="349"/>
      <c r="WUC2019" s="349"/>
      <c r="WUD2019" s="349"/>
      <c r="WUE2019" s="349"/>
      <c r="WUF2019" s="349"/>
      <c r="WUG2019" s="349"/>
      <c r="WUH2019" s="349"/>
      <c r="WUI2019" s="349"/>
      <c r="WUJ2019" s="349"/>
      <c r="WUK2019" s="349"/>
      <c r="WUL2019" s="349"/>
      <c r="WUM2019" s="349"/>
      <c r="WUN2019" s="349"/>
      <c r="WUO2019" s="349"/>
      <c r="WUP2019" s="349"/>
      <c r="WUQ2019" s="349"/>
      <c r="WUR2019" s="349"/>
      <c r="WUS2019" s="349"/>
      <c r="WUT2019" s="349"/>
      <c r="WUU2019" s="349"/>
      <c r="WUV2019" s="349"/>
      <c r="WUW2019" s="349"/>
      <c r="WUX2019" s="349"/>
      <c r="WUY2019" s="349"/>
      <c r="WUZ2019" s="349"/>
      <c r="WVA2019" s="349"/>
      <c r="WVB2019" s="349"/>
      <c r="WVC2019" s="349"/>
      <c r="WVD2019" s="349"/>
      <c r="WVE2019" s="349"/>
      <c r="WVF2019" s="349"/>
      <c r="WVG2019" s="349"/>
      <c r="WVH2019" s="349"/>
      <c r="WVI2019" s="349"/>
      <c r="WVJ2019" s="349"/>
      <c r="WVK2019" s="349"/>
      <c r="WVL2019" s="349"/>
      <c r="WVM2019" s="349"/>
      <c r="WVN2019" s="349"/>
      <c r="WVO2019" s="349"/>
      <c r="WVP2019" s="349"/>
      <c r="WVQ2019" s="349"/>
      <c r="WVR2019" s="349"/>
      <c r="WVS2019" s="349"/>
      <c r="WVT2019" s="349"/>
      <c r="WVU2019" s="349"/>
      <c r="WVV2019" s="349"/>
      <c r="WVW2019" s="349"/>
      <c r="WVX2019" s="349"/>
      <c r="WVY2019" s="349"/>
      <c r="WVZ2019" s="349"/>
      <c r="WWA2019" s="349"/>
      <c r="WWB2019" s="349"/>
      <c r="WWC2019" s="349"/>
      <c r="WWD2019" s="349"/>
      <c r="WWE2019" s="349"/>
      <c r="WWF2019" s="349"/>
      <c r="WWG2019" s="349"/>
      <c r="WWH2019" s="349"/>
      <c r="WWI2019" s="349"/>
      <c r="WWJ2019" s="349"/>
      <c r="WWK2019" s="349"/>
      <c r="WWL2019" s="349"/>
      <c r="WWM2019" s="349"/>
      <c r="WWN2019" s="349"/>
      <c r="WWO2019" s="349"/>
      <c r="WWP2019" s="349"/>
      <c r="WWQ2019" s="349"/>
      <c r="WWR2019" s="349"/>
      <c r="WWS2019" s="349"/>
      <c r="WWT2019" s="349"/>
      <c r="WWU2019" s="349"/>
      <c r="WWV2019" s="349"/>
      <c r="WWW2019" s="349"/>
      <c r="WWX2019" s="349"/>
      <c r="WWY2019" s="349"/>
      <c r="WWZ2019" s="349"/>
      <c r="WXA2019" s="349"/>
      <c r="WXB2019" s="349"/>
      <c r="WXC2019" s="349"/>
      <c r="WXD2019" s="349"/>
      <c r="WXE2019" s="349"/>
      <c r="WXF2019" s="349"/>
      <c r="WXG2019" s="349"/>
      <c r="WXH2019" s="349"/>
      <c r="WXI2019" s="349"/>
      <c r="WXJ2019" s="349"/>
      <c r="WXK2019" s="349"/>
      <c r="WXL2019" s="349"/>
      <c r="WXM2019" s="349"/>
      <c r="WXN2019" s="349"/>
      <c r="WXO2019" s="349"/>
      <c r="WXP2019" s="349"/>
      <c r="WXQ2019" s="349"/>
      <c r="WXR2019" s="349"/>
      <c r="WXS2019" s="349"/>
      <c r="WXT2019" s="349"/>
      <c r="WXU2019" s="349"/>
      <c r="WXV2019" s="349"/>
      <c r="WXW2019" s="349"/>
      <c r="WXX2019" s="349"/>
      <c r="WXY2019" s="349"/>
      <c r="WXZ2019" s="349"/>
      <c r="WYA2019" s="349"/>
      <c r="WYB2019" s="349"/>
      <c r="WYC2019" s="349"/>
      <c r="WYD2019" s="349"/>
      <c r="WYE2019" s="349"/>
      <c r="WYF2019" s="349"/>
      <c r="WYG2019" s="349"/>
      <c r="WYH2019" s="349"/>
      <c r="WYI2019" s="349"/>
      <c r="WYJ2019" s="349"/>
      <c r="WYK2019" s="349"/>
      <c r="WYL2019" s="349"/>
      <c r="WYM2019" s="349"/>
      <c r="WYN2019" s="349"/>
      <c r="WYO2019" s="349"/>
      <c r="WYP2019" s="349"/>
      <c r="WYQ2019" s="349"/>
      <c r="WYR2019" s="349"/>
      <c r="WYS2019" s="349"/>
      <c r="WYT2019" s="349"/>
      <c r="WYU2019" s="349"/>
      <c r="WYV2019" s="349"/>
      <c r="WYW2019" s="349"/>
      <c r="WYX2019" s="349"/>
      <c r="WYY2019" s="349"/>
      <c r="WYZ2019" s="349"/>
      <c r="WZA2019" s="349"/>
      <c r="WZB2019" s="349"/>
      <c r="WZC2019" s="349"/>
      <c r="WZD2019" s="349"/>
      <c r="WZE2019" s="349"/>
      <c r="WZF2019" s="349"/>
      <c r="WZG2019" s="349"/>
      <c r="WZH2019" s="349"/>
      <c r="WZI2019" s="349"/>
      <c r="WZJ2019" s="349"/>
      <c r="WZK2019" s="349"/>
      <c r="WZL2019" s="349"/>
      <c r="WZM2019" s="349"/>
      <c r="WZN2019" s="349"/>
      <c r="WZO2019" s="349"/>
      <c r="WZP2019" s="349"/>
      <c r="WZQ2019" s="349"/>
      <c r="WZR2019" s="349"/>
      <c r="WZS2019" s="349"/>
      <c r="WZT2019" s="349"/>
      <c r="WZU2019" s="349"/>
      <c r="WZV2019" s="349"/>
      <c r="WZW2019" s="349"/>
      <c r="WZX2019" s="349"/>
      <c r="WZY2019" s="349"/>
      <c r="WZZ2019" s="349"/>
      <c r="XAA2019" s="349"/>
      <c r="XAB2019" s="349"/>
      <c r="XAC2019" s="349"/>
      <c r="XAD2019" s="349"/>
      <c r="XAE2019" s="349"/>
      <c r="XAF2019" s="349"/>
      <c r="XAG2019" s="349"/>
      <c r="XAH2019" s="349"/>
      <c r="XAI2019" s="349"/>
      <c r="XAJ2019" s="349"/>
      <c r="XAK2019" s="349"/>
      <c r="XAL2019" s="349"/>
      <c r="XAM2019" s="349"/>
      <c r="XAN2019" s="349"/>
      <c r="XAO2019" s="349"/>
      <c r="XAP2019" s="349"/>
      <c r="XAQ2019" s="349"/>
      <c r="XAR2019" s="349"/>
      <c r="XAS2019" s="349"/>
      <c r="XAT2019" s="349"/>
      <c r="XAU2019" s="349"/>
      <c r="XAV2019" s="349"/>
      <c r="XAW2019" s="349"/>
      <c r="XAX2019" s="349"/>
      <c r="XAY2019" s="349"/>
      <c r="XAZ2019" s="349"/>
      <c r="XBA2019" s="349"/>
      <c r="XBB2019" s="349"/>
      <c r="XBC2019" s="349"/>
      <c r="XBD2019" s="349"/>
      <c r="XBE2019" s="349"/>
      <c r="XBF2019" s="349"/>
      <c r="XBG2019" s="349"/>
      <c r="XBH2019" s="349"/>
      <c r="XBI2019" s="349"/>
      <c r="XBJ2019" s="349"/>
      <c r="XBK2019" s="349"/>
      <c r="XBL2019" s="349"/>
      <c r="XBM2019" s="349"/>
      <c r="XBN2019" s="349"/>
      <c r="XBO2019" s="349"/>
      <c r="XBP2019" s="349"/>
      <c r="XBQ2019" s="349"/>
      <c r="XBR2019" s="349"/>
      <c r="XBS2019" s="349"/>
      <c r="XBT2019" s="349"/>
      <c r="XBU2019" s="349"/>
      <c r="XBV2019" s="349"/>
      <c r="XBW2019" s="349"/>
      <c r="XBX2019" s="349"/>
      <c r="XBY2019" s="349"/>
      <c r="XBZ2019" s="349"/>
      <c r="XCA2019" s="349"/>
      <c r="XCB2019" s="349"/>
      <c r="XCC2019" s="349"/>
      <c r="XCD2019" s="349"/>
      <c r="XCE2019" s="349"/>
      <c r="XCF2019" s="349"/>
      <c r="XCG2019" s="349"/>
      <c r="XCH2019" s="349"/>
      <c r="XCI2019" s="349"/>
      <c r="XCJ2019" s="349"/>
      <c r="XCK2019" s="349"/>
      <c r="XCL2019" s="349"/>
      <c r="XCM2019" s="349"/>
      <c r="XCN2019" s="349"/>
      <c r="XCO2019" s="349"/>
      <c r="XCP2019" s="349"/>
      <c r="XCQ2019" s="349"/>
      <c r="XCR2019" s="349"/>
      <c r="XCS2019" s="349"/>
      <c r="XCT2019" s="349"/>
      <c r="XCU2019" s="349"/>
      <c r="XCV2019" s="349"/>
      <c r="XCW2019" s="349"/>
      <c r="XCX2019" s="349"/>
      <c r="XCY2019" s="349"/>
      <c r="XCZ2019" s="349"/>
      <c r="XDA2019" s="349"/>
      <c r="XDB2019" s="349"/>
      <c r="XDC2019" s="349"/>
      <c r="XDD2019" s="349"/>
      <c r="XDE2019" s="349"/>
      <c r="XDF2019" s="349"/>
      <c r="XDG2019" s="349"/>
      <c r="XDH2019" s="349"/>
      <c r="XDI2019" s="349"/>
      <c r="XDJ2019" s="349"/>
      <c r="XDK2019" s="349"/>
      <c r="XDL2019" s="349"/>
      <c r="XDM2019" s="349"/>
      <c r="XDN2019" s="349"/>
      <c r="XDO2019" s="349"/>
      <c r="XDP2019" s="349"/>
      <c r="XDQ2019" s="349"/>
      <c r="XDR2019" s="349"/>
      <c r="XDS2019" s="349"/>
      <c r="XDT2019" s="349"/>
      <c r="XDU2019" s="349"/>
      <c r="XDV2019" s="349"/>
      <c r="XDW2019" s="349"/>
      <c r="XDX2019" s="349"/>
      <c r="XDY2019" s="349"/>
      <c r="XDZ2019" s="349"/>
      <c r="XEA2019" s="349"/>
      <c r="XEB2019" s="349"/>
      <c r="XEC2019" s="349"/>
      <c r="XED2019" s="349"/>
      <c r="XEE2019" s="349"/>
      <c r="XEF2019" s="349"/>
      <c r="XEG2019" s="349"/>
      <c r="XEH2019" s="349"/>
      <c r="XEI2019" s="349"/>
      <c r="XEJ2019" s="349"/>
      <c r="XEK2019" s="349"/>
      <c r="XEL2019" s="349"/>
      <c r="XEM2019" s="349"/>
      <c r="XEN2019" s="349"/>
      <c r="XEO2019" s="349"/>
      <c r="XEP2019" s="349"/>
      <c r="XEQ2019" s="349"/>
      <c r="XER2019" s="349"/>
      <c r="XES2019" s="349"/>
      <c r="XET2019" s="349"/>
      <c r="XEU2019" s="349"/>
      <c r="XEV2019" s="349"/>
      <c r="XEW2019" s="349"/>
      <c r="XEX2019" s="349"/>
      <c r="XEY2019" s="349"/>
      <c r="XEZ2019" s="349"/>
      <c r="XFA2019" s="349"/>
      <c r="XFB2019" s="349"/>
      <c r="XFC2019" s="349"/>
      <c r="XFD2019" s="349"/>
    </row>
  </sheetData>
  <sheetProtection formatCells="0" formatColumns="0" formatRows="0" autoFilter="0" pivotTables="0"/>
  <mergeCells count="8691">
    <mergeCell ref="C15:AI15"/>
    <mergeCell ref="AM15:BS15"/>
    <mergeCell ref="C17:AI17"/>
    <mergeCell ref="AM17:BS17"/>
    <mergeCell ref="C20:AI20"/>
    <mergeCell ref="C21:AI21"/>
    <mergeCell ref="C11:AI11"/>
    <mergeCell ref="AM11:BS11"/>
    <mergeCell ref="C12:AI12"/>
    <mergeCell ref="AM12:BS12"/>
    <mergeCell ref="C13:AI13"/>
    <mergeCell ref="AM13:BS13"/>
    <mergeCell ref="A6:AI6"/>
    <mergeCell ref="AK6:BS6"/>
    <mergeCell ref="A7:AI7"/>
    <mergeCell ref="AK7:BS7"/>
    <mergeCell ref="C10:AI10"/>
    <mergeCell ref="AM10:BS10"/>
    <mergeCell ref="C32:AI32"/>
    <mergeCell ref="AM32:BS32"/>
    <mergeCell ref="C34:AI34"/>
    <mergeCell ref="AM34:BS34"/>
    <mergeCell ref="C35:AI35"/>
    <mergeCell ref="AM35:BS35"/>
    <mergeCell ref="D28:AI28"/>
    <mergeCell ref="AN28:BS28"/>
    <mergeCell ref="C30:AI30"/>
    <mergeCell ref="AM30:BS30"/>
    <mergeCell ref="C31:AI31"/>
    <mergeCell ref="AM31:BS31"/>
    <mergeCell ref="C22:AI22"/>
    <mergeCell ref="C25:AI25"/>
    <mergeCell ref="AM25:BS25"/>
    <mergeCell ref="D26:AI26"/>
    <mergeCell ref="AN26:BS26"/>
    <mergeCell ref="D27:AI27"/>
    <mergeCell ref="AN27:BS27"/>
    <mergeCell ref="C40:N40"/>
    <mergeCell ref="P40:W40"/>
    <mergeCell ref="Y40:AI40"/>
    <mergeCell ref="AM40:AZ40"/>
    <mergeCell ref="BB40:BI40"/>
    <mergeCell ref="BK40:BS40"/>
    <mergeCell ref="C39:N39"/>
    <mergeCell ref="P39:W39"/>
    <mergeCell ref="Y39:AI39"/>
    <mergeCell ref="AM39:AZ39"/>
    <mergeCell ref="BB39:BI39"/>
    <mergeCell ref="BK39:BS39"/>
    <mergeCell ref="C37:AI37"/>
    <mergeCell ref="AM37:BS37"/>
    <mergeCell ref="C38:N38"/>
    <mergeCell ref="P38:W38"/>
    <mergeCell ref="Y38:AI38"/>
    <mergeCell ref="AM38:BA38"/>
    <mergeCell ref="BB38:BH38"/>
    <mergeCell ref="C43:N43"/>
    <mergeCell ref="P43:W43"/>
    <mergeCell ref="Y43:AI43"/>
    <mergeCell ref="AM43:AZ43"/>
    <mergeCell ref="BB43:BI43"/>
    <mergeCell ref="BK43:BS43"/>
    <mergeCell ref="C42:N42"/>
    <mergeCell ref="P42:W42"/>
    <mergeCell ref="Y42:AI42"/>
    <mergeCell ref="AM42:AZ42"/>
    <mergeCell ref="BB42:BI42"/>
    <mergeCell ref="BK42:BS42"/>
    <mergeCell ref="C41:N41"/>
    <mergeCell ref="P41:W41"/>
    <mergeCell ref="Y41:AI41"/>
    <mergeCell ref="AM41:AZ41"/>
    <mergeCell ref="BB41:BI41"/>
    <mergeCell ref="BK41:BS41"/>
    <mergeCell ref="C61:AI61"/>
    <mergeCell ref="AM61:BS61"/>
    <mergeCell ref="C62:AI62"/>
    <mergeCell ref="AM62:BS62"/>
    <mergeCell ref="C66:AI66"/>
    <mergeCell ref="C67:AI67"/>
    <mergeCell ref="AM67:BS67"/>
    <mergeCell ref="C53:AI53"/>
    <mergeCell ref="AM53:BS53"/>
    <mergeCell ref="C58:AI58"/>
    <mergeCell ref="AM58:BS58"/>
    <mergeCell ref="C59:AI59"/>
    <mergeCell ref="AM59:BS59"/>
    <mergeCell ref="C44:AI44"/>
    <mergeCell ref="AM44:BS44"/>
    <mergeCell ref="C46:AI46"/>
    <mergeCell ref="AM46:BS46"/>
    <mergeCell ref="C52:AI52"/>
    <mergeCell ref="AM52:BS52"/>
    <mergeCell ref="C77:AI77"/>
    <mergeCell ref="AM77:BS77"/>
    <mergeCell ref="C78:AI78"/>
    <mergeCell ref="AM78:BS78"/>
    <mergeCell ref="C79:AI79"/>
    <mergeCell ref="AM79:BS79"/>
    <mergeCell ref="C71:AI71"/>
    <mergeCell ref="AM71:BS71"/>
    <mergeCell ref="C75:AI75"/>
    <mergeCell ref="AM75:BS75"/>
    <mergeCell ref="C76:AI76"/>
    <mergeCell ref="AM76:BS76"/>
    <mergeCell ref="C68:AI68"/>
    <mergeCell ref="AM68:BS68"/>
    <mergeCell ref="C69:AI69"/>
    <mergeCell ref="AM69:BS69"/>
    <mergeCell ref="C70:AI70"/>
    <mergeCell ref="AM70:BS70"/>
    <mergeCell ref="D94:AI94"/>
    <mergeCell ref="AN94:BS94"/>
    <mergeCell ref="D95:AI95"/>
    <mergeCell ref="AN95:BS95"/>
    <mergeCell ref="D96:AI96"/>
    <mergeCell ref="AN96:BS96"/>
    <mergeCell ref="C83:AI83"/>
    <mergeCell ref="AM83:BS83"/>
    <mergeCell ref="C88:AI88"/>
    <mergeCell ref="AM88:BS88"/>
    <mergeCell ref="C93:AI93"/>
    <mergeCell ref="AM93:BS93"/>
    <mergeCell ref="C80:AI80"/>
    <mergeCell ref="AM80:BS80"/>
    <mergeCell ref="C81:AI81"/>
    <mergeCell ref="AM81:BS81"/>
    <mergeCell ref="C82:AI82"/>
    <mergeCell ref="AM82:BS82"/>
    <mergeCell ref="D105:AI105"/>
    <mergeCell ref="AN105:BS105"/>
    <mergeCell ref="D106:AI106"/>
    <mergeCell ref="AN106:BS106"/>
    <mergeCell ref="C108:AI108"/>
    <mergeCell ref="AM108:BS108"/>
    <mergeCell ref="C101:AI101"/>
    <mergeCell ref="AN101:BS101"/>
    <mergeCell ref="AM102:BS102"/>
    <mergeCell ref="C103:AI103"/>
    <mergeCell ref="AM103:BS103"/>
    <mergeCell ref="D104:AI104"/>
    <mergeCell ref="AN104:BS104"/>
    <mergeCell ref="D97:AI97"/>
    <mergeCell ref="AN97:BS97"/>
    <mergeCell ref="D98:AI98"/>
    <mergeCell ref="AN98:BS98"/>
    <mergeCell ref="D99:AI99"/>
    <mergeCell ref="AN99:BS99"/>
    <mergeCell ref="C123:AI123"/>
    <mergeCell ref="AM123:BS123"/>
    <mergeCell ref="C124:AI124"/>
    <mergeCell ref="AM124:BS124"/>
    <mergeCell ref="C126:AI126"/>
    <mergeCell ref="AM126:BS126"/>
    <mergeCell ref="C117:AI117"/>
    <mergeCell ref="AM117:BS117"/>
    <mergeCell ref="C121:AI121"/>
    <mergeCell ref="AM121:BS121"/>
    <mergeCell ref="C122:AI122"/>
    <mergeCell ref="AM122:BS122"/>
    <mergeCell ref="C109:AI109"/>
    <mergeCell ref="AM109:BS109"/>
    <mergeCell ref="C110:AI110"/>
    <mergeCell ref="AM110:BS110"/>
    <mergeCell ref="C115:AI115"/>
    <mergeCell ref="AM115:BS115"/>
    <mergeCell ref="D137:AI137"/>
    <mergeCell ref="AN137:BS137"/>
    <mergeCell ref="D138:AI138"/>
    <mergeCell ref="AN138:BS138"/>
    <mergeCell ref="C143:AI143"/>
    <mergeCell ref="AM143:BS143"/>
    <mergeCell ref="C133:AI133"/>
    <mergeCell ref="C134:AI134"/>
    <mergeCell ref="AM134:BS134"/>
    <mergeCell ref="D135:AI135"/>
    <mergeCell ref="AN135:BS135"/>
    <mergeCell ref="D136:AI136"/>
    <mergeCell ref="AN136:BS136"/>
    <mergeCell ref="C128:AI128"/>
    <mergeCell ref="AM128:BS128"/>
    <mergeCell ref="C130:AI130"/>
    <mergeCell ref="AM130:BS130"/>
    <mergeCell ref="C132:AI132"/>
    <mergeCell ref="AM132:BS132"/>
    <mergeCell ref="C156:AI156"/>
    <mergeCell ref="AM156:BS156"/>
    <mergeCell ref="AM157:BS157"/>
    <mergeCell ref="D158:AI158"/>
    <mergeCell ref="AN158:BS158"/>
    <mergeCell ref="D159:AI159"/>
    <mergeCell ref="AN159:BS159"/>
    <mergeCell ref="C152:AI152"/>
    <mergeCell ref="AM152:BS152"/>
    <mergeCell ref="C153:AI153"/>
    <mergeCell ref="AM153:BS153"/>
    <mergeCell ref="C154:AI154"/>
    <mergeCell ref="AM154:BS154"/>
    <mergeCell ref="C145:AI145"/>
    <mergeCell ref="AM145:BS145"/>
    <mergeCell ref="C150:AI150"/>
    <mergeCell ref="AM150:BS150"/>
    <mergeCell ref="C151:AI151"/>
    <mergeCell ref="AM151:BS151"/>
    <mergeCell ref="C168:AI168"/>
    <mergeCell ref="AM168:BS168"/>
    <mergeCell ref="AM169:BS169"/>
    <mergeCell ref="C170:AI170"/>
    <mergeCell ref="AM170:BS170"/>
    <mergeCell ref="AB171:AE171"/>
    <mergeCell ref="AF171:AH171"/>
    <mergeCell ref="BL171:BO171"/>
    <mergeCell ref="BP171:BR171"/>
    <mergeCell ref="C165:AI165"/>
    <mergeCell ref="AM165:BS165"/>
    <mergeCell ref="C166:AI166"/>
    <mergeCell ref="AM166:BS166"/>
    <mergeCell ref="C167:AI167"/>
    <mergeCell ref="AM167:BS167"/>
    <mergeCell ref="C160:AI160"/>
    <mergeCell ref="AM160:BS160"/>
    <mergeCell ref="C161:AI161"/>
    <mergeCell ref="AM161:BS161"/>
    <mergeCell ref="C163:AI163"/>
    <mergeCell ref="AM163:BS163"/>
    <mergeCell ref="AB176:AE176"/>
    <mergeCell ref="AF176:AH176"/>
    <mergeCell ref="BL176:BO176"/>
    <mergeCell ref="BP176:BR176"/>
    <mergeCell ref="AB177:AE177"/>
    <mergeCell ref="AF177:AH177"/>
    <mergeCell ref="BL177:BO177"/>
    <mergeCell ref="BP177:BR177"/>
    <mergeCell ref="AB174:AE174"/>
    <mergeCell ref="AF174:AH174"/>
    <mergeCell ref="BL174:BO174"/>
    <mergeCell ref="BP174:BR174"/>
    <mergeCell ref="AB175:AE175"/>
    <mergeCell ref="AF175:AH175"/>
    <mergeCell ref="BL175:BO175"/>
    <mergeCell ref="BP175:BR175"/>
    <mergeCell ref="AB172:AE172"/>
    <mergeCell ref="AF172:AH172"/>
    <mergeCell ref="BL172:BO172"/>
    <mergeCell ref="BP172:BR172"/>
    <mergeCell ref="AB173:AE173"/>
    <mergeCell ref="AF173:AH173"/>
    <mergeCell ref="BL173:BO173"/>
    <mergeCell ref="BP173:BR173"/>
    <mergeCell ref="C186:AI186"/>
    <mergeCell ref="AM186:BS186"/>
    <mergeCell ref="C190:AI190"/>
    <mergeCell ref="AM190:BS190"/>
    <mergeCell ref="C192:AI192"/>
    <mergeCell ref="AM192:BS192"/>
    <mergeCell ref="AB184:AE184"/>
    <mergeCell ref="AF184:AH184"/>
    <mergeCell ref="BL184:BO184"/>
    <mergeCell ref="BP184:BR184"/>
    <mergeCell ref="AB185:AE185"/>
    <mergeCell ref="AF185:AH185"/>
    <mergeCell ref="BL185:BO185"/>
    <mergeCell ref="BP185:BR185"/>
    <mergeCell ref="C179:AI179"/>
    <mergeCell ref="AM179:BS179"/>
    <mergeCell ref="C181:AI181"/>
    <mergeCell ref="AM181:BS181"/>
    <mergeCell ref="C183:AI183"/>
    <mergeCell ref="AM183:BS183"/>
    <mergeCell ref="D201:AI201"/>
    <mergeCell ref="AN201:BS201"/>
    <mergeCell ref="C203:AI203"/>
    <mergeCell ref="AM203:BS203"/>
    <mergeCell ref="C205:AI205"/>
    <mergeCell ref="AM205:BS205"/>
    <mergeCell ref="D198:AI198"/>
    <mergeCell ref="AN198:BS198"/>
    <mergeCell ref="D199:AI199"/>
    <mergeCell ref="AN199:BS199"/>
    <mergeCell ref="D200:AI200"/>
    <mergeCell ref="AN200:BS200"/>
    <mergeCell ref="C194:AI194"/>
    <mergeCell ref="AM194:BS194"/>
    <mergeCell ref="C196:AI196"/>
    <mergeCell ref="AM196:BS196"/>
    <mergeCell ref="D197:AI197"/>
    <mergeCell ref="AN197:BS197"/>
    <mergeCell ref="D215:AI215"/>
    <mergeCell ref="AN215:BS215"/>
    <mergeCell ref="C217:AI217"/>
    <mergeCell ref="AM217:BS217"/>
    <mergeCell ref="C219:AI219"/>
    <mergeCell ref="AM219:BS219"/>
    <mergeCell ref="D212:AI212"/>
    <mergeCell ref="AN212:BS212"/>
    <mergeCell ref="D213:AI213"/>
    <mergeCell ref="AN213:BS213"/>
    <mergeCell ref="D214:AI214"/>
    <mergeCell ref="AN214:BS214"/>
    <mergeCell ref="C207:AI207"/>
    <mergeCell ref="AM207:BS207"/>
    <mergeCell ref="C209:AI209"/>
    <mergeCell ref="AM209:BS209"/>
    <mergeCell ref="C211:AI211"/>
    <mergeCell ref="AM211:BS211"/>
    <mergeCell ref="C228:AI228"/>
    <mergeCell ref="AM228:BS228"/>
    <mergeCell ref="C229:AI229"/>
    <mergeCell ref="AM229:BS229"/>
    <mergeCell ref="C230:AI230"/>
    <mergeCell ref="AM230:BS230"/>
    <mergeCell ref="C224:AI224"/>
    <mergeCell ref="AM224:BS224"/>
    <mergeCell ref="C225:AI225"/>
    <mergeCell ref="AM225:BS225"/>
    <mergeCell ref="C227:AI227"/>
    <mergeCell ref="AM227:BS227"/>
    <mergeCell ref="C221:AI221"/>
    <mergeCell ref="AM221:BS221"/>
    <mergeCell ref="C222:AI222"/>
    <mergeCell ref="AM222:BS222"/>
    <mergeCell ref="C223:AI223"/>
    <mergeCell ref="AM223:BS223"/>
    <mergeCell ref="C251:AI251"/>
    <mergeCell ref="AM251:BS251"/>
    <mergeCell ref="C256:AI256"/>
    <mergeCell ref="AM256:BS256"/>
    <mergeCell ref="C258:AI258"/>
    <mergeCell ref="AM258:BS258"/>
    <mergeCell ref="C239:AI239"/>
    <mergeCell ref="AM239:BS239"/>
    <mergeCell ref="C244:AI244"/>
    <mergeCell ref="AM244:BS244"/>
    <mergeCell ref="C249:AI249"/>
    <mergeCell ref="AM249:BS249"/>
    <mergeCell ref="C232:AI232"/>
    <mergeCell ref="AM232:BS232"/>
    <mergeCell ref="C235:AI235"/>
    <mergeCell ref="AM235:BS235"/>
    <mergeCell ref="C237:AI237"/>
    <mergeCell ref="AM237:BS237"/>
    <mergeCell ref="C275:AI275"/>
    <mergeCell ref="AM275:BS275"/>
    <mergeCell ref="C277:AI277"/>
    <mergeCell ref="AM277:BS277"/>
    <mergeCell ref="C279:AI279"/>
    <mergeCell ref="AM279:BS279"/>
    <mergeCell ref="D271:AI271"/>
    <mergeCell ref="AN271:BS271"/>
    <mergeCell ref="D272:AI272"/>
    <mergeCell ref="AN272:BS272"/>
    <mergeCell ref="D273:AI273"/>
    <mergeCell ref="AN273:BS273"/>
    <mergeCell ref="C263:AI263"/>
    <mergeCell ref="AM263:BS263"/>
    <mergeCell ref="C265:AI265"/>
    <mergeCell ref="AM265:BS265"/>
    <mergeCell ref="C270:AI270"/>
    <mergeCell ref="AM270:BS270"/>
    <mergeCell ref="C299:AI299"/>
    <mergeCell ref="AM299:BS299"/>
    <mergeCell ref="C304:AI304"/>
    <mergeCell ref="AM304:BS304"/>
    <mergeCell ref="C306:AI306"/>
    <mergeCell ref="AM306:BS306"/>
    <mergeCell ref="C290:AI290"/>
    <mergeCell ref="AM290:BS290"/>
    <mergeCell ref="C295:AI295"/>
    <mergeCell ref="AM295:BS295"/>
    <mergeCell ref="C297:AI297"/>
    <mergeCell ref="AM297:BS297"/>
    <mergeCell ref="C284:AI284"/>
    <mergeCell ref="AM284:BS284"/>
    <mergeCell ref="C286:AI286"/>
    <mergeCell ref="AM286:BS286"/>
    <mergeCell ref="C288:AI288"/>
    <mergeCell ref="AM288:BS288"/>
    <mergeCell ref="C319:AI319"/>
    <mergeCell ref="AM319:BS319"/>
    <mergeCell ref="C322:AI322"/>
    <mergeCell ref="AM322:BS322"/>
    <mergeCell ref="C324:AI324"/>
    <mergeCell ref="AM324:BS324"/>
    <mergeCell ref="C314:AI314"/>
    <mergeCell ref="AM314:BS314"/>
    <mergeCell ref="C316:AI316"/>
    <mergeCell ref="AM316:BS316"/>
    <mergeCell ref="C318:AI318"/>
    <mergeCell ref="AM318:BS318"/>
    <mergeCell ref="C308:AI308"/>
    <mergeCell ref="AM308:BS308"/>
    <mergeCell ref="C310:AI310"/>
    <mergeCell ref="AM310:BS310"/>
    <mergeCell ref="C312:AI312"/>
    <mergeCell ref="AM312:BS312"/>
    <mergeCell ref="D337:AI337"/>
    <mergeCell ref="AN337:BS337"/>
    <mergeCell ref="D338:AI338"/>
    <mergeCell ref="AN338:BS338"/>
    <mergeCell ref="D339:AI339"/>
    <mergeCell ref="AN339:BS339"/>
    <mergeCell ref="C334:AI334"/>
    <mergeCell ref="AM334:BS334"/>
    <mergeCell ref="D335:AI335"/>
    <mergeCell ref="AN335:BS335"/>
    <mergeCell ref="D336:AI336"/>
    <mergeCell ref="AN336:BS336"/>
    <mergeCell ref="C326:AI326"/>
    <mergeCell ref="AM326:BS326"/>
    <mergeCell ref="C328:AI328"/>
    <mergeCell ref="AM328:BS328"/>
    <mergeCell ref="C329:AI329"/>
    <mergeCell ref="AM329:BS329"/>
    <mergeCell ref="C350:AI350"/>
    <mergeCell ref="AM350:BS350"/>
    <mergeCell ref="C351:AI351"/>
    <mergeCell ref="AM351:BS351"/>
    <mergeCell ref="D352:AI352"/>
    <mergeCell ref="AN352:BS352"/>
    <mergeCell ref="D345:AI345"/>
    <mergeCell ref="AN345:BS345"/>
    <mergeCell ref="D346:AI346"/>
    <mergeCell ref="AN346:BS346"/>
    <mergeCell ref="C348:AI348"/>
    <mergeCell ref="AM348:BS348"/>
    <mergeCell ref="C342:AI342"/>
    <mergeCell ref="AM342:BS342"/>
    <mergeCell ref="D343:AI343"/>
    <mergeCell ref="AN343:BS343"/>
    <mergeCell ref="D344:AI344"/>
    <mergeCell ref="AN344:BS344"/>
    <mergeCell ref="D361:AI361"/>
    <mergeCell ref="AN361:BS361"/>
    <mergeCell ref="D362:AI362"/>
    <mergeCell ref="AN362:BS362"/>
    <mergeCell ref="D363:AI363"/>
    <mergeCell ref="AN363:BS363"/>
    <mergeCell ref="D356:AI356"/>
    <mergeCell ref="AN356:BS356"/>
    <mergeCell ref="C358:AI358"/>
    <mergeCell ref="AM358:BS358"/>
    <mergeCell ref="C360:AI360"/>
    <mergeCell ref="AM360:BS360"/>
    <mergeCell ref="D353:AI353"/>
    <mergeCell ref="AN353:BS353"/>
    <mergeCell ref="D354:AI354"/>
    <mergeCell ref="AN354:BS354"/>
    <mergeCell ref="D355:AI355"/>
    <mergeCell ref="AN355:BS355"/>
    <mergeCell ref="C376:AI376"/>
    <mergeCell ref="AM376:BS376"/>
    <mergeCell ref="C377:AI377"/>
    <mergeCell ref="AM377:BS377"/>
    <mergeCell ref="C378:AI378"/>
    <mergeCell ref="AM378:BS378"/>
    <mergeCell ref="C372:AI372"/>
    <mergeCell ref="AM372:BS372"/>
    <mergeCell ref="D373:AI373"/>
    <mergeCell ref="AN373:BS373"/>
    <mergeCell ref="D374:AI374"/>
    <mergeCell ref="AN374:BS374"/>
    <mergeCell ref="D364:AI364"/>
    <mergeCell ref="AN364:BS364"/>
    <mergeCell ref="D367:AI367"/>
    <mergeCell ref="AN367:BS367"/>
    <mergeCell ref="D369:AI369"/>
    <mergeCell ref="AN369:BS369"/>
    <mergeCell ref="C394:AI394"/>
    <mergeCell ref="AM394:BS394"/>
    <mergeCell ref="C395:AI395"/>
    <mergeCell ref="D396:AI396"/>
    <mergeCell ref="AN396:BS396"/>
    <mergeCell ref="D397:AI397"/>
    <mergeCell ref="AN397:BS397"/>
    <mergeCell ref="C390:AI390"/>
    <mergeCell ref="AM390:BS390"/>
    <mergeCell ref="C391:AI391"/>
    <mergeCell ref="C392:AI392"/>
    <mergeCell ref="C393:AI393"/>
    <mergeCell ref="AM393:BS393"/>
    <mergeCell ref="C383:AI383"/>
    <mergeCell ref="AM383:BS383"/>
    <mergeCell ref="C384:AI384"/>
    <mergeCell ref="AM384:BS384"/>
    <mergeCell ref="C385:AI385"/>
    <mergeCell ref="AM385:BS385"/>
    <mergeCell ref="C414:AI414"/>
    <mergeCell ref="AM414:BS414"/>
    <mergeCell ref="C416:AI416"/>
    <mergeCell ref="AM416:BS416"/>
    <mergeCell ref="C418:AI418"/>
    <mergeCell ref="AM418:BS418"/>
    <mergeCell ref="D406:AI406"/>
    <mergeCell ref="AN406:BS406"/>
    <mergeCell ref="D407:AI407"/>
    <mergeCell ref="AN407:BS407"/>
    <mergeCell ref="C408:AI408"/>
    <mergeCell ref="AM408:BS408"/>
    <mergeCell ref="D398:AI398"/>
    <mergeCell ref="AN398:BS398"/>
    <mergeCell ref="D404:AI404"/>
    <mergeCell ref="AN404:BS404"/>
    <mergeCell ref="D405:AI405"/>
    <mergeCell ref="AN405:BS405"/>
    <mergeCell ref="D436:AI436"/>
    <mergeCell ref="AN436:BS436"/>
    <mergeCell ref="D437:AI437"/>
    <mergeCell ref="AN437:BS437"/>
    <mergeCell ref="C439:AI439"/>
    <mergeCell ref="AM439:BS439"/>
    <mergeCell ref="C429:AI429"/>
    <mergeCell ref="AM429:BS429"/>
    <mergeCell ref="C434:AI434"/>
    <mergeCell ref="AM434:BS434"/>
    <mergeCell ref="D435:AI435"/>
    <mergeCell ref="AN435:BS435"/>
    <mergeCell ref="C422:AI422"/>
    <mergeCell ref="AM422:BS422"/>
    <mergeCell ref="C424:AI424"/>
    <mergeCell ref="AM424:BS424"/>
    <mergeCell ref="C426:AI426"/>
    <mergeCell ref="AM426:BS426"/>
    <mergeCell ref="W452:AB452"/>
    <mergeCell ref="AD452:AI452"/>
    <mergeCell ref="BG452:BL452"/>
    <mergeCell ref="BN452:BS452"/>
    <mergeCell ref="W453:AB453"/>
    <mergeCell ref="AD453:AI453"/>
    <mergeCell ref="BG453:BL453"/>
    <mergeCell ref="BN453:BS453"/>
    <mergeCell ref="W450:AB450"/>
    <mergeCell ref="AD450:AI450"/>
    <mergeCell ref="BG450:BL450"/>
    <mergeCell ref="BN450:BS450"/>
    <mergeCell ref="W451:AB451"/>
    <mergeCell ref="AD451:AI451"/>
    <mergeCell ref="BG451:BL451"/>
    <mergeCell ref="BN451:BS451"/>
    <mergeCell ref="C444:AI444"/>
    <mergeCell ref="AM444:BS444"/>
    <mergeCell ref="C445:AI445"/>
    <mergeCell ref="AM445:BS445"/>
    <mergeCell ref="W449:AB449"/>
    <mergeCell ref="AD449:AI449"/>
    <mergeCell ref="BG449:BL449"/>
    <mergeCell ref="BN449:BS449"/>
    <mergeCell ref="C459:AI459"/>
    <mergeCell ref="AM459:BS459"/>
    <mergeCell ref="C461:AI461"/>
    <mergeCell ref="AM461:BS461"/>
    <mergeCell ref="M467:W467"/>
    <mergeCell ref="Y467:AI467"/>
    <mergeCell ref="AW467:BG467"/>
    <mergeCell ref="BI467:BS467"/>
    <mergeCell ref="W456:AB456"/>
    <mergeCell ref="AD456:AI456"/>
    <mergeCell ref="BG456:BL456"/>
    <mergeCell ref="BN456:BS456"/>
    <mergeCell ref="W457:AB457"/>
    <mergeCell ref="AD457:AI457"/>
    <mergeCell ref="BG457:BL457"/>
    <mergeCell ref="BN457:BS457"/>
    <mergeCell ref="W454:AB454"/>
    <mergeCell ref="AD454:AI454"/>
    <mergeCell ref="BG454:BL454"/>
    <mergeCell ref="BN454:BS454"/>
    <mergeCell ref="W455:AB455"/>
    <mergeCell ref="AD455:AI455"/>
    <mergeCell ref="BG455:BL455"/>
    <mergeCell ref="BN455:BS455"/>
    <mergeCell ref="BI471:BM471"/>
    <mergeCell ref="BO471:BS471"/>
    <mergeCell ref="M472:Q472"/>
    <mergeCell ref="S472:W472"/>
    <mergeCell ref="Y472:AC472"/>
    <mergeCell ref="AE472:AI472"/>
    <mergeCell ref="AW472:BA472"/>
    <mergeCell ref="BC472:BG472"/>
    <mergeCell ref="BI472:BM472"/>
    <mergeCell ref="BO472:BS472"/>
    <mergeCell ref="M471:Q471"/>
    <mergeCell ref="S471:W471"/>
    <mergeCell ref="Y471:AC471"/>
    <mergeCell ref="AE471:AI471"/>
    <mergeCell ref="AW471:BA471"/>
    <mergeCell ref="BC471:BG471"/>
    <mergeCell ref="BI468:BM468"/>
    <mergeCell ref="BO468:BS468"/>
    <mergeCell ref="M469:Q469"/>
    <mergeCell ref="S469:W469"/>
    <mergeCell ref="Y469:AC469"/>
    <mergeCell ref="AE469:AI469"/>
    <mergeCell ref="AW469:BA469"/>
    <mergeCell ref="BC469:BG469"/>
    <mergeCell ref="BI469:BM469"/>
    <mergeCell ref="BO469:BS469"/>
    <mergeCell ref="M468:Q468"/>
    <mergeCell ref="S468:W468"/>
    <mergeCell ref="Y468:AC468"/>
    <mergeCell ref="AE468:AI468"/>
    <mergeCell ref="AW468:BA468"/>
    <mergeCell ref="BC468:BG468"/>
    <mergeCell ref="BI475:BM475"/>
    <mergeCell ref="BO475:BS475"/>
    <mergeCell ref="M476:Q476"/>
    <mergeCell ref="S476:W476"/>
    <mergeCell ref="Y476:AC476"/>
    <mergeCell ref="AE476:AI476"/>
    <mergeCell ref="AW476:BA476"/>
    <mergeCell ref="BC476:BG476"/>
    <mergeCell ref="BI476:BM476"/>
    <mergeCell ref="BO476:BS476"/>
    <mergeCell ref="M475:Q475"/>
    <mergeCell ref="S475:W475"/>
    <mergeCell ref="Y475:AC475"/>
    <mergeCell ref="AE475:AI475"/>
    <mergeCell ref="AW475:BA475"/>
    <mergeCell ref="BC475:BG475"/>
    <mergeCell ref="BI473:BM473"/>
    <mergeCell ref="BO473:BS473"/>
    <mergeCell ref="M474:Q474"/>
    <mergeCell ref="S474:W474"/>
    <mergeCell ref="Y474:AC474"/>
    <mergeCell ref="AE474:AI474"/>
    <mergeCell ref="AW474:BA474"/>
    <mergeCell ref="BC474:BG474"/>
    <mergeCell ref="BI474:BM474"/>
    <mergeCell ref="BO474:BS474"/>
    <mergeCell ref="M473:Q473"/>
    <mergeCell ref="S473:W473"/>
    <mergeCell ref="Y473:AC473"/>
    <mergeCell ref="AE473:AI473"/>
    <mergeCell ref="AW473:BA473"/>
    <mergeCell ref="BC473:BG473"/>
    <mergeCell ref="BI479:BM479"/>
    <mergeCell ref="BO479:BS479"/>
    <mergeCell ref="M480:Q480"/>
    <mergeCell ref="S480:W480"/>
    <mergeCell ref="Y480:AC480"/>
    <mergeCell ref="AE480:AI480"/>
    <mergeCell ref="AW480:BA480"/>
    <mergeCell ref="BC480:BG480"/>
    <mergeCell ref="BI480:BM480"/>
    <mergeCell ref="BO480:BS480"/>
    <mergeCell ref="M479:Q479"/>
    <mergeCell ref="S479:W479"/>
    <mergeCell ref="Y479:AC479"/>
    <mergeCell ref="AE479:AI479"/>
    <mergeCell ref="AW479:BA479"/>
    <mergeCell ref="BC479:BG479"/>
    <mergeCell ref="BI477:BM477"/>
    <mergeCell ref="BO477:BS477"/>
    <mergeCell ref="M478:Q478"/>
    <mergeCell ref="S478:W478"/>
    <mergeCell ref="Y478:AC478"/>
    <mergeCell ref="AE478:AI478"/>
    <mergeCell ref="AW478:BA478"/>
    <mergeCell ref="BC478:BG478"/>
    <mergeCell ref="BI478:BM478"/>
    <mergeCell ref="BO478:BS478"/>
    <mergeCell ref="M477:Q477"/>
    <mergeCell ref="S477:W477"/>
    <mergeCell ref="Y477:AC477"/>
    <mergeCell ref="AE477:AI477"/>
    <mergeCell ref="AW477:BA477"/>
    <mergeCell ref="BC477:BG477"/>
    <mergeCell ref="BI496:BM496"/>
    <mergeCell ref="BO496:BS496"/>
    <mergeCell ref="M497:Q497"/>
    <mergeCell ref="S497:W497"/>
    <mergeCell ref="Y497:AC497"/>
    <mergeCell ref="AE497:AI497"/>
    <mergeCell ref="AW497:BA497"/>
    <mergeCell ref="BC497:BG497"/>
    <mergeCell ref="BI497:BM497"/>
    <mergeCell ref="BO497:BS497"/>
    <mergeCell ref="M496:Q496"/>
    <mergeCell ref="S496:W496"/>
    <mergeCell ref="Y496:AC496"/>
    <mergeCell ref="AE496:AI496"/>
    <mergeCell ref="AW496:BA496"/>
    <mergeCell ref="BC496:BG496"/>
    <mergeCell ref="BI481:BM481"/>
    <mergeCell ref="BO481:BS481"/>
    <mergeCell ref="C484:AI484"/>
    <mergeCell ref="M495:W495"/>
    <mergeCell ref="Y495:AI495"/>
    <mergeCell ref="AW495:BG495"/>
    <mergeCell ref="BI495:BS495"/>
    <mergeCell ref="M481:Q481"/>
    <mergeCell ref="S481:W481"/>
    <mergeCell ref="Y481:AC481"/>
    <mergeCell ref="AE481:AI481"/>
    <mergeCell ref="AW481:BA481"/>
    <mergeCell ref="BC481:BG481"/>
    <mergeCell ref="BO500:BS500"/>
    <mergeCell ref="M501:Q501"/>
    <mergeCell ref="S501:W501"/>
    <mergeCell ref="Y501:AC501"/>
    <mergeCell ref="AE501:AI501"/>
    <mergeCell ref="AW501:BA501"/>
    <mergeCell ref="BC501:BG501"/>
    <mergeCell ref="BI501:BM501"/>
    <mergeCell ref="BO501:BS501"/>
    <mergeCell ref="BI499:BM499"/>
    <mergeCell ref="BO499:BS499"/>
    <mergeCell ref="C500:K500"/>
    <mergeCell ref="M500:Q500"/>
    <mergeCell ref="S500:W500"/>
    <mergeCell ref="Y500:AC500"/>
    <mergeCell ref="AE500:AI500"/>
    <mergeCell ref="AW500:BA500"/>
    <mergeCell ref="BC500:BG500"/>
    <mergeCell ref="BI500:BM500"/>
    <mergeCell ref="M499:Q499"/>
    <mergeCell ref="S499:W499"/>
    <mergeCell ref="Y499:AC499"/>
    <mergeCell ref="AE499:AI499"/>
    <mergeCell ref="AW499:BA499"/>
    <mergeCell ref="BC499:BG499"/>
    <mergeCell ref="AZ508:BD508"/>
    <mergeCell ref="BF508:BH508"/>
    <mergeCell ref="BJ508:BL508"/>
    <mergeCell ref="BN508:BS508"/>
    <mergeCell ref="C510:AI510"/>
    <mergeCell ref="AM510:BS510"/>
    <mergeCell ref="C508:N508"/>
    <mergeCell ref="P508:T508"/>
    <mergeCell ref="V508:X508"/>
    <mergeCell ref="Z508:AB508"/>
    <mergeCell ref="AD508:AI508"/>
    <mergeCell ref="AM508:AX508"/>
    <mergeCell ref="BI502:BM502"/>
    <mergeCell ref="BO502:BS502"/>
    <mergeCell ref="C504:AI504"/>
    <mergeCell ref="C507:N507"/>
    <mergeCell ref="P507:T507"/>
    <mergeCell ref="V507:X507"/>
    <mergeCell ref="Z507:AB507"/>
    <mergeCell ref="AD507:AI507"/>
    <mergeCell ref="M502:Q502"/>
    <mergeCell ref="S502:W502"/>
    <mergeCell ref="Y502:AC502"/>
    <mergeCell ref="AE502:AI502"/>
    <mergeCell ref="AW502:BA502"/>
    <mergeCell ref="BC502:BG502"/>
    <mergeCell ref="AZ516:BD516"/>
    <mergeCell ref="BF516:BH516"/>
    <mergeCell ref="BJ516:BL516"/>
    <mergeCell ref="BN516:BS516"/>
    <mergeCell ref="C517:N517"/>
    <mergeCell ref="P517:T517"/>
    <mergeCell ref="V517:X517"/>
    <mergeCell ref="Z517:AB517"/>
    <mergeCell ref="AD517:AI517"/>
    <mergeCell ref="AM517:AX517"/>
    <mergeCell ref="C511:AI511"/>
    <mergeCell ref="AM511:BS511"/>
    <mergeCell ref="C512:AI512"/>
    <mergeCell ref="AM512:BS512"/>
    <mergeCell ref="C516:N516"/>
    <mergeCell ref="P516:T516"/>
    <mergeCell ref="V516:X516"/>
    <mergeCell ref="Z516:AB516"/>
    <mergeCell ref="AD516:AI516"/>
    <mergeCell ref="AM516:AX516"/>
    <mergeCell ref="C521:AI521"/>
    <mergeCell ref="AM521:BS521"/>
    <mergeCell ref="C522:AI522"/>
    <mergeCell ref="AM522:BS522"/>
    <mergeCell ref="C523:AI523"/>
    <mergeCell ref="AM523:BS523"/>
    <mergeCell ref="AZ518:BD518"/>
    <mergeCell ref="BF518:BH518"/>
    <mergeCell ref="BJ518:BL518"/>
    <mergeCell ref="BN518:BS518"/>
    <mergeCell ref="C520:AI520"/>
    <mergeCell ref="AM520:BS520"/>
    <mergeCell ref="AZ517:BD517"/>
    <mergeCell ref="BF517:BH517"/>
    <mergeCell ref="BJ517:BL517"/>
    <mergeCell ref="BN517:BS517"/>
    <mergeCell ref="C518:N518"/>
    <mergeCell ref="P518:T518"/>
    <mergeCell ref="V518:X518"/>
    <mergeCell ref="Z518:AB518"/>
    <mergeCell ref="AD518:AI518"/>
    <mergeCell ref="AM518:AX518"/>
    <mergeCell ref="BJ529:BL529"/>
    <mergeCell ref="BN529:BS529"/>
    <mergeCell ref="C530:N530"/>
    <mergeCell ref="P530:T530"/>
    <mergeCell ref="V530:X530"/>
    <mergeCell ref="Z530:AB530"/>
    <mergeCell ref="AD530:AI530"/>
    <mergeCell ref="AM530:AX530"/>
    <mergeCell ref="AZ530:BD530"/>
    <mergeCell ref="BF530:BH530"/>
    <mergeCell ref="C525:AI525"/>
    <mergeCell ref="AM525:BS525"/>
    <mergeCell ref="C529:N529"/>
    <mergeCell ref="P529:T529"/>
    <mergeCell ref="V529:X529"/>
    <mergeCell ref="Z529:AB529"/>
    <mergeCell ref="AD529:AI529"/>
    <mergeCell ref="AM529:AX529"/>
    <mergeCell ref="AZ529:BD529"/>
    <mergeCell ref="BF529:BH529"/>
    <mergeCell ref="W541:AB541"/>
    <mergeCell ref="AD541:AI541"/>
    <mergeCell ref="BG541:BL541"/>
    <mergeCell ref="BN541:BS541"/>
    <mergeCell ref="W542:AB542"/>
    <mergeCell ref="AD542:AI542"/>
    <mergeCell ref="BG542:BL542"/>
    <mergeCell ref="BN542:BS542"/>
    <mergeCell ref="BJ531:BL531"/>
    <mergeCell ref="BN531:BS531"/>
    <mergeCell ref="AM533:BS533"/>
    <mergeCell ref="AM534:BS534"/>
    <mergeCell ref="AM535:BS535"/>
    <mergeCell ref="C537:AI537"/>
    <mergeCell ref="AM537:BS537"/>
    <mergeCell ref="BJ530:BL530"/>
    <mergeCell ref="BN530:BS530"/>
    <mergeCell ref="C531:N531"/>
    <mergeCell ref="P531:T531"/>
    <mergeCell ref="V531:X531"/>
    <mergeCell ref="Z531:AB531"/>
    <mergeCell ref="AD531:AI531"/>
    <mergeCell ref="AM531:AX531"/>
    <mergeCell ref="AZ531:BD531"/>
    <mergeCell ref="BF531:BH531"/>
    <mergeCell ref="C546:T546"/>
    <mergeCell ref="W546:AB546"/>
    <mergeCell ref="AD546:AI546"/>
    <mergeCell ref="BG546:BL546"/>
    <mergeCell ref="BN546:BS546"/>
    <mergeCell ref="C547:T547"/>
    <mergeCell ref="W547:AB547"/>
    <mergeCell ref="AD547:AI547"/>
    <mergeCell ref="BG547:BL547"/>
    <mergeCell ref="BN547:BS547"/>
    <mergeCell ref="W544:AB544"/>
    <mergeCell ref="AD544:AI544"/>
    <mergeCell ref="BG544:BL544"/>
    <mergeCell ref="BN544:BS544"/>
    <mergeCell ref="W545:AB545"/>
    <mergeCell ref="AD545:AI545"/>
    <mergeCell ref="BG545:BL545"/>
    <mergeCell ref="BN545:BS545"/>
    <mergeCell ref="W552:AB552"/>
    <mergeCell ref="AD552:AI552"/>
    <mergeCell ref="BG552:BL552"/>
    <mergeCell ref="BN552:BS552"/>
    <mergeCell ref="W553:AB553"/>
    <mergeCell ref="AD553:AI553"/>
    <mergeCell ref="BG553:BL553"/>
    <mergeCell ref="BN553:BS553"/>
    <mergeCell ref="W550:AB550"/>
    <mergeCell ref="AD550:AI550"/>
    <mergeCell ref="BG550:BL550"/>
    <mergeCell ref="BN550:BS550"/>
    <mergeCell ref="W551:AB551"/>
    <mergeCell ref="AD551:AI551"/>
    <mergeCell ref="BG551:BL551"/>
    <mergeCell ref="BN551:BS551"/>
    <mergeCell ref="W548:AB548"/>
    <mergeCell ref="AD548:AI548"/>
    <mergeCell ref="BG548:BL548"/>
    <mergeCell ref="BN548:BS548"/>
    <mergeCell ref="W549:AB549"/>
    <mergeCell ref="AD549:AI549"/>
    <mergeCell ref="BG549:BL549"/>
    <mergeCell ref="BN549:BS549"/>
    <mergeCell ref="W558:AB558"/>
    <mergeCell ref="AD558:AI558"/>
    <mergeCell ref="BG558:BL558"/>
    <mergeCell ref="BN558:BS558"/>
    <mergeCell ref="C560:AI560"/>
    <mergeCell ref="AM560:BS560"/>
    <mergeCell ref="W556:AB556"/>
    <mergeCell ref="AD556:AI556"/>
    <mergeCell ref="BG556:BL556"/>
    <mergeCell ref="BN556:BS556"/>
    <mergeCell ref="W557:AB557"/>
    <mergeCell ref="AD557:AI557"/>
    <mergeCell ref="BG557:BL557"/>
    <mergeCell ref="BN557:BS557"/>
    <mergeCell ref="W554:AB554"/>
    <mergeCell ref="AD554:AI554"/>
    <mergeCell ref="BG554:BL554"/>
    <mergeCell ref="BN554:BS554"/>
    <mergeCell ref="W555:AB555"/>
    <mergeCell ref="AD555:AI555"/>
    <mergeCell ref="BG555:BL555"/>
    <mergeCell ref="BN555:BS555"/>
    <mergeCell ref="BH566:BM566"/>
    <mergeCell ref="BO566:BS566"/>
    <mergeCell ref="K567:P567"/>
    <mergeCell ref="R567:V567"/>
    <mergeCell ref="X567:AC567"/>
    <mergeCell ref="AE567:AI567"/>
    <mergeCell ref="AU567:AZ567"/>
    <mergeCell ref="BB567:BF567"/>
    <mergeCell ref="BH567:BM567"/>
    <mergeCell ref="BO567:BS567"/>
    <mergeCell ref="K566:P566"/>
    <mergeCell ref="R566:V566"/>
    <mergeCell ref="X566:AC566"/>
    <mergeCell ref="AE566:AI566"/>
    <mergeCell ref="AU566:AZ566"/>
    <mergeCell ref="BB566:BF566"/>
    <mergeCell ref="W562:AB562"/>
    <mergeCell ref="AD562:AI562"/>
    <mergeCell ref="K565:V565"/>
    <mergeCell ref="X565:AI565"/>
    <mergeCell ref="AU565:BF565"/>
    <mergeCell ref="BH565:BS565"/>
    <mergeCell ref="BO570:BS570"/>
    <mergeCell ref="C571:J571"/>
    <mergeCell ref="K571:P571"/>
    <mergeCell ref="R571:V571"/>
    <mergeCell ref="X571:AC571"/>
    <mergeCell ref="AE571:AI571"/>
    <mergeCell ref="AU571:AZ571"/>
    <mergeCell ref="BB571:BF571"/>
    <mergeCell ref="BH571:BM571"/>
    <mergeCell ref="BO571:BS571"/>
    <mergeCell ref="BH568:BM568"/>
    <mergeCell ref="BO568:BS568"/>
    <mergeCell ref="C570:J570"/>
    <mergeCell ref="K570:P570"/>
    <mergeCell ref="R570:V570"/>
    <mergeCell ref="X570:AC570"/>
    <mergeCell ref="AE570:AI570"/>
    <mergeCell ref="AU570:AZ570"/>
    <mergeCell ref="BB570:BF570"/>
    <mergeCell ref="BH570:BM570"/>
    <mergeCell ref="K568:P568"/>
    <mergeCell ref="R568:V568"/>
    <mergeCell ref="X568:AC568"/>
    <mergeCell ref="AE568:AI568"/>
    <mergeCell ref="AU568:AZ568"/>
    <mergeCell ref="BB568:BF568"/>
    <mergeCell ref="BH573:BM573"/>
    <mergeCell ref="BO573:BS573"/>
    <mergeCell ref="C574:J574"/>
    <mergeCell ref="K574:P574"/>
    <mergeCell ref="R574:V574"/>
    <mergeCell ref="X574:AC574"/>
    <mergeCell ref="AE574:AI574"/>
    <mergeCell ref="AU574:AZ574"/>
    <mergeCell ref="BB574:BF574"/>
    <mergeCell ref="BH574:BM574"/>
    <mergeCell ref="BB572:BF572"/>
    <mergeCell ref="BH572:BM572"/>
    <mergeCell ref="BO572:BS572"/>
    <mergeCell ref="C573:J573"/>
    <mergeCell ref="K573:P573"/>
    <mergeCell ref="R573:V573"/>
    <mergeCell ref="X573:AC573"/>
    <mergeCell ref="AE573:AI573"/>
    <mergeCell ref="AU573:AZ573"/>
    <mergeCell ref="BB573:BF573"/>
    <mergeCell ref="C572:J572"/>
    <mergeCell ref="K572:P572"/>
    <mergeCell ref="R572:V572"/>
    <mergeCell ref="X572:AC572"/>
    <mergeCell ref="AE572:AI572"/>
    <mergeCell ref="AU572:AZ572"/>
    <mergeCell ref="BO575:BS575"/>
    <mergeCell ref="K576:P576"/>
    <mergeCell ref="R576:V576"/>
    <mergeCell ref="X576:AC576"/>
    <mergeCell ref="AE576:AI576"/>
    <mergeCell ref="AU576:AZ576"/>
    <mergeCell ref="BB576:BF576"/>
    <mergeCell ref="BH576:BM576"/>
    <mergeCell ref="BO576:BS576"/>
    <mergeCell ref="BO574:BS574"/>
    <mergeCell ref="C575:J575"/>
    <mergeCell ref="K575:P575"/>
    <mergeCell ref="R575:V575"/>
    <mergeCell ref="X575:AC575"/>
    <mergeCell ref="AE575:AI575"/>
    <mergeCell ref="AM575:AT575"/>
    <mergeCell ref="AU575:AZ575"/>
    <mergeCell ref="BB575:BF575"/>
    <mergeCell ref="BH575:BM575"/>
    <mergeCell ref="BH579:BM579"/>
    <mergeCell ref="BO579:BS579"/>
    <mergeCell ref="C580:J580"/>
    <mergeCell ref="K580:P580"/>
    <mergeCell ref="R580:V580"/>
    <mergeCell ref="X580:AC580"/>
    <mergeCell ref="AE580:AI580"/>
    <mergeCell ref="AM580:AT580"/>
    <mergeCell ref="AU580:AZ580"/>
    <mergeCell ref="BB580:BF580"/>
    <mergeCell ref="K579:P579"/>
    <mergeCell ref="R579:V579"/>
    <mergeCell ref="X579:AC579"/>
    <mergeCell ref="AE579:AI579"/>
    <mergeCell ref="AU579:AZ579"/>
    <mergeCell ref="BB579:BF579"/>
    <mergeCell ref="BH577:BM577"/>
    <mergeCell ref="BO577:BS577"/>
    <mergeCell ref="K578:P578"/>
    <mergeCell ref="R578:V578"/>
    <mergeCell ref="X578:AC578"/>
    <mergeCell ref="AE578:AI578"/>
    <mergeCell ref="AU578:AZ578"/>
    <mergeCell ref="BB578:BF578"/>
    <mergeCell ref="BH578:BM578"/>
    <mergeCell ref="BO578:BS578"/>
    <mergeCell ref="K577:P577"/>
    <mergeCell ref="R577:V577"/>
    <mergeCell ref="X577:AC577"/>
    <mergeCell ref="AE577:AI577"/>
    <mergeCell ref="AU577:AZ577"/>
    <mergeCell ref="BB577:BF577"/>
    <mergeCell ref="C583:J583"/>
    <mergeCell ref="K583:P583"/>
    <mergeCell ref="R583:V583"/>
    <mergeCell ref="X583:AC583"/>
    <mergeCell ref="AE583:AI583"/>
    <mergeCell ref="AU583:AZ583"/>
    <mergeCell ref="BH581:BM581"/>
    <mergeCell ref="BO581:BS581"/>
    <mergeCell ref="K582:P582"/>
    <mergeCell ref="R582:V582"/>
    <mergeCell ref="X582:AC582"/>
    <mergeCell ref="AE582:AI582"/>
    <mergeCell ref="AU582:AZ582"/>
    <mergeCell ref="BB582:BF582"/>
    <mergeCell ref="BH582:BM582"/>
    <mergeCell ref="BO582:BS582"/>
    <mergeCell ref="BH580:BM580"/>
    <mergeCell ref="BO580:BS580"/>
    <mergeCell ref="C581:J581"/>
    <mergeCell ref="K581:P581"/>
    <mergeCell ref="R581:V581"/>
    <mergeCell ref="X581:AC581"/>
    <mergeCell ref="AE581:AI581"/>
    <mergeCell ref="AM581:AT581"/>
    <mergeCell ref="AU581:AZ581"/>
    <mergeCell ref="BB581:BF581"/>
    <mergeCell ref="W590:AB590"/>
    <mergeCell ref="AD590:AI590"/>
    <mergeCell ref="BG590:BL590"/>
    <mergeCell ref="BN590:BS590"/>
    <mergeCell ref="W591:AB591"/>
    <mergeCell ref="AD591:AI591"/>
    <mergeCell ref="BG591:BL591"/>
    <mergeCell ref="BN591:BS591"/>
    <mergeCell ref="W588:AB588"/>
    <mergeCell ref="AD588:AI588"/>
    <mergeCell ref="BG588:BL588"/>
    <mergeCell ref="BN588:BS588"/>
    <mergeCell ref="W589:AB589"/>
    <mergeCell ref="AD589:AI589"/>
    <mergeCell ref="BG589:BL589"/>
    <mergeCell ref="BN589:BS589"/>
    <mergeCell ref="BB583:BF583"/>
    <mergeCell ref="BH583:BM583"/>
    <mergeCell ref="BO583:BS583"/>
    <mergeCell ref="W584:AB584"/>
    <mergeCell ref="AD584:AI584"/>
    <mergeCell ref="W586:AB586"/>
    <mergeCell ref="AD586:AI586"/>
    <mergeCell ref="W596:AB596"/>
    <mergeCell ref="AD596:AI596"/>
    <mergeCell ref="BG596:BL596"/>
    <mergeCell ref="BN596:BS596"/>
    <mergeCell ref="W597:AB597"/>
    <mergeCell ref="AD597:AI597"/>
    <mergeCell ref="BG597:BL597"/>
    <mergeCell ref="BN597:BS597"/>
    <mergeCell ref="W594:AB594"/>
    <mergeCell ref="AD594:AI594"/>
    <mergeCell ref="BG594:BL594"/>
    <mergeCell ref="BN594:BS594"/>
    <mergeCell ref="W595:AB595"/>
    <mergeCell ref="AD595:AI595"/>
    <mergeCell ref="BG595:BL595"/>
    <mergeCell ref="BN595:BS595"/>
    <mergeCell ref="W592:AB592"/>
    <mergeCell ref="AD592:AI592"/>
    <mergeCell ref="BG592:BL592"/>
    <mergeCell ref="BN592:BS592"/>
    <mergeCell ref="W593:AB593"/>
    <mergeCell ref="AD593:AI593"/>
    <mergeCell ref="BG593:BL593"/>
    <mergeCell ref="BN593:BS593"/>
    <mergeCell ref="W602:AB602"/>
    <mergeCell ref="AD602:AI602"/>
    <mergeCell ref="BG602:BL602"/>
    <mergeCell ref="BN602:BS602"/>
    <mergeCell ref="W603:AB603"/>
    <mergeCell ref="AD603:AI603"/>
    <mergeCell ref="BG603:BL603"/>
    <mergeCell ref="BN603:BS603"/>
    <mergeCell ref="W600:AB600"/>
    <mergeCell ref="AD600:AI600"/>
    <mergeCell ref="BG600:BL600"/>
    <mergeCell ref="BN600:BS600"/>
    <mergeCell ref="W601:AB601"/>
    <mergeCell ref="AD601:AI601"/>
    <mergeCell ref="BG601:BL601"/>
    <mergeCell ref="BN601:BS601"/>
    <mergeCell ref="W598:AB598"/>
    <mergeCell ref="AD598:AI598"/>
    <mergeCell ref="BG598:BL598"/>
    <mergeCell ref="BN598:BS598"/>
    <mergeCell ref="W599:AB599"/>
    <mergeCell ref="AD599:AI599"/>
    <mergeCell ref="BG599:BL599"/>
    <mergeCell ref="BN599:BS599"/>
    <mergeCell ref="K615:V615"/>
    <mergeCell ref="X615:AI615"/>
    <mergeCell ref="AU615:BF615"/>
    <mergeCell ref="BH615:BS615"/>
    <mergeCell ref="K616:P616"/>
    <mergeCell ref="R616:V616"/>
    <mergeCell ref="X616:AC616"/>
    <mergeCell ref="AE616:AI616"/>
    <mergeCell ref="AU616:AZ616"/>
    <mergeCell ref="BB616:BF616"/>
    <mergeCell ref="W611:AB611"/>
    <mergeCell ref="AD611:AI611"/>
    <mergeCell ref="W612:AB612"/>
    <mergeCell ref="AD612:AI612"/>
    <mergeCell ref="W613:AB613"/>
    <mergeCell ref="AD613:AI613"/>
    <mergeCell ref="W604:AB604"/>
    <mergeCell ref="AD604:AI604"/>
    <mergeCell ref="BG604:BL604"/>
    <mergeCell ref="BN604:BS604"/>
    <mergeCell ref="C607:AI607"/>
    <mergeCell ref="C609:AI609"/>
    <mergeCell ref="BH618:BM618"/>
    <mergeCell ref="BO618:BS618"/>
    <mergeCell ref="K619:P619"/>
    <mergeCell ref="R619:V619"/>
    <mergeCell ref="X619:AC619"/>
    <mergeCell ref="AE619:AI619"/>
    <mergeCell ref="AU619:AZ619"/>
    <mergeCell ref="BB619:BF619"/>
    <mergeCell ref="BH619:BM619"/>
    <mergeCell ref="BO619:BS619"/>
    <mergeCell ref="K618:P618"/>
    <mergeCell ref="R618:V618"/>
    <mergeCell ref="X618:AC618"/>
    <mergeCell ref="AE618:AI618"/>
    <mergeCell ref="AU618:AZ618"/>
    <mergeCell ref="BB618:BF618"/>
    <mergeCell ref="BH616:BM616"/>
    <mergeCell ref="BO616:BS616"/>
    <mergeCell ref="K617:P617"/>
    <mergeCell ref="R617:V617"/>
    <mergeCell ref="X617:AC617"/>
    <mergeCell ref="AE617:AI617"/>
    <mergeCell ref="AU617:AZ617"/>
    <mergeCell ref="BB617:BF617"/>
    <mergeCell ref="BH617:BM617"/>
    <mergeCell ref="BO617:BS617"/>
    <mergeCell ref="BB621:BF621"/>
    <mergeCell ref="BH621:BM621"/>
    <mergeCell ref="BO621:BS621"/>
    <mergeCell ref="C622:J622"/>
    <mergeCell ref="K622:P622"/>
    <mergeCell ref="R622:V622"/>
    <mergeCell ref="X622:AC622"/>
    <mergeCell ref="AE622:AI622"/>
    <mergeCell ref="AU622:AZ622"/>
    <mergeCell ref="BB622:BF622"/>
    <mergeCell ref="BB620:BF620"/>
    <mergeCell ref="BH620:BM620"/>
    <mergeCell ref="BO620:BS620"/>
    <mergeCell ref="C621:J621"/>
    <mergeCell ref="K621:P621"/>
    <mergeCell ref="R621:V621"/>
    <mergeCell ref="X621:AC621"/>
    <mergeCell ref="AE621:AI621"/>
    <mergeCell ref="AM621:AT621"/>
    <mergeCell ref="AU621:AZ621"/>
    <mergeCell ref="C620:J620"/>
    <mergeCell ref="K620:P620"/>
    <mergeCell ref="R620:V620"/>
    <mergeCell ref="X620:AC620"/>
    <mergeCell ref="AE620:AI620"/>
    <mergeCell ref="AU620:AZ620"/>
    <mergeCell ref="BO623:BS623"/>
    <mergeCell ref="C624:J624"/>
    <mergeCell ref="K624:P624"/>
    <mergeCell ref="R624:V624"/>
    <mergeCell ref="X624:AC624"/>
    <mergeCell ref="AE624:AI624"/>
    <mergeCell ref="AU624:AZ624"/>
    <mergeCell ref="BB624:BF624"/>
    <mergeCell ref="BH624:BM624"/>
    <mergeCell ref="BO624:BS624"/>
    <mergeCell ref="BH622:BM622"/>
    <mergeCell ref="BO622:BS622"/>
    <mergeCell ref="C623:J623"/>
    <mergeCell ref="K623:P623"/>
    <mergeCell ref="R623:V623"/>
    <mergeCell ref="X623:AC623"/>
    <mergeCell ref="AE623:AI623"/>
    <mergeCell ref="AU623:AZ623"/>
    <mergeCell ref="BB623:BF623"/>
    <mergeCell ref="BH623:BM623"/>
    <mergeCell ref="BH627:BM627"/>
    <mergeCell ref="BO627:BS627"/>
    <mergeCell ref="K628:P628"/>
    <mergeCell ref="R628:V628"/>
    <mergeCell ref="X628:AC628"/>
    <mergeCell ref="AE628:AI628"/>
    <mergeCell ref="AU628:AZ628"/>
    <mergeCell ref="BB628:BF628"/>
    <mergeCell ref="BH628:BM628"/>
    <mergeCell ref="BO628:BS628"/>
    <mergeCell ref="K627:P627"/>
    <mergeCell ref="R627:V627"/>
    <mergeCell ref="X627:AC627"/>
    <mergeCell ref="AE627:AI627"/>
    <mergeCell ref="AU627:AZ627"/>
    <mergeCell ref="BB627:BF627"/>
    <mergeCell ref="BH625:BM625"/>
    <mergeCell ref="BO625:BS625"/>
    <mergeCell ref="K626:P626"/>
    <mergeCell ref="R626:V626"/>
    <mergeCell ref="X626:AC626"/>
    <mergeCell ref="AE626:AI626"/>
    <mergeCell ref="AU626:AZ626"/>
    <mergeCell ref="BB626:BF626"/>
    <mergeCell ref="BH626:BM626"/>
    <mergeCell ref="BO626:BS626"/>
    <mergeCell ref="K625:P625"/>
    <mergeCell ref="R625:V625"/>
    <mergeCell ref="X625:AC625"/>
    <mergeCell ref="AE625:AI625"/>
    <mergeCell ref="AU625:AZ625"/>
    <mergeCell ref="BB625:BF625"/>
    <mergeCell ref="AU631:AZ631"/>
    <mergeCell ref="BB631:BF631"/>
    <mergeCell ref="BH631:BM631"/>
    <mergeCell ref="BO631:BS631"/>
    <mergeCell ref="K632:P632"/>
    <mergeCell ref="R632:V632"/>
    <mergeCell ref="X632:AC632"/>
    <mergeCell ref="AE632:AI632"/>
    <mergeCell ref="AU632:AZ632"/>
    <mergeCell ref="BB632:BF632"/>
    <mergeCell ref="C631:J631"/>
    <mergeCell ref="K631:P631"/>
    <mergeCell ref="R631:V631"/>
    <mergeCell ref="X631:AC631"/>
    <mergeCell ref="AE631:AI631"/>
    <mergeCell ref="AM631:AT631"/>
    <mergeCell ref="BH629:BM629"/>
    <mergeCell ref="BO629:BS629"/>
    <mergeCell ref="K630:P630"/>
    <mergeCell ref="R630:V630"/>
    <mergeCell ref="X630:AC630"/>
    <mergeCell ref="AE630:AI630"/>
    <mergeCell ref="AU630:AZ630"/>
    <mergeCell ref="BB630:BF630"/>
    <mergeCell ref="BH630:BM630"/>
    <mergeCell ref="BO630:BS630"/>
    <mergeCell ref="K629:P629"/>
    <mergeCell ref="R629:V629"/>
    <mergeCell ref="X629:AC629"/>
    <mergeCell ref="AE629:AI629"/>
    <mergeCell ref="AU629:AZ629"/>
    <mergeCell ref="BB629:BF629"/>
    <mergeCell ref="BH634:BM634"/>
    <mergeCell ref="BO634:BS634"/>
    <mergeCell ref="K635:P635"/>
    <mergeCell ref="R635:V635"/>
    <mergeCell ref="X635:AC635"/>
    <mergeCell ref="AE635:AI635"/>
    <mergeCell ref="AU635:AZ635"/>
    <mergeCell ref="BB635:BF635"/>
    <mergeCell ref="BH635:BM635"/>
    <mergeCell ref="BO635:BS635"/>
    <mergeCell ref="K634:P634"/>
    <mergeCell ref="R634:V634"/>
    <mergeCell ref="X634:AC634"/>
    <mergeCell ref="AE634:AI634"/>
    <mergeCell ref="AU634:AZ634"/>
    <mergeCell ref="BB634:BF634"/>
    <mergeCell ref="BH632:BM632"/>
    <mergeCell ref="BO632:BS632"/>
    <mergeCell ref="K633:P633"/>
    <mergeCell ref="R633:V633"/>
    <mergeCell ref="X633:AC633"/>
    <mergeCell ref="AE633:AI633"/>
    <mergeCell ref="AU633:AZ633"/>
    <mergeCell ref="BB633:BF633"/>
    <mergeCell ref="BH633:BM633"/>
    <mergeCell ref="BO633:BS633"/>
    <mergeCell ref="BB638:BF638"/>
    <mergeCell ref="BH638:BM638"/>
    <mergeCell ref="BO638:BS638"/>
    <mergeCell ref="R639:V639"/>
    <mergeCell ref="A640:H640"/>
    <mergeCell ref="I640:P640"/>
    <mergeCell ref="Q640:X640"/>
    <mergeCell ref="Y640:AF640"/>
    <mergeCell ref="AG640:AN640"/>
    <mergeCell ref="AO640:AV640"/>
    <mergeCell ref="C638:J638"/>
    <mergeCell ref="K638:P638"/>
    <mergeCell ref="R638:V638"/>
    <mergeCell ref="X638:AC638"/>
    <mergeCell ref="AE638:AI638"/>
    <mergeCell ref="AU638:AZ638"/>
    <mergeCell ref="BH636:BM636"/>
    <mergeCell ref="BO636:BS636"/>
    <mergeCell ref="K637:P637"/>
    <mergeCell ref="R637:V637"/>
    <mergeCell ref="X637:AC637"/>
    <mergeCell ref="AE637:AI637"/>
    <mergeCell ref="AU637:AZ637"/>
    <mergeCell ref="BB637:BF637"/>
    <mergeCell ref="BH637:BM637"/>
    <mergeCell ref="BO637:BS637"/>
    <mergeCell ref="K636:P636"/>
    <mergeCell ref="R636:V636"/>
    <mergeCell ref="X636:AC636"/>
    <mergeCell ref="AE636:AI636"/>
    <mergeCell ref="AU636:AZ636"/>
    <mergeCell ref="BB636:BF636"/>
    <mergeCell ref="EO640:EV640"/>
    <mergeCell ref="EW640:FD640"/>
    <mergeCell ref="FE640:FL640"/>
    <mergeCell ref="FM640:FT640"/>
    <mergeCell ref="FU640:GB640"/>
    <mergeCell ref="GC640:GJ640"/>
    <mergeCell ref="CS640:CZ640"/>
    <mergeCell ref="DA640:DH640"/>
    <mergeCell ref="DI640:DP640"/>
    <mergeCell ref="DQ640:DX640"/>
    <mergeCell ref="DY640:EF640"/>
    <mergeCell ref="EG640:EN640"/>
    <mergeCell ref="AW640:BD640"/>
    <mergeCell ref="BE640:BL640"/>
    <mergeCell ref="BM640:BT640"/>
    <mergeCell ref="BU640:CB640"/>
    <mergeCell ref="CC640:CJ640"/>
    <mergeCell ref="CK640:CR640"/>
    <mergeCell ref="KC640:KJ640"/>
    <mergeCell ref="KK640:KR640"/>
    <mergeCell ref="KS640:KZ640"/>
    <mergeCell ref="LA640:LH640"/>
    <mergeCell ref="LI640:LP640"/>
    <mergeCell ref="LQ640:LX640"/>
    <mergeCell ref="IG640:IN640"/>
    <mergeCell ref="IO640:IV640"/>
    <mergeCell ref="IW640:JD640"/>
    <mergeCell ref="JE640:JL640"/>
    <mergeCell ref="JM640:JT640"/>
    <mergeCell ref="JU640:KB640"/>
    <mergeCell ref="GK640:GR640"/>
    <mergeCell ref="GS640:GZ640"/>
    <mergeCell ref="HA640:HH640"/>
    <mergeCell ref="HI640:HP640"/>
    <mergeCell ref="HQ640:HX640"/>
    <mergeCell ref="HY640:IF640"/>
    <mergeCell ref="PQ640:PX640"/>
    <mergeCell ref="PY640:QF640"/>
    <mergeCell ref="QG640:QN640"/>
    <mergeCell ref="QO640:QV640"/>
    <mergeCell ref="QW640:RD640"/>
    <mergeCell ref="RE640:RL640"/>
    <mergeCell ref="NU640:OB640"/>
    <mergeCell ref="OC640:OJ640"/>
    <mergeCell ref="OK640:OR640"/>
    <mergeCell ref="OS640:OZ640"/>
    <mergeCell ref="PA640:PH640"/>
    <mergeCell ref="PI640:PP640"/>
    <mergeCell ref="LY640:MF640"/>
    <mergeCell ref="MG640:MN640"/>
    <mergeCell ref="MO640:MV640"/>
    <mergeCell ref="MW640:ND640"/>
    <mergeCell ref="NE640:NL640"/>
    <mergeCell ref="NM640:NT640"/>
    <mergeCell ref="VE640:VL640"/>
    <mergeCell ref="VM640:VT640"/>
    <mergeCell ref="VU640:WB640"/>
    <mergeCell ref="WC640:WJ640"/>
    <mergeCell ref="WK640:WR640"/>
    <mergeCell ref="WS640:WZ640"/>
    <mergeCell ref="TI640:TP640"/>
    <mergeCell ref="TQ640:TX640"/>
    <mergeCell ref="TY640:UF640"/>
    <mergeCell ref="UG640:UN640"/>
    <mergeCell ref="UO640:UV640"/>
    <mergeCell ref="UW640:VD640"/>
    <mergeCell ref="RM640:RT640"/>
    <mergeCell ref="RU640:SB640"/>
    <mergeCell ref="SC640:SJ640"/>
    <mergeCell ref="SK640:SR640"/>
    <mergeCell ref="SS640:SZ640"/>
    <mergeCell ref="TA640:TH640"/>
    <mergeCell ref="AAS640:AAZ640"/>
    <mergeCell ref="ABA640:ABH640"/>
    <mergeCell ref="ABI640:ABP640"/>
    <mergeCell ref="ABQ640:ABX640"/>
    <mergeCell ref="ABY640:ACF640"/>
    <mergeCell ref="ACG640:ACN640"/>
    <mergeCell ref="YW640:ZD640"/>
    <mergeCell ref="ZE640:ZL640"/>
    <mergeCell ref="ZM640:ZT640"/>
    <mergeCell ref="ZU640:AAB640"/>
    <mergeCell ref="AAC640:AAJ640"/>
    <mergeCell ref="AAK640:AAR640"/>
    <mergeCell ref="XA640:XH640"/>
    <mergeCell ref="XI640:XP640"/>
    <mergeCell ref="XQ640:XX640"/>
    <mergeCell ref="XY640:YF640"/>
    <mergeCell ref="YG640:YN640"/>
    <mergeCell ref="YO640:YV640"/>
    <mergeCell ref="AGG640:AGN640"/>
    <mergeCell ref="AGO640:AGV640"/>
    <mergeCell ref="AGW640:AHD640"/>
    <mergeCell ref="AHE640:AHL640"/>
    <mergeCell ref="AHM640:AHT640"/>
    <mergeCell ref="AHU640:AIB640"/>
    <mergeCell ref="AEK640:AER640"/>
    <mergeCell ref="AES640:AEZ640"/>
    <mergeCell ref="AFA640:AFH640"/>
    <mergeCell ref="AFI640:AFP640"/>
    <mergeCell ref="AFQ640:AFX640"/>
    <mergeCell ref="AFY640:AGF640"/>
    <mergeCell ref="ACO640:ACV640"/>
    <mergeCell ref="ACW640:ADD640"/>
    <mergeCell ref="ADE640:ADL640"/>
    <mergeCell ref="ADM640:ADT640"/>
    <mergeCell ref="ADU640:AEB640"/>
    <mergeCell ref="AEC640:AEJ640"/>
    <mergeCell ref="ALU640:AMB640"/>
    <mergeCell ref="AMC640:AMJ640"/>
    <mergeCell ref="AMK640:AMR640"/>
    <mergeCell ref="AMS640:AMZ640"/>
    <mergeCell ref="ANA640:ANH640"/>
    <mergeCell ref="ANI640:ANP640"/>
    <mergeCell ref="AJY640:AKF640"/>
    <mergeCell ref="AKG640:AKN640"/>
    <mergeCell ref="AKO640:AKV640"/>
    <mergeCell ref="AKW640:ALD640"/>
    <mergeCell ref="ALE640:ALL640"/>
    <mergeCell ref="ALM640:ALT640"/>
    <mergeCell ref="AIC640:AIJ640"/>
    <mergeCell ref="AIK640:AIR640"/>
    <mergeCell ref="AIS640:AIZ640"/>
    <mergeCell ref="AJA640:AJH640"/>
    <mergeCell ref="AJI640:AJP640"/>
    <mergeCell ref="AJQ640:AJX640"/>
    <mergeCell ref="ARI640:ARP640"/>
    <mergeCell ref="ARQ640:ARX640"/>
    <mergeCell ref="ARY640:ASF640"/>
    <mergeCell ref="ASG640:ASN640"/>
    <mergeCell ref="ASO640:ASV640"/>
    <mergeCell ref="ASW640:ATD640"/>
    <mergeCell ref="APM640:APT640"/>
    <mergeCell ref="APU640:AQB640"/>
    <mergeCell ref="AQC640:AQJ640"/>
    <mergeCell ref="AQK640:AQR640"/>
    <mergeCell ref="AQS640:AQZ640"/>
    <mergeCell ref="ARA640:ARH640"/>
    <mergeCell ref="ANQ640:ANX640"/>
    <mergeCell ref="ANY640:AOF640"/>
    <mergeCell ref="AOG640:AON640"/>
    <mergeCell ref="AOO640:AOV640"/>
    <mergeCell ref="AOW640:APD640"/>
    <mergeCell ref="APE640:APL640"/>
    <mergeCell ref="AWW640:AXD640"/>
    <mergeCell ref="AXE640:AXL640"/>
    <mergeCell ref="AXM640:AXT640"/>
    <mergeCell ref="AXU640:AYB640"/>
    <mergeCell ref="AYC640:AYJ640"/>
    <mergeCell ref="AYK640:AYR640"/>
    <mergeCell ref="AVA640:AVH640"/>
    <mergeCell ref="AVI640:AVP640"/>
    <mergeCell ref="AVQ640:AVX640"/>
    <mergeCell ref="AVY640:AWF640"/>
    <mergeCell ref="AWG640:AWN640"/>
    <mergeCell ref="AWO640:AWV640"/>
    <mergeCell ref="ATE640:ATL640"/>
    <mergeCell ref="ATM640:ATT640"/>
    <mergeCell ref="ATU640:AUB640"/>
    <mergeCell ref="AUC640:AUJ640"/>
    <mergeCell ref="AUK640:AUR640"/>
    <mergeCell ref="AUS640:AUZ640"/>
    <mergeCell ref="BCK640:BCR640"/>
    <mergeCell ref="BCS640:BCZ640"/>
    <mergeCell ref="BDA640:BDH640"/>
    <mergeCell ref="BDI640:BDP640"/>
    <mergeCell ref="BDQ640:BDX640"/>
    <mergeCell ref="BDY640:BEF640"/>
    <mergeCell ref="BAO640:BAV640"/>
    <mergeCell ref="BAW640:BBD640"/>
    <mergeCell ref="BBE640:BBL640"/>
    <mergeCell ref="BBM640:BBT640"/>
    <mergeCell ref="BBU640:BCB640"/>
    <mergeCell ref="BCC640:BCJ640"/>
    <mergeCell ref="AYS640:AYZ640"/>
    <mergeCell ref="AZA640:AZH640"/>
    <mergeCell ref="AZI640:AZP640"/>
    <mergeCell ref="AZQ640:AZX640"/>
    <mergeCell ref="AZY640:BAF640"/>
    <mergeCell ref="BAG640:BAN640"/>
    <mergeCell ref="BHY640:BIF640"/>
    <mergeCell ref="BIG640:BIN640"/>
    <mergeCell ref="BIO640:BIV640"/>
    <mergeCell ref="BIW640:BJD640"/>
    <mergeCell ref="BJE640:BJL640"/>
    <mergeCell ref="BJM640:BJT640"/>
    <mergeCell ref="BGC640:BGJ640"/>
    <mergeCell ref="BGK640:BGR640"/>
    <mergeCell ref="BGS640:BGZ640"/>
    <mergeCell ref="BHA640:BHH640"/>
    <mergeCell ref="BHI640:BHP640"/>
    <mergeCell ref="BHQ640:BHX640"/>
    <mergeCell ref="BEG640:BEN640"/>
    <mergeCell ref="BEO640:BEV640"/>
    <mergeCell ref="BEW640:BFD640"/>
    <mergeCell ref="BFE640:BFL640"/>
    <mergeCell ref="BFM640:BFT640"/>
    <mergeCell ref="BFU640:BGB640"/>
    <mergeCell ref="BNM640:BNT640"/>
    <mergeCell ref="BNU640:BOB640"/>
    <mergeCell ref="BOC640:BOJ640"/>
    <mergeCell ref="BOK640:BOR640"/>
    <mergeCell ref="BOS640:BOZ640"/>
    <mergeCell ref="BPA640:BPH640"/>
    <mergeCell ref="BLQ640:BLX640"/>
    <mergeCell ref="BLY640:BMF640"/>
    <mergeCell ref="BMG640:BMN640"/>
    <mergeCell ref="BMO640:BMV640"/>
    <mergeCell ref="BMW640:BND640"/>
    <mergeCell ref="BNE640:BNL640"/>
    <mergeCell ref="BJU640:BKB640"/>
    <mergeCell ref="BKC640:BKJ640"/>
    <mergeCell ref="BKK640:BKR640"/>
    <mergeCell ref="BKS640:BKZ640"/>
    <mergeCell ref="BLA640:BLH640"/>
    <mergeCell ref="BLI640:BLP640"/>
    <mergeCell ref="BTA640:BTH640"/>
    <mergeCell ref="BTI640:BTP640"/>
    <mergeCell ref="BTQ640:BTX640"/>
    <mergeCell ref="BTY640:BUF640"/>
    <mergeCell ref="BUG640:BUN640"/>
    <mergeCell ref="BUO640:BUV640"/>
    <mergeCell ref="BRE640:BRL640"/>
    <mergeCell ref="BRM640:BRT640"/>
    <mergeCell ref="BRU640:BSB640"/>
    <mergeCell ref="BSC640:BSJ640"/>
    <mergeCell ref="BSK640:BSR640"/>
    <mergeCell ref="BSS640:BSZ640"/>
    <mergeCell ref="BPI640:BPP640"/>
    <mergeCell ref="BPQ640:BPX640"/>
    <mergeCell ref="BPY640:BQF640"/>
    <mergeCell ref="BQG640:BQN640"/>
    <mergeCell ref="BQO640:BQV640"/>
    <mergeCell ref="BQW640:BRD640"/>
    <mergeCell ref="BYO640:BYV640"/>
    <mergeCell ref="BYW640:BZD640"/>
    <mergeCell ref="BZE640:BZL640"/>
    <mergeCell ref="BZM640:BZT640"/>
    <mergeCell ref="BZU640:CAB640"/>
    <mergeCell ref="CAC640:CAJ640"/>
    <mergeCell ref="BWS640:BWZ640"/>
    <mergeCell ref="BXA640:BXH640"/>
    <mergeCell ref="BXI640:BXP640"/>
    <mergeCell ref="BXQ640:BXX640"/>
    <mergeCell ref="BXY640:BYF640"/>
    <mergeCell ref="BYG640:BYN640"/>
    <mergeCell ref="BUW640:BVD640"/>
    <mergeCell ref="BVE640:BVL640"/>
    <mergeCell ref="BVM640:BVT640"/>
    <mergeCell ref="BVU640:BWB640"/>
    <mergeCell ref="BWC640:BWJ640"/>
    <mergeCell ref="BWK640:BWR640"/>
    <mergeCell ref="CEC640:CEJ640"/>
    <mergeCell ref="CEK640:CER640"/>
    <mergeCell ref="CES640:CEZ640"/>
    <mergeCell ref="CFA640:CFH640"/>
    <mergeCell ref="CFI640:CFP640"/>
    <mergeCell ref="CFQ640:CFX640"/>
    <mergeCell ref="CCG640:CCN640"/>
    <mergeCell ref="CCO640:CCV640"/>
    <mergeCell ref="CCW640:CDD640"/>
    <mergeCell ref="CDE640:CDL640"/>
    <mergeCell ref="CDM640:CDT640"/>
    <mergeCell ref="CDU640:CEB640"/>
    <mergeCell ref="CAK640:CAR640"/>
    <mergeCell ref="CAS640:CAZ640"/>
    <mergeCell ref="CBA640:CBH640"/>
    <mergeCell ref="CBI640:CBP640"/>
    <mergeCell ref="CBQ640:CBX640"/>
    <mergeCell ref="CBY640:CCF640"/>
    <mergeCell ref="CJQ640:CJX640"/>
    <mergeCell ref="CJY640:CKF640"/>
    <mergeCell ref="CKG640:CKN640"/>
    <mergeCell ref="CKO640:CKV640"/>
    <mergeCell ref="CKW640:CLD640"/>
    <mergeCell ref="CLE640:CLL640"/>
    <mergeCell ref="CHU640:CIB640"/>
    <mergeCell ref="CIC640:CIJ640"/>
    <mergeCell ref="CIK640:CIR640"/>
    <mergeCell ref="CIS640:CIZ640"/>
    <mergeCell ref="CJA640:CJH640"/>
    <mergeCell ref="CJI640:CJP640"/>
    <mergeCell ref="CFY640:CGF640"/>
    <mergeCell ref="CGG640:CGN640"/>
    <mergeCell ref="CGO640:CGV640"/>
    <mergeCell ref="CGW640:CHD640"/>
    <mergeCell ref="CHE640:CHL640"/>
    <mergeCell ref="CHM640:CHT640"/>
    <mergeCell ref="CPE640:CPL640"/>
    <mergeCell ref="CPM640:CPT640"/>
    <mergeCell ref="CPU640:CQB640"/>
    <mergeCell ref="CQC640:CQJ640"/>
    <mergeCell ref="CQK640:CQR640"/>
    <mergeCell ref="CQS640:CQZ640"/>
    <mergeCell ref="CNI640:CNP640"/>
    <mergeCell ref="CNQ640:CNX640"/>
    <mergeCell ref="CNY640:COF640"/>
    <mergeCell ref="COG640:CON640"/>
    <mergeCell ref="COO640:COV640"/>
    <mergeCell ref="COW640:CPD640"/>
    <mergeCell ref="CLM640:CLT640"/>
    <mergeCell ref="CLU640:CMB640"/>
    <mergeCell ref="CMC640:CMJ640"/>
    <mergeCell ref="CMK640:CMR640"/>
    <mergeCell ref="CMS640:CMZ640"/>
    <mergeCell ref="CNA640:CNH640"/>
    <mergeCell ref="CUS640:CUZ640"/>
    <mergeCell ref="CVA640:CVH640"/>
    <mergeCell ref="CVI640:CVP640"/>
    <mergeCell ref="CVQ640:CVX640"/>
    <mergeCell ref="CVY640:CWF640"/>
    <mergeCell ref="CWG640:CWN640"/>
    <mergeCell ref="CSW640:CTD640"/>
    <mergeCell ref="CTE640:CTL640"/>
    <mergeCell ref="CTM640:CTT640"/>
    <mergeCell ref="CTU640:CUB640"/>
    <mergeCell ref="CUC640:CUJ640"/>
    <mergeCell ref="CUK640:CUR640"/>
    <mergeCell ref="CRA640:CRH640"/>
    <mergeCell ref="CRI640:CRP640"/>
    <mergeCell ref="CRQ640:CRX640"/>
    <mergeCell ref="CRY640:CSF640"/>
    <mergeCell ref="CSG640:CSN640"/>
    <mergeCell ref="CSO640:CSV640"/>
    <mergeCell ref="DAG640:DAN640"/>
    <mergeCell ref="DAO640:DAV640"/>
    <mergeCell ref="DAW640:DBD640"/>
    <mergeCell ref="DBE640:DBL640"/>
    <mergeCell ref="DBM640:DBT640"/>
    <mergeCell ref="DBU640:DCB640"/>
    <mergeCell ref="CYK640:CYR640"/>
    <mergeCell ref="CYS640:CYZ640"/>
    <mergeCell ref="CZA640:CZH640"/>
    <mergeCell ref="CZI640:CZP640"/>
    <mergeCell ref="CZQ640:CZX640"/>
    <mergeCell ref="CZY640:DAF640"/>
    <mergeCell ref="CWO640:CWV640"/>
    <mergeCell ref="CWW640:CXD640"/>
    <mergeCell ref="CXE640:CXL640"/>
    <mergeCell ref="CXM640:CXT640"/>
    <mergeCell ref="CXU640:CYB640"/>
    <mergeCell ref="CYC640:CYJ640"/>
    <mergeCell ref="DFU640:DGB640"/>
    <mergeCell ref="DGC640:DGJ640"/>
    <mergeCell ref="DGK640:DGR640"/>
    <mergeCell ref="DGS640:DGZ640"/>
    <mergeCell ref="DHA640:DHH640"/>
    <mergeCell ref="DHI640:DHP640"/>
    <mergeCell ref="DDY640:DEF640"/>
    <mergeCell ref="DEG640:DEN640"/>
    <mergeCell ref="DEO640:DEV640"/>
    <mergeCell ref="DEW640:DFD640"/>
    <mergeCell ref="DFE640:DFL640"/>
    <mergeCell ref="DFM640:DFT640"/>
    <mergeCell ref="DCC640:DCJ640"/>
    <mergeCell ref="DCK640:DCR640"/>
    <mergeCell ref="DCS640:DCZ640"/>
    <mergeCell ref="DDA640:DDH640"/>
    <mergeCell ref="DDI640:DDP640"/>
    <mergeCell ref="DDQ640:DDX640"/>
    <mergeCell ref="DLI640:DLP640"/>
    <mergeCell ref="DLQ640:DLX640"/>
    <mergeCell ref="DLY640:DMF640"/>
    <mergeCell ref="DMG640:DMN640"/>
    <mergeCell ref="DMO640:DMV640"/>
    <mergeCell ref="DMW640:DND640"/>
    <mergeCell ref="DJM640:DJT640"/>
    <mergeCell ref="DJU640:DKB640"/>
    <mergeCell ref="DKC640:DKJ640"/>
    <mergeCell ref="DKK640:DKR640"/>
    <mergeCell ref="DKS640:DKZ640"/>
    <mergeCell ref="DLA640:DLH640"/>
    <mergeCell ref="DHQ640:DHX640"/>
    <mergeCell ref="DHY640:DIF640"/>
    <mergeCell ref="DIG640:DIN640"/>
    <mergeCell ref="DIO640:DIV640"/>
    <mergeCell ref="DIW640:DJD640"/>
    <mergeCell ref="DJE640:DJL640"/>
    <mergeCell ref="DQW640:DRD640"/>
    <mergeCell ref="DRE640:DRL640"/>
    <mergeCell ref="DRM640:DRT640"/>
    <mergeCell ref="DRU640:DSB640"/>
    <mergeCell ref="DSC640:DSJ640"/>
    <mergeCell ref="DSK640:DSR640"/>
    <mergeCell ref="DPA640:DPH640"/>
    <mergeCell ref="DPI640:DPP640"/>
    <mergeCell ref="DPQ640:DPX640"/>
    <mergeCell ref="DPY640:DQF640"/>
    <mergeCell ref="DQG640:DQN640"/>
    <mergeCell ref="DQO640:DQV640"/>
    <mergeCell ref="DNE640:DNL640"/>
    <mergeCell ref="DNM640:DNT640"/>
    <mergeCell ref="DNU640:DOB640"/>
    <mergeCell ref="DOC640:DOJ640"/>
    <mergeCell ref="DOK640:DOR640"/>
    <mergeCell ref="DOS640:DOZ640"/>
    <mergeCell ref="DWK640:DWR640"/>
    <mergeCell ref="DWS640:DWZ640"/>
    <mergeCell ref="DXA640:DXH640"/>
    <mergeCell ref="DXI640:DXP640"/>
    <mergeCell ref="DXQ640:DXX640"/>
    <mergeCell ref="DXY640:DYF640"/>
    <mergeCell ref="DUO640:DUV640"/>
    <mergeCell ref="DUW640:DVD640"/>
    <mergeCell ref="DVE640:DVL640"/>
    <mergeCell ref="DVM640:DVT640"/>
    <mergeCell ref="DVU640:DWB640"/>
    <mergeCell ref="DWC640:DWJ640"/>
    <mergeCell ref="DSS640:DSZ640"/>
    <mergeCell ref="DTA640:DTH640"/>
    <mergeCell ref="DTI640:DTP640"/>
    <mergeCell ref="DTQ640:DTX640"/>
    <mergeCell ref="DTY640:DUF640"/>
    <mergeCell ref="DUG640:DUN640"/>
    <mergeCell ref="EBY640:ECF640"/>
    <mergeCell ref="ECG640:ECN640"/>
    <mergeCell ref="ECO640:ECV640"/>
    <mergeCell ref="ECW640:EDD640"/>
    <mergeCell ref="EDE640:EDL640"/>
    <mergeCell ref="EDM640:EDT640"/>
    <mergeCell ref="EAC640:EAJ640"/>
    <mergeCell ref="EAK640:EAR640"/>
    <mergeCell ref="EAS640:EAZ640"/>
    <mergeCell ref="EBA640:EBH640"/>
    <mergeCell ref="EBI640:EBP640"/>
    <mergeCell ref="EBQ640:EBX640"/>
    <mergeCell ref="DYG640:DYN640"/>
    <mergeCell ref="DYO640:DYV640"/>
    <mergeCell ref="DYW640:DZD640"/>
    <mergeCell ref="DZE640:DZL640"/>
    <mergeCell ref="DZM640:DZT640"/>
    <mergeCell ref="DZU640:EAB640"/>
    <mergeCell ref="EHM640:EHT640"/>
    <mergeCell ref="EHU640:EIB640"/>
    <mergeCell ref="EIC640:EIJ640"/>
    <mergeCell ref="EIK640:EIR640"/>
    <mergeCell ref="EIS640:EIZ640"/>
    <mergeCell ref="EJA640:EJH640"/>
    <mergeCell ref="EFQ640:EFX640"/>
    <mergeCell ref="EFY640:EGF640"/>
    <mergeCell ref="EGG640:EGN640"/>
    <mergeCell ref="EGO640:EGV640"/>
    <mergeCell ref="EGW640:EHD640"/>
    <mergeCell ref="EHE640:EHL640"/>
    <mergeCell ref="EDU640:EEB640"/>
    <mergeCell ref="EEC640:EEJ640"/>
    <mergeCell ref="EEK640:EER640"/>
    <mergeCell ref="EES640:EEZ640"/>
    <mergeCell ref="EFA640:EFH640"/>
    <mergeCell ref="EFI640:EFP640"/>
    <mergeCell ref="ENA640:ENH640"/>
    <mergeCell ref="ENI640:ENP640"/>
    <mergeCell ref="ENQ640:ENX640"/>
    <mergeCell ref="ENY640:EOF640"/>
    <mergeCell ref="EOG640:EON640"/>
    <mergeCell ref="EOO640:EOV640"/>
    <mergeCell ref="ELE640:ELL640"/>
    <mergeCell ref="ELM640:ELT640"/>
    <mergeCell ref="ELU640:EMB640"/>
    <mergeCell ref="EMC640:EMJ640"/>
    <mergeCell ref="EMK640:EMR640"/>
    <mergeCell ref="EMS640:EMZ640"/>
    <mergeCell ref="EJI640:EJP640"/>
    <mergeCell ref="EJQ640:EJX640"/>
    <mergeCell ref="EJY640:EKF640"/>
    <mergeCell ref="EKG640:EKN640"/>
    <mergeCell ref="EKO640:EKV640"/>
    <mergeCell ref="EKW640:ELD640"/>
    <mergeCell ref="ESO640:ESV640"/>
    <mergeCell ref="ESW640:ETD640"/>
    <mergeCell ref="ETE640:ETL640"/>
    <mergeCell ref="ETM640:ETT640"/>
    <mergeCell ref="ETU640:EUB640"/>
    <mergeCell ref="EUC640:EUJ640"/>
    <mergeCell ref="EQS640:EQZ640"/>
    <mergeCell ref="ERA640:ERH640"/>
    <mergeCell ref="ERI640:ERP640"/>
    <mergeCell ref="ERQ640:ERX640"/>
    <mergeCell ref="ERY640:ESF640"/>
    <mergeCell ref="ESG640:ESN640"/>
    <mergeCell ref="EOW640:EPD640"/>
    <mergeCell ref="EPE640:EPL640"/>
    <mergeCell ref="EPM640:EPT640"/>
    <mergeCell ref="EPU640:EQB640"/>
    <mergeCell ref="EQC640:EQJ640"/>
    <mergeCell ref="EQK640:EQR640"/>
    <mergeCell ref="EYC640:EYJ640"/>
    <mergeCell ref="EYK640:EYR640"/>
    <mergeCell ref="EYS640:EYZ640"/>
    <mergeCell ref="EZA640:EZH640"/>
    <mergeCell ref="EZI640:EZP640"/>
    <mergeCell ref="EZQ640:EZX640"/>
    <mergeCell ref="EWG640:EWN640"/>
    <mergeCell ref="EWO640:EWV640"/>
    <mergeCell ref="EWW640:EXD640"/>
    <mergeCell ref="EXE640:EXL640"/>
    <mergeCell ref="EXM640:EXT640"/>
    <mergeCell ref="EXU640:EYB640"/>
    <mergeCell ref="EUK640:EUR640"/>
    <mergeCell ref="EUS640:EUZ640"/>
    <mergeCell ref="EVA640:EVH640"/>
    <mergeCell ref="EVI640:EVP640"/>
    <mergeCell ref="EVQ640:EVX640"/>
    <mergeCell ref="EVY640:EWF640"/>
    <mergeCell ref="FDQ640:FDX640"/>
    <mergeCell ref="FDY640:FEF640"/>
    <mergeCell ref="FEG640:FEN640"/>
    <mergeCell ref="FEO640:FEV640"/>
    <mergeCell ref="FEW640:FFD640"/>
    <mergeCell ref="FFE640:FFL640"/>
    <mergeCell ref="FBU640:FCB640"/>
    <mergeCell ref="FCC640:FCJ640"/>
    <mergeCell ref="FCK640:FCR640"/>
    <mergeCell ref="FCS640:FCZ640"/>
    <mergeCell ref="FDA640:FDH640"/>
    <mergeCell ref="FDI640:FDP640"/>
    <mergeCell ref="EZY640:FAF640"/>
    <mergeCell ref="FAG640:FAN640"/>
    <mergeCell ref="FAO640:FAV640"/>
    <mergeCell ref="FAW640:FBD640"/>
    <mergeCell ref="FBE640:FBL640"/>
    <mergeCell ref="FBM640:FBT640"/>
    <mergeCell ref="FJE640:FJL640"/>
    <mergeCell ref="FJM640:FJT640"/>
    <mergeCell ref="FJU640:FKB640"/>
    <mergeCell ref="FKC640:FKJ640"/>
    <mergeCell ref="FKK640:FKR640"/>
    <mergeCell ref="FKS640:FKZ640"/>
    <mergeCell ref="FHI640:FHP640"/>
    <mergeCell ref="FHQ640:FHX640"/>
    <mergeCell ref="FHY640:FIF640"/>
    <mergeCell ref="FIG640:FIN640"/>
    <mergeCell ref="FIO640:FIV640"/>
    <mergeCell ref="FIW640:FJD640"/>
    <mergeCell ref="FFM640:FFT640"/>
    <mergeCell ref="FFU640:FGB640"/>
    <mergeCell ref="FGC640:FGJ640"/>
    <mergeCell ref="FGK640:FGR640"/>
    <mergeCell ref="FGS640:FGZ640"/>
    <mergeCell ref="FHA640:FHH640"/>
    <mergeCell ref="FOS640:FOZ640"/>
    <mergeCell ref="FPA640:FPH640"/>
    <mergeCell ref="FPI640:FPP640"/>
    <mergeCell ref="FPQ640:FPX640"/>
    <mergeCell ref="FPY640:FQF640"/>
    <mergeCell ref="FQG640:FQN640"/>
    <mergeCell ref="FMW640:FND640"/>
    <mergeCell ref="FNE640:FNL640"/>
    <mergeCell ref="FNM640:FNT640"/>
    <mergeCell ref="FNU640:FOB640"/>
    <mergeCell ref="FOC640:FOJ640"/>
    <mergeCell ref="FOK640:FOR640"/>
    <mergeCell ref="FLA640:FLH640"/>
    <mergeCell ref="FLI640:FLP640"/>
    <mergeCell ref="FLQ640:FLX640"/>
    <mergeCell ref="FLY640:FMF640"/>
    <mergeCell ref="FMG640:FMN640"/>
    <mergeCell ref="FMO640:FMV640"/>
    <mergeCell ref="FUG640:FUN640"/>
    <mergeCell ref="FUO640:FUV640"/>
    <mergeCell ref="FUW640:FVD640"/>
    <mergeCell ref="FVE640:FVL640"/>
    <mergeCell ref="FVM640:FVT640"/>
    <mergeCell ref="FVU640:FWB640"/>
    <mergeCell ref="FSK640:FSR640"/>
    <mergeCell ref="FSS640:FSZ640"/>
    <mergeCell ref="FTA640:FTH640"/>
    <mergeCell ref="FTI640:FTP640"/>
    <mergeCell ref="FTQ640:FTX640"/>
    <mergeCell ref="FTY640:FUF640"/>
    <mergeCell ref="FQO640:FQV640"/>
    <mergeCell ref="FQW640:FRD640"/>
    <mergeCell ref="FRE640:FRL640"/>
    <mergeCell ref="FRM640:FRT640"/>
    <mergeCell ref="FRU640:FSB640"/>
    <mergeCell ref="FSC640:FSJ640"/>
    <mergeCell ref="FZU640:GAB640"/>
    <mergeCell ref="GAC640:GAJ640"/>
    <mergeCell ref="GAK640:GAR640"/>
    <mergeCell ref="GAS640:GAZ640"/>
    <mergeCell ref="GBA640:GBH640"/>
    <mergeCell ref="GBI640:GBP640"/>
    <mergeCell ref="FXY640:FYF640"/>
    <mergeCell ref="FYG640:FYN640"/>
    <mergeCell ref="FYO640:FYV640"/>
    <mergeCell ref="FYW640:FZD640"/>
    <mergeCell ref="FZE640:FZL640"/>
    <mergeCell ref="FZM640:FZT640"/>
    <mergeCell ref="FWC640:FWJ640"/>
    <mergeCell ref="FWK640:FWR640"/>
    <mergeCell ref="FWS640:FWZ640"/>
    <mergeCell ref="FXA640:FXH640"/>
    <mergeCell ref="FXI640:FXP640"/>
    <mergeCell ref="FXQ640:FXX640"/>
    <mergeCell ref="GFI640:GFP640"/>
    <mergeCell ref="GFQ640:GFX640"/>
    <mergeCell ref="GFY640:GGF640"/>
    <mergeCell ref="GGG640:GGN640"/>
    <mergeCell ref="GGO640:GGV640"/>
    <mergeCell ref="GGW640:GHD640"/>
    <mergeCell ref="GDM640:GDT640"/>
    <mergeCell ref="GDU640:GEB640"/>
    <mergeCell ref="GEC640:GEJ640"/>
    <mergeCell ref="GEK640:GER640"/>
    <mergeCell ref="GES640:GEZ640"/>
    <mergeCell ref="GFA640:GFH640"/>
    <mergeCell ref="GBQ640:GBX640"/>
    <mergeCell ref="GBY640:GCF640"/>
    <mergeCell ref="GCG640:GCN640"/>
    <mergeCell ref="GCO640:GCV640"/>
    <mergeCell ref="GCW640:GDD640"/>
    <mergeCell ref="GDE640:GDL640"/>
    <mergeCell ref="GKW640:GLD640"/>
    <mergeCell ref="GLE640:GLL640"/>
    <mergeCell ref="GLM640:GLT640"/>
    <mergeCell ref="GLU640:GMB640"/>
    <mergeCell ref="GMC640:GMJ640"/>
    <mergeCell ref="GMK640:GMR640"/>
    <mergeCell ref="GJA640:GJH640"/>
    <mergeCell ref="GJI640:GJP640"/>
    <mergeCell ref="GJQ640:GJX640"/>
    <mergeCell ref="GJY640:GKF640"/>
    <mergeCell ref="GKG640:GKN640"/>
    <mergeCell ref="GKO640:GKV640"/>
    <mergeCell ref="GHE640:GHL640"/>
    <mergeCell ref="GHM640:GHT640"/>
    <mergeCell ref="GHU640:GIB640"/>
    <mergeCell ref="GIC640:GIJ640"/>
    <mergeCell ref="GIK640:GIR640"/>
    <mergeCell ref="GIS640:GIZ640"/>
    <mergeCell ref="GQK640:GQR640"/>
    <mergeCell ref="GQS640:GQZ640"/>
    <mergeCell ref="GRA640:GRH640"/>
    <mergeCell ref="GRI640:GRP640"/>
    <mergeCell ref="GRQ640:GRX640"/>
    <mergeCell ref="GRY640:GSF640"/>
    <mergeCell ref="GOO640:GOV640"/>
    <mergeCell ref="GOW640:GPD640"/>
    <mergeCell ref="GPE640:GPL640"/>
    <mergeCell ref="GPM640:GPT640"/>
    <mergeCell ref="GPU640:GQB640"/>
    <mergeCell ref="GQC640:GQJ640"/>
    <mergeCell ref="GMS640:GMZ640"/>
    <mergeCell ref="GNA640:GNH640"/>
    <mergeCell ref="GNI640:GNP640"/>
    <mergeCell ref="GNQ640:GNX640"/>
    <mergeCell ref="GNY640:GOF640"/>
    <mergeCell ref="GOG640:GON640"/>
    <mergeCell ref="GVY640:GWF640"/>
    <mergeCell ref="GWG640:GWN640"/>
    <mergeCell ref="GWO640:GWV640"/>
    <mergeCell ref="GWW640:GXD640"/>
    <mergeCell ref="GXE640:GXL640"/>
    <mergeCell ref="GXM640:GXT640"/>
    <mergeCell ref="GUC640:GUJ640"/>
    <mergeCell ref="GUK640:GUR640"/>
    <mergeCell ref="GUS640:GUZ640"/>
    <mergeCell ref="GVA640:GVH640"/>
    <mergeCell ref="GVI640:GVP640"/>
    <mergeCell ref="GVQ640:GVX640"/>
    <mergeCell ref="GSG640:GSN640"/>
    <mergeCell ref="GSO640:GSV640"/>
    <mergeCell ref="GSW640:GTD640"/>
    <mergeCell ref="GTE640:GTL640"/>
    <mergeCell ref="GTM640:GTT640"/>
    <mergeCell ref="GTU640:GUB640"/>
    <mergeCell ref="HBM640:HBT640"/>
    <mergeCell ref="HBU640:HCB640"/>
    <mergeCell ref="HCC640:HCJ640"/>
    <mergeCell ref="HCK640:HCR640"/>
    <mergeCell ref="HCS640:HCZ640"/>
    <mergeCell ref="HDA640:HDH640"/>
    <mergeCell ref="GZQ640:GZX640"/>
    <mergeCell ref="GZY640:HAF640"/>
    <mergeCell ref="HAG640:HAN640"/>
    <mergeCell ref="HAO640:HAV640"/>
    <mergeCell ref="HAW640:HBD640"/>
    <mergeCell ref="HBE640:HBL640"/>
    <mergeCell ref="GXU640:GYB640"/>
    <mergeCell ref="GYC640:GYJ640"/>
    <mergeCell ref="GYK640:GYR640"/>
    <mergeCell ref="GYS640:GYZ640"/>
    <mergeCell ref="GZA640:GZH640"/>
    <mergeCell ref="GZI640:GZP640"/>
    <mergeCell ref="HHA640:HHH640"/>
    <mergeCell ref="HHI640:HHP640"/>
    <mergeCell ref="HHQ640:HHX640"/>
    <mergeCell ref="HHY640:HIF640"/>
    <mergeCell ref="HIG640:HIN640"/>
    <mergeCell ref="HIO640:HIV640"/>
    <mergeCell ref="HFE640:HFL640"/>
    <mergeCell ref="HFM640:HFT640"/>
    <mergeCell ref="HFU640:HGB640"/>
    <mergeCell ref="HGC640:HGJ640"/>
    <mergeCell ref="HGK640:HGR640"/>
    <mergeCell ref="HGS640:HGZ640"/>
    <mergeCell ref="HDI640:HDP640"/>
    <mergeCell ref="HDQ640:HDX640"/>
    <mergeCell ref="HDY640:HEF640"/>
    <mergeCell ref="HEG640:HEN640"/>
    <mergeCell ref="HEO640:HEV640"/>
    <mergeCell ref="HEW640:HFD640"/>
    <mergeCell ref="HMO640:HMV640"/>
    <mergeCell ref="HMW640:HND640"/>
    <mergeCell ref="HNE640:HNL640"/>
    <mergeCell ref="HNM640:HNT640"/>
    <mergeCell ref="HNU640:HOB640"/>
    <mergeCell ref="HOC640:HOJ640"/>
    <mergeCell ref="HKS640:HKZ640"/>
    <mergeCell ref="HLA640:HLH640"/>
    <mergeCell ref="HLI640:HLP640"/>
    <mergeCell ref="HLQ640:HLX640"/>
    <mergeCell ref="HLY640:HMF640"/>
    <mergeCell ref="HMG640:HMN640"/>
    <mergeCell ref="HIW640:HJD640"/>
    <mergeCell ref="HJE640:HJL640"/>
    <mergeCell ref="HJM640:HJT640"/>
    <mergeCell ref="HJU640:HKB640"/>
    <mergeCell ref="HKC640:HKJ640"/>
    <mergeCell ref="HKK640:HKR640"/>
    <mergeCell ref="HSC640:HSJ640"/>
    <mergeCell ref="HSK640:HSR640"/>
    <mergeCell ref="HSS640:HSZ640"/>
    <mergeCell ref="HTA640:HTH640"/>
    <mergeCell ref="HTI640:HTP640"/>
    <mergeCell ref="HTQ640:HTX640"/>
    <mergeCell ref="HQG640:HQN640"/>
    <mergeCell ref="HQO640:HQV640"/>
    <mergeCell ref="HQW640:HRD640"/>
    <mergeCell ref="HRE640:HRL640"/>
    <mergeCell ref="HRM640:HRT640"/>
    <mergeCell ref="HRU640:HSB640"/>
    <mergeCell ref="HOK640:HOR640"/>
    <mergeCell ref="HOS640:HOZ640"/>
    <mergeCell ref="HPA640:HPH640"/>
    <mergeCell ref="HPI640:HPP640"/>
    <mergeCell ref="HPQ640:HPX640"/>
    <mergeCell ref="HPY640:HQF640"/>
    <mergeCell ref="HXQ640:HXX640"/>
    <mergeCell ref="HXY640:HYF640"/>
    <mergeCell ref="HYG640:HYN640"/>
    <mergeCell ref="HYO640:HYV640"/>
    <mergeCell ref="HYW640:HZD640"/>
    <mergeCell ref="HZE640:HZL640"/>
    <mergeCell ref="HVU640:HWB640"/>
    <mergeCell ref="HWC640:HWJ640"/>
    <mergeCell ref="HWK640:HWR640"/>
    <mergeCell ref="HWS640:HWZ640"/>
    <mergeCell ref="HXA640:HXH640"/>
    <mergeCell ref="HXI640:HXP640"/>
    <mergeCell ref="HTY640:HUF640"/>
    <mergeCell ref="HUG640:HUN640"/>
    <mergeCell ref="HUO640:HUV640"/>
    <mergeCell ref="HUW640:HVD640"/>
    <mergeCell ref="HVE640:HVL640"/>
    <mergeCell ref="HVM640:HVT640"/>
    <mergeCell ref="IDE640:IDL640"/>
    <mergeCell ref="IDM640:IDT640"/>
    <mergeCell ref="IDU640:IEB640"/>
    <mergeCell ref="IEC640:IEJ640"/>
    <mergeCell ref="IEK640:IER640"/>
    <mergeCell ref="IES640:IEZ640"/>
    <mergeCell ref="IBI640:IBP640"/>
    <mergeCell ref="IBQ640:IBX640"/>
    <mergeCell ref="IBY640:ICF640"/>
    <mergeCell ref="ICG640:ICN640"/>
    <mergeCell ref="ICO640:ICV640"/>
    <mergeCell ref="ICW640:IDD640"/>
    <mergeCell ref="HZM640:HZT640"/>
    <mergeCell ref="HZU640:IAB640"/>
    <mergeCell ref="IAC640:IAJ640"/>
    <mergeCell ref="IAK640:IAR640"/>
    <mergeCell ref="IAS640:IAZ640"/>
    <mergeCell ref="IBA640:IBH640"/>
    <mergeCell ref="IIS640:IIZ640"/>
    <mergeCell ref="IJA640:IJH640"/>
    <mergeCell ref="IJI640:IJP640"/>
    <mergeCell ref="IJQ640:IJX640"/>
    <mergeCell ref="IJY640:IKF640"/>
    <mergeCell ref="IKG640:IKN640"/>
    <mergeCell ref="IGW640:IHD640"/>
    <mergeCell ref="IHE640:IHL640"/>
    <mergeCell ref="IHM640:IHT640"/>
    <mergeCell ref="IHU640:IIB640"/>
    <mergeCell ref="IIC640:IIJ640"/>
    <mergeCell ref="IIK640:IIR640"/>
    <mergeCell ref="IFA640:IFH640"/>
    <mergeCell ref="IFI640:IFP640"/>
    <mergeCell ref="IFQ640:IFX640"/>
    <mergeCell ref="IFY640:IGF640"/>
    <mergeCell ref="IGG640:IGN640"/>
    <mergeCell ref="IGO640:IGV640"/>
    <mergeCell ref="IOG640:ION640"/>
    <mergeCell ref="IOO640:IOV640"/>
    <mergeCell ref="IOW640:IPD640"/>
    <mergeCell ref="IPE640:IPL640"/>
    <mergeCell ref="IPM640:IPT640"/>
    <mergeCell ref="IPU640:IQB640"/>
    <mergeCell ref="IMK640:IMR640"/>
    <mergeCell ref="IMS640:IMZ640"/>
    <mergeCell ref="INA640:INH640"/>
    <mergeCell ref="INI640:INP640"/>
    <mergeCell ref="INQ640:INX640"/>
    <mergeCell ref="INY640:IOF640"/>
    <mergeCell ref="IKO640:IKV640"/>
    <mergeCell ref="IKW640:ILD640"/>
    <mergeCell ref="ILE640:ILL640"/>
    <mergeCell ref="ILM640:ILT640"/>
    <mergeCell ref="ILU640:IMB640"/>
    <mergeCell ref="IMC640:IMJ640"/>
    <mergeCell ref="ITU640:IUB640"/>
    <mergeCell ref="IUC640:IUJ640"/>
    <mergeCell ref="IUK640:IUR640"/>
    <mergeCell ref="IUS640:IUZ640"/>
    <mergeCell ref="IVA640:IVH640"/>
    <mergeCell ref="IVI640:IVP640"/>
    <mergeCell ref="IRY640:ISF640"/>
    <mergeCell ref="ISG640:ISN640"/>
    <mergeCell ref="ISO640:ISV640"/>
    <mergeCell ref="ISW640:ITD640"/>
    <mergeCell ref="ITE640:ITL640"/>
    <mergeCell ref="ITM640:ITT640"/>
    <mergeCell ref="IQC640:IQJ640"/>
    <mergeCell ref="IQK640:IQR640"/>
    <mergeCell ref="IQS640:IQZ640"/>
    <mergeCell ref="IRA640:IRH640"/>
    <mergeCell ref="IRI640:IRP640"/>
    <mergeCell ref="IRQ640:IRX640"/>
    <mergeCell ref="IZI640:IZP640"/>
    <mergeCell ref="IZQ640:IZX640"/>
    <mergeCell ref="IZY640:JAF640"/>
    <mergeCell ref="JAG640:JAN640"/>
    <mergeCell ref="JAO640:JAV640"/>
    <mergeCell ref="JAW640:JBD640"/>
    <mergeCell ref="IXM640:IXT640"/>
    <mergeCell ref="IXU640:IYB640"/>
    <mergeCell ref="IYC640:IYJ640"/>
    <mergeCell ref="IYK640:IYR640"/>
    <mergeCell ref="IYS640:IYZ640"/>
    <mergeCell ref="IZA640:IZH640"/>
    <mergeCell ref="IVQ640:IVX640"/>
    <mergeCell ref="IVY640:IWF640"/>
    <mergeCell ref="IWG640:IWN640"/>
    <mergeCell ref="IWO640:IWV640"/>
    <mergeCell ref="IWW640:IXD640"/>
    <mergeCell ref="IXE640:IXL640"/>
    <mergeCell ref="JEW640:JFD640"/>
    <mergeCell ref="JFE640:JFL640"/>
    <mergeCell ref="JFM640:JFT640"/>
    <mergeCell ref="JFU640:JGB640"/>
    <mergeCell ref="JGC640:JGJ640"/>
    <mergeCell ref="JGK640:JGR640"/>
    <mergeCell ref="JDA640:JDH640"/>
    <mergeCell ref="JDI640:JDP640"/>
    <mergeCell ref="JDQ640:JDX640"/>
    <mergeCell ref="JDY640:JEF640"/>
    <mergeCell ref="JEG640:JEN640"/>
    <mergeCell ref="JEO640:JEV640"/>
    <mergeCell ref="JBE640:JBL640"/>
    <mergeCell ref="JBM640:JBT640"/>
    <mergeCell ref="JBU640:JCB640"/>
    <mergeCell ref="JCC640:JCJ640"/>
    <mergeCell ref="JCK640:JCR640"/>
    <mergeCell ref="JCS640:JCZ640"/>
    <mergeCell ref="JKK640:JKR640"/>
    <mergeCell ref="JKS640:JKZ640"/>
    <mergeCell ref="JLA640:JLH640"/>
    <mergeCell ref="JLI640:JLP640"/>
    <mergeCell ref="JLQ640:JLX640"/>
    <mergeCell ref="JLY640:JMF640"/>
    <mergeCell ref="JIO640:JIV640"/>
    <mergeCell ref="JIW640:JJD640"/>
    <mergeCell ref="JJE640:JJL640"/>
    <mergeCell ref="JJM640:JJT640"/>
    <mergeCell ref="JJU640:JKB640"/>
    <mergeCell ref="JKC640:JKJ640"/>
    <mergeCell ref="JGS640:JGZ640"/>
    <mergeCell ref="JHA640:JHH640"/>
    <mergeCell ref="JHI640:JHP640"/>
    <mergeCell ref="JHQ640:JHX640"/>
    <mergeCell ref="JHY640:JIF640"/>
    <mergeCell ref="JIG640:JIN640"/>
    <mergeCell ref="JPY640:JQF640"/>
    <mergeCell ref="JQG640:JQN640"/>
    <mergeCell ref="JQO640:JQV640"/>
    <mergeCell ref="JQW640:JRD640"/>
    <mergeCell ref="JRE640:JRL640"/>
    <mergeCell ref="JRM640:JRT640"/>
    <mergeCell ref="JOC640:JOJ640"/>
    <mergeCell ref="JOK640:JOR640"/>
    <mergeCell ref="JOS640:JOZ640"/>
    <mergeCell ref="JPA640:JPH640"/>
    <mergeCell ref="JPI640:JPP640"/>
    <mergeCell ref="JPQ640:JPX640"/>
    <mergeCell ref="JMG640:JMN640"/>
    <mergeCell ref="JMO640:JMV640"/>
    <mergeCell ref="JMW640:JND640"/>
    <mergeCell ref="JNE640:JNL640"/>
    <mergeCell ref="JNM640:JNT640"/>
    <mergeCell ref="JNU640:JOB640"/>
    <mergeCell ref="JVM640:JVT640"/>
    <mergeCell ref="JVU640:JWB640"/>
    <mergeCell ref="JWC640:JWJ640"/>
    <mergeCell ref="JWK640:JWR640"/>
    <mergeCell ref="JWS640:JWZ640"/>
    <mergeCell ref="JXA640:JXH640"/>
    <mergeCell ref="JTQ640:JTX640"/>
    <mergeCell ref="JTY640:JUF640"/>
    <mergeCell ref="JUG640:JUN640"/>
    <mergeCell ref="JUO640:JUV640"/>
    <mergeCell ref="JUW640:JVD640"/>
    <mergeCell ref="JVE640:JVL640"/>
    <mergeCell ref="JRU640:JSB640"/>
    <mergeCell ref="JSC640:JSJ640"/>
    <mergeCell ref="JSK640:JSR640"/>
    <mergeCell ref="JSS640:JSZ640"/>
    <mergeCell ref="JTA640:JTH640"/>
    <mergeCell ref="JTI640:JTP640"/>
    <mergeCell ref="KBA640:KBH640"/>
    <mergeCell ref="KBI640:KBP640"/>
    <mergeCell ref="KBQ640:KBX640"/>
    <mergeCell ref="KBY640:KCF640"/>
    <mergeCell ref="KCG640:KCN640"/>
    <mergeCell ref="KCO640:KCV640"/>
    <mergeCell ref="JZE640:JZL640"/>
    <mergeCell ref="JZM640:JZT640"/>
    <mergeCell ref="JZU640:KAB640"/>
    <mergeCell ref="KAC640:KAJ640"/>
    <mergeCell ref="KAK640:KAR640"/>
    <mergeCell ref="KAS640:KAZ640"/>
    <mergeCell ref="JXI640:JXP640"/>
    <mergeCell ref="JXQ640:JXX640"/>
    <mergeCell ref="JXY640:JYF640"/>
    <mergeCell ref="JYG640:JYN640"/>
    <mergeCell ref="JYO640:JYV640"/>
    <mergeCell ref="JYW640:JZD640"/>
    <mergeCell ref="KGO640:KGV640"/>
    <mergeCell ref="KGW640:KHD640"/>
    <mergeCell ref="KHE640:KHL640"/>
    <mergeCell ref="KHM640:KHT640"/>
    <mergeCell ref="KHU640:KIB640"/>
    <mergeCell ref="KIC640:KIJ640"/>
    <mergeCell ref="KES640:KEZ640"/>
    <mergeCell ref="KFA640:KFH640"/>
    <mergeCell ref="KFI640:KFP640"/>
    <mergeCell ref="KFQ640:KFX640"/>
    <mergeCell ref="KFY640:KGF640"/>
    <mergeCell ref="KGG640:KGN640"/>
    <mergeCell ref="KCW640:KDD640"/>
    <mergeCell ref="KDE640:KDL640"/>
    <mergeCell ref="KDM640:KDT640"/>
    <mergeCell ref="KDU640:KEB640"/>
    <mergeCell ref="KEC640:KEJ640"/>
    <mergeCell ref="KEK640:KER640"/>
    <mergeCell ref="KMC640:KMJ640"/>
    <mergeCell ref="KMK640:KMR640"/>
    <mergeCell ref="KMS640:KMZ640"/>
    <mergeCell ref="KNA640:KNH640"/>
    <mergeCell ref="KNI640:KNP640"/>
    <mergeCell ref="KNQ640:KNX640"/>
    <mergeCell ref="KKG640:KKN640"/>
    <mergeCell ref="KKO640:KKV640"/>
    <mergeCell ref="KKW640:KLD640"/>
    <mergeCell ref="KLE640:KLL640"/>
    <mergeCell ref="KLM640:KLT640"/>
    <mergeCell ref="KLU640:KMB640"/>
    <mergeCell ref="KIK640:KIR640"/>
    <mergeCell ref="KIS640:KIZ640"/>
    <mergeCell ref="KJA640:KJH640"/>
    <mergeCell ref="KJI640:KJP640"/>
    <mergeCell ref="KJQ640:KJX640"/>
    <mergeCell ref="KJY640:KKF640"/>
    <mergeCell ref="KRQ640:KRX640"/>
    <mergeCell ref="KRY640:KSF640"/>
    <mergeCell ref="KSG640:KSN640"/>
    <mergeCell ref="KSO640:KSV640"/>
    <mergeCell ref="KSW640:KTD640"/>
    <mergeCell ref="KTE640:KTL640"/>
    <mergeCell ref="KPU640:KQB640"/>
    <mergeCell ref="KQC640:KQJ640"/>
    <mergeCell ref="KQK640:KQR640"/>
    <mergeCell ref="KQS640:KQZ640"/>
    <mergeCell ref="KRA640:KRH640"/>
    <mergeCell ref="KRI640:KRP640"/>
    <mergeCell ref="KNY640:KOF640"/>
    <mergeCell ref="KOG640:KON640"/>
    <mergeCell ref="KOO640:KOV640"/>
    <mergeCell ref="KOW640:KPD640"/>
    <mergeCell ref="KPE640:KPL640"/>
    <mergeCell ref="KPM640:KPT640"/>
    <mergeCell ref="KXE640:KXL640"/>
    <mergeCell ref="KXM640:KXT640"/>
    <mergeCell ref="KXU640:KYB640"/>
    <mergeCell ref="KYC640:KYJ640"/>
    <mergeCell ref="KYK640:KYR640"/>
    <mergeCell ref="KYS640:KYZ640"/>
    <mergeCell ref="KVI640:KVP640"/>
    <mergeCell ref="KVQ640:KVX640"/>
    <mergeCell ref="KVY640:KWF640"/>
    <mergeCell ref="KWG640:KWN640"/>
    <mergeCell ref="KWO640:KWV640"/>
    <mergeCell ref="KWW640:KXD640"/>
    <mergeCell ref="KTM640:KTT640"/>
    <mergeCell ref="KTU640:KUB640"/>
    <mergeCell ref="KUC640:KUJ640"/>
    <mergeCell ref="KUK640:KUR640"/>
    <mergeCell ref="KUS640:KUZ640"/>
    <mergeCell ref="KVA640:KVH640"/>
    <mergeCell ref="LCS640:LCZ640"/>
    <mergeCell ref="LDA640:LDH640"/>
    <mergeCell ref="LDI640:LDP640"/>
    <mergeCell ref="LDQ640:LDX640"/>
    <mergeCell ref="LDY640:LEF640"/>
    <mergeCell ref="LEG640:LEN640"/>
    <mergeCell ref="LAW640:LBD640"/>
    <mergeCell ref="LBE640:LBL640"/>
    <mergeCell ref="LBM640:LBT640"/>
    <mergeCell ref="LBU640:LCB640"/>
    <mergeCell ref="LCC640:LCJ640"/>
    <mergeCell ref="LCK640:LCR640"/>
    <mergeCell ref="KZA640:KZH640"/>
    <mergeCell ref="KZI640:KZP640"/>
    <mergeCell ref="KZQ640:KZX640"/>
    <mergeCell ref="KZY640:LAF640"/>
    <mergeCell ref="LAG640:LAN640"/>
    <mergeCell ref="LAO640:LAV640"/>
    <mergeCell ref="LIG640:LIN640"/>
    <mergeCell ref="LIO640:LIV640"/>
    <mergeCell ref="LIW640:LJD640"/>
    <mergeCell ref="LJE640:LJL640"/>
    <mergeCell ref="LJM640:LJT640"/>
    <mergeCell ref="LJU640:LKB640"/>
    <mergeCell ref="LGK640:LGR640"/>
    <mergeCell ref="LGS640:LGZ640"/>
    <mergeCell ref="LHA640:LHH640"/>
    <mergeCell ref="LHI640:LHP640"/>
    <mergeCell ref="LHQ640:LHX640"/>
    <mergeCell ref="LHY640:LIF640"/>
    <mergeCell ref="LEO640:LEV640"/>
    <mergeCell ref="LEW640:LFD640"/>
    <mergeCell ref="LFE640:LFL640"/>
    <mergeCell ref="LFM640:LFT640"/>
    <mergeCell ref="LFU640:LGB640"/>
    <mergeCell ref="LGC640:LGJ640"/>
    <mergeCell ref="LNU640:LOB640"/>
    <mergeCell ref="LOC640:LOJ640"/>
    <mergeCell ref="LOK640:LOR640"/>
    <mergeCell ref="LOS640:LOZ640"/>
    <mergeCell ref="LPA640:LPH640"/>
    <mergeCell ref="LPI640:LPP640"/>
    <mergeCell ref="LLY640:LMF640"/>
    <mergeCell ref="LMG640:LMN640"/>
    <mergeCell ref="LMO640:LMV640"/>
    <mergeCell ref="LMW640:LND640"/>
    <mergeCell ref="LNE640:LNL640"/>
    <mergeCell ref="LNM640:LNT640"/>
    <mergeCell ref="LKC640:LKJ640"/>
    <mergeCell ref="LKK640:LKR640"/>
    <mergeCell ref="LKS640:LKZ640"/>
    <mergeCell ref="LLA640:LLH640"/>
    <mergeCell ref="LLI640:LLP640"/>
    <mergeCell ref="LLQ640:LLX640"/>
    <mergeCell ref="LTI640:LTP640"/>
    <mergeCell ref="LTQ640:LTX640"/>
    <mergeCell ref="LTY640:LUF640"/>
    <mergeCell ref="LUG640:LUN640"/>
    <mergeCell ref="LUO640:LUV640"/>
    <mergeCell ref="LUW640:LVD640"/>
    <mergeCell ref="LRM640:LRT640"/>
    <mergeCell ref="LRU640:LSB640"/>
    <mergeCell ref="LSC640:LSJ640"/>
    <mergeCell ref="LSK640:LSR640"/>
    <mergeCell ref="LSS640:LSZ640"/>
    <mergeCell ref="LTA640:LTH640"/>
    <mergeCell ref="LPQ640:LPX640"/>
    <mergeCell ref="LPY640:LQF640"/>
    <mergeCell ref="LQG640:LQN640"/>
    <mergeCell ref="LQO640:LQV640"/>
    <mergeCell ref="LQW640:LRD640"/>
    <mergeCell ref="LRE640:LRL640"/>
    <mergeCell ref="LYW640:LZD640"/>
    <mergeCell ref="LZE640:LZL640"/>
    <mergeCell ref="LZM640:LZT640"/>
    <mergeCell ref="LZU640:MAB640"/>
    <mergeCell ref="MAC640:MAJ640"/>
    <mergeCell ref="MAK640:MAR640"/>
    <mergeCell ref="LXA640:LXH640"/>
    <mergeCell ref="LXI640:LXP640"/>
    <mergeCell ref="LXQ640:LXX640"/>
    <mergeCell ref="LXY640:LYF640"/>
    <mergeCell ref="LYG640:LYN640"/>
    <mergeCell ref="LYO640:LYV640"/>
    <mergeCell ref="LVE640:LVL640"/>
    <mergeCell ref="LVM640:LVT640"/>
    <mergeCell ref="LVU640:LWB640"/>
    <mergeCell ref="LWC640:LWJ640"/>
    <mergeCell ref="LWK640:LWR640"/>
    <mergeCell ref="LWS640:LWZ640"/>
    <mergeCell ref="MEK640:MER640"/>
    <mergeCell ref="MES640:MEZ640"/>
    <mergeCell ref="MFA640:MFH640"/>
    <mergeCell ref="MFI640:MFP640"/>
    <mergeCell ref="MFQ640:MFX640"/>
    <mergeCell ref="MFY640:MGF640"/>
    <mergeCell ref="MCO640:MCV640"/>
    <mergeCell ref="MCW640:MDD640"/>
    <mergeCell ref="MDE640:MDL640"/>
    <mergeCell ref="MDM640:MDT640"/>
    <mergeCell ref="MDU640:MEB640"/>
    <mergeCell ref="MEC640:MEJ640"/>
    <mergeCell ref="MAS640:MAZ640"/>
    <mergeCell ref="MBA640:MBH640"/>
    <mergeCell ref="MBI640:MBP640"/>
    <mergeCell ref="MBQ640:MBX640"/>
    <mergeCell ref="MBY640:MCF640"/>
    <mergeCell ref="MCG640:MCN640"/>
    <mergeCell ref="MJY640:MKF640"/>
    <mergeCell ref="MKG640:MKN640"/>
    <mergeCell ref="MKO640:MKV640"/>
    <mergeCell ref="MKW640:MLD640"/>
    <mergeCell ref="MLE640:MLL640"/>
    <mergeCell ref="MLM640:MLT640"/>
    <mergeCell ref="MIC640:MIJ640"/>
    <mergeCell ref="MIK640:MIR640"/>
    <mergeCell ref="MIS640:MIZ640"/>
    <mergeCell ref="MJA640:MJH640"/>
    <mergeCell ref="MJI640:MJP640"/>
    <mergeCell ref="MJQ640:MJX640"/>
    <mergeCell ref="MGG640:MGN640"/>
    <mergeCell ref="MGO640:MGV640"/>
    <mergeCell ref="MGW640:MHD640"/>
    <mergeCell ref="MHE640:MHL640"/>
    <mergeCell ref="MHM640:MHT640"/>
    <mergeCell ref="MHU640:MIB640"/>
    <mergeCell ref="MPM640:MPT640"/>
    <mergeCell ref="MPU640:MQB640"/>
    <mergeCell ref="MQC640:MQJ640"/>
    <mergeCell ref="MQK640:MQR640"/>
    <mergeCell ref="MQS640:MQZ640"/>
    <mergeCell ref="MRA640:MRH640"/>
    <mergeCell ref="MNQ640:MNX640"/>
    <mergeCell ref="MNY640:MOF640"/>
    <mergeCell ref="MOG640:MON640"/>
    <mergeCell ref="MOO640:MOV640"/>
    <mergeCell ref="MOW640:MPD640"/>
    <mergeCell ref="MPE640:MPL640"/>
    <mergeCell ref="MLU640:MMB640"/>
    <mergeCell ref="MMC640:MMJ640"/>
    <mergeCell ref="MMK640:MMR640"/>
    <mergeCell ref="MMS640:MMZ640"/>
    <mergeCell ref="MNA640:MNH640"/>
    <mergeCell ref="MNI640:MNP640"/>
    <mergeCell ref="MVA640:MVH640"/>
    <mergeCell ref="MVI640:MVP640"/>
    <mergeCell ref="MVQ640:MVX640"/>
    <mergeCell ref="MVY640:MWF640"/>
    <mergeCell ref="MWG640:MWN640"/>
    <mergeCell ref="MWO640:MWV640"/>
    <mergeCell ref="MTE640:MTL640"/>
    <mergeCell ref="MTM640:MTT640"/>
    <mergeCell ref="MTU640:MUB640"/>
    <mergeCell ref="MUC640:MUJ640"/>
    <mergeCell ref="MUK640:MUR640"/>
    <mergeCell ref="MUS640:MUZ640"/>
    <mergeCell ref="MRI640:MRP640"/>
    <mergeCell ref="MRQ640:MRX640"/>
    <mergeCell ref="MRY640:MSF640"/>
    <mergeCell ref="MSG640:MSN640"/>
    <mergeCell ref="MSO640:MSV640"/>
    <mergeCell ref="MSW640:MTD640"/>
    <mergeCell ref="NAO640:NAV640"/>
    <mergeCell ref="NAW640:NBD640"/>
    <mergeCell ref="NBE640:NBL640"/>
    <mergeCell ref="NBM640:NBT640"/>
    <mergeCell ref="NBU640:NCB640"/>
    <mergeCell ref="NCC640:NCJ640"/>
    <mergeCell ref="MYS640:MYZ640"/>
    <mergeCell ref="MZA640:MZH640"/>
    <mergeCell ref="MZI640:MZP640"/>
    <mergeCell ref="MZQ640:MZX640"/>
    <mergeCell ref="MZY640:NAF640"/>
    <mergeCell ref="NAG640:NAN640"/>
    <mergeCell ref="MWW640:MXD640"/>
    <mergeCell ref="MXE640:MXL640"/>
    <mergeCell ref="MXM640:MXT640"/>
    <mergeCell ref="MXU640:MYB640"/>
    <mergeCell ref="MYC640:MYJ640"/>
    <mergeCell ref="MYK640:MYR640"/>
    <mergeCell ref="NGC640:NGJ640"/>
    <mergeCell ref="NGK640:NGR640"/>
    <mergeCell ref="NGS640:NGZ640"/>
    <mergeCell ref="NHA640:NHH640"/>
    <mergeCell ref="NHI640:NHP640"/>
    <mergeCell ref="NHQ640:NHX640"/>
    <mergeCell ref="NEG640:NEN640"/>
    <mergeCell ref="NEO640:NEV640"/>
    <mergeCell ref="NEW640:NFD640"/>
    <mergeCell ref="NFE640:NFL640"/>
    <mergeCell ref="NFM640:NFT640"/>
    <mergeCell ref="NFU640:NGB640"/>
    <mergeCell ref="NCK640:NCR640"/>
    <mergeCell ref="NCS640:NCZ640"/>
    <mergeCell ref="NDA640:NDH640"/>
    <mergeCell ref="NDI640:NDP640"/>
    <mergeCell ref="NDQ640:NDX640"/>
    <mergeCell ref="NDY640:NEF640"/>
    <mergeCell ref="NLQ640:NLX640"/>
    <mergeCell ref="NLY640:NMF640"/>
    <mergeCell ref="NMG640:NMN640"/>
    <mergeCell ref="NMO640:NMV640"/>
    <mergeCell ref="NMW640:NND640"/>
    <mergeCell ref="NNE640:NNL640"/>
    <mergeCell ref="NJU640:NKB640"/>
    <mergeCell ref="NKC640:NKJ640"/>
    <mergeCell ref="NKK640:NKR640"/>
    <mergeCell ref="NKS640:NKZ640"/>
    <mergeCell ref="NLA640:NLH640"/>
    <mergeCell ref="NLI640:NLP640"/>
    <mergeCell ref="NHY640:NIF640"/>
    <mergeCell ref="NIG640:NIN640"/>
    <mergeCell ref="NIO640:NIV640"/>
    <mergeCell ref="NIW640:NJD640"/>
    <mergeCell ref="NJE640:NJL640"/>
    <mergeCell ref="NJM640:NJT640"/>
    <mergeCell ref="NRE640:NRL640"/>
    <mergeCell ref="NRM640:NRT640"/>
    <mergeCell ref="NRU640:NSB640"/>
    <mergeCell ref="NSC640:NSJ640"/>
    <mergeCell ref="NSK640:NSR640"/>
    <mergeCell ref="NSS640:NSZ640"/>
    <mergeCell ref="NPI640:NPP640"/>
    <mergeCell ref="NPQ640:NPX640"/>
    <mergeCell ref="NPY640:NQF640"/>
    <mergeCell ref="NQG640:NQN640"/>
    <mergeCell ref="NQO640:NQV640"/>
    <mergeCell ref="NQW640:NRD640"/>
    <mergeCell ref="NNM640:NNT640"/>
    <mergeCell ref="NNU640:NOB640"/>
    <mergeCell ref="NOC640:NOJ640"/>
    <mergeCell ref="NOK640:NOR640"/>
    <mergeCell ref="NOS640:NOZ640"/>
    <mergeCell ref="NPA640:NPH640"/>
    <mergeCell ref="NWS640:NWZ640"/>
    <mergeCell ref="NXA640:NXH640"/>
    <mergeCell ref="NXI640:NXP640"/>
    <mergeCell ref="NXQ640:NXX640"/>
    <mergeCell ref="NXY640:NYF640"/>
    <mergeCell ref="NYG640:NYN640"/>
    <mergeCell ref="NUW640:NVD640"/>
    <mergeCell ref="NVE640:NVL640"/>
    <mergeCell ref="NVM640:NVT640"/>
    <mergeCell ref="NVU640:NWB640"/>
    <mergeCell ref="NWC640:NWJ640"/>
    <mergeCell ref="NWK640:NWR640"/>
    <mergeCell ref="NTA640:NTH640"/>
    <mergeCell ref="NTI640:NTP640"/>
    <mergeCell ref="NTQ640:NTX640"/>
    <mergeCell ref="NTY640:NUF640"/>
    <mergeCell ref="NUG640:NUN640"/>
    <mergeCell ref="NUO640:NUV640"/>
    <mergeCell ref="OCG640:OCN640"/>
    <mergeCell ref="OCO640:OCV640"/>
    <mergeCell ref="OCW640:ODD640"/>
    <mergeCell ref="ODE640:ODL640"/>
    <mergeCell ref="ODM640:ODT640"/>
    <mergeCell ref="ODU640:OEB640"/>
    <mergeCell ref="OAK640:OAR640"/>
    <mergeCell ref="OAS640:OAZ640"/>
    <mergeCell ref="OBA640:OBH640"/>
    <mergeCell ref="OBI640:OBP640"/>
    <mergeCell ref="OBQ640:OBX640"/>
    <mergeCell ref="OBY640:OCF640"/>
    <mergeCell ref="NYO640:NYV640"/>
    <mergeCell ref="NYW640:NZD640"/>
    <mergeCell ref="NZE640:NZL640"/>
    <mergeCell ref="NZM640:NZT640"/>
    <mergeCell ref="NZU640:OAB640"/>
    <mergeCell ref="OAC640:OAJ640"/>
    <mergeCell ref="OHU640:OIB640"/>
    <mergeCell ref="OIC640:OIJ640"/>
    <mergeCell ref="OIK640:OIR640"/>
    <mergeCell ref="OIS640:OIZ640"/>
    <mergeCell ref="OJA640:OJH640"/>
    <mergeCell ref="OJI640:OJP640"/>
    <mergeCell ref="OFY640:OGF640"/>
    <mergeCell ref="OGG640:OGN640"/>
    <mergeCell ref="OGO640:OGV640"/>
    <mergeCell ref="OGW640:OHD640"/>
    <mergeCell ref="OHE640:OHL640"/>
    <mergeCell ref="OHM640:OHT640"/>
    <mergeCell ref="OEC640:OEJ640"/>
    <mergeCell ref="OEK640:OER640"/>
    <mergeCell ref="OES640:OEZ640"/>
    <mergeCell ref="OFA640:OFH640"/>
    <mergeCell ref="OFI640:OFP640"/>
    <mergeCell ref="OFQ640:OFX640"/>
    <mergeCell ref="ONI640:ONP640"/>
    <mergeCell ref="ONQ640:ONX640"/>
    <mergeCell ref="ONY640:OOF640"/>
    <mergeCell ref="OOG640:OON640"/>
    <mergeCell ref="OOO640:OOV640"/>
    <mergeCell ref="OOW640:OPD640"/>
    <mergeCell ref="OLM640:OLT640"/>
    <mergeCell ref="OLU640:OMB640"/>
    <mergeCell ref="OMC640:OMJ640"/>
    <mergeCell ref="OMK640:OMR640"/>
    <mergeCell ref="OMS640:OMZ640"/>
    <mergeCell ref="ONA640:ONH640"/>
    <mergeCell ref="OJQ640:OJX640"/>
    <mergeCell ref="OJY640:OKF640"/>
    <mergeCell ref="OKG640:OKN640"/>
    <mergeCell ref="OKO640:OKV640"/>
    <mergeCell ref="OKW640:OLD640"/>
    <mergeCell ref="OLE640:OLL640"/>
    <mergeCell ref="OSW640:OTD640"/>
    <mergeCell ref="OTE640:OTL640"/>
    <mergeCell ref="OTM640:OTT640"/>
    <mergeCell ref="OTU640:OUB640"/>
    <mergeCell ref="OUC640:OUJ640"/>
    <mergeCell ref="OUK640:OUR640"/>
    <mergeCell ref="ORA640:ORH640"/>
    <mergeCell ref="ORI640:ORP640"/>
    <mergeCell ref="ORQ640:ORX640"/>
    <mergeCell ref="ORY640:OSF640"/>
    <mergeCell ref="OSG640:OSN640"/>
    <mergeCell ref="OSO640:OSV640"/>
    <mergeCell ref="OPE640:OPL640"/>
    <mergeCell ref="OPM640:OPT640"/>
    <mergeCell ref="OPU640:OQB640"/>
    <mergeCell ref="OQC640:OQJ640"/>
    <mergeCell ref="OQK640:OQR640"/>
    <mergeCell ref="OQS640:OQZ640"/>
    <mergeCell ref="OYK640:OYR640"/>
    <mergeCell ref="OYS640:OYZ640"/>
    <mergeCell ref="OZA640:OZH640"/>
    <mergeCell ref="OZI640:OZP640"/>
    <mergeCell ref="OZQ640:OZX640"/>
    <mergeCell ref="OZY640:PAF640"/>
    <mergeCell ref="OWO640:OWV640"/>
    <mergeCell ref="OWW640:OXD640"/>
    <mergeCell ref="OXE640:OXL640"/>
    <mergeCell ref="OXM640:OXT640"/>
    <mergeCell ref="OXU640:OYB640"/>
    <mergeCell ref="OYC640:OYJ640"/>
    <mergeCell ref="OUS640:OUZ640"/>
    <mergeCell ref="OVA640:OVH640"/>
    <mergeCell ref="OVI640:OVP640"/>
    <mergeCell ref="OVQ640:OVX640"/>
    <mergeCell ref="OVY640:OWF640"/>
    <mergeCell ref="OWG640:OWN640"/>
    <mergeCell ref="PDY640:PEF640"/>
    <mergeCell ref="PEG640:PEN640"/>
    <mergeCell ref="PEO640:PEV640"/>
    <mergeCell ref="PEW640:PFD640"/>
    <mergeCell ref="PFE640:PFL640"/>
    <mergeCell ref="PFM640:PFT640"/>
    <mergeCell ref="PCC640:PCJ640"/>
    <mergeCell ref="PCK640:PCR640"/>
    <mergeCell ref="PCS640:PCZ640"/>
    <mergeCell ref="PDA640:PDH640"/>
    <mergeCell ref="PDI640:PDP640"/>
    <mergeCell ref="PDQ640:PDX640"/>
    <mergeCell ref="PAG640:PAN640"/>
    <mergeCell ref="PAO640:PAV640"/>
    <mergeCell ref="PAW640:PBD640"/>
    <mergeCell ref="PBE640:PBL640"/>
    <mergeCell ref="PBM640:PBT640"/>
    <mergeCell ref="PBU640:PCB640"/>
    <mergeCell ref="PJM640:PJT640"/>
    <mergeCell ref="PJU640:PKB640"/>
    <mergeCell ref="PKC640:PKJ640"/>
    <mergeCell ref="PKK640:PKR640"/>
    <mergeCell ref="PKS640:PKZ640"/>
    <mergeCell ref="PLA640:PLH640"/>
    <mergeCell ref="PHQ640:PHX640"/>
    <mergeCell ref="PHY640:PIF640"/>
    <mergeCell ref="PIG640:PIN640"/>
    <mergeCell ref="PIO640:PIV640"/>
    <mergeCell ref="PIW640:PJD640"/>
    <mergeCell ref="PJE640:PJL640"/>
    <mergeCell ref="PFU640:PGB640"/>
    <mergeCell ref="PGC640:PGJ640"/>
    <mergeCell ref="PGK640:PGR640"/>
    <mergeCell ref="PGS640:PGZ640"/>
    <mergeCell ref="PHA640:PHH640"/>
    <mergeCell ref="PHI640:PHP640"/>
    <mergeCell ref="PPA640:PPH640"/>
    <mergeCell ref="PPI640:PPP640"/>
    <mergeCell ref="PPQ640:PPX640"/>
    <mergeCell ref="PPY640:PQF640"/>
    <mergeCell ref="PQG640:PQN640"/>
    <mergeCell ref="PQO640:PQV640"/>
    <mergeCell ref="PNE640:PNL640"/>
    <mergeCell ref="PNM640:PNT640"/>
    <mergeCell ref="PNU640:POB640"/>
    <mergeCell ref="POC640:POJ640"/>
    <mergeCell ref="POK640:POR640"/>
    <mergeCell ref="POS640:POZ640"/>
    <mergeCell ref="PLI640:PLP640"/>
    <mergeCell ref="PLQ640:PLX640"/>
    <mergeCell ref="PLY640:PMF640"/>
    <mergeCell ref="PMG640:PMN640"/>
    <mergeCell ref="PMO640:PMV640"/>
    <mergeCell ref="PMW640:PND640"/>
    <mergeCell ref="PUO640:PUV640"/>
    <mergeCell ref="PUW640:PVD640"/>
    <mergeCell ref="PVE640:PVL640"/>
    <mergeCell ref="PVM640:PVT640"/>
    <mergeCell ref="PVU640:PWB640"/>
    <mergeCell ref="PWC640:PWJ640"/>
    <mergeCell ref="PSS640:PSZ640"/>
    <mergeCell ref="PTA640:PTH640"/>
    <mergeCell ref="PTI640:PTP640"/>
    <mergeCell ref="PTQ640:PTX640"/>
    <mergeCell ref="PTY640:PUF640"/>
    <mergeCell ref="PUG640:PUN640"/>
    <mergeCell ref="PQW640:PRD640"/>
    <mergeCell ref="PRE640:PRL640"/>
    <mergeCell ref="PRM640:PRT640"/>
    <mergeCell ref="PRU640:PSB640"/>
    <mergeCell ref="PSC640:PSJ640"/>
    <mergeCell ref="PSK640:PSR640"/>
    <mergeCell ref="QAC640:QAJ640"/>
    <mergeCell ref="QAK640:QAR640"/>
    <mergeCell ref="QAS640:QAZ640"/>
    <mergeCell ref="QBA640:QBH640"/>
    <mergeCell ref="QBI640:QBP640"/>
    <mergeCell ref="QBQ640:QBX640"/>
    <mergeCell ref="PYG640:PYN640"/>
    <mergeCell ref="PYO640:PYV640"/>
    <mergeCell ref="PYW640:PZD640"/>
    <mergeCell ref="PZE640:PZL640"/>
    <mergeCell ref="PZM640:PZT640"/>
    <mergeCell ref="PZU640:QAB640"/>
    <mergeCell ref="PWK640:PWR640"/>
    <mergeCell ref="PWS640:PWZ640"/>
    <mergeCell ref="PXA640:PXH640"/>
    <mergeCell ref="PXI640:PXP640"/>
    <mergeCell ref="PXQ640:PXX640"/>
    <mergeCell ref="PXY640:PYF640"/>
    <mergeCell ref="QFQ640:QFX640"/>
    <mergeCell ref="QFY640:QGF640"/>
    <mergeCell ref="QGG640:QGN640"/>
    <mergeCell ref="QGO640:QGV640"/>
    <mergeCell ref="QGW640:QHD640"/>
    <mergeCell ref="QHE640:QHL640"/>
    <mergeCell ref="QDU640:QEB640"/>
    <mergeCell ref="QEC640:QEJ640"/>
    <mergeCell ref="QEK640:QER640"/>
    <mergeCell ref="QES640:QEZ640"/>
    <mergeCell ref="QFA640:QFH640"/>
    <mergeCell ref="QFI640:QFP640"/>
    <mergeCell ref="QBY640:QCF640"/>
    <mergeCell ref="QCG640:QCN640"/>
    <mergeCell ref="QCO640:QCV640"/>
    <mergeCell ref="QCW640:QDD640"/>
    <mergeCell ref="QDE640:QDL640"/>
    <mergeCell ref="QDM640:QDT640"/>
    <mergeCell ref="QLE640:QLL640"/>
    <mergeCell ref="QLM640:QLT640"/>
    <mergeCell ref="QLU640:QMB640"/>
    <mergeCell ref="QMC640:QMJ640"/>
    <mergeCell ref="QMK640:QMR640"/>
    <mergeCell ref="QMS640:QMZ640"/>
    <mergeCell ref="QJI640:QJP640"/>
    <mergeCell ref="QJQ640:QJX640"/>
    <mergeCell ref="QJY640:QKF640"/>
    <mergeCell ref="QKG640:QKN640"/>
    <mergeCell ref="QKO640:QKV640"/>
    <mergeCell ref="QKW640:QLD640"/>
    <mergeCell ref="QHM640:QHT640"/>
    <mergeCell ref="QHU640:QIB640"/>
    <mergeCell ref="QIC640:QIJ640"/>
    <mergeCell ref="QIK640:QIR640"/>
    <mergeCell ref="QIS640:QIZ640"/>
    <mergeCell ref="QJA640:QJH640"/>
    <mergeCell ref="QQS640:QQZ640"/>
    <mergeCell ref="QRA640:QRH640"/>
    <mergeCell ref="QRI640:QRP640"/>
    <mergeCell ref="QRQ640:QRX640"/>
    <mergeCell ref="QRY640:QSF640"/>
    <mergeCell ref="QSG640:QSN640"/>
    <mergeCell ref="QOW640:QPD640"/>
    <mergeCell ref="QPE640:QPL640"/>
    <mergeCell ref="QPM640:QPT640"/>
    <mergeCell ref="QPU640:QQB640"/>
    <mergeCell ref="QQC640:QQJ640"/>
    <mergeCell ref="QQK640:QQR640"/>
    <mergeCell ref="QNA640:QNH640"/>
    <mergeCell ref="QNI640:QNP640"/>
    <mergeCell ref="QNQ640:QNX640"/>
    <mergeCell ref="QNY640:QOF640"/>
    <mergeCell ref="QOG640:QON640"/>
    <mergeCell ref="QOO640:QOV640"/>
    <mergeCell ref="QWG640:QWN640"/>
    <mergeCell ref="QWO640:QWV640"/>
    <mergeCell ref="QWW640:QXD640"/>
    <mergeCell ref="QXE640:QXL640"/>
    <mergeCell ref="QXM640:QXT640"/>
    <mergeCell ref="QXU640:QYB640"/>
    <mergeCell ref="QUK640:QUR640"/>
    <mergeCell ref="QUS640:QUZ640"/>
    <mergeCell ref="QVA640:QVH640"/>
    <mergeCell ref="QVI640:QVP640"/>
    <mergeCell ref="QVQ640:QVX640"/>
    <mergeCell ref="QVY640:QWF640"/>
    <mergeCell ref="QSO640:QSV640"/>
    <mergeCell ref="QSW640:QTD640"/>
    <mergeCell ref="QTE640:QTL640"/>
    <mergeCell ref="QTM640:QTT640"/>
    <mergeCell ref="QTU640:QUB640"/>
    <mergeCell ref="QUC640:QUJ640"/>
    <mergeCell ref="RBU640:RCB640"/>
    <mergeCell ref="RCC640:RCJ640"/>
    <mergeCell ref="RCK640:RCR640"/>
    <mergeCell ref="RCS640:RCZ640"/>
    <mergeCell ref="RDA640:RDH640"/>
    <mergeCell ref="RDI640:RDP640"/>
    <mergeCell ref="QZY640:RAF640"/>
    <mergeCell ref="RAG640:RAN640"/>
    <mergeCell ref="RAO640:RAV640"/>
    <mergeCell ref="RAW640:RBD640"/>
    <mergeCell ref="RBE640:RBL640"/>
    <mergeCell ref="RBM640:RBT640"/>
    <mergeCell ref="QYC640:QYJ640"/>
    <mergeCell ref="QYK640:QYR640"/>
    <mergeCell ref="QYS640:QYZ640"/>
    <mergeCell ref="QZA640:QZH640"/>
    <mergeCell ref="QZI640:QZP640"/>
    <mergeCell ref="QZQ640:QZX640"/>
    <mergeCell ref="RHI640:RHP640"/>
    <mergeCell ref="RHQ640:RHX640"/>
    <mergeCell ref="RHY640:RIF640"/>
    <mergeCell ref="RIG640:RIN640"/>
    <mergeCell ref="RIO640:RIV640"/>
    <mergeCell ref="RIW640:RJD640"/>
    <mergeCell ref="RFM640:RFT640"/>
    <mergeCell ref="RFU640:RGB640"/>
    <mergeCell ref="RGC640:RGJ640"/>
    <mergeCell ref="RGK640:RGR640"/>
    <mergeCell ref="RGS640:RGZ640"/>
    <mergeCell ref="RHA640:RHH640"/>
    <mergeCell ref="RDQ640:RDX640"/>
    <mergeCell ref="RDY640:REF640"/>
    <mergeCell ref="REG640:REN640"/>
    <mergeCell ref="REO640:REV640"/>
    <mergeCell ref="REW640:RFD640"/>
    <mergeCell ref="RFE640:RFL640"/>
    <mergeCell ref="RMW640:RND640"/>
    <mergeCell ref="RNE640:RNL640"/>
    <mergeCell ref="RNM640:RNT640"/>
    <mergeCell ref="RNU640:ROB640"/>
    <mergeCell ref="ROC640:ROJ640"/>
    <mergeCell ref="ROK640:ROR640"/>
    <mergeCell ref="RLA640:RLH640"/>
    <mergeCell ref="RLI640:RLP640"/>
    <mergeCell ref="RLQ640:RLX640"/>
    <mergeCell ref="RLY640:RMF640"/>
    <mergeCell ref="RMG640:RMN640"/>
    <mergeCell ref="RMO640:RMV640"/>
    <mergeCell ref="RJE640:RJL640"/>
    <mergeCell ref="RJM640:RJT640"/>
    <mergeCell ref="RJU640:RKB640"/>
    <mergeCell ref="RKC640:RKJ640"/>
    <mergeCell ref="RKK640:RKR640"/>
    <mergeCell ref="RKS640:RKZ640"/>
    <mergeCell ref="RSK640:RSR640"/>
    <mergeCell ref="RSS640:RSZ640"/>
    <mergeCell ref="RTA640:RTH640"/>
    <mergeCell ref="RTI640:RTP640"/>
    <mergeCell ref="RTQ640:RTX640"/>
    <mergeCell ref="RTY640:RUF640"/>
    <mergeCell ref="RQO640:RQV640"/>
    <mergeCell ref="RQW640:RRD640"/>
    <mergeCell ref="RRE640:RRL640"/>
    <mergeCell ref="RRM640:RRT640"/>
    <mergeCell ref="RRU640:RSB640"/>
    <mergeCell ref="RSC640:RSJ640"/>
    <mergeCell ref="ROS640:ROZ640"/>
    <mergeCell ref="RPA640:RPH640"/>
    <mergeCell ref="RPI640:RPP640"/>
    <mergeCell ref="RPQ640:RPX640"/>
    <mergeCell ref="RPY640:RQF640"/>
    <mergeCell ref="RQG640:RQN640"/>
    <mergeCell ref="RXY640:RYF640"/>
    <mergeCell ref="RYG640:RYN640"/>
    <mergeCell ref="RYO640:RYV640"/>
    <mergeCell ref="RYW640:RZD640"/>
    <mergeCell ref="RZE640:RZL640"/>
    <mergeCell ref="RZM640:RZT640"/>
    <mergeCell ref="RWC640:RWJ640"/>
    <mergeCell ref="RWK640:RWR640"/>
    <mergeCell ref="RWS640:RWZ640"/>
    <mergeCell ref="RXA640:RXH640"/>
    <mergeCell ref="RXI640:RXP640"/>
    <mergeCell ref="RXQ640:RXX640"/>
    <mergeCell ref="RUG640:RUN640"/>
    <mergeCell ref="RUO640:RUV640"/>
    <mergeCell ref="RUW640:RVD640"/>
    <mergeCell ref="RVE640:RVL640"/>
    <mergeCell ref="RVM640:RVT640"/>
    <mergeCell ref="RVU640:RWB640"/>
    <mergeCell ref="SDM640:SDT640"/>
    <mergeCell ref="SDU640:SEB640"/>
    <mergeCell ref="SEC640:SEJ640"/>
    <mergeCell ref="SEK640:SER640"/>
    <mergeCell ref="SES640:SEZ640"/>
    <mergeCell ref="SFA640:SFH640"/>
    <mergeCell ref="SBQ640:SBX640"/>
    <mergeCell ref="SBY640:SCF640"/>
    <mergeCell ref="SCG640:SCN640"/>
    <mergeCell ref="SCO640:SCV640"/>
    <mergeCell ref="SCW640:SDD640"/>
    <mergeCell ref="SDE640:SDL640"/>
    <mergeCell ref="RZU640:SAB640"/>
    <mergeCell ref="SAC640:SAJ640"/>
    <mergeCell ref="SAK640:SAR640"/>
    <mergeCell ref="SAS640:SAZ640"/>
    <mergeCell ref="SBA640:SBH640"/>
    <mergeCell ref="SBI640:SBP640"/>
    <mergeCell ref="SJA640:SJH640"/>
    <mergeCell ref="SJI640:SJP640"/>
    <mergeCell ref="SJQ640:SJX640"/>
    <mergeCell ref="SJY640:SKF640"/>
    <mergeCell ref="SKG640:SKN640"/>
    <mergeCell ref="SKO640:SKV640"/>
    <mergeCell ref="SHE640:SHL640"/>
    <mergeCell ref="SHM640:SHT640"/>
    <mergeCell ref="SHU640:SIB640"/>
    <mergeCell ref="SIC640:SIJ640"/>
    <mergeCell ref="SIK640:SIR640"/>
    <mergeCell ref="SIS640:SIZ640"/>
    <mergeCell ref="SFI640:SFP640"/>
    <mergeCell ref="SFQ640:SFX640"/>
    <mergeCell ref="SFY640:SGF640"/>
    <mergeCell ref="SGG640:SGN640"/>
    <mergeCell ref="SGO640:SGV640"/>
    <mergeCell ref="SGW640:SHD640"/>
    <mergeCell ref="SOO640:SOV640"/>
    <mergeCell ref="SOW640:SPD640"/>
    <mergeCell ref="SPE640:SPL640"/>
    <mergeCell ref="SPM640:SPT640"/>
    <mergeCell ref="SPU640:SQB640"/>
    <mergeCell ref="SQC640:SQJ640"/>
    <mergeCell ref="SMS640:SMZ640"/>
    <mergeCell ref="SNA640:SNH640"/>
    <mergeCell ref="SNI640:SNP640"/>
    <mergeCell ref="SNQ640:SNX640"/>
    <mergeCell ref="SNY640:SOF640"/>
    <mergeCell ref="SOG640:SON640"/>
    <mergeCell ref="SKW640:SLD640"/>
    <mergeCell ref="SLE640:SLL640"/>
    <mergeCell ref="SLM640:SLT640"/>
    <mergeCell ref="SLU640:SMB640"/>
    <mergeCell ref="SMC640:SMJ640"/>
    <mergeCell ref="SMK640:SMR640"/>
    <mergeCell ref="SUC640:SUJ640"/>
    <mergeCell ref="SUK640:SUR640"/>
    <mergeCell ref="SUS640:SUZ640"/>
    <mergeCell ref="SVA640:SVH640"/>
    <mergeCell ref="SVI640:SVP640"/>
    <mergeCell ref="SVQ640:SVX640"/>
    <mergeCell ref="SSG640:SSN640"/>
    <mergeCell ref="SSO640:SSV640"/>
    <mergeCell ref="SSW640:STD640"/>
    <mergeCell ref="STE640:STL640"/>
    <mergeCell ref="STM640:STT640"/>
    <mergeCell ref="STU640:SUB640"/>
    <mergeCell ref="SQK640:SQR640"/>
    <mergeCell ref="SQS640:SQZ640"/>
    <mergeCell ref="SRA640:SRH640"/>
    <mergeCell ref="SRI640:SRP640"/>
    <mergeCell ref="SRQ640:SRX640"/>
    <mergeCell ref="SRY640:SSF640"/>
    <mergeCell ref="SZQ640:SZX640"/>
    <mergeCell ref="SZY640:TAF640"/>
    <mergeCell ref="TAG640:TAN640"/>
    <mergeCell ref="TAO640:TAV640"/>
    <mergeCell ref="TAW640:TBD640"/>
    <mergeCell ref="TBE640:TBL640"/>
    <mergeCell ref="SXU640:SYB640"/>
    <mergeCell ref="SYC640:SYJ640"/>
    <mergeCell ref="SYK640:SYR640"/>
    <mergeCell ref="SYS640:SYZ640"/>
    <mergeCell ref="SZA640:SZH640"/>
    <mergeCell ref="SZI640:SZP640"/>
    <mergeCell ref="SVY640:SWF640"/>
    <mergeCell ref="SWG640:SWN640"/>
    <mergeCell ref="SWO640:SWV640"/>
    <mergeCell ref="SWW640:SXD640"/>
    <mergeCell ref="SXE640:SXL640"/>
    <mergeCell ref="SXM640:SXT640"/>
    <mergeCell ref="TFE640:TFL640"/>
    <mergeCell ref="TFM640:TFT640"/>
    <mergeCell ref="TFU640:TGB640"/>
    <mergeCell ref="TGC640:TGJ640"/>
    <mergeCell ref="TGK640:TGR640"/>
    <mergeCell ref="TGS640:TGZ640"/>
    <mergeCell ref="TDI640:TDP640"/>
    <mergeCell ref="TDQ640:TDX640"/>
    <mergeCell ref="TDY640:TEF640"/>
    <mergeCell ref="TEG640:TEN640"/>
    <mergeCell ref="TEO640:TEV640"/>
    <mergeCell ref="TEW640:TFD640"/>
    <mergeCell ref="TBM640:TBT640"/>
    <mergeCell ref="TBU640:TCB640"/>
    <mergeCell ref="TCC640:TCJ640"/>
    <mergeCell ref="TCK640:TCR640"/>
    <mergeCell ref="TCS640:TCZ640"/>
    <mergeCell ref="TDA640:TDH640"/>
    <mergeCell ref="TKS640:TKZ640"/>
    <mergeCell ref="TLA640:TLH640"/>
    <mergeCell ref="TLI640:TLP640"/>
    <mergeCell ref="TLQ640:TLX640"/>
    <mergeCell ref="TLY640:TMF640"/>
    <mergeCell ref="TMG640:TMN640"/>
    <mergeCell ref="TIW640:TJD640"/>
    <mergeCell ref="TJE640:TJL640"/>
    <mergeCell ref="TJM640:TJT640"/>
    <mergeCell ref="TJU640:TKB640"/>
    <mergeCell ref="TKC640:TKJ640"/>
    <mergeCell ref="TKK640:TKR640"/>
    <mergeCell ref="THA640:THH640"/>
    <mergeCell ref="THI640:THP640"/>
    <mergeCell ref="THQ640:THX640"/>
    <mergeCell ref="THY640:TIF640"/>
    <mergeCell ref="TIG640:TIN640"/>
    <mergeCell ref="TIO640:TIV640"/>
    <mergeCell ref="TQG640:TQN640"/>
    <mergeCell ref="TQO640:TQV640"/>
    <mergeCell ref="TQW640:TRD640"/>
    <mergeCell ref="TRE640:TRL640"/>
    <mergeCell ref="TRM640:TRT640"/>
    <mergeCell ref="TRU640:TSB640"/>
    <mergeCell ref="TOK640:TOR640"/>
    <mergeCell ref="TOS640:TOZ640"/>
    <mergeCell ref="TPA640:TPH640"/>
    <mergeCell ref="TPI640:TPP640"/>
    <mergeCell ref="TPQ640:TPX640"/>
    <mergeCell ref="TPY640:TQF640"/>
    <mergeCell ref="TMO640:TMV640"/>
    <mergeCell ref="TMW640:TND640"/>
    <mergeCell ref="TNE640:TNL640"/>
    <mergeCell ref="TNM640:TNT640"/>
    <mergeCell ref="TNU640:TOB640"/>
    <mergeCell ref="TOC640:TOJ640"/>
    <mergeCell ref="TVU640:TWB640"/>
    <mergeCell ref="TWC640:TWJ640"/>
    <mergeCell ref="TWK640:TWR640"/>
    <mergeCell ref="TWS640:TWZ640"/>
    <mergeCell ref="TXA640:TXH640"/>
    <mergeCell ref="TXI640:TXP640"/>
    <mergeCell ref="TTY640:TUF640"/>
    <mergeCell ref="TUG640:TUN640"/>
    <mergeCell ref="TUO640:TUV640"/>
    <mergeCell ref="TUW640:TVD640"/>
    <mergeCell ref="TVE640:TVL640"/>
    <mergeCell ref="TVM640:TVT640"/>
    <mergeCell ref="TSC640:TSJ640"/>
    <mergeCell ref="TSK640:TSR640"/>
    <mergeCell ref="TSS640:TSZ640"/>
    <mergeCell ref="TTA640:TTH640"/>
    <mergeCell ref="TTI640:TTP640"/>
    <mergeCell ref="TTQ640:TTX640"/>
    <mergeCell ref="UBI640:UBP640"/>
    <mergeCell ref="UBQ640:UBX640"/>
    <mergeCell ref="UBY640:UCF640"/>
    <mergeCell ref="UCG640:UCN640"/>
    <mergeCell ref="UCO640:UCV640"/>
    <mergeCell ref="UCW640:UDD640"/>
    <mergeCell ref="TZM640:TZT640"/>
    <mergeCell ref="TZU640:UAB640"/>
    <mergeCell ref="UAC640:UAJ640"/>
    <mergeCell ref="UAK640:UAR640"/>
    <mergeCell ref="UAS640:UAZ640"/>
    <mergeCell ref="UBA640:UBH640"/>
    <mergeCell ref="TXQ640:TXX640"/>
    <mergeCell ref="TXY640:TYF640"/>
    <mergeCell ref="TYG640:TYN640"/>
    <mergeCell ref="TYO640:TYV640"/>
    <mergeCell ref="TYW640:TZD640"/>
    <mergeCell ref="TZE640:TZL640"/>
    <mergeCell ref="UGW640:UHD640"/>
    <mergeCell ref="UHE640:UHL640"/>
    <mergeCell ref="UHM640:UHT640"/>
    <mergeCell ref="UHU640:UIB640"/>
    <mergeCell ref="UIC640:UIJ640"/>
    <mergeCell ref="UIK640:UIR640"/>
    <mergeCell ref="UFA640:UFH640"/>
    <mergeCell ref="UFI640:UFP640"/>
    <mergeCell ref="UFQ640:UFX640"/>
    <mergeCell ref="UFY640:UGF640"/>
    <mergeCell ref="UGG640:UGN640"/>
    <mergeCell ref="UGO640:UGV640"/>
    <mergeCell ref="UDE640:UDL640"/>
    <mergeCell ref="UDM640:UDT640"/>
    <mergeCell ref="UDU640:UEB640"/>
    <mergeCell ref="UEC640:UEJ640"/>
    <mergeCell ref="UEK640:UER640"/>
    <mergeCell ref="UES640:UEZ640"/>
    <mergeCell ref="UMK640:UMR640"/>
    <mergeCell ref="UMS640:UMZ640"/>
    <mergeCell ref="UNA640:UNH640"/>
    <mergeCell ref="UNI640:UNP640"/>
    <mergeCell ref="UNQ640:UNX640"/>
    <mergeCell ref="UNY640:UOF640"/>
    <mergeCell ref="UKO640:UKV640"/>
    <mergeCell ref="UKW640:ULD640"/>
    <mergeCell ref="ULE640:ULL640"/>
    <mergeCell ref="ULM640:ULT640"/>
    <mergeCell ref="ULU640:UMB640"/>
    <mergeCell ref="UMC640:UMJ640"/>
    <mergeCell ref="UIS640:UIZ640"/>
    <mergeCell ref="UJA640:UJH640"/>
    <mergeCell ref="UJI640:UJP640"/>
    <mergeCell ref="UJQ640:UJX640"/>
    <mergeCell ref="UJY640:UKF640"/>
    <mergeCell ref="UKG640:UKN640"/>
    <mergeCell ref="URY640:USF640"/>
    <mergeCell ref="USG640:USN640"/>
    <mergeCell ref="USO640:USV640"/>
    <mergeCell ref="USW640:UTD640"/>
    <mergeCell ref="UTE640:UTL640"/>
    <mergeCell ref="UTM640:UTT640"/>
    <mergeCell ref="UQC640:UQJ640"/>
    <mergeCell ref="UQK640:UQR640"/>
    <mergeCell ref="UQS640:UQZ640"/>
    <mergeCell ref="URA640:URH640"/>
    <mergeCell ref="URI640:URP640"/>
    <mergeCell ref="URQ640:URX640"/>
    <mergeCell ref="UOG640:UON640"/>
    <mergeCell ref="UOO640:UOV640"/>
    <mergeCell ref="UOW640:UPD640"/>
    <mergeCell ref="UPE640:UPL640"/>
    <mergeCell ref="UPM640:UPT640"/>
    <mergeCell ref="UPU640:UQB640"/>
    <mergeCell ref="UXM640:UXT640"/>
    <mergeCell ref="UXU640:UYB640"/>
    <mergeCell ref="UYC640:UYJ640"/>
    <mergeCell ref="UYK640:UYR640"/>
    <mergeCell ref="UYS640:UYZ640"/>
    <mergeCell ref="UZA640:UZH640"/>
    <mergeCell ref="UVQ640:UVX640"/>
    <mergeCell ref="UVY640:UWF640"/>
    <mergeCell ref="UWG640:UWN640"/>
    <mergeCell ref="UWO640:UWV640"/>
    <mergeCell ref="UWW640:UXD640"/>
    <mergeCell ref="UXE640:UXL640"/>
    <mergeCell ref="UTU640:UUB640"/>
    <mergeCell ref="UUC640:UUJ640"/>
    <mergeCell ref="UUK640:UUR640"/>
    <mergeCell ref="UUS640:UUZ640"/>
    <mergeCell ref="UVA640:UVH640"/>
    <mergeCell ref="UVI640:UVP640"/>
    <mergeCell ref="VDA640:VDH640"/>
    <mergeCell ref="VDI640:VDP640"/>
    <mergeCell ref="VDQ640:VDX640"/>
    <mergeCell ref="VDY640:VEF640"/>
    <mergeCell ref="VEG640:VEN640"/>
    <mergeCell ref="VEO640:VEV640"/>
    <mergeCell ref="VBE640:VBL640"/>
    <mergeCell ref="VBM640:VBT640"/>
    <mergeCell ref="VBU640:VCB640"/>
    <mergeCell ref="VCC640:VCJ640"/>
    <mergeCell ref="VCK640:VCR640"/>
    <mergeCell ref="VCS640:VCZ640"/>
    <mergeCell ref="UZI640:UZP640"/>
    <mergeCell ref="UZQ640:UZX640"/>
    <mergeCell ref="UZY640:VAF640"/>
    <mergeCell ref="VAG640:VAN640"/>
    <mergeCell ref="VAO640:VAV640"/>
    <mergeCell ref="VAW640:VBD640"/>
    <mergeCell ref="VIO640:VIV640"/>
    <mergeCell ref="VIW640:VJD640"/>
    <mergeCell ref="VJE640:VJL640"/>
    <mergeCell ref="VJM640:VJT640"/>
    <mergeCell ref="VJU640:VKB640"/>
    <mergeCell ref="VKC640:VKJ640"/>
    <mergeCell ref="VGS640:VGZ640"/>
    <mergeCell ref="VHA640:VHH640"/>
    <mergeCell ref="VHI640:VHP640"/>
    <mergeCell ref="VHQ640:VHX640"/>
    <mergeCell ref="VHY640:VIF640"/>
    <mergeCell ref="VIG640:VIN640"/>
    <mergeCell ref="VEW640:VFD640"/>
    <mergeCell ref="VFE640:VFL640"/>
    <mergeCell ref="VFM640:VFT640"/>
    <mergeCell ref="VFU640:VGB640"/>
    <mergeCell ref="VGC640:VGJ640"/>
    <mergeCell ref="VGK640:VGR640"/>
    <mergeCell ref="VOC640:VOJ640"/>
    <mergeCell ref="VOK640:VOR640"/>
    <mergeCell ref="VOS640:VOZ640"/>
    <mergeCell ref="VPA640:VPH640"/>
    <mergeCell ref="VPI640:VPP640"/>
    <mergeCell ref="VPQ640:VPX640"/>
    <mergeCell ref="VMG640:VMN640"/>
    <mergeCell ref="VMO640:VMV640"/>
    <mergeCell ref="VMW640:VND640"/>
    <mergeCell ref="VNE640:VNL640"/>
    <mergeCell ref="VNM640:VNT640"/>
    <mergeCell ref="VNU640:VOB640"/>
    <mergeCell ref="VKK640:VKR640"/>
    <mergeCell ref="VKS640:VKZ640"/>
    <mergeCell ref="VLA640:VLH640"/>
    <mergeCell ref="VLI640:VLP640"/>
    <mergeCell ref="VLQ640:VLX640"/>
    <mergeCell ref="VLY640:VMF640"/>
    <mergeCell ref="VTQ640:VTX640"/>
    <mergeCell ref="VTY640:VUF640"/>
    <mergeCell ref="VUG640:VUN640"/>
    <mergeCell ref="VUO640:VUV640"/>
    <mergeCell ref="VUW640:VVD640"/>
    <mergeCell ref="VVE640:VVL640"/>
    <mergeCell ref="VRU640:VSB640"/>
    <mergeCell ref="VSC640:VSJ640"/>
    <mergeCell ref="VSK640:VSR640"/>
    <mergeCell ref="VSS640:VSZ640"/>
    <mergeCell ref="VTA640:VTH640"/>
    <mergeCell ref="VTI640:VTP640"/>
    <mergeCell ref="VPY640:VQF640"/>
    <mergeCell ref="VQG640:VQN640"/>
    <mergeCell ref="VQO640:VQV640"/>
    <mergeCell ref="VQW640:VRD640"/>
    <mergeCell ref="VRE640:VRL640"/>
    <mergeCell ref="VRM640:VRT640"/>
    <mergeCell ref="VZE640:VZL640"/>
    <mergeCell ref="VZM640:VZT640"/>
    <mergeCell ref="VZU640:WAB640"/>
    <mergeCell ref="WAC640:WAJ640"/>
    <mergeCell ref="WAK640:WAR640"/>
    <mergeCell ref="WAS640:WAZ640"/>
    <mergeCell ref="VXI640:VXP640"/>
    <mergeCell ref="VXQ640:VXX640"/>
    <mergeCell ref="VXY640:VYF640"/>
    <mergeCell ref="VYG640:VYN640"/>
    <mergeCell ref="VYO640:VYV640"/>
    <mergeCell ref="VYW640:VZD640"/>
    <mergeCell ref="VVM640:VVT640"/>
    <mergeCell ref="VVU640:VWB640"/>
    <mergeCell ref="VWC640:VWJ640"/>
    <mergeCell ref="VWK640:VWR640"/>
    <mergeCell ref="VWS640:VWZ640"/>
    <mergeCell ref="VXA640:VXH640"/>
    <mergeCell ref="WES640:WEZ640"/>
    <mergeCell ref="WFA640:WFH640"/>
    <mergeCell ref="WFI640:WFP640"/>
    <mergeCell ref="WFQ640:WFX640"/>
    <mergeCell ref="WFY640:WGF640"/>
    <mergeCell ref="WGG640:WGN640"/>
    <mergeCell ref="WCW640:WDD640"/>
    <mergeCell ref="WDE640:WDL640"/>
    <mergeCell ref="WDM640:WDT640"/>
    <mergeCell ref="WDU640:WEB640"/>
    <mergeCell ref="WEC640:WEJ640"/>
    <mergeCell ref="WEK640:WER640"/>
    <mergeCell ref="WBA640:WBH640"/>
    <mergeCell ref="WBI640:WBP640"/>
    <mergeCell ref="WBQ640:WBX640"/>
    <mergeCell ref="WBY640:WCF640"/>
    <mergeCell ref="WCG640:WCN640"/>
    <mergeCell ref="WCO640:WCV640"/>
    <mergeCell ref="WKG640:WKN640"/>
    <mergeCell ref="WKO640:WKV640"/>
    <mergeCell ref="WKW640:WLD640"/>
    <mergeCell ref="WLE640:WLL640"/>
    <mergeCell ref="WLM640:WLT640"/>
    <mergeCell ref="WLU640:WMB640"/>
    <mergeCell ref="WIK640:WIR640"/>
    <mergeCell ref="WIS640:WIZ640"/>
    <mergeCell ref="WJA640:WJH640"/>
    <mergeCell ref="WJI640:WJP640"/>
    <mergeCell ref="WJQ640:WJX640"/>
    <mergeCell ref="WJY640:WKF640"/>
    <mergeCell ref="WGO640:WGV640"/>
    <mergeCell ref="WGW640:WHD640"/>
    <mergeCell ref="WHE640:WHL640"/>
    <mergeCell ref="WHM640:WHT640"/>
    <mergeCell ref="WHU640:WIB640"/>
    <mergeCell ref="WIC640:WIJ640"/>
    <mergeCell ref="WPU640:WQB640"/>
    <mergeCell ref="WQC640:WQJ640"/>
    <mergeCell ref="WQK640:WQR640"/>
    <mergeCell ref="WQS640:WQZ640"/>
    <mergeCell ref="WRA640:WRH640"/>
    <mergeCell ref="WRI640:WRP640"/>
    <mergeCell ref="WNY640:WOF640"/>
    <mergeCell ref="WOG640:WON640"/>
    <mergeCell ref="WOO640:WOV640"/>
    <mergeCell ref="WOW640:WPD640"/>
    <mergeCell ref="WPE640:WPL640"/>
    <mergeCell ref="WPM640:WPT640"/>
    <mergeCell ref="WMC640:WMJ640"/>
    <mergeCell ref="WMK640:WMR640"/>
    <mergeCell ref="WMS640:WMZ640"/>
    <mergeCell ref="WNA640:WNH640"/>
    <mergeCell ref="WNI640:WNP640"/>
    <mergeCell ref="WNQ640:WNX640"/>
    <mergeCell ref="XEW640:XFD640"/>
    <mergeCell ref="K644:V644"/>
    <mergeCell ref="X644:AI644"/>
    <mergeCell ref="AU644:BF644"/>
    <mergeCell ref="BH644:BS644"/>
    <mergeCell ref="XCS640:XCZ640"/>
    <mergeCell ref="XDA640:XDH640"/>
    <mergeCell ref="XDI640:XDP640"/>
    <mergeCell ref="XDQ640:XDX640"/>
    <mergeCell ref="XDY640:XEF640"/>
    <mergeCell ref="XEG640:XEN640"/>
    <mergeCell ref="XAW640:XBD640"/>
    <mergeCell ref="XBE640:XBL640"/>
    <mergeCell ref="XBM640:XBT640"/>
    <mergeCell ref="XBU640:XCB640"/>
    <mergeCell ref="XCC640:XCJ640"/>
    <mergeCell ref="XCK640:XCR640"/>
    <mergeCell ref="WZA640:WZH640"/>
    <mergeCell ref="WZI640:WZP640"/>
    <mergeCell ref="WZQ640:WZX640"/>
    <mergeCell ref="WZY640:XAF640"/>
    <mergeCell ref="XAG640:XAN640"/>
    <mergeCell ref="XAO640:XAV640"/>
    <mergeCell ref="WXE640:WXL640"/>
    <mergeCell ref="WXM640:WXT640"/>
    <mergeCell ref="WXU640:WYB640"/>
    <mergeCell ref="WYC640:WYJ640"/>
    <mergeCell ref="WYK640:WYR640"/>
    <mergeCell ref="WYS640:WYZ640"/>
    <mergeCell ref="WVI640:WVP640"/>
    <mergeCell ref="WVQ640:WVX640"/>
    <mergeCell ref="WVY640:WWF640"/>
    <mergeCell ref="BH645:BL645"/>
    <mergeCell ref="BN645:BS645"/>
    <mergeCell ref="K646:O646"/>
    <mergeCell ref="Q646:V646"/>
    <mergeCell ref="X646:AB646"/>
    <mergeCell ref="AD646:AI646"/>
    <mergeCell ref="AU646:AY646"/>
    <mergeCell ref="BA646:BF646"/>
    <mergeCell ref="BH646:BL646"/>
    <mergeCell ref="BN646:BS646"/>
    <mergeCell ref="K645:O645"/>
    <mergeCell ref="Q645:V645"/>
    <mergeCell ref="X645:AB645"/>
    <mergeCell ref="AD645:AI645"/>
    <mergeCell ref="AU645:AY645"/>
    <mergeCell ref="BA645:BF645"/>
    <mergeCell ref="XEO640:XEV640"/>
    <mergeCell ref="WWG640:WWN640"/>
    <mergeCell ref="WWO640:WWV640"/>
    <mergeCell ref="WWW640:WXD640"/>
    <mergeCell ref="WTM640:WTT640"/>
    <mergeCell ref="WTU640:WUB640"/>
    <mergeCell ref="WUC640:WUJ640"/>
    <mergeCell ref="WUK640:WUR640"/>
    <mergeCell ref="WUS640:WUZ640"/>
    <mergeCell ref="WVA640:WVH640"/>
    <mergeCell ref="WRQ640:WRX640"/>
    <mergeCell ref="WRY640:WSF640"/>
    <mergeCell ref="WSG640:WSN640"/>
    <mergeCell ref="WSO640:WSV640"/>
    <mergeCell ref="WSW640:WTD640"/>
    <mergeCell ref="WTE640:WTL640"/>
    <mergeCell ref="BH649:BL649"/>
    <mergeCell ref="BN649:BS649"/>
    <mergeCell ref="K650:O650"/>
    <mergeCell ref="Q650:V650"/>
    <mergeCell ref="X650:AB650"/>
    <mergeCell ref="AD650:AI650"/>
    <mergeCell ref="AU650:AY650"/>
    <mergeCell ref="BA650:BF650"/>
    <mergeCell ref="BH650:BL650"/>
    <mergeCell ref="BN650:BS650"/>
    <mergeCell ref="K649:O649"/>
    <mergeCell ref="Q649:V649"/>
    <mergeCell ref="X649:AB649"/>
    <mergeCell ref="AD649:AI649"/>
    <mergeCell ref="AU649:AY649"/>
    <mergeCell ref="BA649:BF649"/>
    <mergeCell ref="BH647:BL647"/>
    <mergeCell ref="BN647:BS647"/>
    <mergeCell ref="K648:O648"/>
    <mergeCell ref="Q648:V648"/>
    <mergeCell ref="X648:AB648"/>
    <mergeCell ref="AD648:AI648"/>
    <mergeCell ref="AU648:AY648"/>
    <mergeCell ref="BA648:BF648"/>
    <mergeCell ref="BH648:BL648"/>
    <mergeCell ref="BN648:BS648"/>
    <mergeCell ref="K647:O647"/>
    <mergeCell ref="Q647:V647"/>
    <mergeCell ref="X647:AB647"/>
    <mergeCell ref="AD647:AI647"/>
    <mergeCell ref="AU647:AY647"/>
    <mergeCell ref="BA647:BF647"/>
    <mergeCell ref="Q653:V653"/>
    <mergeCell ref="AD653:AI653"/>
    <mergeCell ref="BA653:BF653"/>
    <mergeCell ref="BN653:BS653"/>
    <mergeCell ref="W657:AB657"/>
    <mergeCell ref="AD657:AI657"/>
    <mergeCell ref="BG657:BL657"/>
    <mergeCell ref="BN657:BS657"/>
    <mergeCell ref="BH651:BL651"/>
    <mergeCell ref="BN651:BS651"/>
    <mergeCell ref="Q652:V652"/>
    <mergeCell ref="AD652:AI652"/>
    <mergeCell ref="BA652:BF652"/>
    <mergeCell ref="BN652:BS652"/>
    <mergeCell ref="K651:O651"/>
    <mergeCell ref="Q651:V651"/>
    <mergeCell ref="X651:AB651"/>
    <mergeCell ref="AD651:AI651"/>
    <mergeCell ref="AU651:AY651"/>
    <mergeCell ref="BA651:BF651"/>
    <mergeCell ref="W663:AB663"/>
    <mergeCell ref="AD663:AI663"/>
    <mergeCell ref="BG663:BL663"/>
    <mergeCell ref="BN663:BS663"/>
    <mergeCell ref="W664:AB664"/>
    <mergeCell ref="AD664:AI664"/>
    <mergeCell ref="BG664:BL664"/>
    <mergeCell ref="BN664:BS664"/>
    <mergeCell ref="W661:AB661"/>
    <mergeCell ref="AD661:AI661"/>
    <mergeCell ref="BG661:BL661"/>
    <mergeCell ref="BN661:BS661"/>
    <mergeCell ref="W662:AB662"/>
    <mergeCell ref="AD662:AI662"/>
    <mergeCell ref="BG662:BL662"/>
    <mergeCell ref="BN662:BS662"/>
    <mergeCell ref="W658:AB658"/>
    <mergeCell ref="AD658:AI658"/>
    <mergeCell ref="BG658:BL658"/>
    <mergeCell ref="BN658:BS658"/>
    <mergeCell ref="W660:AB660"/>
    <mergeCell ref="AD660:AI660"/>
    <mergeCell ref="BG660:BL660"/>
    <mergeCell ref="BN660:BS660"/>
    <mergeCell ref="BI672:BM672"/>
    <mergeCell ref="BO672:BS672"/>
    <mergeCell ref="M673:Q673"/>
    <mergeCell ref="S673:W673"/>
    <mergeCell ref="Y673:AC673"/>
    <mergeCell ref="AE673:AI673"/>
    <mergeCell ref="AW673:BA673"/>
    <mergeCell ref="BC673:BG673"/>
    <mergeCell ref="BI673:BM673"/>
    <mergeCell ref="BO673:BS673"/>
    <mergeCell ref="M672:Q672"/>
    <mergeCell ref="S672:W672"/>
    <mergeCell ref="Y672:AC672"/>
    <mergeCell ref="AE672:AI672"/>
    <mergeCell ref="AW672:BA672"/>
    <mergeCell ref="BC672:BG672"/>
    <mergeCell ref="W665:AB665"/>
    <mergeCell ref="AD665:AI665"/>
    <mergeCell ref="BG665:BL665"/>
    <mergeCell ref="BN665:BS665"/>
    <mergeCell ref="M671:W671"/>
    <mergeCell ref="Y671:AI671"/>
    <mergeCell ref="AW671:BG671"/>
    <mergeCell ref="BI671:BS671"/>
    <mergeCell ref="AW676:BA676"/>
    <mergeCell ref="BC676:BG676"/>
    <mergeCell ref="BI676:BM676"/>
    <mergeCell ref="BO676:BS676"/>
    <mergeCell ref="C677:K677"/>
    <mergeCell ref="M677:Q677"/>
    <mergeCell ref="S677:W677"/>
    <mergeCell ref="Y677:AC677"/>
    <mergeCell ref="AE677:AI677"/>
    <mergeCell ref="AM677:AU677"/>
    <mergeCell ref="AW675:BA675"/>
    <mergeCell ref="BC675:BG675"/>
    <mergeCell ref="BI675:BM675"/>
    <mergeCell ref="BO675:BS675"/>
    <mergeCell ref="C676:K676"/>
    <mergeCell ref="M676:Q676"/>
    <mergeCell ref="S676:W676"/>
    <mergeCell ref="Y676:AC676"/>
    <mergeCell ref="AE676:AI676"/>
    <mergeCell ref="AM676:AU676"/>
    <mergeCell ref="C675:K675"/>
    <mergeCell ref="M675:Q675"/>
    <mergeCell ref="S675:W675"/>
    <mergeCell ref="Y675:AC675"/>
    <mergeCell ref="AE675:AI675"/>
    <mergeCell ref="AM675:AU675"/>
    <mergeCell ref="AW678:BA678"/>
    <mergeCell ref="BC678:BG678"/>
    <mergeCell ref="BI678:BM678"/>
    <mergeCell ref="BO678:BS678"/>
    <mergeCell ref="C679:K679"/>
    <mergeCell ref="M679:Q679"/>
    <mergeCell ref="S679:W679"/>
    <mergeCell ref="Y679:AC679"/>
    <mergeCell ref="AE679:AI679"/>
    <mergeCell ref="AM679:AU679"/>
    <mergeCell ref="AW677:BA677"/>
    <mergeCell ref="BC677:BG677"/>
    <mergeCell ref="BI677:BM677"/>
    <mergeCell ref="BO677:BS677"/>
    <mergeCell ref="C678:K678"/>
    <mergeCell ref="M678:Q678"/>
    <mergeCell ref="S678:W678"/>
    <mergeCell ref="Y678:AC678"/>
    <mergeCell ref="AE678:AI678"/>
    <mergeCell ref="AM678:AU678"/>
    <mergeCell ref="AW680:BA680"/>
    <mergeCell ref="BC680:BG680"/>
    <mergeCell ref="BI680:BM680"/>
    <mergeCell ref="BO680:BS680"/>
    <mergeCell ref="C681:K681"/>
    <mergeCell ref="M681:Q681"/>
    <mergeCell ref="S681:W681"/>
    <mergeCell ref="Y681:AC681"/>
    <mergeCell ref="AE681:AI681"/>
    <mergeCell ref="AM681:AU681"/>
    <mergeCell ref="AW679:BA679"/>
    <mergeCell ref="BC679:BG679"/>
    <mergeCell ref="BI679:BM679"/>
    <mergeCell ref="BO679:BS679"/>
    <mergeCell ref="C680:K680"/>
    <mergeCell ref="M680:Q680"/>
    <mergeCell ref="S680:W680"/>
    <mergeCell ref="Y680:AC680"/>
    <mergeCell ref="AE680:AI680"/>
    <mergeCell ref="AM680:AU680"/>
    <mergeCell ref="AW682:BA682"/>
    <mergeCell ref="BC682:BG682"/>
    <mergeCell ref="BI682:BM682"/>
    <mergeCell ref="BO682:BS682"/>
    <mergeCell ref="C683:K683"/>
    <mergeCell ref="M683:Q683"/>
    <mergeCell ref="S683:W683"/>
    <mergeCell ref="Y683:AC683"/>
    <mergeCell ref="AE683:AI683"/>
    <mergeCell ref="AM683:AU683"/>
    <mergeCell ref="AW681:BA681"/>
    <mergeCell ref="BC681:BG681"/>
    <mergeCell ref="BI681:BM681"/>
    <mergeCell ref="BO681:BS681"/>
    <mergeCell ref="C682:K682"/>
    <mergeCell ref="M682:Q682"/>
    <mergeCell ref="S682:W682"/>
    <mergeCell ref="Y682:AC682"/>
    <mergeCell ref="AE682:AI682"/>
    <mergeCell ref="AM682:AU682"/>
    <mergeCell ref="AW684:BA684"/>
    <mergeCell ref="BC684:BG684"/>
    <mergeCell ref="BI684:BM684"/>
    <mergeCell ref="BO684:BS684"/>
    <mergeCell ref="C685:K685"/>
    <mergeCell ref="M685:Q685"/>
    <mergeCell ref="S685:W685"/>
    <mergeCell ref="Y685:AC685"/>
    <mergeCell ref="AE685:AI685"/>
    <mergeCell ref="AM685:AU685"/>
    <mergeCell ref="AW683:BA683"/>
    <mergeCell ref="BC683:BG683"/>
    <mergeCell ref="BI683:BM683"/>
    <mergeCell ref="BO683:BS683"/>
    <mergeCell ref="C684:K684"/>
    <mergeCell ref="M684:Q684"/>
    <mergeCell ref="S684:W684"/>
    <mergeCell ref="Y684:AC684"/>
    <mergeCell ref="AE684:AI684"/>
    <mergeCell ref="AM684:AU684"/>
    <mergeCell ref="AW686:BA686"/>
    <mergeCell ref="BC686:BG686"/>
    <mergeCell ref="BI686:BM686"/>
    <mergeCell ref="BO686:BS686"/>
    <mergeCell ref="C687:K687"/>
    <mergeCell ref="M687:Q687"/>
    <mergeCell ref="S687:W687"/>
    <mergeCell ref="Y687:AC687"/>
    <mergeCell ref="AE687:AI687"/>
    <mergeCell ref="AM687:AU687"/>
    <mergeCell ref="AW685:BA685"/>
    <mergeCell ref="BC685:BG685"/>
    <mergeCell ref="BI685:BM685"/>
    <mergeCell ref="BO685:BS685"/>
    <mergeCell ref="C686:K686"/>
    <mergeCell ref="M686:Q686"/>
    <mergeCell ref="S686:W686"/>
    <mergeCell ref="Y686:AC686"/>
    <mergeCell ref="AE686:AI686"/>
    <mergeCell ref="AM686:AU686"/>
    <mergeCell ref="AW688:BA688"/>
    <mergeCell ref="BC688:BG688"/>
    <mergeCell ref="BI688:BM688"/>
    <mergeCell ref="BO688:BS688"/>
    <mergeCell ref="M690:Q690"/>
    <mergeCell ref="S690:W690"/>
    <mergeCell ref="Y690:AC690"/>
    <mergeCell ref="AE690:AI690"/>
    <mergeCell ref="AW690:BA690"/>
    <mergeCell ref="BC690:BG690"/>
    <mergeCell ref="AW687:BA687"/>
    <mergeCell ref="BC687:BG687"/>
    <mergeCell ref="BI687:BM687"/>
    <mergeCell ref="BO687:BS687"/>
    <mergeCell ref="C688:K688"/>
    <mergeCell ref="M688:Q688"/>
    <mergeCell ref="S688:W688"/>
    <mergeCell ref="Y688:AC688"/>
    <mergeCell ref="AE688:AI688"/>
    <mergeCell ref="AM688:AU688"/>
    <mergeCell ref="C694:AJ694"/>
    <mergeCell ref="AM694:BT694"/>
    <mergeCell ref="W695:AB695"/>
    <mergeCell ref="AD695:AI695"/>
    <mergeCell ref="K698:V698"/>
    <mergeCell ref="X698:AI698"/>
    <mergeCell ref="AU698:BF698"/>
    <mergeCell ref="BH698:BS698"/>
    <mergeCell ref="W692:AB692"/>
    <mergeCell ref="AD692:AI692"/>
    <mergeCell ref="BG692:BL692"/>
    <mergeCell ref="BN692:BS692"/>
    <mergeCell ref="W693:AB693"/>
    <mergeCell ref="AD693:AI693"/>
    <mergeCell ref="BG693:BL693"/>
    <mergeCell ref="BN693:BS693"/>
    <mergeCell ref="BI690:BM690"/>
    <mergeCell ref="BO690:BS690"/>
    <mergeCell ref="W691:AB691"/>
    <mergeCell ref="AD691:AI691"/>
    <mergeCell ref="BG691:BL691"/>
    <mergeCell ref="BN691:BS691"/>
    <mergeCell ref="BH701:BM701"/>
    <mergeCell ref="BO701:BS701"/>
    <mergeCell ref="K702:P702"/>
    <mergeCell ref="R702:V702"/>
    <mergeCell ref="X702:AC702"/>
    <mergeCell ref="AE702:AI702"/>
    <mergeCell ref="AU702:AZ702"/>
    <mergeCell ref="BB702:BF702"/>
    <mergeCell ref="BH702:BM702"/>
    <mergeCell ref="BO702:BS702"/>
    <mergeCell ref="K701:P701"/>
    <mergeCell ref="R701:V701"/>
    <mergeCell ref="X701:AC701"/>
    <mergeCell ref="AE701:AI701"/>
    <mergeCell ref="AU701:AZ701"/>
    <mergeCell ref="BB701:BF701"/>
    <mergeCell ref="BH699:BM699"/>
    <mergeCell ref="BO699:BS699"/>
    <mergeCell ref="K700:P700"/>
    <mergeCell ref="R700:V700"/>
    <mergeCell ref="X700:AC700"/>
    <mergeCell ref="AE700:AI700"/>
    <mergeCell ref="AU700:AZ700"/>
    <mergeCell ref="BB700:BF700"/>
    <mergeCell ref="BH700:BM700"/>
    <mergeCell ref="BO700:BS700"/>
    <mergeCell ref="K699:P699"/>
    <mergeCell ref="R699:V699"/>
    <mergeCell ref="X699:AC699"/>
    <mergeCell ref="AE699:AI699"/>
    <mergeCell ref="AU699:AZ699"/>
    <mergeCell ref="BB699:BF699"/>
    <mergeCell ref="BB705:BF705"/>
    <mergeCell ref="BH705:BM705"/>
    <mergeCell ref="BO705:BS705"/>
    <mergeCell ref="K706:P706"/>
    <mergeCell ref="R706:V706"/>
    <mergeCell ref="X706:AC706"/>
    <mergeCell ref="AE706:AI706"/>
    <mergeCell ref="AU706:AZ706"/>
    <mergeCell ref="BB706:BF706"/>
    <mergeCell ref="BH706:BM706"/>
    <mergeCell ref="C705:I705"/>
    <mergeCell ref="K705:P705"/>
    <mergeCell ref="R705:V705"/>
    <mergeCell ref="X705:AC705"/>
    <mergeCell ref="AE705:AI705"/>
    <mergeCell ref="AU705:AZ705"/>
    <mergeCell ref="BH703:BM703"/>
    <mergeCell ref="BO703:BS703"/>
    <mergeCell ref="K704:P704"/>
    <mergeCell ref="R704:V704"/>
    <mergeCell ref="X704:AC704"/>
    <mergeCell ref="AE704:AI704"/>
    <mergeCell ref="AU704:AZ704"/>
    <mergeCell ref="BB704:BF704"/>
    <mergeCell ref="BH704:BM704"/>
    <mergeCell ref="BO704:BS704"/>
    <mergeCell ref="K703:P703"/>
    <mergeCell ref="R703:V703"/>
    <mergeCell ref="X703:AC703"/>
    <mergeCell ref="AE703:AI703"/>
    <mergeCell ref="AU703:AZ703"/>
    <mergeCell ref="BB703:BF703"/>
    <mergeCell ref="BH708:BM708"/>
    <mergeCell ref="BO708:BS708"/>
    <mergeCell ref="K709:P709"/>
    <mergeCell ref="R709:V709"/>
    <mergeCell ref="X709:AC709"/>
    <mergeCell ref="AE709:AI709"/>
    <mergeCell ref="AU709:AZ709"/>
    <mergeCell ref="BB709:BF709"/>
    <mergeCell ref="BH709:BM709"/>
    <mergeCell ref="BO709:BS709"/>
    <mergeCell ref="K708:P708"/>
    <mergeCell ref="R708:V708"/>
    <mergeCell ref="X708:AC708"/>
    <mergeCell ref="AE708:AI708"/>
    <mergeCell ref="AU708:AZ708"/>
    <mergeCell ref="BB708:BF708"/>
    <mergeCell ref="BO706:BS706"/>
    <mergeCell ref="K707:P707"/>
    <mergeCell ref="R707:V707"/>
    <mergeCell ref="X707:AC707"/>
    <mergeCell ref="AE707:AI707"/>
    <mergeCell ref="AU707:AZ707"/>
    <mergeCell ref="BB707:BF707"/>
    <mergeCell ref="BH707:BM707"/>
    <mergeCell ref="BO707:BS707"/>
    <mergeCell ref="D715:AI715"/>
    <mergeCell ref="AN715:BS715"/>
    <mergeCell ref="D716:AI716"/>
    <mergeCell ref="AN716:BS716"/>
    <mergeCell ref="C717:AI717"/>
    <mergeCell ref="AM717:BS717"/>
    <mergeCell ref="BH711:BM711"/>
    <mergeCell ref="BO711:BS711"/>
    <mergeCell ref="D713:AI713"/>
    <mergeCell ref="AN713:BS713"/>
    <mergeCell ref="D714:AI714"/>
    <mergeCell ref="AN714:BS714"/>
    <mergeCell ref="K711:P711"/>
    <mergeCell ref="R711:V711"/>
    <mergeCell ref="X711:AC711"/>
    <mergeCell ref="AE711:AI711"/>
    <mergeCell ref="AU711:AZ711"/>
    <mergeCell ref="BB711:BF711"/>
    <mergeCell ref="BH724:BM724"/>
    <mergeCell ref="BO724:BS724"/>
    <mergeCell ref="K725:P725"/>
    <mergeCell ref="R725:V725"/>
    <mergeCell ref="X725:AC725"/>
    <mergeCell ref="AE725:AI725"/>
    <mergeCell ref="AU725:AZ725"/>
    <mergeCell ref="BB725:BF725"/>
    <mergeCell ref="BH725:BM725"/>
    <mergeCell ref="BO725:BS725"/>
    <mergeCell ref="K724:P724"/>
    <mergeCell ref="R724:V724"/>
    <mergeCell ref="X724:AC724"/>
    <mergeCell ref="AE724:AI724"/>
    <mergeCell ref="AU724:AZ724"/>
    <mergeCell ref="BB724:BF724"/>
    <mergeCell ref="W719:AB719"/>
    <mergeCell ref="AD719:AI719"/>
    <mergeCell ref="K723:V723"/>
    <mergeCell ref="X723:AI723"/>
    <mergeCell ref="AU723:BF723"/>
    <mergeCell ref="BH723:BS723"/>
    <mergeCell ref="BH730:BM730"/>
    <mergeCell ref="BO730:BS730"/>
    <mergeCell ref="C732:AI732"/>
    <mergeCell ref="AM732:BS732"/>
    <mergeCell ref="W736:AB736"/>
    <mergeCell ref="AD736:AI736"/>
    <mergeCell ref="BG736:BL736"/>
    <mergeCell ref="BN736:BS736"/>
    <mergeCell ref="K730:P730"/>
    <mergeCell ref="R730:V730"/>
    <mergeCell ref="X730:AC730"/>
    <mergeCell ref="AE730:AI730"/>
    <mergeCell ref="AU730:AZ730"/>
    <mergeCell ref="BB730:BF730"/>
    <mergeCell ref="BH727:BM727"/>
    <mergeCell ref="BO727:BS727"/>
    <mergeCell ref="K728:P728"/>
    <mergeCell ref="R728:V728"/>
    <mergeCell ref="X728:AC728"/>
    <mergeCell ref="AE728:AI728"/>
    <mergeCell ref="AU728:AZ728"/>
    <mergeCell ref="BB728:BF728"/>
    <mergeCell ref="BH728:BM728"/>
    <mergeCell ref="BO728:BS728"/>
    <mergeCell ref="K727:P727"/>
    <mergeCell ref="R727:V727"/>
    <mergeCell ref="X727:AC727"/>
    <mergeCell ref="AE727:AI727"/>
    <mergeCell ref="AU727:AZ727"/>
    <mergeCell ref="BB727:BF727"/>
    <mergeCell ref="W741:AB741"/>
    <mergeCell ref="AD741:AI741"/>
    <mergeCell ref="BG741:BL741"/>
    <mergeCell ref="BN741:BS741"/>
    <mergeCell ref="W742:AB742"/>
    <mergeCell ref="AD742:AI742"/>
    <mergeCell ref="BG742:BL742"/>
    <mergeCell ref="BN742:BS742"/>
    <mergeCell ref="W739:AB739"/>
    <mergeCell ref="AD739:AI739"/>
    <mergeCell ref="BG739:BL739"/>
    <mergeCell ref="BN739:BS739"/>
    <mergeCell ref="W740:AB740"/>
    <mergeCell ref="AD740:AI740"/>
    <mergeCell ref="BG740:BL740"/>
    <mergeCell ref="BN740:BS740"/>
    <mergeCell ref="W737:AB737"/>
    <mergeCell ref="AD737:AI737"/>
    <mergeCell ref="BG737:BL737"/>
    <mergeCell ref="BN737:BS737"/>
    <mergeCell ref="W738:AB738"/>
    <mergeCell ref="AD738:AI738"/>
    <mergeCell ref="BG738:BL738"/>
    <mergeCell ref="BN738:BS738"/>
    <mergeCell ref="W747:AB747"/>
    <mergeCell ref="AD747:AI747"/>
    <mergeCell ref="BG747:BL747"/>
    <mergeCell ref="BN747:BS747"/>
    <mergeCell ref="W748:AB748"/>
    <mergeCell ref="AD748:AI748"/>
    <mergeCell ref="BG748:BL748"/>
    <mergeCell ref="BN748:BS748"/>
    <mergeCell ref="W745:AB745"/>
    <mergeCell ref="AD745:AI745"/>
    <mergeCell ref="BG745:BL745"/>
    <mergeCell ref="BN745:BS745"/>
    <mergeCell ref="W746:AB746"/>
    <mergeCell ref="AD746:AI746"/>
    <mergeCell ref="BG746:BL746"/>
    <mergeCell ref="BN746:BS746"/>
    <mergeCell ref="W743:AB743"/>
    <mergeCell ref="AD743:AI743"/>
    <mergeCell ref="BG743:BL743"/>
    <mergeCell ref="BN743:BS743"/>
    <mergeCell ref="W744:AB744"/>
    <mergeCell ref="AD744:AI744"/>
    <mergeCell ref="BG744:BL744"/>
    <mergeCell ref="BN744:BS744"/>
    <mergeCell ref="W751:AB751"/>
    <mergeCell ref="AD751:AI751"/>
    <mergeCell ref="BG751:BL751"/>
    <mergeCell ref="BN751:BS751"/>
    <mergeCell ref="C753:AI753"/>
    <mergeCell ref="I757:N757"/>
    <mergeCell ref="P757:U757"/>
    <mergeCell ref="W757:AB757"/>
    <mergeCell ref="AD757:AI757"/>
    <mergeCell ref="AS757:AX757"/>
    <mergeCell ref="W749:AB749"/>
    <mergeCell ref="AD749:AI749"/>
    <mergeCell ref="BG749:BL749"/>
    <mergeCell ref="BN749:BS749"/>
    <mergeCell ref="W750:AB750"/>
    <mergeCell ref="AD750:AI750"/>
    <mergeCell ref="BG750:BL750"/>
    <mergeCell ref="BN750:BS750"/>
    <mergeCell ref="BN758:BS758"/>
    <mergeCell ref="C759:H759"/>
    <mergeCell ref="I759:N759"/>
    <mergeCell ref="P759:U759"/>
    <mergeCell ref="W759:AB759"/>
    <mergeCell ref="AD759:AI759"/>
    <mergeCell ref="AS759:AX759"/>
    <mergeCell ref="AZ759:BE759"/>
    <mergeCell ref="BG759:BL759"/>
    <mergeCell ref="BN759:BS759"/>
    <mergeCell ref="AZ757:BE757"/>
    <mergeCell ref="BG757:BL757"/>
    <mergeCell ref="BN757:BS757"/>
    <mergeCell ref="I758:N758"/>
    <mergeCell ref="P758:U758"/>
    <mergeCell ref="W758:AB758"/>
    <mergeCell ref="AD758:AI758"/>
    <mergeCell ref="AS758:AX758"/>
    <mergeCell ref="AZ758:BE758"/>
    <mergeCell ref="BG758:BL758"/>
    <mergeCell ref="AS761:AX761"/>
    <mergeCell ref="AZ761:BE761"/>
    <mergeCell ref="BG761:BL761"/>
    <mergeCell ref="BN761:BS761"/>
    <mergeCell ref="C762:H762"/>
    <mergeCell ref="I762:N762"/>
    <mergeCell ref="P762:U762"/>
    <mergeCell ref="W762:AB762"/>
    <mergeCell ref="AD762:AI762"/>
    <mergeCell ref="AM762:AR762"/>
    <mergeCell ref="AS760:AX760"/>
    <mergeCell ref="AZ760:BE760"/>
    <mergeCell ref="BG760:BL760"/>
    <mergeCell ref="BN760:BS760"/>
    <mergeCell ref="C761:H761"/>
    <mergeCell ref="I761:N761"/>
    <mergeCell ref="P761:U761"/>
    <mergeCell ref="W761:AB761"/>
    <mergeCell ref="AD761:AI761"/>
    <mergeCell ref="AM761:AR761"/>
    <mergeCell ref="C760:H760"/>
    <mergeCell ref="I760:N760"/>
    <mergeCell ref="P760:U760"/>
    <mergeCell ref="W760:AB760"/>
    <mergeCell ref="AD760:AI760"/>
    <mergeCell ref="AM760:AR760"/>
    <mergeCell ref="AS763:AX763"/>
    <mergeCell ref="AZ763:BE763"/>
    <mergeCell ref="BG763:BL763"/>
    <mergeCell ref="BN763:BS763"/>
    <mergeCell ref="C764:H764"/>
    <mergeCell ref="I764:N764"/>
    <mergeCell ref="P764:U764"/>
    <mergeCell ref="W764:AB764"/>
    <mergeCell ref="AD764:AI764"/>
    <mergeCell ref="AM764:AR764"/>
    <mergeCell ref="AS762:AX762"/>
    <mergeCell ref="AZ762:BE762"/>
    <mergeCell ref="BG762:BL762"/>
    <mergeCell ref="BN762:BS762"/>
    <mergeCell ref="C763:H763"/>
    <mergeCell ref="I763:N763"/>
    <mergeCell ref="P763:U763"/>
    <mergeCell ref="W763:AB763"/>
    <mergeCell ref="AD763:AI763"/>
    <mergeCell ref="AM763:AR763"/>
    <mergeCell ref="AS765:AX765"/>
    <mergeCell ref="AZ765:BE765"/>
    <mergeCell ref="BG765:BL765"/>
    <mergeCell ref="BN765:BS765"/>
    <mergeCell ref="C766:H766"/>
    <mergeCell ref="I766:N766"/>
    <mergeCell ref="P766:U766"/>
    <mergeCell ref="W766:AB766"/>
    <mergeCell ref="AD766:AI766"/>
    <mergeCell ref="AM766:AR766"/>
    <mergeCell ref="AS764:AX764"/>
    <mergeCell ref="AZ764:BE764"/>
    <mergeCell ref="BG764:BL764"/>
    <mergeCell ref="BN764:BS764"/>
    <mergeCell ref="C765:H765"/>
    <mergeCell ref="I765:N765"/>
    <mergeCell ref="P765:U765"/>
    <mergeCell ref="W765:AB765"/>
    <mergeCell ref="AD765:AI765"/>
    <mergeCell ref="AM765:AR765"/>
    <mergeCell ref="AS767:AX767"/>
    <mergeCell ref="AZ767:BE767"/>
    <mergeCell ref="BG767:BL767"/>
    <mergeCell ref="BN767:BS767"/>
    <mergeCell ref="C768:H768"/>
    <mergeCell ref="I768:N768"/>
    <mergeCell ref="P768:U768"/>
    <mergeCell ref="W768:AB768"/>
    <mergeCell ref="AD768:AI768"/>
    <mergeCell ref="AM768:AR768"/>
    <mergeCell ref="AS766:AX766"/>
    <mergeCell ref="AZ766:BE766"/>
    <mergeCell ref="BG766:BL766"/>
    <mergeCell ref="BN766:BS766"/>
    <mergeCell ref="C767:H767"/>
    <mergeCell ref="I767:N767"/>
    <mergeCell ref="P767:U767"/>
    <mergeCell ref="W767:AB767"/>
    <mergeCell ref="AD767:AI767"/>
    <mergeCell ref="AM767:AR767"/>
    <mergeCell ref="AS769:AX769"/>
    <mergeCell ref="AZ769:BE769"/>
    <mergeCell ref="BG769:BL769"/>
    <mergeCell ref="BN769:BS769"/>
    <mergeCell ref="C770:H770"/>
    <mergeCell ref="I770:N770"/>
    <mergeCell ref="P770:U770"/>
    <mergeCell ref="W770:AB770"/>
    <mergeCell ref="AD770:AI770"/>
    <mergeCell ref="AM770:AR770"/>
    <mergeCell ref="AS768:AX768"/>
    <mergeCell ref="AZ768:BE768"/>
    <mergeCell ref="BG768:BL768"/>
    <mergeCell ref="BN768:BS768"/>
    <mergeCell ref="C769:H769"/>
    <mergeCell ref="I769:N769"/>
    <mergeCell ref="P769:U769"/>
    <mergeCell ref="W769:AB769"/>
    <mergeCell ref="AD769:AI769"/>
    <mergeCell ref="AM769:AR769"/>
    <mergeCell ref="AS771:AX771"/>
    <mergeCell ref="AZ771:BE771"/>
    <mergeCell ref="BG771:BL771"/>
    <mergeCell ref="BN771:BS771"/>
    <mergeCell ref="C772:H772"/>
    <mergeCell ref="I772:N772"/>
    <mergeCell ref="P772:U772"/>
    <mergeCell ref="W772:AB772"/>
    <mergeCell ref="AD772:AI772"/>
    <mergeCell ref="AM772:AR772"/>
    <mergeCell ref="AS770:AX770"/>
    <mergeCell ref="AZ770:BE770"/>
    <mergeCell ref="BG770:BL770"/>
    <mergeCell ref="BN770:BS770"/>
    <mergeCell ref="C771:H771"/>
    <mergeCell ref="I771:N771"/>
    <mergeCell ref="P771:U771"/>
    <mergeCell ref="W771:AB771"/>
    <mergeCell ref="AD771:AI771"/>
    <mergeCell ref="AM771:AR771"/>
    <mergeCell ref="AS773:AX773"/>
    <mergeCell ref="AZ773:BE773"/>
    <mergeCell ref="BG773:BL773"/>
    <mergeCell ref="BN773:BS773"/>
    <mergeCell ref="C774:H774"/>
    <mergeCell ref="I774:N774"/>
    <mergeCell ref="P774:U774"/>
    <mergeCell ref="W774:AB774"/>
    <mergeCell ref="AD774:AI774"/>
    <mergeCell ref="AM774:AR774"/>
    <mergeCell ref="AS772:AX772"/>
    <mergeCell ref="AZ772:BE772"/>
    <mergeCell ref="BG772:BL772"/>
    <mergeCell ref="BN772:BS772"/>
    <mergeCell ref="C773:H773"/>
    <mergeCell ref="I773:N773"/>
    <mergeCell ref="P773:U773"/>
    <mergeCell ref="W773:AB773"/>
    <mergeCell ref="AD773:AI773"/>
    <mergeCell ref="AM773:AR773"/>
    <mergeCell ref="AS775:AX775"/>
    <mergeCell ref="AZ775:BE775"/>
    <mergeCell ref="BG775:BL775"/>
    <mergeCell ref="BN775:BS775"/>
    <mergeCell ref="C776:H776"/>
    <mergeCell ref="I776:N776"/>
    <mergeCell ref="P776:U776"/>
    <mergeCell ref="W776:AB776"/>
    <mergeCell ref="AD776:AI776"/>
    <mergeCell ref="AM776:AR776"/>
    <mergeCell ref="AS774:AX774"/>
    <mergeCell ref="AZ774:BE774"/>
    <mergeCell ref="BG774:BL774"/>
    <mergeCell ref="BN774:BS774"/>
    <mergeCell ref="C775:H775"/>
    <mergeCell ref="I775:N775"/>
    <mergeCell ref="P775:U775"/>
    <mergeCell ref="W775:AB775"/>
    <mergeCell ref="AD775:AI775"/>
    <mergeCell ref="AM775:AR775"/>
    <mergeCell ref="AS777:AX777"/>
    <mergeCell ref="AZ777:BE777"/>
    <mergeCell ref="BG777:BL777"/>
    <mergeCell ref="BN777:BS777"/>
    <mergeCell ref="C778:H778"/>
    <mergeCell ref="I778:N778"/>
    <mergeCell ref="P778:U778"/>
    <mergeCell ref="W778:AB778"/>
    <mergeCell ref="AD778:AI778"/>
    <mergeCell ref="AM778:AR778"/>
    <mergeCell ref="AS776:AX776"/>
    <mergeCell ref="AZ776:BE776"/>
    <mergeCell ref="BG776:BL776"/>
    <mergeCell ref="BN776:BS776"/>
    <mergeCell ref="C777:H777"/>
    <mergeCell ref="I777:N777"/>
    <mergeCell ref="P777:U777"/>
    <mergeCell ref="W777:AB777"/>
    <mergeCell ref="AD777:AI777"/>
    <mergeCell ref="AM777:AR777"/>
    <mergeCell ref="D784:AI784"/>
    <mergeCell ref="D785:AI785"/>
    <mergeCell ref="D786:AI786"/>
    <mergeCell ref="I791:N791"/>
    <mergeCell ref="P791:U791"/>
    <mergeCell ref="W791:AB791"/>
    <mergeCell ref="AD791:AI791"/>
    <mergeCell ref="AS779:AX779"/>
    <mergeCell ref="AZ779:BE779"/>
    <mergeCell ref="BG779:BL779"/>
    <mergeCell ref="BN779:BS779"/>
    <mergeCell ref="D782:AI782"/>
    <mergeCell ref="D783:AI783"/>
    <mergeCell ref="AS778:AX778"/>
    <mergeCell ref="AZ778:BE778"/>
    <mergeCell ref="BG778:BL778"/>
    <mergeCell ref="BN778:BS778"/>
    <mergeCell ref="C779:H779"/>
    <mergeCell ref="I779:N779"/>
    <mergeCell ref="P779:U779"/>
    <mergeCell ref="W779:AB779"/>
    <mergeCell ref="AD779:AI779"/>
    <mergeCell ref="AM779:AR779"/>
    <mergeCell ref="BG792:BL792"/>
    <mergeCell ref="BN792:BS792"/>
    <mergeCell ref="C793:H793"/>
    <mergeCell ref="I793:N793"/>
    <mergeCell ref="P793:U793"/>
    <mergeCell ref="W793:AB793"/>
    <mergeCell ref="AD793:AI793"/>
    <mergeCell ref="AM793:AR793"/>
    <mergeCell ref="AS793:AX793"/>
    <mergeCell ref="AZ793:BE793"/>
    <mergeCell ref="AS791:AX791"/>
    <mergeCell ref="AZ791:BE791"/>
    <mergeCell ref="BG791:BL791"/>
    <mergeCell ref="BN791:BS791"/>
    <mergeCell ref="I792:N792"/>
    <mergeCell ref="P792:U792"/>
    <mergeCell ref="W792:AB792"/>
    <mergeCell ref="AD792:AI792"/>
    <mergeCell ref="AS792:AX792"/>
    <mergeCell ref="AZ792:BE792"/>
    <mergeCell ref="BN794:BS794"/>
    <mergeCell ref="C795:H795"/>
    <mergeCell ref="I795:N795"/>
    <mergeCell ref="P795:U795"/>
    <mergeCell ref="W795:AB795"/>
    <mergeCell ref="AD795:AI795"/>
    <mergeCell ref="AM795:AR795"/>
    <mergeCell ref="AS795:AX795"/>
    <mergeCell ref="AZ795:BE795"/>
    <mergeCell ref="BG795:BL795"/>
    <mergeCell ref="BG793:BL793"/>
    <mergeCell ref="BN793:BS793"/>
    <mergeCell ref="C794:H794"/>
    <mergeCell ref="I794:N794"/>
    <mergeCell ref="W794:AB794"/>
    <mergeCell ref="AD794:AI794"/>
    <mergeCell ref="AM794:AR794"/>
    <mergeCell ref="AS794:AX794"/>
    <mergeCell ref="AZ794:BE794"/>
    <mergeCell ref="BG794:BL794"/>
    <mergeCell ref="BN796:BS796"/>
    <mergeCell ref="C797:H797"/>
    <mergeCell ref="I797:N797"/>
    <mergeCell ref="P797:U797"/>
    <mergeCell ref="W797:AB797"/>
    <mergeCell ref="AD797:AI797"/>
    <mergeCell ref="AM797:AR797"/>
    <mergeCell ref="AS797:AX797"/>
    <mergeCell ref="AZ797:BE797"/>
    <mergeCell ref="BG797:BL797"/>
    <mergeCell ref="BN795:BS795"/>
    <mergeCell ref="C796:H796"/>
    <mergeCell ref="I796:N796"/>
    <mergeCell ref="P796:U796"/>
    <mergeCell ref="W796:AB796"/>
    <mergeCell ref="AD796:AI796"/>
    <mergeCell ref="AM796:AR796"/>
    <mergeCell ref="AS796:AX796"/>
    <mergeCell ref="AZ796:BE796"/>
    <mergeCell ref="BG796:BL796"/>
    <mergeCell ref="BN798:BS798"/>
    <mergeCell ref="C799:H799"/>
    <mergeCell ref="I799:N799"/>
    <mergeCell ref="P799:U799"/>
    <mergeCell ref="W799:AB799"/>
    <mergeCell ref="AD799:AI799"/>
    <mergeCell ref="AM799:AR799"/>
    <mergeCell ref="AS799:AX799"/>
    <mergeCell ref="AZ799:BE799"/>
    <mergeCell ref="BG799:BL799"/>
    <mergeCell ref="BN797:BS797"/>
    <mergeCell ref="C798:H798"/>
    <mergeCell ref="I798:N798"/>
    <mergeCell ref="P798:U798"/>
    <mergeCell ref="W798:AB798"/>
    <mergeCell ref="AD798:AI798"/>
    <mergeCell ref="AM798:AR798"/>
    <mergeCell ref="AS798:AX798"/>
    <mergeCell ref="AZ798:BE798"/>
    <mergeCell ref="BG798:BL798"/>
    <mergeCell ref="BN800:BS800"/>
    <mergeCell ref="C801:H801"/>
    <mergeCell ref="I801:N801"/>
    <mergeCell ref="P801:U801"/>
    <mergeCell ref="W801:AB801"/>
    <mergeCell ref="AD801:AI801"/>
    <mergeCell ref="AM801:AR801"/>
    <mergeCell ref="AS801:AX801"/>
    <mergeCell ref="AZ801:BE801"/>
    <mergeCell ref="BG801:BL801"/>
    <mergeCell ref="BN799:BS799"/>
    <mergeCell ref="C800:H800"/>
    <mergeCell ref="I800:N800"/>
    <mergeCell ref="P800:U800"/>
    <mergeCell ref="W800:AB800"/>
    <mergeCell ref="AD800:AI800"/>
    <mergeCell ref="AM800:AR800"/>
    <mergeCell ref="AS800:AX800"/>
    <mergeCell ref="AZ800:BE800"/>
    <mergeCell ref="BG800:BL800"/>
    <mergeCell ref="BN802:BS802"/>
    <mergeCell ref="C803:H803"/>
    <mergeCell ref="I803:N803"/>
    <mergeCell ref="P803:U803"/>
    <mergeCell ref="W803:AB803"/>
    <mergeCell ref="AD803:AI803"/>
    <mergeCell ref="AM803:AR803"/>
    <mergeCell ref="AS803:AX803"/>
    <mergeCell ref="AZ803:BE803"/>
    <mergeCell ref="BG803:BL803"/>
    <mergeCell ref="BN801:BS801"/>
    <mergeCell ref="C802:H802"/>
    <mergeCell ref="I802:N802"/>
    <mergeCell ref="P802:U802"/>
    <mergeCell ref="W802:AB802"/>
    <mergeCell ref="AD802:AI802"/>
    <mergeCell ref="AM802:AR802"/>
    <mergeCell ref="AS802:AX802"/>
    <mergeCell ref="AZ802:BE802"/>
    <mergeCell ref="BG802:BL802"/>
    <mergeCell ref="BN804:BS804"/>
    <mergeCell ref="C805:H805"/>
    <mergeCell ref="I805:N805"/>
    <mergeCell ref="P805:U805"/>
    <mergeCell ref="W805:AB805"/>
    <mergeCell ref="AD805:AI805"/>
    <mergeCell ref="AM805:AR805"/>
    <mergeCell ref="AS805:AX805"/>
    <mergeCell ref="AZ805:BE805"/>
    <mergeCell ref="BG805:BL805"/>
    <mergeCell ref="BN803:BS803"/>
    <mergeCell ref="C804:H804"/>
    <mergeCell ref="I804:N804"/>
    <mergeCell ref="P804:U804"/>
    <mergeCell ref="W804:AB804"/>
    <mergeCell ref="AD804:AI804"/>
    <mergeCell ref="AM804:AR804"/>
    <mergeCell ref="AS804:AX804"/>
    <mergeCell ref="AZ804:BE804"/>
    <mergeCell ref="BG804:BL804"/>
    <mergeCell ref="BN806:BS806"/>
    <mergeCell ref="C807:H807"/>
    <mergeCell ref="I807:N807"/>
    <mergeCell ref="P807:U807"/>
    <mergeCell ref="W807:AB807"/>
    <mergeCell ref="AD807:AI807"/>
    <mergeCell ref="AM807:AR807"/>
    <mergeCell ref="AS807:AX807"/>
    <mergeCell ref="AZ807:BE807"/>
    <mergeCell ref="BG807:BL807"/>
    <mergeCell ref="BN805:BS805"/>
    <mergeCell ref="C806:H806"/>
    <mergeCell ref="I806:N806"/>
    <mergeCell ref="P806:U806"/>
    <mergeCell ref="W806:AB806"/>
    <mergeCell ref="AD806:AI806"/>
    <mergeCell ref="AM806:AR806"/>
    <mergeCell ref="AS806:AX806"/>
    <mergeCell ref="AZ806:BE806"/>
    <mergeCell ref="BG806:BL806"/>
    <mergeCell ref="BN808:BS808"/>
    <mergeCell ref="C809:H809"/>
    <mergeCell ref="I809:N809"/>
    <mergeCell ref="P809:U809"/>
    <mergeCell ref="W809:AB809"/>
    <mergeCell ref="AD809:AI809"/>
    <mergeCell ref="AM809:AR809"/>
    <mergeCell ref="AS809:AX809"/>
    <mergeCell ref="AZ809:BE809"/>
    <mergeCell ref="BG809:BL809"/>
    <mergeCell ref="BN807:BS807"/>
    <mergeCell ref="C808:H808"/>
    <mergeCell ref="I808:N808"/>
    <mergeCell ref="P808:U808"/>
    <mergeCell ref="W808:AB808"/>
    <mergeCell ref="AD808:AI808"/>
    <mergeCell ref="AM808:AR808"/>
    <mergeCell ref="AS808:AX808"/>
    <mergeCell ref="AZ808:BE808"/>
    <mergeCell ref="BG808:BL808"/>
    <mergeCell ref="BN810:BS810"/>
    <mergeCell ref="C811:H811"/>
    <mergeCell ref="I811:N811"/>
    <mergeCell ref="P811:U811"/>
    <mergeCell ref="W811:AB811"/>
    <mergeCell ref="AD811:AI811"/>
    <mergeCell ref="AM811:AR811"/>
    <mergeCell ref="AS811:AX811"/>
    <mergeCell ref="AZ811:BE811"/>
    <mergeCell ref="BG811:BL811"/>
    <mergeCell ref="BN809:BS809"/>
    <mergeCell ref="C810:H810"/>
    <mergeCell ref="I810:N810"/>
    <mergeCell ref="P810:U810"/>
    <mergeCell ref="W810:AB810"/>
    <mergeCell ref="AD810:AI810"/>
    <mergeCell ref="AM810:AR810"/>
    <mergeCell ref="AS810:AX810"/>
    <mergeCell ref="AZ810:BE810"/>
    <mergeCell ref="BG810:BL810"/>
    <mergeCell ref="BN812:BS812"/>
    <mergeCell ref="D814:AI814"/>
    <mergeCell ref="AN814:BS814"/>
    <mergeCell ref="D815:AI815"/>
    <mergeCell ref="AN815:BS815"/>
    <mergeCell ref="D816:AI816"/>
    <mergeCell ref="AN816:BS816"/>
    <mergeCell ref="BN811:BS811"/>
    <mergeCell ref="C812:H812"/>
    <mergeCell ref="I812:N812"/>
    <mergeCell ref="P812:U812"/>
    <mergeCell ref="W812:AB812"/>
    <mergeCell ref="AD812:AI812"/>
    <mergeCell ref="AM812:AR812"/>
    <mergeCell ref="AS812:AX812"/>
    <mergeCell ref="AZ812:BE812"/>
    <mergeCell ref="BG812:BL812"/>
    <mergeCell ref="AZ823:BE823"/>
    <mergeCell ref="BG823:BL823"/>
    <mergeCell ref="BN823:BS823"/>
    <mergeCell ref="C824:H824"/>
    <mergeCell ref="I824:N824"/>
    <mergeCell ref="P824:U824"/>
    <mergeCell ref="W824:AB824"/>
    <mergeCell ref="AD824:AI824"/>
    <mergeCell ref="AM824:AR824"/>
    <mergeCell ref="AS824:AX824"/>
    <mergeCell ref="C823:H823"/>
    <mergeCell ref="I823:N823"/>
    <mergeCell ref="P823:U823"/>
    <mergeCell ref="W823:AB823"/>
    <mergeCell ref="AD823:AI823"/>
    <mergeCell ref="AS823:AX823"/>
    <mergeCell ref="BG821:BL821"/>
    <mergeCell ref="BN821:BS821"/>
    <mergeCell ref="I822:N822"/>
    <mergeCell ref="P822:U822"/>
    <mergeCell ref="W822:AB822"/>
    <mergeCell ref="AD822:AI822"/>
    <mergeCell ref="AS822:AX822"/>
    <mergeCell ref="AZ822:BE822"/>
    <mergeCell ref="BG822:BL822"/>
    <mergeCell ref="BN822:BS822"/>
    <mergeCell ref="I821:N821"/>
    <mergeCell ref="P821:U821"/>
    <mergeCell ref="W821:AB821"/>
    <mergeCell ref="AD821:AI821"/>
    <mergeCell ref="AS821:AX821"/>
    <mergeCell ref="AZ821:BE821"/>
    <mergeCell ref="AZ825:BE825"/>
    <mergeCell ref="BG825:BL825"/>
    <mergeCell ref="BN825:BS825"/>
    <mergeCell ref="C826:H826"/>
    <mergeCell ref="I826:N826"/>
    <mergeCell ref="P826:U826"/>
    <mergeCell ref="W826:AB826"/>
    <mergeCell ref="AD826:AI826"/>
    <mergeCell ref="AM826:AR826"/>
    <mergeCell ref="AS826:AX826"/>
    <mergeCell ref="AZ824:BE824"/>
    <mergeCell ref="BG824:BL824"/>
    <mergeCell ref="BN824:BS824"/>
    <mergeCell ref="C825:H825"/>
    <mergeCell ref="I825:N825"/>
    <mergeCell ref="P825:U825"/>
    <mergeCell ref="W825:AB825"/>
    <mergeCell ref="AD825:AI825"/>
    <mergeCell ref="AM825:AR825"/>
    <mergeCell ref="AS825:AX825"/>
    <mergeCell ref="AZ827:BE827"/>
    <mergeCell ref="BG827:BL827"/>
    <mergeCell ref="BN827:BS827"/>
    <mergeCell ref="C828:H828"/>
    <mergeCell ref="I828:N828"/>
    <mergeCell ref="P828:U828"/>
    <mergeCell ref="W828:AB828"/>
    <mergeCell ref="AD828:AI828"/>
    <mergeCell ref="AM828:AR828"/>
    <mergeCell ref="AS828:AX828"/>
    <mergeCell ref="AZ826:BE826"/>
    <mergeCell ref="BG826:BL826"/>
    <mergeCell ref="BN826:BS826"/>
    <mergeCell ref="C827:H827"/>
    <mergeCell ref="I827:N827"/>
    <mergeCell ref="P827:U827"/>
    <mergeCell ref="W827:AB827"/>
    <mergeCell ref="AD827:AI827"/>
    <mergeCell ref="AM827:AR827"/>
    <mergeCell ref="AS827:AX827"/>
    <mergeCell ref="AZ829:BE829"/>
    <mergeCell ref="BG829:BL829"/>
    <mergeCell ref="BN829:BS829"/>
    <mergeCell ref="C830:H830"/>
    <mergeCell ref="I830:N830"/>
    <mergeCell ref="P830:U830"/>
    <mergeCell ref="W830:AB830"/>
    <mergeCell ref="AD830:AI830"/>
    <mergeCell ref="AM830:AR830"/>
    <mergeCell ref="AS830:AX830"/>
    <mergeCell ref="AZ828:BE828"/>
    <mergeCell ref="BG828:BL828"/>
    <mergeCell ref="BN828:BS828"/>
    <mergeCell ref="C829:H829"/>
    <mergeCell ref="I829:N829"/>
    <mergeCell ref="P829:U829"/>
    <mergeCell ref="W829:AB829"/>
    <mergeCell ref="AD829:AI829"/>
    <mergeCell ref="AM829:AR829"/>
    <mergeCell ref="AS829:AX829"/>
    <mergeCell ref="AZ831:BE831"/>
    <mergeCell ref="BG831:BL831"/>
    <mergeCell ref="BN831:BS831"/>
    <mergeCell ref="C832:H832"/>
    <mergeCell ref="I832:N832"/>
    <mergeCell ref="P832:U832"/>
    <mergeCell ref="W832:AB832"/>
    <mergeCell ref="AD832:AI832"/>
    <mergeCell ref="AM832:AR832"/>
    <mergeCell ref="AS832:AX832"/>
    <mergeCell ref="AZ830:BE830"/>
    <mergeCell ref="BG830:BL830"/>
    <mergeCell ref="BN830:BS830"/>
    <mergeCell ref="C831:H831"/>
    <mergeCell ref="I831:N831"/>
    <mergeCell ref="P831:U831"/>
    <mergeCell ref="W831:AB831"/>
    <mergeCell ref="AD831:AI831"/>
    <mergeCell ref="AM831:AR831"/>
    <mergeCell ref="AS831:AX831"/>
    <mergeCell ref="AZ833:BE833"/>
    <mergeCell ref="BG833:BL833"/>
    <mergeCell ref="BN833:BS833"/>
    <mergeCell ref="C834:H834"/>
    <mergeCell ref="I834:N834"/>
    <mergeCell ref="P834:U834"/>
    <mergeCell ref="W834:AB834"/>
    <mergeCell ref="AD834:AI834"/>
    <mergeCell ref="AM834:AR834"/>
    <mergeCell ref="AS834:AX834"/>
    <mergeCell ref="AZ832:BE832"/>
    <mergeCell ref="BG832:BL832"/>
    <mergeCell ref="BN832:BS832"/>
    <mergeCell ref="C833:H833"/>
    <mergeCell ref="I833:N833"/>
    <mergeCell ref="P833:U833"/>
    <mergeCell ref="W833:AB833"/>
    <mergeCell ref="AD833:AI833"/>
    <mergeCell ref="AM833:AR833"/>
    <mergeCell ref="AS833:AX833"/>
    <mergeCell ref="AZ835:BE835"/>
    <mergeCell ref="BG835:BL835"/>
    <mergeCell ref="BN835:BS835"/>
    <mergeCell ref="C836:H836"/>
    <mergeCell ref="I836:N836"/>
    <mergeCell ref="P836:U836"/>
    <mergeCell ref="W836:AB836"/>
    <mergeCell ref="AD836:AI836"/>
    <mergeCell ref="AM836:AR836"/>
    <mergeCell ref="AS836:AX836"/>
    <mergeCell ref="AZ834:BE834"/>
    <mergeCell ref="BG834:BL834"/>
    <mergeCell ref="BN834:BS834"/>
    <mergeCell ref="C835:H835"/>
    <mergeCell ref="I835:N835"/>
    <mergeCell ref="P835:U835"/>
    <mergeCell ref="W835:AB835"/>
    <mergeCell ref="AD835:AI835"/>
    <mergeCell ref="AM835:AR835"/>
    <mergeCell ref="AS835:AX835"/>
    <mergeCell ref="AZ837:BE837"/>
    <mergeCell ref="BG837:BL837"/>
    <mergeCell ref="BN837:BS837"/>
    <mergeCell ref="C838:H838"/>
    <mergeCell ref="I838:N838"/>
    <mergeCell ref="P838:U838"/>
    <mergeCell ref="W838:AB838"/>
    <mergeCell ref="AD838:AI838"/>
    <mergeCell ref="AM838:AR838"/>
    <mergeCell ref="AS838:AX838"/>
    <mergeCell ref="AZ836:BE836"/>
    <mergeCell ref="BG836:BL836"/>
    <mergeCell ref="BN836:BS836"/>
    <mergeCell ref="C837:H837"/>
    <mergeCell ref="I837:N837"/>
    <mergeCell ref="P837:U837"/>
    <mergeCell ref="W837:AB837"/>
    <mergeCell ref="AD837:AI837"/>
    <mergeCell ref="AM837:AR837"/>
    <mergeCell ref="AS837:AX837"/>
    <mergeCell ref="AZ839:BE839"/>
    <mergeCell ref="BG839:BL839"/>
    <mergeCell ref="BN839:BS839"/>
    <mergeCell ref="C840:H840"/>
    <mergeCell ref="I840:N840"/>
    <mergeCell ref="P840:U840"/>
    <mergeCell ref="W840:AB840"/>
    <mergeCell ref="AD840:AI840"/>
    <mergeCell ref="AM840:AR840"/>
    <mergeCell ref="AS840:AX840"/>
    <mergeCell ref="AZ838:BE838"/>
    <mergeCell ref="BG838:BL838"/>
    <mergeCell ref="BN838:BS838"/>
    <mergeCell ref="C839:H839"/>
    <mergeCell ref="I839:N839"/>
    <mergeCell ref="P839:U839"/>
    <mergeCell ref="W839:AB839"/>
    <mergeCell ref="AD839:AI839"/>
    <mergeCell ref="AM839:AR839"/>
    <mergeCell ref="AS839:AX839"/>
    <mergeCell ref="AZ841:BE841"/>
    <mergeCell ref="BG841:BL841"/>
    <mergeCell ref="BN841:BS841"/>
    <mergeCell ref="C842:H842"/>
    <mergeCell ref="I842:N842"/>
    <mergeCell ref="P842:U842"/>
    <mergeCell ref="W842:AB842"/>
    <mergeCell ref="AD842:AI842"/>
    <mergeCell ref="AM842:AR842"/>
    <mergeCell ref="AS842:AX842"/>
    <mergeCell ref="AZ840:BE840"/>
    <mergeCell ref="BG840:BL840"/>
    <mergeCell ref="BN840:BS840"/>
    <mergeCell ref="C841:H841"/>
    <mergeCell ref="I841:N841"/>
    <mergeCell ref="P841:U841"/>
    <mergeCell ref="W841:AB841"/>
    <mergeCell ref="AD841:AI841"/>
    <mergeCell ref="AM841:AR841"/>
    <mergeCell ref="AS841:AX841"/>
    <mergeCell ref="C847:AI847"/>
    <mergeCell ref="AN847:BS847"/>
    <mergeCell ref="I854:N854"/>
    <mergeCell ref="P854:U854"/>
    <mergeCell ref="W854:AB854"/>
    <mergeCell ref="AD854:AI854"/>
    <mergeCell ref="AS854:AX854"/>
    <mergeCell ref="AZ854:BE854"/>
    <mergeCell ref="BG854:BL854"/>
    <mergeCell ref="BN854:BS854"/>
    <mergeCell ref="AZ842:BE842"/>
    <mergeCell ref="BG842:BL842"/>
    <mergeCell ref="BN842:BS842"/>
    <mergeCell ref="D845:AI845"/>
    <mergeCell ref="AN845:BS845"/>
    <mergeCell ref="D846:AI846"/>
    <mergeCell ref="AN846:BS846"/>
    <mergeCell ref="BG857:BL857"/>
    <mergeCell ref="BN857:BS857"/>
    <mergeCell ref="I858:N858"/>
    <mergeCell ref="P858:U858"/>
    <mergeCell ref="W858:AB858"/>
    <mergeCell ref="AD858:AI858"/>
    <mergeCell ref="AM858:AR858"/>
    <mergeCell ref="AS858:AX858"/>
    <mergeCell ref="AZ858:BE858"/>
    <mergeCell ref="BG858:BL858"/>
    <mergeCell ref="I857:N857"/>
    <mergeCell ref="P857:U857"/>
    <mergeCell ref="W857:AB857"/>
    <mergeCell ref="AD857:AI857"/>
    <mergeCell ref="AS857:AX857"/>
    <mergeCell ref="AZ857:BE857"/>
    <mergeCell ref="BG855:BL855"/>
    <mergeCell ref="BN855:BS855"/>
    <mergeCell ref="I856:N856"/>
    <mergeCell ref="P856:U856"/>
    <mergeCell ref="W856:AB856"/>
    <mergeCell ref="AD856:AI856"/>
    <mergeCell ref="AS856:AX856"/>
    <mergeCell ref="AZ856:BE856"/>
    <mergeCell ref="BG856:BL856"/>
    <mergeCell ref="BN856:BS856"/>
    <mergeCell ref="I855:N855"/>
    <mergeCell ref="P855:U855"/>
    <mergeCell ref="W855:AB855"/>
    <mergeCell ref="AD855:AI855"/>
    <mergeCell ref="AS855:AX855"/>
    <mergeCell ref="AZ855:BE855"/>
    <mergeCell ref="AS860:AX860"/>
    <mergeCell ref="AZ860:BE860"/>
    <mergeCell ref="BG860:BL860"/>
    <mergeCell ref="BN860:BS860"/>
    <mergeCell ref="I861:N861"/>
    <mergeCell ref="P861:U861"/>
    <mergeCell ref="W861:AB861"/>
    <mergeCell ref="AD861:AI861"/>
    <mergeCell ref="AS861:AX861"/>
    <mergeCell ref="AZ861:BE861"/>
    <mergeCell ref="C860:H860"/>
    <mergeCell ref="I860:N860"/>
    <mergeCell ref="P860:U860"/>
    <mergeCell ref="W860:AB860"/>
    <mergeCell ref="AD860:AI860"/>
    <mergeCell ref="AM860:AR860"/>
    <mergeCell ref="BN858:BS858"/>
    <mergeCell ref="I859:N859"/>
    <mergeCell ref="P859:U859"/>
    <mergeCell ref="W859:AB859"/>
    <mergeCell ref="AD859:AI859"/>
    <mergeCell ref="AS859:AX859"/>
    <mergeCell ref="AZ859:BE859"/>
    <mergeCell ref="BG859:BL859"/>
    <mergeCell ref="BN859:BS859"/>
    <mergeCell ref="BN862:BS862"/>
    <mergeCell ref="I863:N863"/>
    <mergeCell ref="P863:U863"/>
    <mergeCell ref="W863:AB863"/>
    <mergeCell ref="AD863:AI863"/>
    <mergeCell ref="AS863:AX863"/>
    <mergeCell ref="AZ863:BE863"/>
    <mergeCell ref="BG863:BL863"/>
    <mergeCell ref="BN863:BS863"/>
    <mergeCell ref="BG861:BL861"/>
    <mergeCell ref="BN861:BS861"/>
    <mergeCell ref="I862:N862"/>
    <mergeCell ref="P862:U862"/>
    <mergeCell ref="W862:AB862"/>
    <mergeCell ref="AD862:AI862"/>
    <mergeCell ref="AM862:AR862"/>
    <mergeCell ref="AS862:AX862"/>
    <mergeCell ref="AZ862:BE862"/>
    <mergeCell ref="BG862:BL862"/>
    <mergeCell ref="BG865:BL865"/>
    <mergeCell ref="BN865:BS865"/>
    <mergeCell ref="C866:H866"/>
    <mergeCell ref="I866:N866"/>
    <mergeCell ref="P866:U866"/>
    <mergeCell ref="W866:AB866"/>
    <mergeCell ref="AD866:AI866"/>
    <mergeCell ref="AM866:AR866"/>
    <mergeCell ref="AS866:AX866"/>
    <mergeCell ref="AZ866:BE866"/>
    <mergeCell ref="I865:N865"/>
    <mergeCell ref="P865:U865"/>
    <mergeCell ref="W865:AB865"/>
    <mergeCell ref="AD865:AI865"/>
    <mergeCell ref="AS865:AX865"/>
    <mergeCell ref="AZ865:BE865"/>
    <mergeCell ref="P864:U864"/>
    <mergeCell ref="W864:AB864"/>
    <mergeCell ref="AD864:AI864"/>
    <mergeCell ref="AZ864:BE864"/>
    <mergeCell ref="BG864:BL864"/>
    <mergeCell ref="BN864:BS864"/>
    <mergeCell ref="AS868:AX868"/>
    <mergeCell ref="AZ868:BE868"/>
    <mergeCell ref="BG868:BL868"/>
    <mergeCell ref="BN868:BS868"/>
    <mergeCell ref="I869:N869"/>
    <mergeCell ref="P869:U869"/>
    <mergeCell ref="W869:AB869"/>
    <mergeCell ref="AD869:AI869"/>
    <mergeCell ref="AS869:AX869"/>
    <mergeCell ref="AZ869:BE869"/>
    <mergeCell ref="C868:H868"/>
    <mergeCell ref="I868:N868"/>
    <mergeCell ref="P868:U868"/>
    <mergeCell ref="W868:AB868"/>
    <mergeCell ref="AD868:AI868"/>
    <mergeCell ref="AM868:AR868"/>
    <mergeCell ref="BG866:BL866"/>
    <mergeCell ref="BN866:BS866"/>
    <mergeCell ref="I867:N867"/>
    <mergeCell ref="P867:U867"/>
    <mergeCell ref="W867:AB867"/>
    <mergeCell ref="AD867:AI867"/>
    <mergeCell ref="AS867:AX867"/>
    <mergeCell ref="AZ867:BE867"/>
    <mergeCell ref="BG867:BL867"/>
    <mergeCell ref="BN867:BS867"/>
    <mergeCell ref="BN870:BS870"/>
    <mergeCell ref="I871:N871"/>
    <mergeCell ref="P871:U871"/>
    <mergeCell ref="W871:AB871"/>
    <mergeCell ref="AD871:AI871"/>
    <mergeCell ref="AS871:AX871"/>
    <mergeCell ref="AZ871:BE871"/>
    <mergeCell ref="BG871:BL871"/>
    <mergeCell ref="BN871:BS871"/>
    <mergeCell ref="BG869:BL869"/>
    <mergeCell ref="BN869:BS869"/>
    <mergeCell ref="I870:N870"/>
    <mergeCell ref="P870:U870"/>
    <mergeCell ref="W870:AB870"/>
    <mergeCell ref="AD870:AI870"/>
    <mergeCell ref="AM870:AR870"/>
    <mergeCell ref="AS870:AX870"/>
    <mergeCell ref="AZ870:BE870"/>
    <mergeCell ref="BG870:BL870"/>
    <mergeCell ref="BG874:BL874"/>
    <mergeCell ref="BN874:BS874"/>
    <mergeCell ref="I878:N878"/>
    <mergeCell ref="P878:U878"/>
    <mergeCell ref="W878:AB878"/>
    <mergeCell ref="AD878:AI878"/>
    <mergeCell ref="AS878:AX878"/>
    <mergeCell ref="AZ878:BE878"/>
    <mergeCell ref="BG878:BL878"/>
    <mergeCell ref="BN878:BS878"/>
    <mergeCell ref="I874:N874"/>
    <mergeCell ref="P874:U874"/>
    <mergeCell ref="W874:AB874"/>
    <mergeCell ref="AD874:AI874"/>
    <mergeCell ref="AS874:AX874"/>
    <mergeCell ref="AZ874:BE874"/>
    <mergeCell ref="BN872:BS872"/>
    <mergeCell ref="I873:N873"/>
    <mergeCell ref="P873:U873"/>
    <mergeCell ref="W873:AB873"/>
    <mergeCell ref="AD873:AI873"/>
    <mergeCell ref="AM873:AR873"/>
    <mergeCell ref="AS873:AX873"/>
    <mergeCell ref="AZ873:BE873"/>
    <mergeCell ref="BG873:BL873"/>
    <mergeCell ref="BN873:BS873"/>
    <mergeCell ref="I872:N872"/>
    <mergeCell ref="P872:U872"/>
    <mergeCell ref="W872:AB872"/>
    <mergeCell ref="AD872:AI872"/>
    <mergeCell ref="AZ872:BE872"/>
    <mergeCell ref="BG872:BL872"/>
    <mergeCell ref="BG881:BL881"/>
    <mergeCell ref="BN881:BS881"/>
    <mergeCell ref="I882:N882"/>
    <mergeCell ref="P882:U882"/>
    <mergeCell ref="W882:AB882"/>
    <mergeCell ref="AD882:AI882"/>
    <mergeCell ref="AM882:AR882"/>
    <mergeCell ref="AS882:AX882"/>
    <mergeCell ref="AZ882:BE882"/>
    <mergeCell ref="BG882:BL882"/>
    <mergeCell ref="I881:N881"/>
    <mergeCell ref="P881:U881"/>
    <mergeCell ref="W881:AB881"/>
    <mergeCell ref="AD881:AI881"/>
    <mergeCell ref="AS881:AX881"/>
    <mergeCell ref="AZ881:BE881"/>
    <mergeCell ref="BG879:BL879"/>
    <mergeCell ref="BN879:BS879"/>
    <mergeCell ref="I880:N880"/>
    <mergeCell ref="P880:U880"/>
    <mergeCell ref="W880:AB880"/>
    <mergeCell ref="AD880:AI880"/>
    <mergeCell ref="AS880:AX880"/>
    <mergeCell ref="AZ880:BE880"/>
    <mergeCell ref="BG880:BL880"/>
    <mergeCell ref="BN880:BS880"/>
    <mergeCell ref="I879:N879"/>
    <mergeCell ref="P879:U879"/>
    <mergeCell ref="W879:AB879"/>
    <mergeCell ref="AD879:AI879"/>
    <mergeCell ref="AS879:AX879"/>
    <mergeCell ref="AZ879:BE879"/>
    <mergeCell ref="AS884:AX884"/>
    <mergeCell ref="AZ884:BE884"/>
    <mergeCell ref="BG884:BL884"/>
    <mergeCell ref="BN884:BS884"/>
    <mergeCell ref="I885:N885"/>
    <mergeCell ref="P885:U885"/>
    <mergeCell ref="W885:AB885"/>
    <mergeCell ref="AD885:AI885"/>
    <mergeCell ref="AS885:AX885"/>
    <mergeCell ref="AZ885:BE885"/>
    <mergeCell ref="C884:H884"/>
    <mergeCell ref="I884:N884"/>
    <mergeCell ref="P884:U884"/>
    <mergeCell ref="W884:AB884"/>
    <mergeCell ref="AD884:AI884"/>
    <mergeCell ref="AM884:AR884"/>
    <mergeCell ref="BN882:BS882"/>
    <mergeCell ref="I883:N883"/>
    <mergeCell ref="P883:U883"/>
    <mergeCell ref="W883:AB883"/>
    <mergeCell ref="AD883:AI883"/>
    <mergeCell ref="AS883:AX883"/>
    <mergeCell ref="AZ883:BE883"/>
    <mergeCell ref="BG883:BL883"/>
    <mergeCell ref="BN883:BS883"/>
    <mergeCell ref="BN886:BS886"/>
    <mergeCell ref="I887:N887"/>
    <mergeCell ref="P887:U887"/>
    <mergeCell ref="W887:AB887"/>
    <mergeCell ref="AD887:AI887"/>
    <mergeCell ref="AS887:AX887"/>
    <mergeCell ref="AZ887:BE887"/>
    <mergeCell ref="BG887:BL887"/>
    <mergeCell ref="BN887:BS887"/>
    <mergeCell ref="BG885:BL885"/>
    <mergeCell ref="BN885:BS885"/>
    <mergeCell ref="I886:N886"/>
    <mergeCell ref="P886:U886"/>
    <mergeCell ref="W886:AB886"/>
    <mergeCell ref="AD886:AI886"/>
    <mergeCell ref="AM886:AR886"/>
    <mergeCell ref="AS886:AX886"/>
    <mergeCell ref="AZ886:BE886"/>
    <mergeCell ref="BG886:BL886"/>
    <mergeCell ref="BG889:BL889"/>
    <mergeCell ref="BN889:BS889"/>
    <mergeCell ref="I890:N890"/>
    <mergeCell ref="P890:U890"/>
    <mergeCell ref="W890:AB890"/>
    <mergeCell ref="AD890:AI890"/>
    <mergeCell ref="AS890:AX890"/>
    <mergeCell ref="AZ890:BE890"/>
    <mergeCell ref="BG890:BL890"/>
    <mergeCell ref="BN890:BS890"/>
    <mergeCell ref="I889:N889"/>
    <mergeCell ref="P889:U889"/>
    <mergeCell ref="W889:AB889"/>
    <mergeCell ref="AD889:AI889"/>
    <mergeCell ref="AS889:AX889"/>
    <mergeCell ref="AZ889:BE889"/>
    <mergeCell ref="P888:U888"/>
    <mergeCell ref="W888:AB888"/>
    <mergeCell ref="AD888:AI888"/>
    <mergeCell ref="AZ888:BE888"/>
    <mergeCell ref="BG888:BL888"/>
    <mergeCell ref="BN888:BS888"/>
    <mergeCell ref="BN892:BS892"/>
    <mergeCell ref="I893:N893"/>
    <mergeCell ref="P893:U893"/>
    <mergeCell ref="W893:AB893"/>
    <mergeCell ref="AD893:AI893"/>
    <mergeCell ref="AS893:AX893"/>
    <mergeCell ref="AZ893:BE893"/>
    <mergeCell ref="BG893:BL893"/>
    <mergeCell ref="BN893:BS893"/>
    <mergeCell ref="BG891:BL891"/>
    <mergeCell ref="BN891:BS891"/>
    <mergeCell ref="I892:N892"/>
    <mergeCell ref="P892:U892"/>
    <mergeCell ref="W892:AB892"/>
    <mergeCell ref="AD892:AI892"/>
    <mergeCell ref="AM892:AR892"/>
    <mergeCell ref="AS892:AX892"/>
    <mergeCell ref="AZ892:BE892"/>
    <mergeCell ref="BG892:BL892"/>
    <mergeCell ref="I891:N891"/>
    <mergeCell ref="P891:U891"/>
    <mergeCell ref="W891:AB891"/>
    <mergeCell ref="AD891:AI891"/>
    <mergeCell ref="AS891:AX891"/>
    <mergeCell ref="AZ891:BE891"/>
    <mergeCell ref="BG896:BL896"/>
    <mergeCell ref="BN896:BS896"/>
    <mergeCell ref="D899:AI899"/>
    <mergeCell ref="AN899:BS899"/>
    <mergeCell ref="D900:AI900"/>
    <mergeCell ref="AN900:BS900"/>
    <mergeCell ref="I896:N896"/>
    <mergeCell ref="P896:U896"/>
    <mergeCell ref="W896:AB896"/>
    <mergeCell ref="AD896:AI896"/>
    <mergeCell ref="AS896:AX896"/>
    <mergeCell ref="AZ896:BE896"/>
    <mergeCell ref="BN894:BS894"/>
    <mergeCell ref="I895:N895"/>
    <mergeCell ref="P895:U895"/>
    <mergeCell ref="W895:AB895"/>
    <mergeCell ref="AD895:AI895"/>
    <mergeCell ref="AM895:AR895"/>
    <mergeCell ref="AS895:AX895"/>
    <mergeCell ref="AZ895:BE895"/>
    <mergeCell ref="BG895:BL895"/>
    <mergeCell ref="BN895:BS895"/>
    <mergeCell ref="I894:N894"/>
    <mergeCell ref="P894:U894"/>
    <mergeCell ref="W894:AB894"/>
    <mergeCell ref="AD894:AI894"/>
    <mergeCell ref="AZ894:BE894"/>
    <mergeCell ref="BG894:BL894"/>
    <mergeCell ref="W909:AB909"/>
    <mergeCell ref="AD909:AI909"/>
    <mergeCell ref="BG909:BL909"/>
    <mergeCell ref="BN909:BS909"/>
    <mergeCell ref="W910:AB910"/>
    <mergeCell ref="AD910:AI910"/>
    <mergeCell ref="BG910:BL910"/>
    <mergeCell ref="BN910:BS910"/>
    <mergeCell ref="W907:AB907"/>
    <mergeCell ref="AD907:AI907"/>
    <mergeCell ref="BG907:BL907"/>
    <mergeCell ref="BN907:BS907"/>
    <mergeCell ref="W908:AB908"/>
    <mergeCell ref="AD908:AI908"/>
    <mergeCell ref="BG908:BL908"/>
    <mergeCell ref="BN908:BS908"/>
    <mergeCell ref="D901:AI901"/>
    <mergeCell ref="AN901:BS901"/>
    <mergeCell ref="C902:AI902"/>
    <mergeCell ref="AM902:BS902"/>
    <mergeCell ref="W906:AB906"/>
    <mergeCell ref="AD906:AI906"/>
    <mergeCell ref="BG906:BL906"/>
    <mergeCell ref="BN906:BS906"/>
    <mergeCell ref="W915:AB915"/>
    <mergeCell ref="AD915:AI915"/>
    <mergeCell ref="BG915:BL915"/>
    <mergeCell ref="BN915:BS915"/>
    <mergeCell ref="W916:AB916"/>
    <mergeCell ref="AD916:AI916"/>
    <mergeCell ref="BG916:BL916"/>
    <mergeCell ref="BN916:BS916"/>
    <mergeCell ref="W913:AB913"/>
    <mergeCell ref="AD913:AI913"/>
    <mergeCell ref="BG913:BL913"/>
    <mergeCell ref="BN913:BS913"/>
    <mergeCell ref="W914:AB914"/>
    <mergeCell ref="AD914:AI914"/>
    <mergeCell ref="BG914:BL914"/>
    <mergeCell ref="BN914:BS914"/>
    <mergeCell ref="C911:V911"/>
    <mergeCell ref="W911:AB911"/>
    <mergeCell ref="AD911:AI911"/>
    <mergeCell ref="BG911:BL911"/>
    <mergeCell ref="BN911:BS911"/>
    <mergeCell ref="W912:AB912"/>
    <mergeCell ref="AD912:AI912"/>
    <mergeCell ref="BG912:BL912"/>
    <mergeCell ref="BN912:BS912"/>
    <mergeCell ref="W921:AB921"/>
    <mergeCell ref="AD921:AI921"/>
    <mergeCell ref="BG921:BL921"/>
    <mergeCell ref="BN921:BS921"/>
    <mergeCell ref="W922:AB922"/>
    <mergeCell ref="AD922:AI922"/>
    <mergeCell ref="BG922:BL922"/>
    <mergeCell ref="BN922:BS922"/>
    <mergeCell ref="C919:V919"/>
    <mergeCell ref="W919:AB919"/>
    <mergeCell ref="AD919:AI919"/>
    <mergeCell ref="BG919:BL919"/>
    <mergeCell ref="BN919:BS919"/>
    <mergeCell ref="W920:AB920"/>
    <mergeCell ref="AD920:AI920"/>
    <mergeCell ref="W917:AB917"/>
    <mergeCell ref="AD917:AI917"/>
    <mergeCell ref="BG917:BL917"/>
    <mergeCell ref="BN917:BS917"/>
    <mergeCell ref="W918:AB918"/>
    <mergeCell ref="AD918:AI918"/>
    <mergeCell ref="BG918:BL918"/>
    <mergeCell ref="BN918:BS918"/>
    <mergeCell ref="W930:AB930"/>
    <mergeCell ref="AD930:AI930"/>
    <mergeCell ref="BG930:BL930"/>
    <mergeCell ref="BN930:BS930"/>
    <mergeCell ref="W931:AB931"/>
    <mergeCell ref="AD931:AI931"/>
    <mergeCell ref="BG931:BL931"/>
    <mergeCell ref="BN931:BS931"/>
    <mergeCell ref="W927:AB927"/>
    <mergeCell ref="AD927:AI927"/>
    <mergeCell ref="BG927:BL927"/>
    <mergeCell ref="BN927:BS927"/>
    <mergeCell ref="W928:AB928"/>
    <mergeCell ref="AD928:AI928"/>
    <mergeCell ref="BG928:BL928"/>
    <mergeCell ref="BN928:BS928"/>
    <mergeCell ref="W923:AB923"/>
    <mergeCell ref="AD923:AI923"/>
    <mergeCell ref="BG923:BL923"/>
    <mergeCell ref="BN923:BS923"/>
    <mergeCell ref="W925:AB925"/>
    <mergeCell ref="AD925:AI925"/>
    <mergeCell ref="W936:AB936"/>
    <mergeCell ref="AD936:AI936"/>
    <mergeCell ref="BG936:BL936"/>
    <mergeCell ref="BN936:BS936"/>
    <mergeCell ref="W937:AB937"/>
    <mergeCell ref="AD937:AI937"/>
    <mergeCell ref="BG937:BL937"/>
    <mergeCell ref="BN937:BS937"/>
    <mergeCell ref="W934:AB934"/>
    <mergeCell ref="AD934:AI934"/>
    <mergeCell ref="BG934:BL934"/>
    <mergeCell ref="BN934:BS934"/>
    <mergeCell ref="W935:AB935"/>
    <mergeCell ref="AD935:AI935"/>
    <mergeCell ref="BG935:BL935"/>
    <mergeCell ref="BN935:BS935"/>
    <mergeCell ref="W932:AB932"/>
    <mergeCell ref="AD932:AI932"/>
    <mergeCell ref="BG932:BL932"/>
    <mergeCell ref="BN932:BS932"/>
    <mergeCell ref="W933:AB933"/>
    <mergeCell ref="AD933:AI933"/>
    <mergeCell ref="BG933:BL933"/>
    <mergeCell ref="BN933:BS933"/>
    <mergeCell ref="C950:AI950"/>
    <mergeCell ref="AM950:BS950"/>
    <mergeCell ref="M951:N951"/>
    <mergeCell ref="P951:Q951"/>
    <mergeCell ref="S951:U951"/>
    <mergeCell ref="W951:AB951"/>
    <mergeCell ref="AD951:AI951"/>
    <mergeCell ref="AV951:AX951"/>
    <mergeCell ref="AZ951:BA951"/>
    <mergeCell ref="BC951:BE951"/>
    <mergeCell ref="W940:AB940"/>
    <mergeCell ref="AD940:AI940"/>
    <mergeCell ref="BG940:BL940"/>
    <mergeCell ref="BN940:BS940"/>
    <mergeCell ref="C948:AI948"/>
    <mergeCell ref="AM948:BS948"/>
    <mergeCell ref="W938:AB938"/>
    <mergeCell ref="AD938:AI938"/>
    <mergeCell ref="BG938:BL938"/>
    <mergeCell ref="BN938:BS938"/>
    <mergeCell ref="W939:AB939"/>
    <mergeCell ref="AD939:AI939"/>
    <mergeCell ref="BG939:BL939"/>
    <mergeCell ref="BN939:BS939"/>
    <mergeCell ref="AZ954:BA954"/>
    <mergeCell ref="BC954:BE954"/>
    <mergeCell ref="BG954:BL954"/>
    <mergeCell ref="BN954:BS954"/>
    <mergeCell ref="M955:N955"/>
    <mergeCell ref="P955:Q955"/>
    <mergeCell ref="S955:U955"/>
    <mergeCell ref="W955:AB955"/>
    <mergeCell ref="AD955:AI955"/>
    <mergeCell ref="AV955:AX955"/>
    <mergeCell ref="M954:N954"/>
    <mergeCell ref="P954:Q954"/>
    <mergeCell ref="S954:U954"/>
    <mergeCell ref="W954:AB954"/>
    <mergeCell ref="AD954:AI954"/>
    <mergeCell ref="AV954:AX954"/>
    <mergeCell ref="BG951:BL951"/>
    <mergeCell ref="BN951:BS951"/>
    <mergeCell ref="P952:Q952"/>
    <mergeCell ref="W952:AB952"/>
    <mergeCell ref="AD952:AI952"/>
    <mergeCell ref="AZ952:BA952"/>
    <mergeCell ref="BG952:BL952"/>
    <mergeCell ref="BN952:BS952"/>
    <mergeCell ref="AT965:AU965"/>
    <mergeCell ref="AW965:AX965"/>
    <mergeCell ref="AZ965:BA965"/>
    <mergeCell ref="BC965:BE965"/>
    <mergeCell ref="BG965:BL965"/>
    <mergeCell ref="BN965:BS965"/>
    <mergeCell ref="C959:AI959"/>
    <mergeCell ref="AM959:BS959"/>
    <mergeCell ref="C962:AI962"/>
    <mergeCell ref="AM962:BS962"/>
    <mergeCell ref="J965:K965"/>
    <mergeCell ref="M965:N965"/>
    <mergeCell ref="P965:Q965"/>
    <mergeCell ref="S965:U965"/>
    <mergeCell ref="W965:AB965"/>
    <mergeCell ref="AD965:AI965"/>
    <mergeCell ref="AZ955:BA955"/>
    <mergeCell ref="BC955:BE955"/>
    <mergeCell ref="BG955:BL955"/>
    <mergeCell ref="BN955:BS955"/>
    <mergeCell ref="W957:AB957"/>
    <mergeCell ref="AD957:AI957"/>
    <mergeCell ref="BG957:BL957"/>
    <mergeCell ref="BN957:BS957"/>
    <mergeCell ref="AT968:AU968"/>
    <mergeCell ref="AW968:AX968"/>
    <mergeCell ref="AZ968:BA968"/>
    <mergeCell ref="BC968:BE968"/>
    <mergeCell ref="BG968:BL968"/>
    <mergeCell ref="BN968:BS968"/>
    <mergeCell ref="J968:K968"/>
    <mergeCell ref="M968:N968"/>
    <mergeCell ref="P968:Q968"/>
    <mergeCell ref="S968:U968"/>
    <mergeCell ref="W968:AB968"/>
    <mergeCell ref="AD968:AI968"/>
    <mergeCell ref="M966:N966"/>
    <mergeCell ref="W966:AB966"/>
    <mergeCell ref="AD966:AI966"/>
    <mergeCell ref="AW966:AX966"/>
    <mergeCell ref="BG966:BL966"/>
    <mergeCell ref="BN966:BS966"/>
    <mergeCell ref="W975:AB975"/>
    <mergeCell ref="AD975:AI975"/>
    <mergeCell ref="BG975:BL975"/>
    <mergeCell ref="BN975:BS975"/>
    <mergeCell ref="C977:AI977"/>
    <mergeCell ref="AM977:BS977"/>
    <mergeCell ref="W971:AB971"/>
    <mergeCell ref="AD971:AI971"/>
    <mergeCell ref="BG971:BL971"/>
    <mergeCell ref="BN971:BS971"/>
    <mergeCell ref="W973:AB973"/>
    <mergeCell ref="AD973:AI973"/>
    <mergeCell ref="BG973:BL973"/>
    <mergeCell ref="BN973:BS973"/>
    <mergeCell ref="AT969:AU969"/>
    <mergeCell ref="AW969:AX969"/>
    <mergeCell ref="AZ969:BA969"/>
    <mergeCell ref="BC969:BE969"/>
    <mergeCell ref="BG969:BL969"/>
    <mergeCell ref="BN969:BS969"/>
    <mergeCell ref="J969:K969"/>
    <mergeCell ref="M969:N969"/>
    <mergeCell ref="P969:Q969"/>
    <mergeCell ref="S969:U969"/>
    <mergeCell ref="W969:AB969"/>
    <mergeCell ref="AD969:AI969"/>
    <mergeCell ref="BH985:BM985"/>
    <mergeCell ref="BO985:BS985"/>
    <mergeCell ref="K986:P986"/>
    <mergeCell ref="R986:V986"/>
    <mergeCell ref="X986:AC986"/>
    <mergeCell ref="AE986:AI986"/>
    <mergeCell ref="AU986:AZ986"/>
    <mergeCell ref="BB986:BF986"/>
    <mergeCell ref="BH986:BM986"/>
    <mergeCell ref="BO986:BS986"/>
    <mergeCell ref="K985:P985"/>
    <mergeCell ref="R985:V985"/>
    <mergeCell ref="X985:AC985"/>
    <mergeCell ref="AE985:AI985"/>
    <mergeCell ref="AU985:AZ985"/>
    <mergeCell ref="BB985:BF985"/>
    <mergeCell ref="C980:AI980"/>
    <mergeCell ref="AM980:BS980"/>
    <mergeCell ref="C981:AI981"/>
    <mergeCell ref="AM981:BS981"/>
    <mergeCell ref="K984:V984"/>
    <mergeCell ref="X984:AI984"/>
    <mergeCell ref="AU984:BF984"/>
    <mergeCell ref="BH984:BS984"/>
    <mergeCell ref="BH991:BM991"/>
    <mergeCell ref="BO991:BS991"/>
    <mergeCell ref="M1000:W1000"/>
    <mergeCell ref="Y1000:AI1000"/>
    <mergeCell ref="AW1000:BG1000"/>
    <mergeCell ref="BI1000:BS1000"/>
    <mergeCell ref="K991:P991"/>
    <mergeCell ref="R991:V991"/>
    <mergeCell ref="X991:AC991"/>
    <mergeCell ref="AE991:AI991"/>
    <mergeCell ref="AU991:AZ991"/>
    <mergeCell ref="BB991:BF991"/>
    <mergeCell ref="BH988:BM988"/>
    <mergeCell ref="BO988:BS988"/>
    <mergeCell ref="K989:P989"/>
    <mergeCell ref="R989:V989"/>
    <mergeCell ref="X989:AC989"/>
    <mergeCell ref="AE989:AI989"/>
    <mergeCell ref="AU989:AZ989"/>
    <mergeCell ref="BB989:BF989"/>
    <mergeCell ref="BH989:BM989"/>
    <mergeCell ref="BO989:BS989"/>
    <mergeCell ref="K988:P988"/>
    <mergeCell ref="R988:V988"/>
    <mergeCell ref="X988:AC988"/>
    <mergeCell ref="AE988:AI988"/>
    <mergeCell ref="AU988:AZ988"/>
    <mergeCell ref="BB988:BF988"/>
    <mergeCell ref="BI1005:BM1005"/>
    <mergeCell ref="BO1005:BS1005"/>
    <mergeCell ref="C1006:L1006"/>
    <mergeCell ref="M1006:Q1006"/>
    <mergeCell ref="S1006:W1006"/>
    <mergeCell ref="Y1006:AC1006"/>
    <mergeCell ref="AE1006:AI1006"/>
    <mergeCell ref="AW1006:BA1006"/>
    <mergeCell ref="BC1006:BG1006"/>
    <mergeCell ref="BI1006:BM1006"/>
    <mergeCell ref="M1005:Q1005"/>
    <mergeCell ref="S1005:W1005"/>
    <mergeCell ref="Y1005:AC1005"/>
    <mergeCell ref="AE1005:AI1005"/>
    <mergeCell ref="AW1005:BA1005"/>
    <mergeCell ref="BC1005:BG1005"/>
    <mergeCell ref="BI1001:BM1001"/>
    <mergeCell ref="BO1001:BS1001"/>
    <mergeCell ref="M1002:Q1002"/>
    <mergeCell ref="S1002:W1002"/>
    <mergeCell ref="Y1002:AC1002"/>
    <mergeCell ref="AE1002:AI1002"/>
    <mergeCell ref="AW1002:BA1002"/>
    <mergeCell ref="BC1002:BG1002"/>
    <mergeCell ref="BI1002:BM1002"/>
    <mergeCell ref="BO1002:BS1002"/>
    <mergeCell ref="M1001:Q1001"/>
    <mergeCell ref="S1001:W1001"/>
    <mergeCell ref="Y1001:AC1001"/>
    <mergeCell ref="AE1001:AI1001"/>
    <mergeCell ref="AW1001:BA1001"/>
    <mergeCell ref="BC1001:BG1001"/>
    <mergeCell ref="BC1008:BG1008"/>
    <mergeCell ref="BI1008:BM1008"/>
    <mergeCell ref="BO1008:BS1008"/>
    <mergeCell ref="C1009:L1009"/>
    <mergeCell ref="M1009:Q1009"/>
    <mergeCell ref="S1009:W1009"/>
    <mergeCell ref="Y1009:AC1009"/>
    <mergeCell ref="AE1009:AI1009"/>
    <mergeCell ref="AW1009:BA1009"/>
    <mergeCell ref="BC1009:BG1009"/>
    <mergeCell ref="C1008:L1008"/>
    <mergeCell ref="M1008:Q1008"/>
    <mergeCell ref="S1008:W1008"/>
    <mergeCell ref="Y1008:AC1008"/>
    <mergeCell ref="AE1008:AI1008"/>
    <mergeCell ref="AW1008:BA1008"/>
    <mergeCell ref="BO1006:BS1006"/>
    <mergeCell ref="C1007:L1007"/>
    <mergeCell ref="M1007:Q1007"/>
    <mergeCell ref="S1007:W1007"/>
    <mergeCell ref="Y1007:AC1007"/>
    <mergeCell ref="AE1007:AI1007"/>
    <mergeCell ref="AW1007:BA1007"/>
    <mergeCell ref="BC1007:BG1007"/>
    <mergeCell ref="BI1007:BM1007"/>
    <mergeCell ref="BO1007:BS1007"/>
    <mergeCell ref="BI1011:BM1011"/>
    <mergeCell ref="BO1011:BS1011"/>
    <mergeCell ref="C1012:L1012"/>
    <mergeCell ref="M1012:Q1012"/>
    <mergeCell ref="S1012:W1012"/>
    <mergeCell ref="Y1012:AC1012"/>
    <mergeCell ref="AE1012:AI1012"/>
    <mergeCell ref="AW1012:BA1012"/>
    <mergeCell ref="BC1012:BG1012"/>
    <mergeCell ref="BI1012:BM1012"/>
    <mergeCell ref="M1011:Q1011"/>
    <mergeCell ref="S1011:W1011"/>
    <mergeCell ref="Y1011:AC1011"/>
    <mergeCell ref="AE1011:AI1011"/>
    <mergeCell ref="AW1011:BA1011"/>
    <mergeCell ref="BC1011:BG1011"/>
    <mergeCell ref="BI1009:BM1009"/>
    <mergeCell ref="BO1009:BS1009"/>
    <mergeCell ref="M1010:Q1010"/>
    <mergeCell ref="S1010:W1010"/>
    <mergeCell ref="Y1010:AC1010"/>
    <mergeCell ref="AE1010:AI1010"/>
    <mergeCell ref="AW1010:BA1010"/>
    <mergeCell ref="BC1010:BG1010"/>
    <mergeCell ref="BI1010:BM1010"/>
    <mergeCell ref="BO1010:BS1010"/>
    <mergeCell ref="BI1014:BM1014"/>
    <mergeCell ref="BO1014:BS1014"/>
    <mergeCell ref="M1015:Q1015"/>
    <mergeCell ref="S1015:W1015"/>
    <mergeCell ref="Y1015:AC1015"/>
    <mergeCell ref="AE1015:AI1015"/>
    <mergeCell ref="AW1015:BA1015"/>
    <mergeCell ref="BC1015:BG1015"/>
    <mergeCell ref="BI1015:BM1015"/>
    <mergeCell ref="BO1015:BS1015"/>
    <mergeCell ref="M1014:Q1014"/>
    <mergeCell ref="S1014:W1014"/>
    <mergeCell ref="Y1014:AC1014"/>
    <mergeCell ref="AE1014:AI1014"/>
    <mergeCell ref="AW1014:BA1014"/>
    <mergeCell ref="BC1014:BG1014"/>
    <mergeCell ref="BO1012:BS1012"/>
    <mergeCell ref="M1013:Q1013"/>
    <mergeCell ref="S1013:W1013"/>
    <mergeCell ref="Y1013:AC1013"/>
    <mergeCell ref="AE1013:AI1013"/>
    <mergeCell ref="AW1013:BA1013"/>
    <mergeCell ref="BC1013:BG1013"/>
    <mergeCell ref="BI1013:BM1013"/>
    <mergeCell ref="BO1013:BS1013"/>
    <mergeCell ref="BI1020:BM1020"/>
    <mergeCell ref="BO1020:BS1020"/>
    <mergeCell ref="M1023:Q1023"/>
    <mergeCell ref="S1023:W1023"/>
    <mergeCell ref="Y1023:AC1023"/>
    <mergeCell ref="AE1023:AI1023"/>
    <mergeCell ref="AW1023:BA1023"/>
    <mergeCell ref="BC1023:BG1023"/>
    <mergeCell ref="BI1023:BM1023"/>
    <mergeCell ref="BO1023:BS1023"/>
    <mergeCell ref="M1020:Q1020"/>
    <mergeCell ref="S1020:W1020"/>
    <mergeCell ref="Y1020:AC1020"/>
    <mergeCell ref="AE1020:AI1020"/>
    <mergeCell ref="AW1020:BA1020"/>
    <mergeCell ref="BC1020:BG1020"/>
    <mergeCell ref="BI1017:BM1017"/>
    <mergeCell ref="BO1017:BS1017"/>
    <mergeCell ref="M1018:Q1018"/>
    <mergeCell ref="S1018:W1018"/>
    <mergeCell ref="Y1018:AC1018"/>
    <mergeCell ref="AE1018:AI1018"/>
    <mergeCell ref="AW1018:BA1018"/>
    <mergeCell ref="BC1018:BG1018"/>
    <mergeCell ref="BI1018:BM1018"/>
    <mergeCell ref="BO1018:BS1018"/>
    <mergeCell ref="M1017:Q1017"/>
    <mergeCell ref="S1017:W1017"/>
    <mergeCell ref="Y1017:AC1017"/>
    <mergeCell ref="AE1017:AI1017"/>
    <mergeCell ref="AW1017:BA1017"/>
    <mergeCell ref="BC1017:BG1017"/>
    <mergeCell ref="C1029:K1029"/>
    <mergeCell ref="M1029:Q1029"/>
    <mergeCell ref="S1029:W1029"/>
    <mergeCell ref="Y1029:AC1029"/>
    <mergeCell ref="AE1029:AI1029"/>
    <mergeCell ref="AW1029:BA1029"/>
    <mergeCell ref="BC1029:BG1029"/>
    <mergeCell ref="BI1029:BM1029"/>
    <mergeCell ref="M1027:Q1027"/>
    <mergeCell ref="S1027:W1027"/>
    <mergeCell ref="Y1027:AC1027"/>
    <mergeCell ref="AE1027:AI1027"/>
    <mergeCell ref="AW1027:BA1027"/>
    <mergeCell ref="BC1027:BG1027"/>
    <mergeCell ref="BI1024:BM1024"/>
    <mergeCell ref="BO1024:BS1024"/>
    <mergeCell ref="M1025:Q1025"/>
    <mergeCell ref="S1025:W1025"/>
    <mergeCell ref="Y1025:AC1025"/>
    <mergeCell ref="AE1025:AI1025"/>
    <mergeCell ref="AW1025:BA1025"/>
    <mergeCell ref="BC1025:BG1025"/>
    <mergeCell ref="BI1025:BM1025"/>
    <mergeCell ref="BO1025:BS1025"/>
    <mergeCell ref="M1024:Q1024"/>
    <mergeCell ref="S1024:W1024"/>
    <mergeCell ref="Y1024:AC1024"/>
    <mergeCell ref="AE1024:AI1024"/>
    <mergeCell ref="AW1024:BA1024"/>
    <mergeCell ref="BC1024:BG1024"/>
    <mergeCell ref="M1033:Q1033"/>
    <mergeCell ref="S1033:W1033"/>
    <mergeCell ref="Y1033:AC1033"/>
    <mergeCell ref="AE1033:AI1033"/>
    <mergeCell ref="M1035:Q1035"/>
    <mergeCell ref="S1035:W1035"/>
    <mergeCell ref="Y1035:AC1035"/>
    <mergeCell ref="AE1035:AI1035"/>
    <mergeCell ref="BO1029:BS1029"/>
    <mergeCell ref="M1031:W1031"/>
    <mergeCell ref="Y1031:AI1031"/>
    <mergeCell ref="M1032:Q1032"/>
    <mergeCell ref="S1032:W1032"/>
    <mergeCell ref="Y1032:AC1032"/>
    <mergeCell ref="AE1032:AI1032"/>
    <mergeCell ref="BI1027:BM1027"/>
    <mergeCell ref="BO1027:BS1027"/>
    <mergeCell ref="W1044:AB1044"/>
    <mergeCell ref="AD1044:AI1044"/>
    <mergeCell ref="BG1044:BL1044"/>
    <mergeCell ref="BN1044:BS1044"/>
    <mergeCell ref="W1045:AB1045"/>
    <mergeCell ref="AD1045:AI1045"/>
    <mergeCell ref="BG1045:BL1045"/>
    <mergeCell ref="BN1045:BS1045"/>
    <mergeCell ref="W1042:AB1042"/>
    <mergeCell ref="AD1042:AI1042"/>
    <mergeCell ref="BG1042:BL1042"/>
    <mergeCell ref="BN1042:BS1042"/>
    <mergeCell ref="W1043:AB1043"/>
    <mergeCell ref="AD1043:AI1043"/>
    <mergeCell ref="BG1043:BL1043"/>
    <mergeCell ref="BN1043:BS1043"/>
    <mergeCell ref="M1036:Q1036"/>
    <mergeCell ref="S1036:W1036"/>
    <mergeCell ref="Y1036:AC1036"/>
    <mergeCell ref="AE1036:AI1036"/>
    <mergeCell ref="M1038:Q1038"/>
    <mergeCell ref="S1038:W1038"/>
    <mergeCell ref="Y1038:AC1038"/>
    <mergeCell ref="AE1038:AI1038"/>
    <mergeCell ref="W1050:AB1050"/>
    <mergeCell ref="AD1050:AI1050"/>
    <mergeCell ref="BG1050:BL1050"/>
    <mergeCell ref="BN1050:BS1050"/>
    <mergeCell ref="W1051:AB1051"/>
    <mergeCell ref="AD1051:AI1051"/>
    <mergeCell ref="BG1051:BL1051"/>
    <mergeCell ref="BN1051:BS1051"/>
    <mergeCell ref="W1048:AB1048"/>
    <mergeCell ref="AD1048:AI1048"/>
    <mergeCell ref="BG1048:BL1048"/>
    <mergeCell ref="BN1048:BS1048"/>
    <mergeCell ref="W1049:AB1049"/>
    <mergeCell ref="AD1049:AI1049"/>
    <mergeCell ref="BG1049:BL1049"/>
    <mergeCell ref="BN1049:BS1049"/>
    <mergeCell ref="W1046:AB1046"/>
    <mergeCell ref="AD1046:AI1046"/>
    <mergeCell ref="BG1046:BL1046"/>
    <mergeCell ref="BN1046:BS1046"/>
    <mergeCell ref="W1047:AB1047"/>
    <mergeCell ref="AD1047:AI1047"/>
    <mergeCell ref="BG1047:BL1047"/>
    <mergeCell ref="BN1047:BS1047"/>
    <mergeCell ref="W1056:AB1056"/>
    <mergeCell ref="AD1056:AI1056"/>
    <mergeCell ref="BG1056:BL1056"/>
    <mergeCell ref="BN1056:BS1056"/>
    <mergeCell ref="W1057:AB1057"/>
    <mergeCell ref="AD1057:AI1057"/>
    <mergeCell ref="BG1057:BL1057"/>
    <mergeCell ref="BN1057:BS1057"/>
    <mergeCell ref="W1054:AB1054"/>
    <mergeCell ref="AD1054:AI1054"/>
    <mergeCell ref="BG1054:BL1054"/>
    <mergeCell ref="BN1054:BS1054"/>
    <mergeCell ref="W1055:AB1055"/>
    <mergeCell ref="AD1055:AI1055"/>
    <mergeCell ref="BG1055:BL1055"/>
    <mergeCell ref="BN1055:BS1055"/>
    <mergeCell ref="W1052:AB1052"/>
    <mergeCell ref="AD1052:AI1052"/>
    <mergeCell ref="BG1052:BL1052"/>
    <mergeCell ref="BN1052:BS1052"/>
    <mergeCell ref="W1053:AB1053"/>
    <mergeCell ref="AD1053:AI1053"/>
    <mergeCell ref="BG1053:BL1053"/>
    <mergeCell ref="BN1053:BS1053"/>
    <mergeCell ref="M1066:Q1066"/>
    <mergeCell ref="S1066:W1066"/>
    <mergeCell ref="Y1066:AC1066"/>
    <mergeCell ref="AE1066:AI1066"/>
    <mergeCell ref="BG1066:BL1066"/>
    <mergeCell ref="BN1066:BS1066"/>
    <mergeCell ref="W1060:AB1060"/>
    <mergeCell ref="AD1060:AI1060"/>
    <mergeCell ref="BG1060:BL1060"/>
    <mergeCell ref="BN1060:BS1060"/>
    <mergeCell ref="M1065:Q1065"/>
    <mergeCell ref="S1065:W1065"/>
    <mergeCell ref="Y1065:AC1065"/>
    <mergeCell ref="AE1065:AI1065"/>
    <mergeCell ref="BG1065:BL1065"/>
    <mergeCell ref="BN1065:BS1065"/>
    <mergeCell ref="W1058:AB1058"/>
    <mergeCell ref="AD1058:AI1058"/>
    <mergeCell ref="BG1058:BL1058"/>
    <mergeCell ref="BN1058:BS1058"/>
    <mergeCell ref="W1059:AB1059"/>
    <mergeCell ref="AD1059:AI1059"/>
    <mergeCell ref="BG1059:BL1059"/>
    <mergeCell ref="BN1059:BS1059"/>
    <mergeCell ref="M1072:Q1072"/>
    <mergeCell ref="S1072:W1072"/>
    <mergeCell ref="Y1072:AC1072"/>
    <mergeCell ref="AE1072:AI1072"/>
    <mergeCell ref="M1073:Q1073"/>
    <mergeCell ref="S1073:W1073"/>
    <mergeCell ref="Y1073:AC1073"/>
    <mergeCell ref="AE1073:AI1073"/>
    <mergeCell ref="M1070:Q1070"/>
    <mergeCell ref="S1070:W1070"/>
    <mergeCell ref="Y1070:AC1070"/>
    <mergeCell ref="AE1070:AI1070"/>
    <mergeCell ref="M1071:Q1071"/>
    <mergeCell ref="S1071:W1071"/>
    <mergeCell ref="Y1071:AC1071"/>
    <mergeCell ref="AE1071:AI1071"/>
    <mergeCell ref="M1068:Q1068"/>
    <mergeCell ref="S1068:W1068"/>
    <mergeCell ref="Y1068:AC1068"/>
    <mergeCell ref="AE1068:AI1068"/>
    <mergeCell ref="M1069:Q1069"/>
    <mergeCell ref="S1069:W1069"/>
    <mergeCell ref="Y1069:AC1069"/>
    <mergeCell ref="AE1069:AI1069"/>
    <mergeCell ref="C1080:AI1080"/>
    <mergeCell ref="AM1080:BS1080"/>
    <mergeCell ref="W1084:AB1084"/>
    <mergeCell ref="AD1084:AI1084"/>
    <mergeCell ref="BG1084:BL1084"/>
    <mergeCell ref="BN1084:BS1084"/>
    <mergeCell ref="C1076:K1076"/>
    <mergeCell ref="M1076:Q1076"/>
    <mergeCell ref="S1076:W1076"/>
    <mergeCell ref="Y1076:AC1076"/>
    <mergeCell ref="AE1076:AI1076"/>
    <mergeCell ref="M1078:Q1078"/>
    <mergeCell ref="S1078:W1078"/>
    <mergeCell ref="Y1078:AC1078"/>
    <mergeCell ref="AE1078:AI1078"/>
    <mergeCell ref="M1074:Q1074"/>
    <mergeCell ref="S1074:W1074"/>
    <mergeCell ref="Y1074:AC1074"/>
    <mergeCell ref="AE1074:AI1074"/>
    <mergeCell ref="M1075:Q1075"/>
    <mergeCell ref="S1075:W1075"/>
    <mergeCell ref="Y1075:AC1075"/>
    <mergeCell ref="AE1075:AI1075"/>
    <mergeCell ref="W1089:AB1089"/>
    <mergeCell ref="AD1089:AI1089"/>
    <mergeCell ref="BG1089:BL1089"/>
    <mergeCell ref="BN1089:BS1089"/>
    <mergeCell ref="W1090:AB1090"/>
    <mergeCell ref="AD1090:AI1090"/>
    <mergeCell ref="BG1090:BL1090"/>
    <mergeCell ref="BN1090:BS1090"/>
    <mergeCell ref="W1087:AB1087"/>
    <mergeCell ref="AD1087:AI1087"/>
    <mergeCell ref="BG1087:BL1087"/>
    <mergeCell ref="BN1087:BS1087"/>
    <mergeCell ref="W1088:AB1088"/>
    <mergeCell ref="AD1088:AI1088"/>
    <mergeCell ref="BG1088:BL1088"/>
    <mergeCell ref="BN1088:BS1088"/>
    <mergeCell ref="W1085:AB1085"/>
    <mergeCell ref="AD1085:AI1085"/>
    <mergeCell ref="BG1085:BL1085"/>
    <mergeCell ref="BN1085:BS1085"/>
    <mergeCell ref="W1086:AB1086"/>
    <mergeCell ref="AD1086:AI1086"/>
    <mergeCell ref="BG1086:BL1086"/>
    <mergeCell ref="BN1086:BS1086"/>
    <mergeCell ref="W1093:AB1093"/>
    <mergeCell ref="AD1093:AI1093"/>
    <mergeCell ref="BG1093:BL1093"/>
    <mergeCell ref="BN1093:BS1093"/>
    <mergeCell ref="W1094:AB1094"/>
    <mergeCell ref="AD1094:AI1094"/>
    <mergeCell ref="BG1094:BL1094"/>
    <mergeCell ref="BN1094:BS1094"/>
    <mergeCell ref="C1091:U1091"/>
    <mergeCell ref="W1091:AB1091"/>
    <mergeCell ref="AD1091:AI1091"/>
    <mergeCell ref="BG1091:BL1091"/>
    <mergeCell ref="BN1091:BS1091"/>
    <mergeCell ref="W1092:AB1092"/>
    <mergeCell ref="AD1092:AI1092"/>
    <mergeCell ref="BG1092:BL1092"/>
    <mergeCell ref="BN1092:BS1092"/>
    <mergeCell ref="W1099:AB1099"/>
    <mergeCell ref="AD1099:AI1099"/>
    <mergeCell ref="BG1099:BL1099"/>
    <mergeCell ref="BN1099:BS1099"/>
    <mergeCell ref="W1100:AB1100"/>
    <mergeCell ref="AD1100:AI1100"/>
    <mergeCell ref="BG1100:BL1100"/>
    <mergeCell ref="BN1100:BS1100"/>
    <mergeCell ref="W1097:AB1097"/>
    <mergeCell ref="AD1097:AI1097"/>
    <mergeCell ref="BG1097:BL1097"/>
    <mergeCell ref="BN1097:BS1097"/>
    <mergeCell ref="W1098:AB1098"/>
    <mergeCell ref="AD1098:AI1098"/>
    <mergeCell ref="BG1098:BL1098"/>
    <mergeCell ref="BN1098:BS1098"/>
    <mergeCell ref="W1095:AB1095"/>
    <mergeCell ref="AD1095:AI1095"/>
    <mergeCell ref="BG1095:BL1095"/>
    <mergeCell ref="BN1095:BS1095"/>
    <mergeCell ref="W1096:AB1096"/>
    <mergeCell ref="AD1096:AI1096"/>
    <mergeCell ref="BG1096:BL1096"/>
    <mergeCell ref="BN1096:BS1096"/>
    <mergeCell ref="W1108:AB1108"/>
    <mergeCell ref="AD1108:AI1108"/>
    <mergeCell ref="BG1108:BL1108"/>
    <mergeCell ref="BN1108:BS1108"/>
    <mergeCell ref="W1109:AB1109"/>
    <mergeCell ref="AD1109:AI1109"/>
    <mergeCell ref="BG1109:BL1109"/>
    <mergeCell ref="BN1109:BS1109"/>
    <mergeCell ref="W1106:AB1106"/>
    <mergeCell ref="AD1106:AI1106"/>
    <mergeCell ref="BG1106:BL1106"/>
    <mergeCell ref="BN1106:BS1106"/>
    <mergeCell ref="W1107:AB1107"/>
    <mergeCell ref="AD1107:AI1107"/>
    <mergeCell ref="BG1107:BL1107"/>
    <mergeCell ref="BN1107:BS1107"/>
    <mergeCell ref="W1104:AB1104"/>
    <mergeCell ref="AD1104:AI1104"/>
    <mergeCell ref="BG1104:BL1104"/>
    <mergeCell ref="BN1104:BS1104"/>
    <mergeCell ref="W1105:AB1105"/>
    <mergeCell ref="AD1105:AI1105"/>
    <mergeCell ref="BG1105:BL1105"/>
    <mergeCell ref="BN1105:BS1105"/>
    <mergeCell ref="W1114:AB1114"/>
    <mergeCell ref="AD1114:AI1114"/>
    <mergeCell ref="BG1114:BL1114"/>
    <mergeCell ref="BN1114:BS1114"/>
    <mergeCell ref="W1115:AB1115"/>
    <mergeCell ref="AD1115:AI1115"/>
    <mergeCell ref="BG1115:BL1115"/>
    <mergeCell ref="BN1115:BS1115"/>
    <mergeCell ref="W1112:AB1112"/>
    <mergeCell ref="AD1112:AI1112"/>
    <mergeCell ref="BG1112:BL1112"/>
    <mergeCell ref="BN1112:BS1112"/>
    <mergeCell ref="W1113:AB1113"/>
    <mergeCell ref="AD1113:AI1113"/>
    <mergeCell ref="BG1113:BL1113"/>
    <mergeCell ref="BN1113:BS1113"/>
    <mergeCell ref="W1110:AB1110"/>
    <mergeCell ref="AD1110:AI1110"/>
    <mergeCell ref="BG1110:BL1110"/>
    <mergeCell ref="BN1110:BS1110"/>
    <mergeCell ref="W1111:AB1111"/>
    <mergeCell ref="AD1111:AI1111"/>
    <mergeCell ref="BG1111:BL1111"/>
    <mergeCell ref="BN1111:BS1111"/>
    <mergeCell ref="W1124:AB1124"/>
    <mergeCell ref="AD1124:AI1124"/>
    <mergeCell ref="BG1124:BL1124"/>
    <mergeCell ref="BN1124:BS1124"/>
    <mergeCell ref="W1125:AB1125"/>
    <mergeCell ref="AD1125:AI1125"/>
    <mergeCell ref="BG1125:BL1125"/>
    <mergeCell ref="BN1125:BS1125"/>
    <mergeCell ref="W1118:AB1118"/>
    <mergeCell ref="AD1118:AI1118"/>
    <mergeCell ref="BG1118:BL1118"/>
    <mergeCell ref="BN1118:BS1118"/>
    <mergeCell ref="W1119:AB1119"/>
    <mergeCell ref="AD1119:AI1119"/>
    <mergeCell ref="BG1119:BL1119"/>
    <mergeCell ref="BN1119:BS1119"/>
    <mergeCell ref="W1116:AB1116"/>
    <mergeCell ref="AD1116:AI1116"/>
    <mergeCell ref="BG1116:BL1116"/>
    <mergeCell ref="BN1116:BS1116"/>
    <mergeCell ref="W1117:AB1117"/>
    <mergeCell ref="AD1117:AI1117"/>
    <mergeCell ref="BG1117:BL1117"/>
    <mergeCell ref="BN1117:BS1117"/>
    <mergeCell ref="W1130:AB1130"/>
    <mergeCell ref="AD1130:AI1130"/>
    <mergeCell ref="BG1130:BL1130"/>
    <mergeCell ref="BN1130:BS1130"/>
    <mergeCell ref="W1131:AB1131"/>
    <mergeCell ref="AD1131:AI1131"/>
    <mergeCell ref="BG1131:BL1131"/>
    <mergeCell ref="BN1131:BS1131"/>
    <mergeCell ref="W1128:AB1128"/>
    <mergeCell ref="AD1128:AI1128"/>
    <mergeCell ref="BG1128:BL1128"/>
    <mergeCell ref="BN1128:BS1128"/>
    <mergeCell ref="W1129:AB1129"/>
    <mergeCell ref="AD1129:AI1129"/>
    <mergeCell ref="BG1129:BL1129"/>
    <mergeCell ref="BN1129:BS1129"/>
    <mergeCell ref="W1126:AB1126"/>
    <mergeCell ref="AD1126:AI1126"/>
    <mergeCell ref="BG1126:BL1126"/>
    <mergeCell ref="BN1126:BS1126"/>
    <mergeCell ref="W1127:AB1127"/>
    <mergeCell ref="AD1127:AI1127"/>
    <mergeCell ref="BG1127:BL1127"/>
    <mergeCell ref="BN1127:BS1127"/>
    <mergeCell ref="W1136:AB1136"/>
    <mergeCell ref="AD1136:AI1136"/>
    <mergeCell ref="BG1136:BL1136"/>
    <mergeCell ref="BN1136:BS1136"/>
    <mergeCell ref="W1137:AB1137"/>
    <mergeCell ref="AD1137:AI1137"/>
    <mergeCell ref="BG1137:BL1137"/>
    <mergeCell ref="BN1137:BS1137"/>
    <mergeCell ref="W1134:AB1134"/>
    <mergeCell ref="AD1134:AI1134"/>
    <mergeCell ref="BG1134:BL1134"/>
    <mergeCell ref="BN1134:BS1134"/>
    <mergeCell ref="W1135:AB1135"/>
    <mergeCell ref="AD1135:AI1135"/>
    <mergeCell ref="BG1135:BL1135"/>
    <mergeCell ref="BN1135:BS1135"/>
    <mergeCell ref="W1132:AB1132"/>
    <mergeCell ref="AD1132:AI1132"/>
    <mergeCell ref="BG1132:BL1132"/>
    <mergeCell ref="BN1132:BS1132"/>
    <mergeCell ref="W1133:AB1133"/>
    <mergeCell ref="AD1133:AI1133"/>
    <mergeCell ref="BG1133:BL1133"/>
    <mergeCell ref="BN1133:BS1133"/>
    <mergeCell ref="W1142:AB1142"/>
    <mergeCell ref="AD1142:AI1142"/>
    <mergeCell ref="BG1142:BL1142"/>
    <mergeCell ref="BN1142:BS1142"/>
    <mergeCell ref="W1143:AB1143"/>
    <mergeCell ref="AD1143:AI1143"/>
    <mergeCell ref="BG1143:BL1143"/>
    <mergeCell ref="BN1143:BS1143"/>
    <mergeCell ref="W1140:AB1140"/>
    <mergeCell ref="AD1140:AI1140"/>
    <mergeCell ref="W1141:AB1141"/>
    <mergeCell ref="AD1141:AI1141"/>
    <mergeCell ref="BG1141:BL1141"/>
    <mergeCell ref="BN1141:BS1141"/>
    <mergeCell ref="W1138:AB1138"/>
    <mergeCell ref="AD1138:AI1138"/>
    <mergeCell ref="BG1138:BL1138"/>
    <mergeCell ref="BN1138:BS1138"/>
    <mergeCell ref="W1139:AB1139"/>
    <mergeCell ref="AD1139:AI1139"/>
    <mergeCell ref="W1148:AB1148"/>
    <mergeCell ref="AD1148:AI1148"/>
    <mergeCell ref="BG1148:BL1148"/>
    <mergeCell ref="BN1148:BS1148"/>
    <mergeCell ref="W1149:AB1149"/>
    <mergeCell ref="AD1149:AI1149"/>
    <mergeCell ref="BG1149:BL1149"/>
    <mergeCell ref="BN1149:BS1149"/>
    <mergeCell ref="W1146:AB1146"/>
    <mergeCell ref="AD1146:AI1146"/>
    <mergeCell ref="BG1146:BL1146"/>
    <mergeCell ref="BN1146:BS1146"/>
    <mergeCell ref="W1147:AB1147"/>
    <mergeCell ref="AD1147:AI1147"/>
    <mergeCell ref="BG1147:BL1147"/>
    <mergeCell ref="BN1147:BS1147"/>
    <mergeCell ref="W1144:AB1144"/>
    <mergeCell ref="AD1144:AI1144"/>
    <mergeCell ref="BG1144:BL1144"/>
    <mergeCell ref="BN1144:BS1144"/>
    <mergeCell ref="W1145:AB1145"/>
    <mergeCell ref="AD1145:AI1145"/>
    <mergeCell ref="BG1145:BL1145"/>
    <mergeCell ref="BN1145:BS1145"/>
    <mergeCell ref="W1161:AB1161"/>
    <mergeCell ref="AD1161:AI1161"/>
    <mergeCell ref="BG1161:BL1161"/>
    <mergeCell ref="BN1161:BS1161"/>
    <mergeCell ref="W1162:AB1162"/>
    <mergeCell ref="AD1162:AI1162"/>
    <mergeCell ref="BG1162:BL1162"/>
    <mergeCell ref="BN1162:BS1162"/>
    <mergeCell ref="W1154:AB1154"/>
    <mergeCell ref="AD1154:AI1154"/>
    <mergeCell ref="BG1154:BL1154"/>
    <mergeCell ref="BN1154:BS1154"/>
    <mergeCell ref="W1160:AB1160"/>
    <mergeCell ref="AD1160:AI1160"/>
    <mergeCell ref="BG1160:BL1160"/>
    <mergeCell ref="BN1160:BS1160"/>
    <mergeCell ref="W1151:AB1151"/>
    <mergeCell ref="AD1151:AI1151"/>
    <mergeCell ref="BG1151:BL1151"/>
    <mergeCell ref="BN1151:BS1151"/>
    <mergeCell ref="W1152:AB1152"/>
    <mergeCell ref="AD1152:AI1152"/>
    <mergeCell ref="BG1152:BL1152"/>
    <mergeCell ref="BN1152:BS1152"/>
    <mergeCell ref="W1167:AB1167"/>
    <mergeCell ref="AD1167:AI1167"/>
    <mergeCell ref="BG1167:BL1167"/>
    <mergeCell ref="BN1167:BS1167"/>
    <mergeCell ref="W1168:AB1168"/>
    <mergeCell ref="AD1168:AI1168"/>
    <mergeCell ref="BG1168:BL1168"/>
    <mergeCell ref="BN1168:BS1168"/>
    <mergeCell ref="W1165:AB1165"/>
    <mergeCell ref="AD1165:AI1165"/>
    <mergeCell ref="BG1165:BL1165"/>
    <mergeCell ref="BN1165:BS1165"/>
    <mergeCell ref="W1166:AB1166"/>
    <mergeCell ref="AD1166:AI1166"/>
    <mergeCell ref="BG1166:BL1166"/>
    <mergeCell ref="BN1166:BS1166"/>
    <mergeCell ref="W1163:AB1163"/>
    <mergeCell ref="AD1163:AI1163"/>
    <mergeCell ref="BG1163:BL1163"/>
    <mergeCell ref="BN1163:BS1163"/>
    <mergeCell ref="W1164:AB1164"/>
    <mergeCell ref="AD1164:AI1164"/>
    <mergeCell ref="BG1164:BL1164"/>
    <mergeCell ref="BN1164:BS1164"/>
    <mergeCell ref="W1173:AB1173"/>
    <mergeCell ref="AD1173:AI1173"/>
    <mergeCell ref="BG1173:BL1173"/>
    <mergeCell ref="BN1173:BS1173"/>
    <mergeCell ref="W1174:AB1174"/>
    <mergeCell ref="AD1174:AI1174"/>
    <mergeCell ref="BG1174:BL1174"/>
    <mergeCell ref="BN1174:BS1174"/>
    <mergeCell ref="W1171:AB1171"/>
    <mergeCell ref="AD1171:AI1171"/>
    <mergeCell ref="BG1171:BL1171"/>
    <mergeCell ref="BN1171:BS1171"/>
    <mergeCell ref="W1172:AB1172"/>
    <mergeCell ref="AD1172:AI1172"/>
    <mergeCell ref="BG1172:BL1172"/>
    <mergeCell ref="BN1172:BS1172"/>
    <mergeCell ref="W1169:AB1169"/>
    <mergeCell ref="AD1169:AI1169"/>
    <mergeCell ref="BG1169:BL1169"/>
    <mergeCell ref="BN1169:BS1169"/>
    <mergeCell ref="W1170:AB1170"/>
    <mergeCell ref="AD1170:AI1170"/>
    <mergeCell ref="BG1170:BL1170"/>
    <mergeCell ref="BN1170:BS1170"/>
    <mergeCell ref="W1181:AB1181"/>
    <mergeCell ref="AD1181:AI1181"/>
    <mergeCell ref="BG1181:BL1181"/>
    <mergeCell ref="BN1181:BS1181"/>
    <mergeCell ref="D1192:AI1192"/>
    <mergeCell ref="AN1192:BS1192"/>
    <mergeCell ref="W1179:AB1179"/>
    <mergeCell ref="AD1179:AI1179"/>
    <mergeCell ref="BG1179:BL1179"/>
    <mergeCell ref="BN1179:BS1179"/>
    <mergeCell ref="W1180:AB1180"/>
    <mergeCell ref="AD1180:AI1180"/>
    <mergeCell ref="BG1180:BL1180"/>
    <mergeCell ref="BN1180:BS1180"/>
    <mergeCell ref="W1175:AB1175"/>
    <mergeCell ref="AD1175:AI1175"/>
    <mergeCell ref="BG1175:BL1175"/>
    <mergeCell ref="BN1175:BS1175"/>
    <mergeCell ref="W1178:AB1178"/>
    <mergeCell ref="AD1178:AI1178"/>
    <mergeCell ref="BG1178:BL1178"/>
    <mergeCell ref="BN1178:BS1178"/>
    <mergeCell ref="C1199:AI1199"/>
    <mergeCell ref="AM1199:BS1199"/>
    <mergeCell ref="D1200:AI1200"/>
    <mergeCell ref="AN1200:BS1200"/>
    <mergeCell ref="D1201:AI1201"/>
    <mergeCell ref="AN1201:BS1201"/>
    <mergeCell ref="D1196:AI1196"/>
    <mergeCell ref="AN1196:BS1196"/>
    <mergeCell ref="D1197:AI1197"/>
    <mergeCell ref="AN1197:BS1197"/>
    <mergeCell ref="D1198:AI1198"/>
    <mergeCell ref="AN1198:BS1198"/>
    <mergeCell ref="D1193:AI1193"/>
    <mergeCell ref="AN1193:BS1193"/>
    <mergeCell ref="D1194:AI1194"/>
    <mergeCell ref="AN1194:BS1194"/>
    <mergeCell ref="D1195:AI1195"/>
    <mergeCell ref="AN1195:BS1195"/>
    <mergeCell ref="D1208:AI1208"/>
    <mergeCell ref="AN1208:BS1208"/>
    <mergeCell ref="D1209:AI1209"/>
    <mergeCell ref="AN1209:BS1209"/>
    <mergeCell ref="D1210:AI1210"/>
    <mergeCell ref="AN1210:BS1210"/>
    <mergeCell ref="D1205:AI1205"/>
    <mergeCell ref="AN1205:BS1205"/>
    <mergeCell ref="D1206:AI1206"/>
    <mergeCell ref="AN1206:BS1206"/>
    <mergeCell ref="C1207:AI1207"/>
    <mergeCell ref="AM1207:BS1207"/>
    <mergeCell ref="D1202:AI1202"/>
    <mergeCell ref="AN1202:BS1202"/>
    <mergeCell ref="D1203:AI1203"/>
    <mergeCell ref="AN1203:BS1203"/>
    <mergeCell ref="D1204:AI1204"/>
    <mergeCell ref="AN1204:BS1204"/>
    <mergeCell ref="D1217:AI1217"/>
    <mergeCell ref="AN1217:BS1217"/>
    <mergeCell ref="D1218:AI1218"/>
    <mergeCell ref="AN1218:BS1218"/>
    <mergeCell ref="D1219:AI1219"/>
    <mergeCell ref="AN1219:BS1219"/>
    <mergeCell ref="D1214:AI1214"/>
    <mergeCell ref="AN1214:BS1214"/>
    <mergeCell ref="D1215:AI1215"/>
    <mergeCell ref="AN1215:BS1215"/>
    <mergeCell ref="C1216:AI1216"/>
    <mergeCell ref="AM1216:BS1216"/>
    <mergeCell ref="D1211:AI1211"/>
    <mergeCell ref="AN1211:BS1211"/>
    <mergeCell ref="C1212:AI1212"/>
    <mergeCell ref="AM1212:BS1212"/>
    <mergeCell ref="D1213:AI1213"/>
    <mergeCell ref="AN1213:BS1213"/>
    <mergeCell ref="W1239:AB1239"/>
    <mergeCell ref="AD1239:AI1239"/>
    <mergeCell ref="BG1239:BL1239"/>
    <mergeCell ref="BN1239:BS1239"/>
    <mergeCell ref="W1240:AB1240"/>
    <mergeCell ref="AD1240:AI1240"/>
    <mergeCell ref="BG1240:BL1240"/>
    <mergeCell ref="BN1240:BS1240"/>
    <mergeCell ref="D1223:AI1223"/>
    <mergeCell ref="AN1223:BS1223"/>
    <mergeCell ref="C1224:AI1224"/>
    <mergeCell ref="AM1224:BS1224"/>
    <mergeCell ref="D1225:AI1225"/>
    <mergeCell ref="D1226:AI1226"/>
    <mergeCell ref="D1220:AI1220"/>
    <mergeCell ref="AN1220:BS1220"/>
    <mergeCell ref="D1221:AI1221"/>
    <mergeCell ref="AN1221:BS1221"/>
    <mergeCell ref="D1222:AI1222"/>
    <mergeCell ref="AN1222:BS1222"/>
    <mergeCell ref="C1246:U1246"/>
    <mergeCell ref="W1246:AB1246"/>
    <mergeCell ref="AD1246:AI1246"/>
    <mergeCell ref="AM1246:BE1246"/>
    <mergeCell ref="BG1246:BL1246"/>
    <mergeCell ref="BN1246:BS1246"/>
    <mergeCell ref="W1243:AB1243"/>
    <mergeCell ref="AD1243:AI1243"/>
    <mergeCell ref="BG1243:BL1243"/>
    <mergeCell ref="BN1243:BS1243"/>
    <mergeCell ref="W1244:AB1244"/>
    <mergeCell ref="AD1244:AI1244"/>
    <mergeCell ref="BG1244:BL1244"/>
    <mergeCell ref="BN1244:BS1244"/>
    <mergeCell ref="W1241:AB1241"/>
    <mergeCell ref="AD1241:AI1241"/>
    <mergeCell ref="BG1241:BL1241"/>
    <mergeCell ref="BN1241:BS1241"/>
    <mergeCell ref="W1242:AB1242"/>
    <mergeCell ref="AD1242:AI1242"/>
    <mergeCell ref="BG1242:BL1242"/>
    <mergeCell ref="BN1242:BS1242"/>
    <mergeCell ref="W1249:AB1249"/>
    <mergeCell ref="AD1249:AI1249"/>
    <mergeCell ref="BG1249:BL1249"/>
    <mergeCell ref="BN1249:BS1249"/>
    <mergeCell ref="W1250:AB1250"/>
    <mergeCell ref="AD1250:AI1250"/>
    <mergeCell ref="BG1250:BL1250"/>
    <mergeCell ref="BN1250:BS1250"/>
    <mergeCell ref="W1247:AB1247"/>
    <mergeCell ref="AD1247:AI1247"/>
    <mergeCell ref="BG1247:BL1247"/>
    <mergeCell ref="BN1247:BS1247"/>
    <mergeCell ref="W1248:AB1248"/>
    <mergeCell ref="AD1248:AI1248"/>
    <mergeCell ref="BG1248:BL1248"/>
    <mergeCell ref="BN1248:BS1248"/>
    <mergeCell ref="W1245:AB1245"/>
    <mergeCell ref="AD1245:AI1245"/>
    <mergeCell ref="BG1245:BL1245"/>
    <mergeCell ref="BN1245:BS1245"/>
    <mergeCell ref="W1253:AB1253"/>
    <mergeCell ref="AD1253:AI1253"/>
    <mergeCell ref="BG1253:BL1253"/>
    <mergeCell ref="BN1253:BS1253"/>
    <mergeCell ref="C1254:U1254"/>
    <mergeCell ref="W1254:AB1254"/>
    <mergeCell ref="AD1254:AI1254"/>
    <mergeCell ref="AM1254:BE1254"/>
    <mergeCell ref="BG1254:BL1254"/>
    <mergeCell ref="BN1254:BS1254"/>
    <mergeCell ref="W1251:AB1251"/>
    <mergeCell ref="AD1251:AI1251"/>
    <mergeCell ref="BG1251:BL1251"/>
    <mergeCell ref="BN1251:BS1251"/>
    <mergeCell ref="W1252:AB1252"/>
    <mergeCell ref="AD1252:AI1252"/>
    <mergeCell ref="BG1252:BL1252"/>
    <mergeCell ref="BN1252:BS1252"/>
    <mergeCell ref="BG1266:BL1266"/>
    <mergeCell ref="BN1266:BS1266"/>
    <mergeCell ref="I1267:N1267"/>
    <mergeCell ref="P1267:U1267"/>
    <mergeCell ref="W1267:AB1267"/>
    <mergeCell ref="AD1267:AI1267"/>
    <mergeCell ref="AS1267:AX1267"/>
    <mergeCell ref="AZ1267:BE1267"/>
    <mergeCell ref="BG1267:BL1267"/>
    <mergeCell ref="BN1267:BS1267"/>
    <mergeCell ref="I1266:N1266"/>
    <mergeCell ref="P1266:U1266"/>
    <mergeCell ref="W1266:AB1266"/>
    <mergeCell ref="AD1266:AI1266"/>
    <mergeCell ref="AS1266:AX1266"/>
    <mergeCell ref="AZ1266:BE1266"/>
    <mergeCell ref="W1255:AB1255"/>
    <mergeCell ref="AD1255:AI1255"/>
    <mergeCell ref="BG1255:BL1255"/>
    <mergeCell ref="BN1255:BS1255"/>
    <mergeCell ref="W1256:AB1256"/>
    <mergeCell ref="AD1256:AI1256"/>
    <mergeCell ref="BG1256:BL1256"/>
    <mergeCell ref="BN1256:BS1256"/>
    <mergeCell ref="AS1270:AX1270"/>
    <mergeCell ref="AZ1270:BE1270"/>
    <mergeCell ref="BG1270:BL1270"/>
    <mergeCell ref="BN1270:BS1270"/>
    <mergeCell ref="C1271:H1271"/>
    <mergeCell ref="I1271:N1271"/>
    <mergeCell ref="P1271:U1271"/>
    <mergeCell ref="W1271:AB1271"/>
    <mergeCell ref="AD1271:AI1271"/>
    <mergeCell ref="AM1271:AR1271"/>
    <mergeCell ref="C1270:H1270"/>
    <mergeCell ref="I1270:N1270"/>
    <mergeCell ref="P1270:U1270"/>
    <mergeCell ref="W1270:AB1270"/>
    <mergeCell ref="AD1270:AI1270"/>
    <mergeCell ref="AM1270:AR1270"/>
    <mergeCell ref="BG1268:BL1268"/>
    <mergeCell ref="BN1268:BS1268"/>
    <mergeCell ref="C1269:H1269"/>
    <mergeCell ref="P1269:U1269"/>
    <mergeCell ref="W1269:AB1269"/>
    <mergeCell ref="AD1269:AI1269"/>
    <mergeCell ref="AM1269:AR1269"/>
    <mergeCell ref="I1268:N1268"/>
    <mergeCell ref="P1268:U1268"/>
    <mergeCell ref="W1268:AB1268"/>
    <mergeCell ref="AD1268:AI1268"/>
    <mergeCell ref="AS1268:AX1268"/>
    <mergeCell ref="AZ1268:BE1268"/>
    <mergeCell ref="AS1272:AX1272"/>
    <mergeCell ref="AZ1272:BE1272"/>
    <mergeCell ref="BG1272:BL1272"/>
    <mergeCell ref="BN1272:BS1272"/>
    <mergeCell ref="C1273:H1273"/>
    <mergeCell ref="I1273:N1273"/>
    <mergeCell ref="P1273:U1273"/>
    <mergeCell ref="W1273:AB1273"/>
    <mergeCell ref="AD1273:AI1273"/>
    <mergeCell ref="AM1273:AR1273"/>
    <mergeCell ref="AS1271:AX1271"/>
    <mergeCell ref="AZ1271:BE1271"/>
    <mergeCell ref="BG1271:BL1271"/>
    <mergeCell ref="BN1271:BS1271"/>
    <mergeCell ref="C1272:H1272"/>
    <mergeCell ref="I1272:N1272"/>
    <mergeCell ref="P1272:U1272"/>
    <mergeCell ref="W1272:AB1272"/>
    <mergeCell ref="AD1272:AI1272"/>
    <mergeCell ref="AM1272:AR1272"/>
    <mergeCell ref="AS1274:AX1274"/>
    <mergeCell ref="AZ1274:BE1274"/>
    <mergeCell ref="BG1274:BL1274"/>
    <mergeCell ref="BN1274:BS1274"/>
    <mergeCell ref="C1275:H1275"/>
    <mergeCell ref="I1275:N1275"/>
    <mergeCell ref="P1275:U1275"/>
    <mergeCell ref="W1275:AB1275"/>
    <mergeCell ref="AD1275:AI1275"/>
    <mergeCell ref="AM1275:AR1275"/>
    <mergeCell ref="AS1273:AX1273"/>
    <mergeCell ref="AZ1273:BE1273"/>
    <mergeCell ref="BG1273:BL1273"/>
    <mergeCell ref="BN1273:BS1273"/>
    <mergeCell ref="C1274:H1274"/>
    <mergeCell ref="I1274:N1274"/>
    <mergeCell ref="P1274:U1274"/>
    <mergeCell ref="W1274:AB1274"/>
    <mergeCell ref="AD1274:AI1274"/>
    <mergeCell ref="AM1274:AR1274"/>
    <mergeCell ref="AS1276:AX1276"/>
    <mergeCell ref="AZ1276:BE1276"/>
    <mergeCell ref="BG1276:BL1276"/>
    <mergeCell ref="BN1276:BS1276"/>
    <mergeCell ref="C1277:H1277"/>
    <mergeCell ref="I1277:N1277"/>
    <mergeCell ref="P1277:U1277"/>
    <mergeCell ref="W1277:AB1277"/>
    <mergeCell ref="AD1277:AI1277"/>
    <mergeCell ref="AM1277:AR1277"/>
    <mergeCell ref="AS1275:AX1275"/>
    <mergeCell ref="AZ1275:BE1275"/>
    <mergeCell ref="BG1275:BL1275"/>
    <mergeCell ref="BN1275:BS1275"/>
    <mergeCell ref="C1276:H1276"/>
    <mergeCell ref="I1276:N1276"/>
    <mergeCell ref="P1276:U1276"/>
    <mergeCell ref="W1276:AB1276"/>
    <mergeCell ref="AD1276:AI1276"/>
    <mergeCell ref="AM1276:AR1276"/>
    <mergeCell ref="AS1278:AX1278"/>
    <mergeCell ref="AZ1278:BE1278"/>
    <mergeCell ref="BG1278:BL1278"/>
    <mergeCell ref="BN1278:BS1278"/>
    <mergeCell ref="C1279:H1279"/>
    <mergeCell ref="I1279:N1279"/>
    <mergeCell ref="P1279:U1279"/>
    <mergeCell ref="W1279:AB1279"/>
    <mergeCell ref="AD1279:AI1279"/>
    <mergeCell ref="AM1279:AR1279"/>
    <mergeCell ref="AS1277:AX1277"/>
    <mergeCell ref="AZ1277:BE1277"/>
    <mergeCell ref="BG1277:BL1277"/>
    <mergeCell ref="BN1277:BS1277"/>
    <mergeCell ref="C1278:H1278"/>
    <mergeCell ref="I1278:N1278"/>
    <mergeCell ref="P1278:U1278"/>
    <mergeCell ref="W1278:AB1278"/>
    <mergeCell ref="AD1278:AI1278"/>
    <mergeCell ref="AM1278:AR1278"/>
    <mergeCell ref="AS1280:AX1280"/>
    <mergeCell ref="AZ1280:BE1280"/>
    <mergeCell ref="BG1280:BL1280"/>
    <mergeCell ref="BN1280:BS1280"/>
    <mergeCell ref="C1281:H1281"/>
    <mergeCell ref="I1281:N1281"/>
    <mergeCell ref="P1281:U1281"/>
    <mergeCell ref="W1281:AB1281"/>
    <mergeCell ref="AD1281:AI1281"/>
    <mergeCell ref="AM1281:AR1281"/>
    <mergeCell ref="AS1279:AX1279"/>
    <mergeCell ref="AZ1279:BE1279"/>
    <mergeCell ref="BG1279:BL1279"/>
    <mergeCell ref="BN1279:BS1279"/>
    <mergeCell ref="C1280:H1280"/>
    <mergeCell ref="I1280:N1280"/>
    <mergeCell ref="P1280:U1280"/>
    <mergeCell ref="W1280:AB1280"/>
    <mergeCell ref="AD1280:AI1280"/>
    <mergeCell ref="AM1280:AR1280"/>
    <mergeCell ref="AS1282:AX1282"/>
    <mergeCell ref="AZ1282:BE1282"/>
    <mergeCell ref="BG1282:BL1282"/>
    <mergeCell ref="BN1282:BS1282"/>
    <mergeCell ref="C1283:H1283"/>
    <mergeCell ref="I1283:N1283"/>
    <mergeCell ref="P1283:U1283"/>
    <mergeCell ref="W1283:AB1283"/>
    <mergeCell ref="AD1283:AI1283"/>
    <mergeCell ref="AM1283:AR1283"/>
    <mergeCell ref="AS1281:AX1281"/>
    <mergeCell ref="AZ1281:BE1281"/>
    <mergeCell ref="BG1281:BL1281"/>
    <mergeCell ref="BN1281:BS1281"/>
    <mergeCell ref="C1282:H1282"/>
    <mergeCell ref="I1282:N1282"/>
    <mergeCell ref="P1282:U1282"/>
    <mergeCell ref="W1282:AB1282"/>
    <mergeCell ref="AD1282:AI1282"/>
    <mergeCell ref="AM1282:AR1282"/>
    <mergeCell ref="AS1284:AX1284"/>
    <mergeCell ref="AZ1284:BE1284"/>
    <mergeCell ref="BG1284:BL1284"/>
    <mergeCell ref="BN1284:BS1284"/>
    <mergeCell ref="C1285:H1285"/>
    <mergeCell ref="I1285:N1285"/>
    <mergeCell ref="P1285:U1285"/>
    <mergeCell ref="W1285:AB1285"/>
    <mergeCell ref="AD1285:AI1285"/>
    <mergeCell ref="AM1285:AR1285"/>
    <mergeCell ref="AS1283:AX1283"/>
    <mergeCell ref="AZ1283:BE1283"/>
    <mergeCell ref="BG1283:BL1283"/>
    <mergeCell ref="BN1283:BS1283"/>
    <mergeCell ref="C1284:H1284"/>
    <mergeCell ref="I1284:N1284"/>
    <mergeCell ref="P1284:U1284"/>
    <mergeCell ref="W1284:AB1284"/>
    <mergeCell ref="AD1284:AI1284"/>
    <mergeCell ref="AM1284:AR1284"/>
    <mergeCell ref="AS1286:AX1286"/>
    <mergeCell ref="AZ1286:BE1286"/>
    <mergeCell ref="BG1286:BL1286"/>
    <mergeCell ref="BN1286:BS1286"/>
    <mergeCell ref="C1287:H1287"/>
    <mergeCell ref="I1287:N1287"/>
    <mergeCell ref="P1287:U1287"/>
    <mergeCell ref="W1287:AB1287"/>
    <mergeCell ref="AD1287:AI1287"/>
    <mergeCell ref="AM1287:AR1287"/>
    <mergeCell ref="AS1285:AX1285"/>
    <mergeCell ref="AZ1285:BE1285"/>
    <mergeCell ref="BG1285:BL1285"/>
    <mergeCell ref="BN1285:BS1285"/>
    <mergeCell ref="C1286:H1286"/>
    <mergeCell ref="I1286:N1286"/>
    <mergeCell ref="P1286:U1286"/>
    <mergeCell ref="W1286:AB1286"/>
    <mergeCell ref="AD1286:AI1286"/>
    <mergeCell ref="AM1286:AR1286"/>
    <mergeCell ref="Y1291:AB1291"/>
    <mergeCell ref="AD1291:AI1291"/>
    <mergeCell ref="BI1291:BL1291"/>
    <mergeCell ref="BN1291:BS1291"/>
    <mergeCell ref="Y1292:AB1292"/>
    <mergeCell ref="AD1292:AI1292"/>
    <mergeCell ref="BI1292:BL1292"/>
    <mergeCell ref="BN1292:BS1292"/>
    <mergeCell ref="AZ1288:BD1288"/>
    <mergeCell ref="BE1288:BI1288"/>
    <mergeCell ref="BJ1288:BN1288"/>
    <mergeCell ref="BO1288:BS1288"/>
    <mergeCell ref="C1290:AI1290"/>
    <mergeCell ref="AM1290:BS1290"/>
    <mergeCell ref="AS1287:AX1287"/>
    <mergeCell ref="AZ1287:BE1287"/>
    <mergeCell ref="BG1287:BL1287"/>
    <mergeCell ref="BN1287:BS1287"/>
    <mergeCell ref="K1288:O1288"/>
    <mergeCell ref="P1288:T1288"/>
    <mergeCell ref="U1288:Y1288"/>
    <mergeCell ref="Z1288:AD1288"/>
    <mergeCell ref="AE1288:AI1288"/>
    <mergeCell ref="AU1288:AY1288"/>
    <mergeCell ref="Y1297:AB1297"/>
    <mergeCell ref="AD1297:AI1297"/>
    <mergeCell ref="BI1297:BL1297"/>
    <mergeCell ref="BN1297:BS1297"/>
    <mergeCell ref="Y1298:AB1298"/>
    <mergeCell ref="AD1298:AI1298"/>
    <mergeCell ref="Y1295:AB1295"/>
    <mergeCell ref="AD1295:AI1295"/>
    <mergeCell ref="BI1295:BL1295"/>
    <mergeCell ref="BN1295:BS1295"/>
    <mergeCell ref="Y1296:AB1296"/>
    <mergeCell ref="AD1296:AI1296"/>
    <mergeCell ref="BI1296:BL1296"/>
    <mergeCell ref="BN1296:BS1296"/>
    <mergeCell ref="Y1293:AB1293"/>
    <mergeCell ref="AD1293:AI1293"/>
    <mergeCell ref="BI1293:BL1293"/>
    <mergeCell ref="BN1293:BS1293"/>
    <mergeCell ref="Y1294:AB1294"/>
    <mergeCell ref="AD1294:AI1294"/>
    <mergeCell ref="BI1294:BL1294"/>
    <mergeCell ref="BN1294:BS1294"/>
    <mergeCell ref="BJ1303:BO1303"/>
    <mergeCell ref="BQ1303:BS1303"/>
    <mergeCell ref="O1304:T1304"/>
    <mergeCell ref="V1304:X1304"/>
    <mergeCell ref="Z1304:AE1304"/>
    <mergeCell ref="AG1304:AI1304"/>
    <mergeCell ref="AY1304:BD1304"/>
    <mergeCell ref="BF1304:BH1304"/>
    <mergeCell ref="BJ1304:BO1304"/>
    <mergeCell ref="BQ1304:BS1304"/>
    <mergeCell ref="O1303:T1303"/>
    <mergeCell ref="V1303:X1303"/>
    <mergeCell ref="Z1303:AE1303"/>
    <mergeCell ref="AG1303:AI1303"/>
    <mergeCell ref="AY1303:BD1303"/>
    <mergeCell ref="BF1303:BH1303"/>
    <mergeCell ref="BJ1301:BO1301"/>
    <mergeCell ref="BQ1301:BS1301"/>
    <mergeCell ref="O1302:T1302"/>
    <mergeCell ref="V1302:X1302"/>
    <mergeCell ref="Z1302:AE1302"/>
    <mergeCell ref="AG1302:AI1302"/>
    <mergeCell ref="AY1302:BD1302"/>
    <mergeCell ref="BF1302:BH1302"/>
    <mergeCell ref="BJ1302:BO1302"/>
    <mergeCell ref="BQ1302:BS1302"/>
    <mergeCell ref="O1301:T1301"/>
    <mergeCell ref="V1301:X1301"/>
    <mergeCell ref="Z1301:AE1301"/>
    <mergeCell ref="AG1301:AI1301"/>
    <mergeCell ref="AY1301:BD1301"/>
    <mergeCell ref="BF1301:BH1301"/>
    <mergeCell ref="BJ1307:BO1307"/>
    <mergeCell ref="BQ1307:BS1307"/>
    <mergeCell ref="O1308:T1308"/>
    <mergeCell ref="V1308:X1308"/>
    <mergeCell ref="Z1308:AE1308"/>
    <mergeCell ref="AG1308:AI1308"/>
    <mergeCell ref="AY1308:BD1308"/>
    <mergeCell ref="BF1308:BH1308"/>
    <mergeCell ref="BJ1308:BO1308"/>
    <mergeCell ref="BQ1308:BS1308"/>
    <mergeCell ref="O1307:T1307"/>
    <mergeCell ref="V1307:X1307"/>
    <mergeCell ref="Z1307:AE1307"/>
    <mergeCell ref="AG1307:AI1307"/>
    <mergeCell ref="AY1307:BD1307"/>
    <mergeCell ref="BF1307:BH1307"/>
    <mergeCell ref="BJ1305:BO1305"/>
    <mergeCell ref="BQ1305:BS1305"/>
    <mergeCell ref="O1306:T1306"/>
    <mergeCell ref="V1306:X1306"/>
    <mergeCell ref="Z1306:AE1306"/>
    <mergeCell ref="AG1306:AI1306"/>
    <mergeCell ref="AY1306:BD1306"/>
    <mergeCell ref="BF1306:BH1306"/>
    <mergeCell ref="BJ1306:BO1306"/>
    <mergeCell ref="BQ1306:BS1306"/>
    <mergeCell ref="O1305:T1305"/>
    <mergeCell ref="V1305:X1305"/>
    <mergeCell ref="Z1305:AE1305"/>
    <mergeCell ref="AG1305:AI1305"/>
    <mergeCell ref="AY1305:BD1305"/>
    <mergeCell ref="BF1305:BH1305"/>
    <mergeCell ref="BJ1312:BO1312"/>
    <mergeCell ref="BQ1312:BS1312"/>
    <mergeCell ref="O1313:T1313"/>
    <mergeCell ref="V1313:X1313"/>
    <mergeCell ref="Z1313:AE1313"/>
    <mergeCell ref="AG1313:AI1313"/>
    <mergeCell ref="AY1313:BD1313"/>
    <mergeCell ref="BF1313:BH1313"/>
    <mergeCell ref="BJ1313:BO1313"/>
    <mergeCell ref="BQ1313:BS1313"/>
    <mergeCell ref="O1312:T1312"/>
    <mergeCell ref="V1312:X1312"/>
    <mergeCell ref="Z1312:AE1312"/>
    <mergeCell ref="AG1312:AI1312"/>
    <mergeCell ref="AY1312:BD1312"/>
    <mergeCell ref="BF1312:BH1312"/>
    <mergeCell ref="C1309:AI1309"/>
    <mergeCell ref="AM1309:BS1309"/>
    <mergeCell ref="O1311:T1311"/>
    <mergeCell ref="V1311:X1311"/>
    <mergeCell ref="Z1311:AE1311"/>
    <mergeCell ref="AG1311:AI1311"/>
    <mergeCell ref="AY1311:BD1311"/>
    <mergeCell ref="BF1311:BH1311"/>
    <mergeCell ref="BJ1311:BO1311"/>
    <mergeCell ref="BQ1311:BS1311"/>
    <mergeCell ref="BJ1316:BO1316"/>
    <mergeCell ref="BQ1316:BS1316"/>
    <mergeCell ref="O1317:T1317"/>
    <mergeCell ref="V1317:X1317"/>
    <mergeCell ref="Z1317:AE1317"/>
    <mergeCell ref="AG1317:AI1317"/>
    <mergeCell ref="AY1317:BD1317"/>
    <mergeCell ref="BF1317:BH1317"/>
    <mergeCell ref="BJ1317:BO1317"/>
    <mergeCell ref="BQ1317:BS1317"/>
    <mergeCell ref="O1316:T1316"/>
    <mergeCell ref="V1316:X1316"/>
    <mergeCell ref="Z1316:AE1316"/>
    <mergeCell ref="AG1316:AI1316"/>
    <mergeCell ref="AY1316:BD1316"/>
    <mergeCell ref="BF1316:BH1316"/>
    <mergeCell ref="BJ1314:BO1314"/>
    <mergeCell ref="BQ1314:BS1314"/>
    <mergeCell ref="O1315:T1315"/>
    <mergeCell ref="V1315:X1315"/>
    <mergeCell ref="Z1315:AE1315"/>
    <mergeCell ref="AG1315:AI1315"/>
    <mergeCell ref="AY1315:BD1315"/>
    <mergeCell ref="BF1315:BH1315"/>
    <mergeCell ref="BJ1315:BO1315"/>
    <mergeCell ref="BQ1315:BS1315"/>
    <mergeCell ref="O1314:T1314"/>
    <mergeCell ref="V1314:X1314"/>
    <mergeCell ref="Z1314:AE1314"/>
    <mergeCell ref="AG1314:AI1314"/>
    <mergeCell ref="AY1314:BD1314"/>
    <mergeCell ref="BF1314:BH1314"/>
    <mergeCell ref="C1324:G1324"/>
    <mergeCell ref="I1324:N1324"/>
    <mergeCell ref="P1324:Q1324"/>
    <mergeCell ref="S1324:W1324"/>
    <mergeCell ref="Y1324:Z1324"/>
    <mergeCell ref="AB1324:AF1324"/>
    <mergeCell ref="C1321:AI1321"/>
    <mergeCell ref="AM1321:BS1321"/>
    <mergeCell ref="I1323:Q1323"/>
    <mergeCell ref="S1323:Z1323"/>
    <mergeCell ref="AB1323:AI1323"/>
    <mergeCell ref="AS1323:BA1323"/>
    <mergeCell ref="BC1323:BJ1323"/>
    <mergeCell ref="BJ1318:BO1318"/>
    <mergeCell ref="BQ1318:BS1318"/>
    <mergeCell ref="O1319:T1319"/>
    <mergeCell ref="V1319:X1319"/>
    <mergeCell ref="Z1319:AE1319"/>
    <mergeCell ref="AG1319:AI1319"/>
    <mergeCell ref="AY1319:BD1319"/>
    <mergeCell ref="BF1319:BH1319"/>
    <mergeCell ref="BJ1319:BO1319"/>
    <mergeCell ref="BQ1319:BS1319"/>
    <mergeCell ref="O1318:T1318"/>
    <mergeCell ref="V1318:X1318"/>
    <mergeCell ref="Z1318:AE1318"/>
    <mergeCell ref="AG1318:AI1318"/>
    <mergeCell ref="AY1318:BD1318"/>
    <mergeCell ref="BF1318:BH1318"/>
    <mergeCell ref="AS1326:AX1326"/>
    <mergeCell ref="AZ1326:BA1326"/>
    <mergeCell ref="BC1326:BG1326"/>
    <mergeCell ref="BI1326:BJ1326"/>
    <mergeCell ref="BL1326:BP1326"/>
    <mergeCell ref="BR1326:BS1326"/>
    <mergeCell ref="BC1325:BG1325"/>
    <mergeCell ref="BI1325:BJ1325"/>
    <mergeCell ref="BL1325:BP1325"/>
    <mergeCell ref="BR1325:BS1325"/>
    <mergeCell ref="I1326:N1326"/>
    <mergeCell ref="P1326:Q1326"/>
    <mergeCell ref="S1326:W1326"/>
    <mergeCell ref="Y1326:Z1326"/>
    <mergeCell ref="AB1326:AF1326"/>
    <mergeCell ref="AH1326:AI1326"/>
    <mergeCell ref="BL1324:BP1324"/>
    <mergeCell ref="BR1324:BS1324"/>
    <mergeCell ref="I1325:N1325"/>
    <mergeCell ref="P1325:Q1325"/>
    <mergeCell ref="S1325:W1325"/>
    <mergeCell ref="Y1325:Z1325"/>
    <mergeCell ref="AB1325:AF1325"/>
    <mergeCell ref="AH1325:AI1325"/>
    <mergeCell ref="AS1325:AX1325"/>
    <mergeCell ref="AZ1325:BA1325"/>
    <mergeCell ref="AH1324:AI1324"/>
    <mergeCell ref="AM1324:AQ1324"/>
    <mergeCell ref="AR1324:AY1324"/>
    <mergeCell ref="AZ1324:BA1324"/>
    <mergeCell ref="BC1324:BG1324"/>
    <mergeCell ref="BI1324:BJ1324"/>
    <mergeCell ref="AS1328:AX1328"/>
    <mergeCell ref="AZ1328:BA1328"/>
    <mergeCell ref="BC1328:BG1328"/>
    <mergeCell ref="BI1328:BJ1328"/>
    <mergeCell ref="BL1328:BP1328"/>
    <mergeCell ref="BR1328:BS1328"/>
    <mergeCell ref="I1328:N1328"/>
    <mergeCell ref="P1328:Q1328"/>
    <mergeCell ref="S1328:W1328"/>
    <mergeCell ref="Y1328:Z1328"/>
    <mergeCell ref="AB1328:AF1328"/>
    <mergeCell ref="AH1328:AI1328"/>
    <mergeCell ref="AS1327:AX1327"/>
    <mergeCell ref="AZ1327:BA1327"/>
    <mergeCell ref="BC1327:BG1327"/>
    <mergeCell ref="BI1327:BJ1327"/>
    <mergeCell ref="BL1327:BP1327"/>
    <mergeCell ref="BR1327:BS1327"/>
    <mergeCell ref="I1327:N1327"/>
    <mergeCell ref="P1327:Q1327"/>
    <mergeCell ref="S1327:W1327"/>
    <mergeCell ref="Y1327:Z1327"/>
    <mergeCell ref="AB1327:AF1327"/>
    <mergeCell ref="AH1327:AI1327"/>
    <mergeCell ref="I1330:N1330"/>
    <mergeCell ref="P1330:Q1330"/>
    <mergeCell ref="S1330:W1330"/>
    <mergeCell ref="Y1330:Z1330"/>
    <mergeCell ref="AB1330:AF1330"/>
    <mergeCell ref="AH1330:AI1330"/>
    <mergeCell ref="AS1329:AX1329"/>
    <mergeCell ref="AZ1329:BA1329"/>
    <mergeCell ref="BC1329:BG1329"/>
    <mergeCell ref="BI1329:BJ1329"/>
    <mergeCell ref="BL1329:BP1329"/>
    <mergeCell ref="BR1329:BS1329"/>
    <mergeCell ref="I1329:N1329"/>
    <mergeCell ref="P1329:Q1329"/>
    <mergeCell ref="S1329:W1329"/>
    <mergeCell ref="Y1329:Z1329"/>
    <mergeCell ref="AB1329:AF1329"/>
    <mergeCell ref="AH1329:AI1329"/>
    <mergeCell ref="W1335:AB1335"/>
    <mergeCell ref="AD1335:AI1335"/>
    <mergeCell ref="BG1335:BL1335"/>
    <mergeCell ref="BN1335:BS1335"/>
    <mergeCell ref="W1336:AB1336"/>
    <mergeCell ref="AD1336:AI1336"/>
    <mergeCell ref="BG1336:BL1336"/>
    <mergeCell ref="BN1336:BS1336"/>
    <mergeCell ref="W1333:AB1333"/>
    <mergeCell ref="AD1333:AI1333"/>
    <mergeCell ref="BG1333:BL1333"/>
    <mergeCell ref="BN1333:BS1333"/>
    <mergeCell ref="W1334:AB1334"/>
    <mergeCell ref="AD1334:AI1334"/>
    <mergeCell ref="BG1334:BL1334"/>
    <mergeCell ref="BN1334:BS1334"/>
    <mergeCell ref="AS1330:AX1330"/>
    <mergeCell ref="AZ1330:BA1330"/>
    <mergeCell ref="BC1330:BG1330"/>
    <mergeCell ref="BI1330:BJ1330"/>
    <mergeCell ref="BL1330:BP1330"/>
    <mergeCell ref="BR1330:BS1330"/>
    <mergeCell ref="W1341:AB1341"/>
    <mergeCell ref="AD1341:AI1341"/>
    <mergeCell ref="BG1341:BL1341"/>
    <mergeCell ref="BN1341:BS1341"/>
    <mergeCell ref="W1342:AB1342"/>
    <mergeCell ref="AD1342:AI1342"/>
    <mergeCell ref="BG1342:BL1342"/>
    <mergeCell ref="BN1342:BS1342"/>
    <mergeCell ref="W1339:AB1339"/>
    <mergeCell ref="AD1339:AI1339"/>
    <mergeCell ref="BG1339:BL1339"/>
    <mergeCell ref="BN1339:BS1339"/>
    <mergeCell ref="W1340:AB1340"/>
    <mergeCell ref="AD1340:AI1340"/>
    <mergeCell ref="BG1340:BL1340"/>
    <mergeCell ref="BN1340:BS1340"/>
    <mergeCell ref="W1337:AB1337"/>
    <mergeCell ref="AD1337:AI1337"/>
    <mergeCell ref="BG1337:BL1337"/>
    <mergeCell ref="BN1337:BS1337"/>
    <mergeCell ref="W1338:AB1338"/>
    <mergeCell ref="AD1338:AI1338"/>
    <mergeCell ref="BG1338:BL1338"/>
    <mergeCell ref="BN1338:BS1338"/>
    <mergeCell ref="W1351:AB1351"/>
    <mergeCell ref="AD1351:AI1351"/>
    <mergeCell ref="BG1351:BL1351"/>
    <mergeCell ref="BN1351:BS1351"/>
    <mergeCell ref="W1352:AB1352"/>
    <mergeCell ref="AD1352:AI1352"/>
    <mergeCell ref="BG1352:BL1352"/>
    <mergeCell ref="BN1352:BS1352"/>
    <mergeCell ref="W1349:AB1349"/>
    <mergeCell ref="AD1349:AI1349"/>
    <mergeCell ref="BG1349:BL1349"/>
    <mergeCell ref="BN1349:BS1349"/>
    <mergeCell ref="W1350:AB1350"/>
    <mergeCell ref="AD1350:AI1350"/>
    <mergeCell ref="BG1350:BL1350"/>
    <mergeCell ref="BN1350:BS1350"/>
    <mergeCell ref="W1346:AB1346"/>
    <mergeCell ref="AD1346:AI1346"/>
    <mergeCell ref="BG1346:BL1346"/>
    <mergeCell ref="BN1346:BS1346"/>
    <mergeCell ref="W1348:AB1348"/>
    <mergeCell ref="AD1348:AI1348"/>
    <mergeCell ref="BG1348:BL1348"/>
    <mergeCell ref="BN1348:BS1348"/>
    <mergeCell ref="W1357:AB1357"/>
    <mergeCell ref="AD1357:AI1357"/>
    <mergeCell ref="BG1357:BL1357"/>
    <mergeCell ref="BN1357:BS1357"/>
    <mergeCell ref="W1358:AB1358"/>
    <mergeCell ref="AD1358:AI1358"/>
    <mergeCell ref="W1355:AB1355"/>
    <mergeCell ref="AD1355:AI1355"/>
    <mergeCell ref="BG1355:BL1355"/>
    <mergeCell ref="BN1355:BS1355"/>
    <mergeCell ref="W1356:AB1356"/>
    <mergeCell ref="AD1356:AI1356"/>
    <mergeCell ref="BG1356:BL1356"/>
    <mergeCell ref="BN1356:BS1356"/>
    <mergeCell ref="W1353:AB1353"/>
    <mergeCell ref="AD1353:AI1353"/>
    <mergeCell ref="BG1353:BL1353"/>
    <mergeCell ref="BN1353:BS1353"/>
    <mergeCell ref="W1354:AB1354"/>
    <mergeCell ref="AD1354:AI1354"/>
    <mergeCell ref="BG1354:BL1354"/>
    <mergeCell ref="BN1354:BS1354"/>
    <mergeCell ref="W1365:AB1365"/>
    <mergeCell ref="AD1365:AI1365"/>
    <mergeCell ref="BG1365:BL1365"/>
    <mergeCell ref="BN1365:BS1365"/>
    <mergeCell ref="W1366:AB1366"/>
    <mergeCell ref="AD1366:AI1366"/>
    <mergeCell ref="BG1366:BL1366"/>
    <mergeCell ref="BN1366:BS1366"/>
    <mergeCell ref="W1363:AB1363"/>
    <mergeCell ref="AD1363:AI1363"/>
    <mergeCell ref="BG1363:BL1363"/>
    <mergeCell ref="BN1363:BS1363"/>
    <mergeCell ref="W1364:AB1364"/>
    <mergeCell ref="AD1364:AI1364"/>
    <mergeCell ref="BG1364:BL1364"/>
    <mergeCell ref="BN1364:BS1364"/>
    <mergeCell ref="W1361:AB1361"/>
    <mergeCell ref="AD1361:AI1361"/>
    <mergeCell ref="BG1361:BL1361"/>
    <mergeCell ref="BN1361:BS1361"/>
    <mergeCell ref="W1362:AB1362"/>
    <mergeCell ref="AD1362:AI1362"/>
    <mergeCell ref="BG1362:BL1362"/>
    <mergeCell ref="BN1362:BS1362"/>
    <mergeCell ref="W1374:AB1374"/>
    <mergeCell ref="AD1374:AI1374"/>
    <mergeCell ref="BG1374:BL1374"/>
    <mergeCell ref="BN1374:BS1374"/>
    <mergeCell ref="W1376:AB1376"/>
    <mergeCell ref="AD1376:AI1376"/>
    <mergeCell ref="BG1376:BL1376"/>
    <mergeCell ref="BN1376:BS1376"/>
    <mergeCell ref="W1371:AB1371"/>
    <mergeCell ref="AD1371:AI1371"/>
    <mergeCell ref="BG1371:BL1371"/>
    <mergeCell ref="BN1371:BS1371"/>
    <mergeCell ref="W1373:AB1373"/>
    <mergeCell ref="AD1373:AI1373"/>
    <mergeCell ref="BG1373:BL1373"/>
    <mergeCell ref="BN1373:BS1373"/>
    <mergeCell ref="W1367:AB1367"/>
    <mergeCell ref="AD1367:AI1367"/>
    <mergeCell ref="BG1367:BL1367"/>
    <mergeCell ref="BN1367:BS1367"/>
    <mergeCell ref="W1370:AB1370"/>
    <mergeCell ref="AD1370:AI1370"/>
    <mergeCell ref="BG1370:BL1370"/>
    <mergeCell ref="BN1370:BS1370"/>
    <mergeCell ref="W1386:AB1386"/>
    <mergeCell ref="AD1386:AI1386"/>
    <mergeCell ref="BG1386:BL1386"/>
    <mergeCell ref="BN1386:BS1386"/>
    <mergeCell ref="W1387:AB1387"/>
    <mergeCell ref="AD1387:AI1387"/>
    <mergeCell ref="BG1387:BL1387"/>
    <mergeCell ref="BN1387:BS1387"/>
    <mergeCell ref="W1383:AB1383"/>
    <mergeCell ref="AD1383:AI1383"/>
    <mergeCell ref="BG1383:BL1383"/>
    <mergeCell ref="BN1383:BS1383"/>
    <mergeCell ref="W1385:AB1385"/>
    <mergeCell ref="AD1385:AI1385"/>
    <mergeCell ref="BG1385:BL1385"/>
    <mergeCell ref="BN1385:BS1385"/>
    <mergeCell ref="C1378:AI1378"/>
    <mergeCell ref="AM1378:BS1378"/>
    <mergeCell ref="W1382:AB1382"/>
    <mergeCell ref="AD1382:AI1382"/>
    <mergeCell ref="BG1382:BL1382"/>
    <mergeCell ref="BN1382:BS1382"/>
    <mergeCell ref="W1396:AB1396"/>
    <mergeCell ref="AD1396:AI1396"/>
    <mergeCell ref="BG1396:BL1396"/>
    <mergeCell ref="BN1396:BS1396"/>
    <mergeCell ref="W1398:AB1398"/>
    <mergeCell ref="AD1398:AI1398"/>
    <mergeCell ref="BG1398:BL1398"/>
    <mergeCell ref="BN1398:BS1398"/>
    <mergeCell ref="C1391:AI1391"/>
    <mergeCell ref="AM1391:BS1391"/>
    <mergeCell ref="W1395:AB1395"/>
    <mergeCell ref="AD1395:AI1395"/>
    <mergeCell ref="BG1395:BL1395"/>
    <mergeCell ref="BN1395:BS1395"/>
    <mergeCell ref="W1388:AB1388"/>
    <mergeCell ref="AD1388:AI1388"/>
    <mergeCell ref="BG1388:BL1388"/>
    <mergeCell ref="BN1388:BS1388"/>
    <mergeCell ref="W1389:AB1389"/>
    <mergeCell ref="AD1389:AI1389"/>
    <mergeCell ref="BG1389:BL1389"/>
    <mergeCell ref="BN1389:BS1389"/>
    <mergeCell ref="W1401:AB1401"/>
    <mergeCell ref="AD1401:AI1401"/>
    <mergeCell ref="BG1401:BL1401"/>
    <mergeCell ref="BN1401:BS1401"/>
    <mergeCell ref="W1402:AB1402"/>
    <mergeCell ref="AD1402:AI1402"/>
    <mergeCell ref="BG1402:BL1402"/>
    <mergeCell ref="BN1402:BS1402"/>
    <mergeCell ref="W1399:AB1399"/>
    <mergeCell ref="AD1399:AI1399"/>
    <mergeCell ref="BG1399:BL1399"/>
    <mergeCell ref="BN1399:BS1399"/>
    <mergeCell ref="W1400:AB1400"/>
    <mergeCell ref="AD1400:AI1400"/>
    <mergeCell ref="AN1400:BE1400"/>
    <mergeCell ref="BG1400:BL1400"/>
    <mergeCell ref="BN1400:BS1400"/>
    <mergeCell ref="W1406:AB1406"/>
    <mergeCell ref="AD1406:AI1406"/>
    <mergeCell ref="BG1406:BL1406"/>
    <mergeCell ref="BN1406:BS1406"/>
    <mergeCell ref="W1410:AB1410"/>
    <mergeCell ref="AD1410:AI1410"/>
    <mergeCell ref="BG1410:BL1410"/>
    <mergeCell ref="BN1410:BS1410"/>
    <mergeCell ref="W1403:AB1403"/>
    <mergeCell ref="AD1403:AI1403"/>
    <mergeCell ref="AN1403:BE1403"/>
    <mergeCell ref="BG1403:BL1403"/>
    <mergeCell ref="BN1403:BS1403"/>
    <mergeCell ref="W1404:AB1404"/>
    <mergeCell ref="AD1404:AI1404"/>
    <mergeCell ref="BG1404:BL1404"/>
    <mergeCell ref="BN1404:BS1404"/>
    <mergeCell ref="W1417:AB1417"/>
    <mergeCell ref="AD1417:AI1417"/>
    <mergeCell ref="BG1417:BL1417"/>
    <mergeCell ref="BN1417:BS1417"/>
    <mergeCell ref="C1418:AI1418"/>
    <mergeCell ref="AM1418:BS1418"/>
    <mergeCell ref="W1414:AB1414"/>
    <mergeCell ref="AD1414:AI1414"/>
    <mergeCell ref="BG1414:BL1414"/>
    <mergeCell ref="BN1414:BS1414"/>
    <mergeCell ref="W1415:AB1415"/>
    <mergeCell ref="AD1415:AI1415"/>
    <mergeCell ref="BG1415:BL1415"/>
    <mergeCell ref="BN1415:BS1415"/>
    <mergeCell ref="W1411:AB1411"/>
    <mergeCell ref="AD1411:AI1411"/>
    <mergeCell ref="BG1411:BL1411"/>
    <mergeCell ref="BN1411:BS1411"/>
    <mergeCell ref="W1413:AB1413"/>
    <mergeCell ref="AD1413:AI1413"/>
    <mergeCell ref="BG1413:BL1413"/>
    <mergeCell ref="BN1413:BS1413"/>
    <mergeCell ref="W1428:AB1428"/>
    <mergeCell ref="AD1428:AI1428"/>
    <mergeCell ref="BG1428:BL1428"/>
    <mergeCell ref="BN1428:BS1428"/>
    <mergeCell ref="W1429:AB1429"/>
    <mergeCell ref="AD1429:AI1429"/>
    <mergeCell ref="BG1429:BL1429"/>
    <mergeCell ref="BN1429:BS1429"/>
    <mergeCell ref="C1427:V1427"/>
    <mergeCell ref="W1427:AB1427"/>
    <mergeCell ref="AD1427:AI1427"/>
    <mergeCell ref="AM1427:BF1427"/>
    <mergeCell ref="BG1427:BL1427"/>
    <mergeCell ref="BN1427:BS1427"/>
    <mergeCell ref="W1424:AB1424"/>
    <mergeCell ref="AD1424:AI1424"/>
    <mergeCell ref="BG1424:BL1424"/>
    <mergeCell ref="BN1424:BS1424"/>
    <mergeCell ref="W1425:AB1425"/>
    <mergeCell ref="AD1425:AI1425"/>
    <mergeCell ref="BG1425:BL1425"/>
    <mergeCell ref="BN1425:BS1425"/>
    <mergeCell ref="W1437:AB1437"/>
    <mergeCell ref="AD1437:AI1437"/>
    <mergeCell ref="BG1437:BL1437"/>
    <mergeCell ref="BN1437:BS1437"/>
    <mergeCell ref="C1438:AI1438"/>
    <mergeCell ref="AM1438:BS1438"/>
    <mergeCell ref="W1434:AB1434"/>
    <mergeCell ref="AD1434:AI1434"/>
    <mergeCell ref="BG1434:BL1434"/>
    <mergeCell ref="BN1434:BS1434"/>
    <mergeCell ref="W1436:AB1436"/>
    <mergeCell ref="AD1436:AI1436"/>
    <mergeCell ref="BG1436:BL1436"/>
    <mergeCell ref="BN1436:BS1436"/>
    <mergeCell ref="W1430:AB1430"/>
    <mergeCell ref="AD1430:AI1430"/>
    <mergeCell ref="BG1430:BL1430"/>
    <mergeCell ref="BN1430:BS1430"/>
    <mergeCell ref="W1433:AB1433"/>
    <mergeCell ref="AD1433:AI1433"/>
    <mergeCell ref="BG1433:BL1433"/>
    <mergeCell ref="BN1433:BS1433"/>
    <mergeCell ref="W1447:AB1447"/>
    <mergeCell ref="AD1447:AI1447"/>
    <mergeCell ref="BG1447:BL1447"/>
    <mergeCell ref="BN1447:BS1447"/>
    <mergeCell ref="W1448:AB1448"/>
    <mergeCell ref="AD1448:AI1448"/>
    <mergeCell ref="BG1448:BL1448"/>
    <mergeCell ref="BN1448:BS1448"/>
    <mergeCell ref="W1445:AB1445"/>
    <mergeCell ref="AD1445:AI1445"/>
    <mergeCell ref="BG1445:BL1445"/>
    <mergeCell ref="BN1445:BS1445"/>
    <mergeCell ref="W1446:AB1446"/>
    <mergeCell ref="AD1446:AI1446"/>
    <mergeCell ref="BG1446:BL1446"/>
    <mergeCell ref="BN1446:BS1446"/>
    <mergeCell ref="C1441:AI1441"/>
    <mergeCell ref="AM1441:BS1441"/>
    <mergeCell ref="W1443:AB1443"/>
    <mergeCell ref="AD1443:AI1443"/>
    <mergeCell ref="BG1443:BL1443"/>
    <mergeCell ref="BN1443:BS1443"/>
    <mergeCell ref="W1459:AB1459"/>
    <mergeCell ref="AD1459:AI1459"/>
    <mergeCell ref="W1460:AB1460"/>
    <mergeCell ref="AD1460:AI1460"/>
    <mergeCell ref="W1462:AB1462"/>
    <mergeCell ref="AD1462:AI1462"/>
    <mergeCell ref="C1453:AI1453"/>
    <mergeCell ref="AM1453:BS1453"/>
    <mergeCell ref="C1456:AI1456"/>
    <mergeCell ref="AM1456:BS1456"/>
    <mergeCell ref="W1457:AB1457"/>
    <mergeCell ref="AD1457:AI1457"/>
    <mergeCell ref="W1449:AB1449"/>
    <mergeCell ref="AD1449:AI1449"/>
    <mergeCell ref="BG1449:BL1449"/>
    <mergeCell ref="BN1449:BS1449"/>
    <mergeCell ref="W1450:AB1450"/>
    <mergeCell ref="AD1450:AI1450"/>
    <mergeCell ref="BG1450:BL1450"/>
    <mergeCell ref="BN1450:BS1450"/>
    <mergeCell ref="W1474:AB1474"/>
    <mergeCell ref="AD1474:AI1474"/>
    <mergeCell ref="BG1474:BL1474"/>
    <mergeCell ref="BN1474:BS1474"/>
    <mergeCell ref="W1475:AB1475"/>
    <mergeCell ref="AD1475:AI1475"/>
    <mergeCell ref="BG1475:BL1475"/>
    <mergeCell ref="BN1475:BS1475"/>
    <mergeCell ref="W1472:AB1472"/>
    <mergeCell ref="AD1472:AI1472"/>
    <mergeCell ref="BG1472:BL1472"/>
    <mergeCell ref="BN1472:BS1472"/>
    <mergeCell ref="W1473:AB1473"/>
    <mergeCell ref="AD1473:AI1473"/>
    <mergeCell ref="BG1473:BL1473"/>
    <mergeCell ref="BN1473:BS1473"/>
    <mergeCell ref="C1468:AI1468"/>
    <mergeCell ref="AM1468:BS1468"/>
    <mergeCell ref="W1471:AB1471"/>
    <mergeCell ref="AD1471:AI1471"/>
    <mergeCell ref="BG1471:BL1471"/>
    <mergeCell ref="BN1471:BS1471"/>
    <mergeCell ref="C1479:V1479"/>
    <mergeCell ref="W1479:AB1479"/>
    <mergeCell ref="AD1479:AI1479"/>
    <mergeCell ref="AM1479:BF1479"/>
    <mergeCell ref="BG1479:BL1479"/>
    <mergeCell ref="BN1479:BS1479"/>
    <mergeCell ref="C1478:V1478"/>
    <mergeCell ref="W1478:AB1478"/>
    <mergeCell ref="AD1478:AI1478"/>
    <mergeCell ref="AM1478:BF1478"/>
    <mergeCell ref="BG1478:BL1478"/>
    <mergeCell ref="BN1478:BS1478"/>
    <mergeCell ref="W1476:AB1476"/>
    <mergeCell ref="AD1476:AI1476"/>
    <mergeCell ref="BG1476:BL1476"/>
    <mergeCell ref="BN1476:BS1476"/>
    <mergeCell ref="C1477:V1477"/>
    <mergeCell ref="W1477:AB1477"/>
    <mergeCell ref="AD1477:AI1477"/>
    <mergeCell ref="AM1477:BF1477"/>
    <mergeCell ref="BG1477:BL1477"/>
    <mergeCell ref="BN1477:BS1477"/>
    <mergeCell ref="W1484:AB1484"/>
    <mergeCell ref="AD1484:AI1484"/>
    <mergeCell ref="BG1484:BL1484"/>
    <mergeCell ref="BN1484:BS1484"/>
    <mergeCell ref="C1487:AI1487"/>
    <mergeCell ref="AM1487:BS1487"/>
    <mergeCell ref="W1481:AB1481"/>
    <mergeCell ref="AD1481:AI1481"/>
    <mergeCell ref="BG1481:BL1481"/>
    <mergeCell ref="BN1481:BS1481"/>
    <mergeCell ref="W1482:AB1482"/>
    <mergeCell ref="AD1482:AI1482"/>
    <mergeCell ref="BG1482:BL1482"/>
    <mergeCell ref="BN1482:BS1482"/>
    <mergeCell ref="C1480:V1480"/>
    <mergeCell ref="W1480:AB1480"/>
    <mergeCell ref="AD1480:AI1480"/>
    <mergeCell ref="AM1480:BF1480"/>
    <mergeCell ref="BG1480:BL1480"/>
    <mergeCell ref="BN1480:BS1480"/>
    <mergeCell ref="W1495:AB1495"/>
    <mergeCell ref="AD1495:AI1495"/>
    <mergeCell ref="BG1495:BL1495"/>
    <mergeCell ref="BN1495:BS1495"/>
    <mergeCell ref="W1496:AB1496"/>
    <mergeCell ref="AD1496:AI1496"/>
    <mergeCell ref="BG1496:BL1496"/>
    <mergeCell ref="BN1496:BS1496"/>
    <mergeCell ref="W1492:AB1492"/>
    <mergeCell ref="AD1492:AI1492"/>
    <mergeCell ref="BG1492:BL1492"/>
    <mergeCell ref="BN1492:BS1492"/>
    <mergeCell ref="W1494:AB1494"/>
    <mergeCell ref="AD1494:AI1494"/>
    <mergeCell ref="BG1494:BL1494"/>
    <mergeCell ref="BN1494:BS1494"/>
    <mergeCell ref="W1489:AB1489"/>
    <mergeCell ref="W1490:AB1490"/>
    <mergeCell ref="AD1490:AI1490"/>
    <mergeCell ref="BG1490:BL1490"/>
    <mergeCell ref="BN1490:BS1490"/>
    <mergeCell ref="W1491:AB1491"/>
    <mergeCell ref="AD1491:AI1491"/>
    <mergeCell ref="BG1491:BL1491"/>
    <mergeCell ref="BN1491:BS1491"/>
    <mergeCell ref="C1507:V1507"/>
    <mergeCell ref="W1507:AB1507"/>
    <mergeCell ref="AD1507:AI1507"/>
    <mergeCell ref="BG1507:BL1507"/>
    <mergeCell ref="BN1507:BS1507"/>
    <mergeCell ref="W1503:AB1503"/>
    <mergeCell ref="AD1503:AI1503"/>
    <mergeCell ref="BG1503:BL1503"/>
    <mergeCell ref="BN1503:BS1503"/>
    <mergeCell ref="W1505:AB1505"/>
    <mergeCell ref="AD1505:AI1505"/>
    <mergeCell ref="BG1505:BL1505"/>
    <mergeCell ref="BN1505:BS1505"/>
    <mergeCell ref="W1498:AB1498"/>
    <mergeCell ref="AD1498:AI1498"/>
    <mergeCell ref="BG1498:BL1498"/>
    <mergeCell ref="BN1498:BS1498"/>
    <mergeCell ref="W1502:AB1502"/>
    <mergeCell ref="AD1502:AI1502"/>
    <mergeCell ref="BG1502:BL1502"/>
    <mergeCell ref="BN1502:BS1502"/>
    <mergeCell ref="W1510:AB1510"/>
    <mergeCell ref="AD1510:AI1510"/>
    <mergeCell ref="BG1510:BL1510"/>
    <mergeCell ref="BN1510:BS1510"/>
    <mergeCell ref="W1511:AB1511"/>
    <mergeCell ref="AD1511:AI1511"/>
    <mergeCell ref="BG1511:BL1511"/>
    <mergeCell ref="BN1511:BS1511"/>
    <mergeCell ref="W1508:AB1508"/>
    <mergeCell ref="AD1508:AI1508"/>
    <mergeCell ref="BG1508:BL1508"/>
    <mergeCell ref="BN1508:BS1508"/>
    <mergeCell ref="W1509:AB1509"/>
    <mergeCell ref="AD1509:AI1509"/>
    <mergeCell ref="BG1509:BL1509"/>
    <mergeCell ref="BN1509:BS1509"/>
    <mergeCell ref="W1506:AB1506"/>
    <mergeCell ref="AD1506:AI1506"/>
    <mergeCell ref="BG1506:BL1506"/>
    <mergeCell ref="BN1506:BS1506"/>
    <mergeCell ref="C1516:U1516"/>
    <mergeCell ref="W1516:AB1516"/>
    <mergeCell ref="AD1516:AI1516"/>
    <mergeCell ref="AM1516:BE1516"/>
    <mergeCell ref="BG1516:BL1516"/>
    <mergeCell ref="BN1516:BS1516"/>
    <mergeCell ref="W1514:AB1514"/>
    <mergeCell ref="AD1514:AI1514"/>
    <mergeCell ref="BG1514:BL1514"/>
    <mergeCell ref="BN1514:BS1514"/>
    <mergeCell ref="W1515:AB1515"/>
    <mergeCell ref="AD1515:AI1515"/>
    <mergeCell ref="BG1515:BL1515"/>
    <mergeCell ref="BN1515:BS1515"/>
    <mergeCell ref="W1512:AB1512"/>
    <mergeCell ref="AD1512:AI1512"/>
    <mergeCell ref="AM1512:BE1512"/>
    <mergeCell ref="BG1512:BL1512"/>
    <mergeCell ref="BN1512:BS1512"/>
    <mergeCell ref="W1513:AB1513"/>
    <mergeCell ref="AD1513:AI1513"/>
    <mergeCell ref="BG1513:BL1513"/>
    <mergeCell ref="BN1513:BS1513"/>
    <mergeCell ref="W1524:AB1524"/>
    <mergeCell ref="AD1524:AI1524"/>
    <mergeCell ref="BG1524:BL1524"/>
    <mergeCell ref="BN1524:BS1524"/>
    <mergeCell ref="W1525:AB1525"/>
    <mergeCell ref="AD1525:AI1525"/>
    <mergeCell ref="BG1525:BL1525"/>
    <mergeCell ref="BN1525:BS1525"/>
    <mergeCell ref="W1520:AB1520"/>
    <mergeCell ref="AD1520:AI1520"/>
    <mergeCell ref="BG1520:BL1520"/>
    <mergeCell ref="BN1520:BS1520"/>
    <mergeCell ref="W1523:AB1523"/>
    <mergeCell ref="AD1523:AI1523"/>
    <mergeCell ref="BG1523:BL1523"/>
    <mergeCell ref="BN1523:BS1523"/>
    <mergeCell ref="W1517:AB1517"/>
    <mergeCell ref="AD1517:AI1517"/>
    <mergeCell ref="BG1517:BL1517"/>
    <mergeCell ref="BN1517:BS1517"/>
    <mergeCell ref="W1518:AB1518"/>
    <mergeCell ref="AD1518:AI1518"/>
    <mergeCell ref="BG1518:BL1518"/>
    <mergeCell ref="BN1518:BS1518"/>
    <mergeCell ref="W1531:AB1531"/>
    <mergeCell ref="AD1531:AI1531"/>
    <mergeCell ref="W1532:AB1532"/>
    <mergeCell ref="AD1532:AI1532"/>
    <mergeCell ref="BG1532:BL1532"/>
    <mergeCell ref="BN1532:BS1532"/>
    <mergeCell ref="W1529:AB1529"/>
    <mergeCell ref="AD1529:AI1529"/>
    <mergeCell ref="BG1529:BL1529"/>
    <mergeCell ref="BN1529:BS1529"/>
    <mergeCell ref="W1530:AB1530"/>
    <mergeCell ref="AD1530:AI1530"/>
    <mergeCell ref="BG1530:BL1530"/>
    <mergeCell ref="BN1530:BS1530"/>
    <mergeCell ref="W1527:AB1527"/>
    <mergeCell ref="AD1527:AI1527"/>
    <mergeCell ref="BG1527:BL1527"/>
    <mergeCell ref="BN1527:BS1527"/>
    <mergeCell ref="W1528:AB1528"/>
    <mergeCell ref="AD1528:AI1528"/>
    <mergeCell ref="BG1528:BL1528"/>
    <mergeCell ref="BN1528:BS1528"/>
    <mergeCell ref="W1541:AB1541"/>
    <mergeCell ref="AD1541:AI1541"/>
    <mergeCell ref="W1542:AB1542"/>
    <mergeCell ref="AD1542:AI1542"/>
    <mergeCell ref="BG1542:BL1542"/>
    <mergeCell ref="BN1542:BS1542"/>
    <mergeCell ref="W1539:AB1539"/>
    <mergeCell ref="AD1539:AI1539"/>
    <mergeCell ref="BG1539:BL1539"/>
    <mergeCell ref="BN1539:BS1539"/>
    <mergeCell ref="W1540:AB1540"/>
    <mergeCell ref="AD1540:AI1540"/>
    <mergeCell ref="BG1540:BL1540"/>
    <mergeCell ref="BN1540:BS1540"/>
    <mergeCell ref="W1533:AB1533"/>
    <mergeCell ref="AD1533:AI1533"/>
    <mergeCell ref="BG1533:BL1533"/>
    <mergeCell ref="BN1533:BS1533"/>
    <mergeCell ref="W1535:AB1535"/>
    <mergeCell ref="AD1535:AI1535"/>
    <mergeCell ref="BG1535:BL1535"/>
    <mergeCell ref="BN1535:BS1535"/>
    <mergeCell ref="W1547:AB1547"/>
    <mergeCell ref="AD1547:AI1547"/>
    <mergeCell ref="AM1547:BE1547"/>
    <mergeCell ref="BG1547:BL1547"/>
    <mergeCell ref="BN1547:BS1547"/>
    <mergeCell ref="W1548:AB1548"/>
    <mergeCell ref="AD1548:AI1548"/>
    <mergeCell ref="BG1548:BL1548"/>
    <mergeCell ref="BN1548:BS1548"/>
    <mergeCell ref="W1545:AB1545"/>
    <mergeCell ref="AD1545:AI1545"/>
    <mergeCell ref="BG1545:BL1545"/>
    <mergeCell ref="BN1545:BS1545"/>
    <mergeCell ref="W1546:AB1546"/>
    <mergeCell ref="AD1546:AI1546"/>
    <mergeCell ref="W1543:AB1543"/>
    <mergeCell ref="AD1543:AI1543"/>
    <mergeCell ref="BG1543:BL1543"/>
    <mergeCell ref="BN1543:BS1543"/>
    <mergeCell ref="W1544:AB1544"/>
    <mergeCell ref="AD1544:AI1544"/>
    <mergeCell ref="BG1544:BL1544"/>
    <mergeCell ref="BN1544:BS1544"/>
    <mergeCell ref="W1557:AB1557"/>
    <mergeCell ref="AD1557:AI1557"/>
    <mergeCell ref="BG1557:BL1557"/>
    <mergeCell ref="BN1557:BS1557"/>
    <mergeCell ref="W1558:AB1558"/>
    <mergeCell ref="AD1558:AI1558"/>
    <mergeCell ref="BG1558:BL1558"/>
    <mergeCell ref="BN1558:BS1558"/>
    <mergeCell ref="W1555:AB1555"/>
    <mergeCell ref="AD1555:AI1555"/>
    <mergeCell ref="BG1555:BL1555"/>
    <mergeCell ref="BN1555:BS1555"/>
    <mergeCell ref="W1556:AB1556"/>
    <mergeCell ref="AD1556:AI1556"/>
    <mergeCell ref="BG1556:BL1556"/>
    <mergeCell ref="BN1556:BS1556"/>
    <mergeCell ref="W1549:AB1549"/>
    <mergeCell ref="AD1549:AI1549"/>
    <mergeCell ref="BG1549:BL1549"/>
    <mergeCell ref="BN1549:BS1549"/>
    <mergeCell ref="W1551:AB1551"/>
    <mergeCell ref="AD1551:AI1551"/>
    <mergeCell ref="BG1551:BL1551"/>
    <mergeCell ref="BN1551:BS1551"/>
    <mergeCell ref="W1563:AB1563"/>
    <mergeCell ref="AD1563:AI1563"/>
    <mergeCell ref="BG1563:BL1563"/>
    <mergeCell ref="BN1563:BS1563"/>
    <mergeCell ref="W1564:AB1564"/>
    <mergeCell ref="AD1564:AI1564"/>
    <mergeCell ref="BG1564:BL1564"/>
    <mergeCell ref="BN1564:BS1564"/>
    <mergeCell ref="W1561:AB1561"/>
    <mergeCell ref="AD1561:AI1561"/>
    <mergeCell ref="BG1561:BL1561"/>
    <mergeCell ref="BN1561:BS1561"/>
    <mergeCell ref="W1562:AB1562"/>
    <mergeCell ref="AD1562:AI1562"/>
    <mergeCell ref="BG1562:BL1562"/>
    <mergeCell ref="BN1562:BS1562"/>
    <mergeCell ref="W1559:AB1559"/>
    <mergeCell ref="AD1559:AI1559"/>
    <mergeCell ref="BG1559:BL1559"/>
    <mergeCell ref="BN1559:BS1559"/>
    <mergeCell ref="W1560:AB1560"/>
    <mergeCell ref="AD1560:AI1560"/>
    <mergeCell ref="BG1560:BL1560"/>
    <mergeCell ref="BN1560:BS1560"/>
    <mergeCell ref="W1572:AB1572"/>
    <mergeCell ref="AD1572:AI1572"/>
    <mergeCell ref="BG1572:BL1572"/>
    <mergeCell ref="BN1572:BS1572"/>
    <mergeCell ref="W1573:AB1573"/>
    <mergeCell ref="AD1573:AI1573"/>
    <mergeCell ref="BG1573:BL1573"/>
    <mergeCell ref="BN1573:BS1573"/>
    <mergeCell ref="W1567:AB1567"/>
    <mergeCell ref="AD1567:AI1567"/>
    <mergeCell ref="BG1567:BL1567"/>
    <mergeCell ref="BN1567:BS1567"/>
    <mergeCell ref="W1571:AB1571"/>
    <mergeCell ref="AD1571:AI1571"/>
    <mergeCell ref="BG1571:BL1571"/>
    <mergeCell ref="BN1571:BS1571"/>
    <mergeCell ref="W1565:AB1565"/>
    <mergeCell ref="AD1565:AI1565"/>
    <mergeCell ref="BG1565:BL1565"/>
    <mergeCell ref="BN1565:BS1565"/>
    <mergeCell ref="W1566:AB1566"/>
    <mergeCell ref="AD1566:AI1566"/>
    <mergeCell ref="BG1566:BL1566"/>
    <mergeCell ref="BN1566:BS1566"/>
    <mergeCell ref="W1578:AB1578"/>
    <mergeCell ref="AD1578:AI1578"/>
    <mergeCell ref="BG1578:BL1578"/>
    <mergeCell ref="BN1578:BS1578"/>
    <mergeCell ref="W1579:AB1579"/>
    <mergeCell ref="AD1579:AI1579"/>
    <mergeCell ref="BG1579:BL1579"/>
    <mergeCell ref="BN1579:BS1579"/>
    <mergeCell ref="W1576:AB1576"/>
    <mergeCell ref="AD1576:AI1576"/>
    <mergeCell ref="BG1576:BL1576"/>
    <mergeCell ref="BN1576:BS1576"/>
    <mergeCell ref="W1577:AB1577"/>
    <mergeCell ref="AD1577:AI1577"/>
    <mergeCell ref="BG1577:BL1577"/>
    <mergeCell ref="BN1577:BS1577"/>
    <mergeCell ref="W1574:AB1574"/>
    <mergeCell ref="AD1574:AI1574"/>
    <mergeCell ref="BG1574:BL1574"/>
    <mergeCell ref="BN1574:BS1574"/>
    <mergeCell ref="W1575:AB1575"/>
    <mergeCell ref="AD1575:AI1575"/>
    <mergeCell ref="BG1575:BL1575"/>
    <mergeCell ref="BN1575:BS1575"/>
    <mergeCell ref="W1587:AB1587"/>
    <mergeCell ref="AD1587:AI1587"/>
    <mergeCell ref="BG1587:BL1587"/>
    <mergeCell ref="BN1587:BS1587"/>
    <mergeCell ref="W1588:AB1588"/>
    <mergeCell ref="AD1588:AI1588"/>
    <mergeCell ref="W1582:AB1582"/>
    <mergeCell ref="AD1582:AI1582"/>
    <mergeCell ref="BG1582:BL1582"/>
    <mergeCell ref="BN1582:BS1582"/>
    <mergeCell ref="W1586:AB1586"/>
    <mergeCell ref="AD1586:AI1586"/>
    <mergeCell ref="BG1586:BL1586"/>
    <mergeCell ref="BN1586:BS1586"/>
    <mergeCell ref="W1580:AB1580"/>
    <mergeCell ref="AD1580:AI1580"/>
    <mergeCell ref="BG1580:BL1580"/>
    <mergeCell ref="BN1580:BS1580"/>
    <mergeCell ref="W1581:AB1581"/>
    <mergeCell ref="AD1581:AI1581"/>
    <mergeCell ref="BG1581:BL1581"/>
    <mergeCell ref="BN1581:BS1581"/>
    <mergeCell ref="W1591:AB1591"/>
    <mergeCell ref="AD1591:AI1591"/>
    <mergeCell ref="BG1591:BL1591"/>
    <mergeCell ref="BN1591:BS1591"/>
    <mergeCell ref="C1592:Q1592"/>
    <mergeCell ref="W1592:AB1592"/>
    <mergeCell ref="AD1592:AI1592"/>
    <mergeCell ref="BG1592:BL1592"/>
    <mergeCell ref="BN1592:BS1592"/>
    <mergeCell ref="W1589:AB1589"/>
    <mergeCell ref="AD1589:AI1589"/>
    <mergeCell ref="BG1589:BL1589"/>
    <mergeCell ref="BN1589:BS1589"/>
    <mergeCell ref="W1590:AB1590"/>
    <mergeCell ref="AD1590:AI1590"/>
    <mergeCell ref="BG1590:BL1590"/>
    <mergeCell ref="BN1590:BS1590"/>
    <mergeCell ref="W1600:AB1600"/>
    <mergeCell ref="AD1600:AI1600"/>
    <mergeCell ref="BG1600:BL1600"/>
    <mergeCell ref="BN1600:BS1600"/>
    <mergeCell ref="W1601:AB1601"/>
    <mergeCell ref="AD1601:AI1601"/>
    <mergeCell ref="BG1601:BL1601"/>
    <mergeCell ref="BN1601:BS1601"/>
    <mergeCell ref="W1595:AB1595"/>
    <mergeCell ref="AD1595:AI1595"/>
    <mergeCell ref="W1596:AB1596"/>
    <mergeCell ref="AD1596:AI1596"/>
    <mergeCell ref="BG1596:BL1596"/>
    <mergeCell ref="BN1596:BS1596"/>
    <mergeCell ref="W1593:AB1593"/>
    <mergeCell ref="AD1593:AI1593"/>
    <mergeCell ref="BG1593:BL1593"/>
    <mergeCell ref="BN1593:BS1593"/>
    <mergeCell ref="W1594:AB1594"/>
    <mergeCell ref="AD1594:AI1594"/>
    <mergeCell ref="BG1594:BL1594"/>
    <mergeCell ref="BN1594:BS1594"/>
    <mergeCell ref="W1607:AB1607"/>
    <mergeCell ref="AD1607:AI1607"/>
    <mergeCell ref="BG1607:BL1607"/>
    <mergeCell ref="BN1607:BS1607"/>
    <mergeCell ref="W1609:AB1609"/>
    <mergeCell ref="AD1609:AI1609"/>
    <mergeCell ref="BG1609:BL1609"/>
    <mergeCell ref="BN1609:BS1609"/>
    <mergeCell ref="W1605:AB1605"/>
    <mergeCell ref="AD1605:AI1605"/>
    <mergeCell ref="BG1605:BL1605"/>
    <mergeCell ref="BN1605:BS1605"/>
    <mergeCell ref="W1606:AB1606"/>
    <mergeCell ref="AD1606:AI1606"/>
    <mergeCell ref="BG1606:BL1606"/>
    <mergeCell ref="BN1606:BS1606"/>
    <mergeCell ref="C1603:S1603"/>
    <mergeCell ref="W1603:AB1603"/>
    <mergeCell ref="AD1603:AI1603"/>
    <mergeCell ref="BG1603:BL1603"/>
    <mergeCell ref="BN1603:BS1603"/>
    <mergeCell ref="C1604:S1604"/>
    <mergeCell ref="W1604:AB1604"/>
    <mergeCell ref="AD1604:AI1604"/>
    <mergeCell ref="BG1604:BL1604"/>
    <mergeCell ref="BN1604:BS1604"/>
    <mergeCell ref="C1619:V1619"/>
    <mergeCell ref="W1619:AB1619"/>
    <mergeCell ref="AD1619:AI1619"/>
    <mergeCell ref="AM1619:BF1619"/>
    <mergeCell ref="BG1619:BL1619"/>
    <mergeCell ref="BN1619:BS1619"/>
    <mergeCell ref="W1616:AB1616"/>
    <mergeCell ref="AD1616:AI1616"/>
    <mergeCell ref="BG1616:BL1616"/>
    <mergeCell ref="BN1616:BS1616"/>
    <mergeCell ref="C1618:V1618"/>
    <mergeCell ref="W1618:AB1618"/>
    <mergeCell ref="AD1618:AI1618"/>
    <mergeCell ref="AM1618:BF1618"/>
    <mergeCell ref="BG1618:BL1618"/>
    <mergeCell ref="BN1618:BS1618"/>
    <mergeCell ref="C1611:AI1611"/>
    <mergeCell ref="AM1611:BS1611"/>
    <mergeCell ref="W1615:AB1615"/>
    <mergeCell ref="AD1615:AI1615"/>
    <mergeCell ref="BG1615:BL1615"/>
    <mergeCell ref="BN1615:BS1615"/>
    <mergeCell ref="W1622:AB1622"/>
    <mergeCell ref="AD1622:AI1622"/>
    <mergeCell ref="BG1622:BL1622"/>
    <mergeCell ref="BN1622:BS1622"/>
    <mergeCell ref="W1623:AB1623"/>
    <mergeCell ref="AD1623:AI1623"/>
    <mergeCell ref="BG1623:BL1623"/>
    <mergeCell ref="BN1623:BS1623"/>
    <mergeCell ref="C1620:R1620"/>
    <mergeCell ref="W1620:AB1620"/>
    <mergeCell ref="AD1620:AI1620"/>
    <mergeCell ref="BG1620:BL1620"/>
    <mergeCell ref="BN1620:BS1620"/>
    <mergeCell ref="W1621:AB1621"/>
    <mergeCell ref="AD1621:AI1621"/>
    <mergeCell ref="BG1621:BL1621"/>
    <mergeCell ref="BN1621:BS1621"/>
    <mergeCell ref="W1628:AB1628"/>
    <mergeCell ref="AD1628:AI1628"/>
    <mergeCell ref="BG1628:BL1628"/>
    <mergeCell ref="BN1628:BS1628"/>
    <mergeCell ref="W1629:AB1629"/>
    <mergeCell ref="AD1629:AI1629"/>
    <mergeCell ref="BG1629:BL1629"/>
    <mergeCell ref="BN1629:BS1629"/>
    <mergeCell ref="W1626:AB1626"/>
    <mergeCell ref="AD1626:AI1626"/>
    <mergeCell ref="BG1626:BL1626"/>
    <mergeCell ref="BN1626:BS1626"/>
    <mergeCell ref="W1627:AB1627"/>
    <mergeCell ref="AD1627:AI1627"/>
    <mergeCell ref="BG1627:BL1627"/>
    <mergeCell ref="BN1627:BS1627"/>
    <mergeCell ref="W1624:AB1624"/>
    <mergeCell ref="AD1624:AI1624"/>
    <mergeCell ref="BG1624:BL1624"/>
    <mergeCell ref="BN1624:BS1624"/>
    <mergeCell ref="W1625:AB1625"/>
    <mergeCell ref="AD1625:AI1625"/>
    <mergeCell ref="BG1625:BL1625"/>
    <mergeCell ref="BN1625:BS1625"/>
    <mergeCell ref="C1635:U1635"/>
    <mergeCell ref="W1635:AB1635"/>
    <mergeCell ref="AD1635:AI1635"/>
    <mergeCell ref="AM1635:BE1635"/>
    <mergeCell ref="BG1635:BL1635"/>
    <mergeCell ref="BN1635:BS1635"/>
    <mergeCell ref="W1632:AB1632"/>
    <mergeCell ref="AD1632:AI1632"/>
    <mergeCell ref="BG1632:BL1632"/>
    <mergeCell ref="BN1632:BS1632"/>
    <mergeCell ref="W1633:AB1633"/>
    <mergeCell ref="AD1633:AI1633"/>
    <mergeCell ref="BG1633:BL1633"/>
    <mergeCell ref="BN1633:BS1633"/>
    <mergeCell ref="W1630:AB1630"/>
    <mergeCell ref="AD1630:AI1630"/>
    <mergeCell ref="BG1630:BL1630"/>
    <mergeCell ref="BN1630:BS1630"/>
    <mergeCell ref="C1631:U1631"/>
    <mergeCell ref="W1631:AB1631"/>
    <mergeCell ref="AD1631:AI1631"/>
    <mergeCell ref="BG1631:BL1631"/>
    <mergeCell ref="BN1631:BS1631"/>
    <mergeCell ref="C1638:U1638"/>
    <mergeCell ref="W1638:AB1638"/>
    <mergeCell ref="AD1638:AI1638"/>
    <mergeCell ref="AM1638:BE1638"/>
    <mergeCell ref="BG1638:BL1638"/>
    <mergeCell ref="BN1638:BS1638"/>
    <mergeCell ref="C1637:U1637"/>
    <mergeCell ref="W1637:AB1637"/>
    <mergeCell ref="AD1637:AI1637"/>
    <mergeCell ref="AM1637:BE1637"/>
    <mergeCell ref="BG1637:BL1637"/>
    <mergeCell ref="BN1637:BS1637"/>
    <mergeCell ref="C1636:U1636"/>
    <mergeCell ref="W1636:AB1636"/>
    <mergeCell ref="AD1636:AI1636"/>
    <mergeCell ref="AM1636:BE1636"/>
    <mergeCell ref="BG1636:BL1636"/>
    <mergeCell ref="BN1636:BS1636"/>
    <mergeCell ref="C1643:V1643"/>
    <mergeCell ref="W1643:AB1643"/>
    <mergeCell ref="AD1643:AI1643"/>
    <mergeCell ref="AM1643:BF1643"/>
    <mergeCell ref="BG1643:BL1643"/>
    <mergeCell ref="BN1643:BS1643"/>
    <mergeCell ref="C1642:V1642"/>
    <mergeCell ref="W1642:AB1642"/>
    <mergeCell ref="AD1642:AI1642"/>
    <mergeCell ref="AM1642:BF1642"/>
    <mergeCell ref="BG1642:BL1642"/>
    <mergeCell ref="BN1642:BS1642"/>
    <mergeCell ref="C1639:U1639"/>
    <mergeCell ref="W1639:AB1639"/>
    <mergeCell ref="AD1639:AI1639"/>
    <mergeCell ref="AM1639:BE1639"/>
    <mergeCell ref="BG1639:BL1639"/>
    <mergeCell ref="BN1639:BS1639"/>
    <mergeCell ref="W1648:AB1648"/>
    <mergeCell ref="AD1648:AI1648"/>
    <mergeCell ref="BG1648:BL1648"/>
    <mergeCell ref="BN1648:BS1648"/>
    <mergeCell ref="W1649:AB1649"/>
    <mergeCell ref="AD1649:AI1649"/>
    <mergeCell ref="BG1649:BL1649"/>
    <mergeCell ref="BN1649:BS1649"/>
    <mergeCell ref="W1646:AB1646"/>
    <mergeCell ref="AD1646:AI1646"/>
    <mergeCell ref="BG1646:BL1646"/>
    <mergeCell ref="BN1646:BS1646"/>
    <mergeCell ref="W1647:AB1647"/>
    <mergeCell ref="AD1647:AI1647"/>
    <mergeCell ref="BG1647:BL1647"/>
    <mergeCell ref="BN1647:BS1647"/>
    <mergeCell ref="W1644:AB1644"/>
    <mergeCell ref="AD1644:AI1644"/>
    <mergeCell ref="BG1644:BL1644"/>
    <mergeCell ref="BN1644:BS1644"/>
    <mergeCell ref="W1645:AB1645"/>
    <mergeCell ref="AD1645:AI1645"/>
    <mergeCell ref="BG1645:BL1645"/>
    <mergeCell ref="BN1645:BS1645"/>
    <mergeCell ref="W1652:AB1652"/>
    <mergeCell ref="AD1652:AI1652"/>
    <mergeCell ref="BG1652:BL1652"/>
    <mergeCell ref="BN1652:BS1652"/>
    <mergeCell ref="C1654:U1654"/>
    <mergeCell ref="W1654:AB1654"/>
    <mergeCell ref="AD1654:AI1654"/>
    <mergeCell ref="AM1654:BE1654"/>
    <mergeCell ref="BG1654:BL1654"/>
    <mergeCell ref="BN1654:BS1654"/>
    <mergeCell ref="C1650:U1650"/>
    <mergeCell ref="W1650:AB1650"/>
    <mergeCell ref="AD1650:AI1650"/>
    <mergeCell ref="BG1650:BL1650"/>
    <mergeCell ref="BN1650:BS1650"/>
    <mergeCell ref="W1651:AB1651"/>
    <mergeCell ref="AD1651:AI1651"/>
    <mergeCell ref="BG1651:BL1651"/>
    <mergeCell ref="BN1651:BS1651"/>
    <mergeCell ref="C1657:U1657"/>
    <mergeCell ref="W1657:AB1657"/>
    <mergeCell ref="AD1657:AI1657"/>
    <mergeCell ref="AM1657:BE1657"/>
    <mergeCell ref="BG1657:BL1657"/>
    <mergeCell ref="BN1657:BS1657"/>
    <mergeCell ref="C1656:U1656"/>
    <mergeCell ref="W1656:AB1656"/>
    <mergeCell ref="AD1656:AI1656"/>
    <mergeCell ref="AM1656:BE1656"/>
    <mergeCell ref="BG1656:BL1656"/>
    <mergeCell ref="BN1656:BS1656"/>
    <mergeCell ref="C1655:U1655"/>
    <mergeCell ref="W1655:AB1655"/>
    <mergeCell ref="AD1655:AI1655"/>
    <mergeCell ref="AM1655:BE1655"/>
    <mergeCell ref="BG1655:BL1655"/>
    <mergeCell ref="BN1655:BS1655"/>
    <mergeCell ref="C1662:U1662"/>
    <mergeCell ref="W1662:AB1662"/>
    <mergeCell ref="AD1662:AI1662"/>
    <mergeCell ref="AM1662:BE1662"/>
    <mergeCell ref="BG1662:BL1662"/>
    <mergeCell ref="BN1662:BS1662"/>
    <mergeCell ref="C1660:U1660"/>
    <mergeCell ref="W1660:AB1660"/>
    <mergeCell ref="AD1660:AI1660"/>
    <mergeCell ref="AM1660:BE1660"/>
    <mergeCell ref="BG1660:BL1660"/>
    <mergeCell ref="BN1660:BS1660"/>
    <mergeCell ref="C1658:U1658"/>
    <mergeCell ref="W1658:AB1658"/>
    <mergeCell ref="AD1658:AI1658"/>
    <mergeCell ref="AM1658:BE1658"/>
    <mergeCell ref="BG1658:BL1658"/>
    <mergeCell ref="BN1658:BS1658"/>
    <mergeCell ref="C1674:U1674"/>
    <mergeCell ref="W1674:AB1674"/>
    <mergeCell ref="AD1674:AI1674"/>
    <mergeCell ref="AM1674:BE1674"/>
    <mergeCell ref="BG1674:BL1674"/>
    <mergeCell ref="BN1674:BS1674"/>
    <mergeCell ref="C1673:U1673"/>
    <mergeCell ref="W1673:AB1673"/>
    <mergeCell ref="AD1673:AI1673"/>
    <mergeCell ref="AM1673:BE1673"/>
    <mergeCell ref="BG1673:BL1673"/>
    <mergeCell ref="BN1673:BS1673"/>
    <mergeCell ref="C1664:AI1664"/>
    <mergeCell ref="W1670:AB1670"/>
    <mergeCell ref="AD1670:AI1670"/>
    <mergeCell ref="BG1670:BL1670"/>
    <mergeCell ref="BN1670:BS1670"/>
    <mergeCell ref="W1671:AB1671"/>
    <mergeCell ref="AD1671:AI1671"/>
    <mergeCell ref="BG1671:BL1671"/>
    <mergeCell ref="BN1671:BS1671"/>
    <mergeCell ref="C1677:U1677"/>
    <mergeCell ref="W1677:AB1677"/>
    <mergeCell ref="AD1677:AI1677"/>
    <mergeCell ref="AM1677:BE1677"/>
    <mergeCell ref="BG1677:BL1677"/>
    <mergeCell ref="BN1677:BS1677"/>
    <mergeCell ref="C1676:U1676"/>
    <mergeCell ref="W1676:AB1676"/>
    <mergeCell ref="AD1676:AI1676"/>
    <mergeCell ref="AM1676:BE1676"/>
    <mergeCell ref="BG1676:BL1676"/>
    <mergeCell ref="BN1676:BS1676"/>
    <mergeCell ref="C1675:U1675"/>
    <mergeCell ref="W1675:AB1675"/>
    <mergeCell ref="AD1675:AI1675"/>
    <mergeCell ref="AM1675:BE1675"/>
    <mergeCell ref="BG1675:BL1675"/>
    <mergeCell ref="BN1675:BS1675"/>
    <mergeCell ref="C1685:U1685"/>
    <mergeCell ref="W1685:AB1685"/>
    <mergeCell ref="AD1685:AI1685"/>
    <mergeCell ref="AM1685:BE1685"/>
    <mergeCell ref="BG1685:BL1685"/>
    <mergeCell ref="BN1685:BS1685"/>
    <mergeCell ref="W1682:AB1682"/>
    <mergeCell ref="AD1682:AI1682"/>
    <mergeCell ref="BG1682:BL1682"/>
    <mergeCell ref="BN1682:BS1682"/>
    <mergeCell ref="W1683:AB1683"/>
    <mergeCell ref="AD1683:AI1683"/>
    <mergeCell ref="BG1683:BL1683"/>
    <mergeCell ref="BN1683:BS1683"/>
    <mergeCell ref="W1678:AB1678"/>
    <mergeCell ref="AD1678:AI1678"/>
    <mergeCell ref="BG1678:BL1678"/>
    <mergeCell ref="BN1678:BS1678"/>
    <mergeCell ref="W1679:AB1679"/>
    <mergeCell ref="AD1679:AI1679"/>
    <mergeCell ref="BG1679:BL1679"/>
    <mergeCell ref="BN1679:BS1679"/>
    <mergeCell ref="W1689:AB1689"/>
    <mergeCell ref="AD1689:AI1689"/>
    <mergeCell ref="BG1689:BL1689"/>
    <mergeCell ref="BN1689:BS1689"/>
    <mergeCell ref="W1692:AB1692"/>
    <mergeCell ref="AD1692:AI1692"/>
    <mergeCell ref="BG1692:BL1692"/>
    <mergeCell ref="BN1692:BS1692"/>
    <mergeCell ref="W1687:AB1687"/>
    <mergeCell ref="AD1687:AI1687"/>
    <mergeCell ref="BG1687:BL1687"/>
    <mergeCell ref="BN1687:BS1687"/>
    <mergeCell ref="W1688:AB1688"/>
    <mergeCell ref="AD1688:AI1688"/>
    <mergeCell ref="BG1688:BL1688"/>
    <mergeCell ref="BN1688:BS1688"/>
    <mergeCell ref="C1686:U1686"/>
    <mergeCell ref="W1686:AB1686"/>
    <mergeCell ref="AD1686:AI1686"/>
    <mergeCell ref="AM1686:BE1686"/>
    <mergeCell ref="BG1686:BL1686"/>
    <mergeCell ref="BN1686:BS1686"/>
    <mergeCell ref="W1698:AB1698"/>
    <mergeCell ref="AD1698:AI1698"/>
    <mergeCell ref="BG1698:BL1698"/>
    <mergeCell ref="BN1698:BS1698"/>
    <mergeCell ref="W1699:AB1699"/>
    <mergeCell ref="AD1699:AI1699"/>
    <mergeCell ref="BG1699:BL1699"/>
    <mergeCell ref="BN1699:BS1699"/>
    <mergeCell ref="W1696:AB1696"/>
    <mergeCell ref="AD1696:AI1696"/>
    <mergeCell ref="BG1696:BL1696"/>
    <mergeCell ref="BN1696:BS1696"/>
    <mergeCell ref="W1697:AB1697"/>
    <mergeCell ref="AD1697:AI1697"/>
    <mergeCell ref="BG1697:BL1697"/>
    <mergeCell ref="BN1697:BS1697"/>
    <mergeCell ref="W1693:AB1693"/>
    <mergeCell ref="AD1693:AI1693"/>
    <mergeCell ref="BG1693:BL1693"/>
    <mergeCell ref="BN1693:BS1693"/>
    <mergeCell ref="W1695:AB1695"/>
    <mergeCell ref="AD1695:AI1695"/>
    <mergeCell ref="BG1695:BL1695"/>
    <mergeCell ref="BN1695:BS1695"/>
    <mergeCell ref="W1709:AB1709"/>
    <mergeCell ref="AD1709:AI1709"/>
    <mergeCell ref="BG1709:BL1709"/>
    <mergeCell ref="BN1709:BS1709"/>
    <mergeCell ref="W1710:AB1710"/>
    <mergeCell ref="AD1710:AI1710"/>
    <mergeCell ref="BG1710:BL1710"/>
    <mergeCell ref="BN1710:BS1710"/>
    <mergeCell ref="BG1704:BL1704"/>
    <mergeCell ref="BN1704:BS1704"/>
    <mergeCell ref="C1706:AI1706"/>
    <mergeCell ref="AM1706:BS1706"/>
    <mergeCell ref="C1708:AI1708"/>
    <mergeCell ref="AM1708:BS1708"/>
    <mergeCell ref="W1701:AB1701"/>
    <mergeCell ref="AD1701:AI1701"/>
    <mergeCell ref="BG1701:BL1701"/>
    <mergeCell ref="BN1701:BS1701"/>
    <mergeCell ref="C1703:AI1703"/>
    <mergeCell ref="AM1703:BS1703"/>
    <mergeCell ref="W1714:AB1714"/>
    <mergeCell ref="AD1714:AI1714"/>
    <mergeCell ref="BG1714:BL1714"/>
    <mergeCell ref="BN1714:BS1714"/>
    <mergeCell ref="W1715:AB1715"/>
    <mergeCell ref="AD1715:AI1715"/>
    <mergeCell ref="BG1715:BL1715"/>
    <mergeCell ref="BN1715:BS1715"/>
    <mergeCell ref="W1712:AB1712"/>
    <mergeCell ref="AD1712:AI1712"/>
    <mergeCell ref="BG1712:BL1712"/>
    <mergeCell ref="BN1712:BS1712"/>
    <mergeCell ref="C1713:V1713"/>
    <mergeCell ref="W1713:AB1713"/>
    <mergeCell ref="AD1713:AI1713"/>
    <mergeCell ref="AM1713:BF1713"/>
    <mergeCell ref="BG1713:BL1713"/>
    <mergeCell ref="BN1713:BS1713"/>
    <mergeCell ref="W1721:AB1721"/>
    <mergeCell ref="AD1721:AI1721"/>
    <mergeCell ref="BG1721:BL1721"/>
    <mergeCell ref="BN1721:BS1721"/>
    <mergeCell ref="C1722:AI1722"/>
    <mergeCell ref="AM1722:BS1722"/>
    <mergeCell ref="W1718:AB1718"/>
    <mergeCell ref="AD1718:AI1718"/>
    <mergeCell ref="BG1718:BL1718"/>
    <mergeCell ref="BN1718:BS1718"/>
    <mergeCell ref="W1720:AB1720"/>
    <mergeCell ref="AD1720:AI1720"/>
    <mergeCell ref="BG1720:BL1720"/>
    <mergeCell ref="BN1720:BS1720"/>
    <mergeCell ref="W1716:AB1716"/>
    <mergeCell ref="AD1716:AI1716"/>
    <mergeCell ref="BG1716:BL1716"/>
    <mergeCell ref="BN1716:BS1716"/>
    <mergeCell ref="W1717:AB1717"/>
    <mergeCell ref="AD1717:AI1717"/>
    <mergeCell ref="BG1717:BL1717"/>
    <mergeCell ref="BN1717:BS1717"/>
    <mergeCell ref="W1729:AB1729"/>
    <mergeCell ref="AD1729:AI1729"/>
    <mergeCell ref="BG1729:BL1729"/>
    <mergeCell ref="BN1729:BS1729"/>
    <mergeCell ref="C1731:AI1731"/>
    <mergeCell ref="C1733:AI1733"/>
    <mergeCell ref="C1726:AI1726"/>
    <mergeCell ref="AM1726:BS1726"/>
    <mergeCell ref="C1727:AI1727"/>
    <mergeCell ref="AM1727:BS1727"/>
    <mergeCell ref="C1728:AI1728"/>
    <mergeCell ref="AM1728:BS1728"/>
    <mergeCell ref="C1723:AI1723"/>
    <mergeCell ref="AM1723:BS1723"/>
    <mergeCell ref="C1724:AI1724"/>
    <mergeCell ref="AM1724:BS1724"/>
    <mergeCell ref="W1725:AB1725"/>
    <mergeCell ref="AD1725:AI1725"/>
    <mergeCell ref="BG1725:BL1725"/>
    <mergeCell ref="BN1725:BS1725"/>
    <mergeCell ref="W1737:AB1737"/>
    <mergeCell ref="AD1737:AI1737"/>
    <mergeCell ref="BG1737:BL1737"/>
    <mergeCell ref="BN1737:BS1737"/>
    <mergeCell ref="C1738:V1738"/>
    <mergeCell ref="W1738:AB1738"/>
    <mergeCell ref="AD1738:AI1738"/>
    <mergeCell ref="AM1738:BF1738"/>
    <mergeCell ref="BG1738:BL1738"/>
    <mergeCell ref="BN1738:BS1738"/>
    <mergeCell ref="W1734:AB1734"/>
    <mergeCell ref="AD1734:AI1734"/>
    <mergeCell ref="BG1734:BL1734"/>
    <mergeCell ref="BN1734:BS1734"/>
    <mergeCell ref="W1735:AB1735"/>
    <mergeCell ref="AD1735:AI1735"/>
    <mergeCell ref="BG1735:BL1735"/>
    <mergeCell ref="BN1735:BS1735"/>
    <mergeCell ref="W1743:AB1743"/>
    <mergeCell ref="AD1743:AI1743"/>
    <mergeCell ref="BG1743:BL1743"/>
    <mergeCell ref="BN1743:BS1743"/>
    <mergeCell ref="W1744:AB1744"/>
    <mergeCell ref="AD1744:AI1744"/>
    <mergeCell ref="BG1744:BL1744"/>
    <mergeCell ref="BN1744:BS1744"/>
    <mergeCell ref="W1741:AB1741"/>
    <mergeCell ref="AD1741:AI1741"/>
    <mergeCell ref="BG1741:BL1741"/>
    <mergeCell ref="BN1741:BS1741"/>
    <mergeCell ref="W1742:AB1742"/>
    <mergeCell ref="AD1742:AI1742"/>
    <mergeCell ref="BG1742:BL1742"/>
    <mergeCell ref="BN1742:BS1742"/>
    <mergeCell ref="W1739:AB1739"/>
    <mergeCell ref="AD1739:AI1739"/>
    <mergeCell ref="BG1739:BL1739"/>
    <mergeCell ref="BN1739:BS1739"/>
    <mergeCell ref="W1740:AB1740"/>
    <mergeCell ref="AD1740:AI1740"/>
    <mergeCell ref="BG1740:BL1740"/>
    <mergeCell ref="BN1740:BS1740"/>
    <mergeCell ref="W1755:AB1755"/>
    <mergeCell ref="AD1755:AI1755"/>
    <mergeCell ref="BG1755:BL1755"/>
    <mergeCell ref="BN1755:BS1755"/>
    <mergeCell ref="W1756:AB1756"/>
    <mergeCell ref="AD1756:AI1756"/>
    <mergeCell ref="BG1756:BL1756"/>
    <mergeCell ref="BN1756:BS1756"/>
    <mergeCell ref="W1752:AB1752"/>
    <mergeCell ref="AD1752:AI1752"/>
    <mergeCell ref="BG1752:BL1752"/>
    <mergeCell ref="BN1752:BS1752"/>
    <mergeCell ref="W1753:AB1753"/>
    <mergeCell ref="AD1753:AI1753"/>
    <mergeCell ref="BG1753:BL1753"/>
    <mergeCell ref="BN1753:BS1753"/>
    <mergeCell ref="W1746:AB1746"/>
    <mergeCell ref="AD1746:AI1746"/>
    <mergeCell ref="BG1746:BL1746"/>
    <mergeCell ref="BN1746:BS1746"/>
    <mergeCell ref="C1748:AI1748"/>
    <mergeCell ref="AM1748:BS1748"/>
    <mergeCell ref="W1762:AB1762"/>
    <mergeCell ref="AD1762:AI1762"/>
    <mergeCell ref="BG1762:BL1762"/>
    <mergeCell ref="BN1762:BS1762"/>
    <mergeCell ref="C1764:AI1764"/>
    <mergeCell ref="AM1764:BS1764"/>
    <mergeCell ref="W1759:AB1759"/>
    <mergeCell ref="AD1759:AI1759"/>
    <mergeCell ref="BG1759:BL1759"/>
    <mergeCell ref="BN1759:BS1759"/>
    <mergeCell ref="W1760:AB1760"/>
    <mergeCell ref="AD1760:AI1760"/>
    <mergeCell ref="BG1760:BL1760"/>
    <mergeCell ref="BN1760:BS1760"/>
    <mergeCell ref="W1757:AB1757"/>
    <mergeCell ref="AD1757:AI1757"/>
    <mergeCell ref="BG1757:BL1757"/>
    <mergeCell ref="BN1757:BS1757"/>
    <mergeCell ref="W1758:AB1758"/>
    <mergeCell ref="AD1758:AI1758"/>
    <mergeCell ref="BG1758:BL1758"/>
    <mergeCell ref="BN1758:BS1758"/>
    <mergeCell ref="BH1772:BM1772"/>
    <mergeCell ref="BO1772:BS1772"/>
    <mergeCell ref="K1773:P1773"/>
    <mergeCell ref="R1773:V1773"/>
    <mergeCell ref="X1773:AC1773"/>
    <mergeCell ref="AE1773:AI1773"/>
    <mergeCell ref="AU1773:AZ1773"/>
    <mergeCell ref="BB1773:BF1773"/>
    <mergeCell ref="BH1773:BM1773"/>
    <mergeCell ref="BO1773:BS1773"/>
    <mergeCell ref="K1772:P1772"/>
    <mergeCell ref="R1772:V1772"/>
    <mergeCell ref="X1772:AC1772"/>
    <mergeCell ref="AE1772:AI1772"/>
    <mergeCell ref="AU1772:AZ1772"/>
    <mergeCell ref="BB1772:BF1772"/>
    <mergeCell ref="K1770:AI1770"/>
    <mergeCell ref="AU1770:BS1770"/>
    <mergeCell ref="K1771:V1771"/>
    <mergeCell ref="X1771:AI1771"/>
    <mergeCell ref="AU1771:BF1771"/>
    <mergeCell ref="BH1771:BS1771"/>
    <mergeCell ref="BH1775:BM1775"/>
    <mergeCell ref="BO1775:BS1775"/>
    <mergeCell ref="C1776:J1776"/>
    <mergeCell ref="K1776:P1776"/>
    <mergeCell ref="R1776:V1776"/>
    <mergeCell ref="X1776:AC1776"/>
    <mergeCell ref="AE1776:AI1776"/>
    <mergeCell ref="AM1776:AT1776"/>
    <mergeCell ref="AU1776:AZ1776"/>
    <mergeCell ref="BB1776:BF1776"/>
    <mergeCell ref="BH1774:BM1774"/>
    <mergeCell ref="BO1774:BS1774"/>
    <mergeCell ref="C1775:J1775"/>
    <mergeCell ref="K1775:P1775"/>
    <mergeCell ref="R1775:V1775"/>
    <mergeCell ref="X1775:AC1775"/>
    <mergeCell ref="AE1775:AI1775"/>
    <mergeCell ref="AM1775:AT1775"/>
    <mergeCell ref="AU1775:AZ1775"/>
    <mergeCell ref="BB1775:BF1775"/>
    <mergeCell ref="K1774:P1774"/>
    <mergeCell ref="R1774:V1774"/>
    <mergeCell ref="X1774:AC1774"/>
    <mergeCell ref="AE1774:AI1774"/>
    <mergeCell ref="AU1774:AZ1774"/>
    <mergeCell ref="BB1774:BF1774"/>
    <mergeCell ref="BH1778:BM1778"/>
    <mergeCell ref="BO1778:BS1778"/>
    <mergeCell ref="K1779:P1779"/>
    <mergeCell ref="R1779:V1779"/>
    <mergeCell ref="X1779:AC1779"/>
    <mergeCell ref="AE1779:AI1779"/>
    <mergeCell ref="AU1779:AZ1779"/>
    <mergeCell ref="BB1779:BF1779"/>
    <mergeCell ref="BH1779:BM1779"/>
    <mergeCell ref="BO1779:BS1779"/>
    <mergeCell ref="K1778:P1778"/>
    <mergeCell ref="R1778:V1778"/>
    <mergeCell ref="X1778:AC1778"/>
    <mergeCell ref="AE1778:AI1778"/>
    <mergeCell ref="AU1778:AZ1778"/>
    <mergeCell ref="BB1778:BF1778"/>
    <mergeCell ref="BH1776:BM1776"/>
    <mergeCell ref="BO1776:BS1776"/>
    <mergeCell ref="K1777:P1777"/>
    <mergeCell ref="R1777:V1777"/>
    <mergeCell ref="X1777:AC1777"/>
    <mergeCell ref="AE1777:AI1777"/>
    <mergeCell ref="AU1777:AZ1777"/>
    <mergeCell ref="BB1777:BF1777"/>
    <mergeCell ref="BH1777:BM1777"/>
    <mergeCell ref="BO1777:BS1777"/>
    <mergeCell ref="W1782:AB1782"/>
    <mergeCell ref="AD1782:AI1782"/>
    <mergeCell ref="BG1782:BL1782"/>
    <mergeCell ref="BN1782:BS1782"/>
    <mergeCell ref="W1783:AI1783"/>
    <mergeCell ref="BG1783:BS1783"/>
    <mergeCell ref="BH1780:BM1780"/>
    <mergeCell ref="BO1780:BS1780"/>
    <mergeCell ref="K1781:P1781"/>
    <mergeCell ref="R1781:V1781"/>
    <mergeCell ref="X1781:AC1781"/>
    <mergeCell ref="AE1781:AI1781"/>
    <mergeCell ref="AU1781:AZ1781"/>
    <mergeCell ref="BB1781:BF1781"/>
    <mergeCell ref="BH1781:BM1781"/>
    <mergeCell ref="BO1781:BS1781"/>
    <mergeCell ref="K1780:P1780"/>
    <mergeCell ref="R1780:V1780"/>
    <mergeCell ref="X1780:AC1780"/>
    <mergeCell ref="AE1780:AI1780"/>
    <mergeCell ref="AU1780:AZ1780"/>
    <mergeCell ref="BB1780:BF1780"/>
    <mergeCell ref="W1789:AB1789"/>
    <mergeCell ref="AD1789:AI1789"/>
    <mergeCell ref="BG1789:BL1789"/>
    <mergeCell ref="BN1789:BS1789"/>
    <mergeCell ref="W1791:AB1791"/>
    <mergeCell ref="AD1791:AI1791"/>
    <mergeCell ref="BG1791:BL1791"/>
    <mergeCell ref="BN1791:BS1791"/>
    <mergeCell ref="W1787:AB1787"/>
    <mergeCell ref="AD1787:AI1787"/>
    <mergeCell ref="BG1787:BL1787"/>
    <mergeCell ref="BN1787:BS1787"/>
    <mergeCell ref="W1788:AB1788"/>
    <mergeCell ref="AD1788:AI1788"/>
    <mergeCell ref="BG1788:BL1788"/>
    <mergeCell ref="BN1788:BS1788"/>
    <mergeCell ref="W1784:AB1784"/>
    <mergeCell ref="AD1784:AI1784"/>
    <mergeCell ref="BG1784:BL1784"/>
    <mergeCell ref="BN1784:BS1784"/>
    <mergeCell ref="W1785:AB1785"/>
    <mergeCell ref="AD1785:AI1785"/>
    <mergeCell ref="BG1785:BL1785"/>
    <mergeCell ref="BN1785:BS1785"/>
    <mergeCell ref="C1800:AI1800"/>
    <mergeCell ref="AM1800:BS1800"/>
    <mergeCell ref="C1801:AI1801"/>
    <mergeCell ref="AM1801:BS1801"/>
    <mergeCell ref="C1802:AI1802"/>
    <mergeCell ref="AM1802:BS1802"/>
    <mergeCell ref="C1797:AI1797"/>
    <mergeCell ref="AM1797:BS1797"/>
    <mergeCell ref="C1798:AI1798"/>
    <mergeCell ref="AM1798:BS1798"/>
    <mergeCell ref="C1799:AI1799"/>
    <mergeCell ref="AM1799:BS1799"/>
    <mergeCell ref="AM1792:BS1792"/>
    <mergeCell ref="C1793:AI1793"/>
    <mergeCell ref="AM1793:BS1793"/>
    <mergeCell ref="C1795:AI1795"/>
    <mergeCell ref="AM1795:BS1795"/>
    <mergeCell ref="AM1796:BS1796"/>
    <mergeCell ref="C1809:AI1809"/>
    <mergeCell ref="AM1809:BS1809"/>
    <mergeCell ref="C1810:AI1810"/>
    <mergeCell ref="AM1810:BS1810"/>
    <mergeCell ref="C1811:AI1811"/>
    <mergeCell ref="AM1811:BS1811"/>
    <mergeCell ref="C1806:AI1806"/>
    <mergeCell ref="AM1806:BS1806"/>
    <mergeCell ref="C1807:AI1807"/>
    <mergeCell ref="AM1807:BS1807"/>
    <mergeCell ref="C1808:AI1808"/>
    <mergeCell ref="AM1808:BS1808"/>
    <mergeCell ref="C1803:AI1803"/>
    <mergeCell ref="AM1803:BS1803"/>
    <mergeCell ref="C1804:AI1804"/>
    <mergeCell ref="AM1804:BS1804"/>
    <mergeCell ref="C1805:AI1805"/>
    <mergeCell ref="AM1805:BS1805"/>
    <mergeCell ref="BI1814:BM1814"/>
    <mergeCell ref="BO1814:BS1814"/>
    <mergeCell ref="M1815:Q1815"/>
    <mergeCell ref="S1815:W1815"/>
    <mergeCell ref="Y1815:AC1815"/>
    <mergeCell ref="AE1815:AI1815"/>
    <mergeCell ref="AW1815:BA1815"/>
    <mergeCell ref="BC1815:BG1815"/>
    <mergeCell ref="BI1815:BM1815"/>
    <mergeCell ref="BO1815:BS1815"/>
    <mergeCell ref="C1812:AI1812"/>
    <mergeCell ref="AM1812:BS1812"/>
    <mergeCell ref="C1813:AI1813"/>
    <mergeCell ref="AM1813:BS1813"/>
    <mergeCell ref="M1814:Q1814"/>
    <mergeCell ref="S1814:W1814"/>
    <mergeCell ref="Y1814:AC1814"/>
    <mergeCell ref="AE1814:AI1814"/>
    <mergeCell ref="AW1814:BA1814"/>
    <mergeCell ref="BC1814:BG1814"/>
    <mergeCell ref="C1818:K1818"/>
    <mergeCell ref="M1818:Q1818"/>
    <mergeCell ref="S1818:W1818"/>
    <mergeCell ref="Y1818:AC1818"/>
    <mergeCell ref="AE1818:AI1818"/>
    <mergeCell ref="AW1818:BA1818"/>
    <mergeCell ref="BI1816:BM1816"/>
    <mergeCell ref="BO1816:BS1816"/>
    <mergeCell ref="M1817:Q1817"/>
    <mergeCell ref="S1817:W1817"/>
    <mergeCell ref="Y1817:AC1817"/>
    <mergeCell ref="AE1817:AI1817"/>
    <mergeCell ref="AW1817:BA1817"/>
    <mergeCell ref="BC1817:BG1817"/>
    <mergeCell ref="BI1817:BM1817"/>
    <mergeCell ref="BO1817:BS1817"/>
    <mergeCell ref="M1816:Q1816"/>
    <mergeCell ref="S1816:W1816"/>
    <mergeCell ref="Y1816:AC1816"/>
    <mergeCell ref="AE1816:AI1816"/>
    <mergeCell ref="AW1816:BA1816"/>
    <mergeCell ref="BC1816:BG1816"/>
    <mergeCell ref="BO1819:BS1819"/>
    <mergeCell ref="M1820:Q1820"/>
    <mergeCell ref="S1820:W1820"/>
    <mergeCell ref="Y1820:AC1820"/>
    <mergeCell ref="AE1820:AI1820"/>
    <mergeCell ref="AW1820:BA1820"/>
    <mergeCell ref="BC1820:BG1820"/>
    <mergeCell ref="BI1820:BM1820"/>
    <mergeCell ref="BO1820:BS1820"/>
    <mergeCell ref="BC1818:BG1818"/>
    <mergeCell ref="BI1818:BM1818"/>
    <mergeCell ref="BO1818:BS1818"/>
    <mergeCell ref="M1819:Q1819"/>
    <mergeCell ref="S1819:W1819"/>
    <mergeCell ref="Y1819:AC1819"/>
    <mergeCell ref="AE1819:AI1819"/>
    <mergeCell ref="AW1819:BA1819"/>
    <mergeCell ref="BC1819:BG1819"/>
    <mergeCell ref="BI1819:BM1819"/>
    <mergeCell ref="BI1823:BM1823"/>
    <mergeCell ref="BO1823:BS1823"/>
    <mergeCell ref="M1824:Q1824"/>
    <mergeCell ref="S1824:W1824"/>
    <mergeCell ref="Y1824:AC1824"/>
    <mergeCell ref="AE1824:AI1824"/>
    <mergeCell ref="AW1824:BA1824"/>
    <mergeCell ref="BC1824:BG1824"/>
    <mergeCell ref="BI1824:BM1824"/>
    <mergeCell ref="BO1824:BS1824"/>
    <mergeCell ref="M1823:Q1823"/>
    <mergeCell ref="S1823:W1823"/>
    <mergeCell ref="Y1823:AC1823"/>
    <mergeCell ref="AE1823:AI1823"/>
    <mergeCell ref="AW1823:BA1823"/>
    <mergeCell ref="BC1823:BG1823"/>
    <mergeCell ref="BI1821:BM1821"/>
    <mergeCell ref="BO1821:BS1821"/>
    <mergeCell ref="M1822:Q1822"/>
    <mergeCell ref="S1822:W1822"/>
    <mergeCell ref="Y1822:AC1822"/>
    <mergeCell ref="AE1822:AI1822"/>
    <mergeCell ref="AW1822:BA1822"/>
    <mergeCell ref="BC1822:BG1822"/>
    <mergeCell ref="BI1822:BM1822"/>
    <mergeCell ref="BO1822:BS1822"/>
    <mergeCell ref="M1821:Q1821"/>
    <mergeCell ref="S1821:W1821"/>
    <mergeCell ref="Y1821:AC1821"/>
    <mergeCell ref="AE1821:AI1821"/>
    <mergeCell ref="AW1821:BA1821"/>
    <mergeCell ref="BC1821:BG1821"/>
    <mergeCell ref="BC1827:BG1827"/>
    <mergeCell ref="BI1827:BM1827"/>
    <mergeCell ref="BO1827:BS1827"/>
    <mergeCell ref="M1828:Q1828"/>
    <mergeCell ref="S1828:W1828"/>
    <mergeCell ref="Y1828:AC1828"/>
    <mergeCell ref="AE1828:AI1828"/>
    <mergeCell ref="AW1828:BA1828"/>
    <mergeCell ref="BC1828:BG1828"/>
    <mergeCell ref="BI1828:BM1828"/>
    <mergeCell ref="C1827:K1827"/>
    <mergeCell ref="M1827:Q1827"/>
    <mergeCell ref="S1827:W1827"/>
    <mergeCell ref="Y1827:AC1827"/>
    <mergeCell ref="AE1827:AI1827"/>
    <mergeCell ref="AW1827:BA1827"/>
    <mergeCell ref="BI1825:BM1825"/>
    <mergeCell ref="BO1825:BS1825"/>
    <mergeCell ref="M1826:Q1826"/>
    <mergeCell ref="S1826:W1826"/>
    <mergeCell ref="Y1826:AC1826"/>
    <mergeCell ref="AE1826:AI1826"/>
    <mergeCell ref="AW1826:BA1826"/>
    <mergeCell ref="BC1826:BG1826"/>
    <mergeCell ref="BI1826:BM1826"/>
    <mergeCell ref="BO1826:BS1826"/>
    <mergeCell ref="M1825:Q1825"/>
    <mergeCell ref="S1825:W1825"/>
    <mergeCell ref="Y1825:AC1825"/>
    <mergeCell ref="AE1825:AI1825"/>
    <mergeCell ref="AW1825:BA1825"/>
    <mergeCell ref="BC1825:BG1825"/>
    <mergeCell ref="BI1830:BM1830"/>
    <mergeCell ref="BO1830:BS1830"/>
    <mergeCell ref="M1831:Q1831"/>
    <mergeCell ref="S1831:W1831"/>
    <mergeCell ref="Y1831:AC1831"/>
    <mergeCell ref="AE1831:AI1831"/>
    <mergeCell ref="AW1831:BA1831"/>
    <mergeCell ref="BC1831:BG1831"/>
    <mergeCell ref="BI1831:BM1831"/>
    <mergeCell ref="BO1831:BS1831"/>
    <mergeCell ref="M1830:Q1830"/>
    <mergeCell ref="S1830:W1830"/>
    <mergeCell ref="Y1830:AC1830"/>
    <mergeCell ref="AE1830:AI1830"/>
    <mergeCell ref="AW1830:BA1830"/>
    <mergeCell ref="BC1830:BG1830"/>
    <mergeCell ref="BO1828:BS1828"/>
    <mergeCell ref="M1829:Q1829"/>
    <mergeCell ref="S1829:W1829"/>
    <mergeCell ref="Y1829:AC1829"/>
    <mergeCell ref="AE1829:AI1829"/>
    <mergeCell ref="AW1829:BA1829"/>
    <mergeCell ref="BC1829:BG1829"/>
    <mergeCell ref="BI1829:BM1829"/>
    <mergeCell ref="BO1829:BS1829"/>
    <mergeCell ref="C1835:AI1835"/>
    <mergeCell ref="AM1835:BS1835"/>
    <mergeCell ref="C1836:AI1836"/>
    <mergeCell ref="AM1836:BS1836"/>
    <mergeCell ref="M1837:Q1837"/>
    <mergeCell ref="S1837:W1837"/>
    <mergeCell ref="Y1837:AC1837"/>
    <mergeCell ref="AE1837:AI1837"/>
    <mergeCell ref="AW1837:BA1837"/>
    <mergeCell ref="BC1837:BG1837"/>
    <mergeCell ref="BI1832:BM1832"/>
    <mergeCell ref="BO1832:BS1832"/>
    <mergeCell ref="C1833:AI1833"/>
    <mergeCell ref="AM1833:BS1833"/>
    <mergeCell ref="C1834:AI1834"/>
    <mergeCell ref="AM1834:BS1834"/>
    <mergeCell ref="M1832:Q1832"/>
    <mergeCell ref="S1832:W1832"/>
    <mergeCell ref="Y1832:AC1832"/>
    <mergeCell ref="AE1832:AI1832"/>
    <mergeCell ref="AW1832:BA1832"/>
    <mergeCell ref="BC1832:BG1832"/>
    <mergeCell ref="BI1839:BM1839"/>
    <mergeCell ref="BO1839:BS1839"/>
    <mergeCell ref="M1840:Q1840"/>
    <mergeCell ref="S1840:W1840"/>
    <mergeCell ref="Y1840:AC1840"/>
    <mergeCell ref="AE1840:AI1840"/>
    <mergeCell ref="AW1840:BA1840"/>
    <mergeCell ref="BC1840:BG1840"/>
    <mergeCell ref="BI1840:BM1840"/>
    <mergeCell ref="BO1840:BS1840"/>
    <mergeCell ref="M1839:Q1839"/>
    <mergeCell ref="S1839:W1839"/>
    <mergeCell ref="Y1839:AC1839"/>
    <mergeCell ref="AE1839:AI1839"/>
    <mergeCell ref="AW1839:BA1839"/>
    <mergeCell ref="BC1839:BG1839"/>
    <mergeCell ref="BI1837:BM1837"/>
    <mergeCell ref="BO1837:BS1837"/>
    <mergeCell ref="M1838:Q1838"/>
    <mergeCell ref="S1838:W1838"/>
    <mergeCell ref="Y1838:AC1838"/>
    <mergeCell ref="AE1838:AI1838"/>
    <mergeCell ref="AW1838:BA1838"/>
    <mergeCell ref="BC1838:BG1838"/>
    <mergeCell ref="BI1838:BM1838"/>
    <mergeCell ref="BO1838:BS1838"/>
    <mergeCell ref="BI1843:BM1843"/>
    <mergeCell ref="BO1843:BS1843"/>
    <mergeCell ref="M1844:Q1844"/>
    <mergeCell ref="S1844:W1844"/>
    <mergeCell ref="Y1844:AC1844"/>
    <mergeCell ref="AE1844:AI1844"/>
    <mergeCell ref="AW1844:BA1844"/>
    <mergeCell ref="BC1844:BG1844"/>
    <mergeCell ref="BI1844:BM1844"/>
    <mergeCell ref="BO1844:BS1844"/>
    <mergeCell ref="M1843:Q1843"/>
    <mergeCell ref="S1843:W1843"/>
    <mergeCell ref="Y1843:AC1843"/>
    <mergeCell ref="AE1843:AI1843"/>
    <mergeCell ref="AW1843:BA1843"/>
    <mergeCell ref="BC1843:BG1843"/>
    <mergeCell ref="BI1841:BM1841"/>
    <mergeCell ref="BO1841:BS1841"/>
    <mergeCell ref="M1842:Q1842"/>
    <mergeCell ref="S1842:W1842"/>
    <mergeCell ref="Y1842:AC1842"/>
    <mergeCell ref="AE1842:AI1842"/>
    <mergeCell ref="AW1842:BA1842"/>
    <mergeCell ref="BC1842:BG1842"/>
    <mergeCell ref="BI1842:BM1842"/>
    <mergeCell ref="BO1842:BS1842"/>
    <mergeCell ref="M1841:Q1841"/>
    <mergeCell ref="S1841:W1841"/>
    <mergeCell ref="Y1841:AC1841"/>
    <mergeCell ref="AE1841:AI1841"/>
    <mergeCell ref="AW1841:BA1841"/>
    <mergeCell ref="BC1841:BG1841"/>
    <mergeCell ref="BI1847:BM1847"/>
    <mergeCell ref="BO1847:BS1847"/>
    <mergeCell ref="M1848:Q1848"/>
    <mergeCell ref="S1848:W1848"/>
    <mergeCell ref="Y1848:AC1848"/>
    <mergeCell ref="AE1848:AI1848"/>
    <mergeCell ref="AW1848:BA1848"/>
    <mergeCell ref="BC1848:BG1848"/>
    <mergeCell ref="BI1848:BM1848"/>
    <mergeCell ref="BO1848:BS1848"/>
    <mergeCell ref="M1847:Q1847"/>
    <mergeCell ref="S1847:W1847"/>
    <mergeCell ref="Y1847:AC1847"/>
    <mergeCell ref="AE1847:AI1847"/>
    <mergeCell ref="AW1847:BA1847"/>
    <mergeCell ref="BC1847:BG1847"/>
    <mergeCell ref="BI1845:BM1845"/>
    <mergeCell ref="BO1845:BS1845"/>
    <mergeCell ref="M1846:Q1846"/>
    <mergeCell ref="S1846:W1846"/>
    <mergeCell ref="Y1846:AC1846"/>
    <mergeCell ref="AE1846:AI1846"/>
    <mergeCell ref="AW1846:BA1846"/>
    <mergeCell ref="BC1846:BG1846"/>
    <mergeCell ref="BI1846:BM1846"/>
    <mergeCell ref="BO1846:BS1846"/>
    <mergeCell ref="M1845:Q1845"/>
    <mergeCell ref="S1845:W1845"/>
    <mergeCell ref="Y1845:AC1845"/>
    <mergeCell ref="AE1845:AI1845"/>
    <mergeCell ref="AW1845:BA1845"/>
    <mergeCell ref="BC1845:BG1845"/>
    <mergeCell ref="BI1851:BM1851"/>
    <mergeCell ref="BO1851:BS1851"/>
    <mergeCell ref="C1853:AI1853"/>
    <mergeCell ref="AM1853:BS1853"/>
    <mergeCell ref="C1856:AI1856"/>
    <mergeCell ref="W1859:AB1859"/>
    <mergeCell ref="AD1859:AI1859"/>
    <mergeCell ref="BG1859:BL1859"/>
    <mergeCell ref="BN1859:BS1859"/>
    <mergeCell ref="M1851:Q1851"/>
    <mergeCell ref="S1851:W1851"/>
    <mergeCell ref="Y1851:AC1851"/>
    <mergeCell ref="AE1851:AI1851"/>
    <mergeCell ref="AW1851:BA1851"/>
    <mergeCell ref="BC1851:BG1851"/>
    <mergeCell ref="BI1849:BM1849"/>
    <mergeCell ref="BO1849:BS1849"/>
    <mergeCell ref="M1850:Q1850"/>
    <mergeCell ref="S1850:W1850"/>
    <mergeCell ref="Y1850:AC1850"/>
    <mergeCell ref="AE1850:AI1850"/>
    <mergeCell ref="AW1850:BA1850"/>
    <mergeCell ref="BC1850:BG1850"/>
    <mergeCell ref="BI1850:BM1850"/>
    <mergeCell ref="BO1850:BS1850"/>
    <mergeCell ref="M1849:Q1849"/>
    <mergeCell ref="S1849:W1849"/>
    <mergeCell ref="Y1849:AC1849"/>
    <mergeCell ref="AE1849:AI1849"/>
    <mergeCell ref="AW1849:BA1849"/>
    <mergeCell ref="BC1849:BG1849"/>
    <mergeCell ref="W1863:AB1863"/>
    <mergeCell ref="AD1863:AI1863"/>
    <mergeCell ref="BG1863:BL1863"/>
    <mergeCell ref="BN1863:BS1863"/>
    <mergeCell ref="W1864:AB1864"/>
    <mergeCell ref="AD1864:AI1864"/>
    <mergeCell ref="BG1864:BL1864"/>
    <mergeCell ref="BN1864:BS1864"/>
    <mergeCell ref="W1860:AB1860"/>
    <mergeCell ref="AD1860:AI1860"/>
    <mergeCell ref="BG1860:BL1860"/>
    <mergeCell ref="BN1860:BS1860"/>
    <mergeCell ref="C1862:U1862"/>
    <mergeCell ref="W1862:AB1862"/>
    <mergeCell ref="AD1862:AI1862"/>
    <mergeCell ref="AM1862:BE1862"/>
    <mergeCell ref="BG1862:BL1862"/>
    <mergeCell ref="BN1862:BS1862"/>
    <mergeCell ref="C1872:AI1872"/>
    <mergeCell ref="AM1872:BS1872"/>
    <mergeCell ref="W1874:AB1874"/>
    <mergeCell ref="AD1874:AI1874"/>
    <mergeCell ref="BG1874:BL1874"/>
    <mergeCell ref="BN1874:BS1874"/>
    <mergeCell ref="W1869:AB1869"/>
    <mergeCell ref="AD1869:AI1869"/>
    <mergeCell ref="BG1869:BL1869"/>
    <mergeCell ref="BN1869:BS1869"/>
    <mergeCell ref="C1871:U1871"/>
    <mergeCell ref="W1871:AB1871"/>
    <mergeCell ref="AD1871:AI1871"/>
    <mergeCell ref="AM1871:BE1871"/>
    <mergeCell ref="BG1871:BL1871"/>
    <mergeCell ref="BN1871:BS1871"/>
    <mergeCell ref="W1865:AB1865"/>
    <mergeCell ref="AD1865:AI1865"/>
    <mergeCell ref="BG1865:BL1865"/>
    <mergeCell ref="BN1865:BS1865"/>
    <mergeCell ref="W1868:AB1868"/>
    <mergeCell ref="AD1868:AI1868"/>
    <mergeCell ref="BG1868:BL1868"/>
    <mergeCell ref="BN1868:BS1868"/>
    <mergeCell ref="C1881:U1881"/>
    <mergeCell ref="W1881:AB1881"/>
    <mergeCell ref="AD1881:AI1881"/>
    <mergeCell ref="BG1881:BL1881"/>
    <mergeCell ref="BN1881:BS1881"/>
    <mergeCell ref="W1878:AB1878"/>
    <mergeCell ref="AD1878:AI1878"/>
    <mergeCell ref="BG1878:BL1878"/>
    <mergeCell ref="BN1878:BS1878"/>
    <mergeCell ref="W1879:AB1879"/>
    <mergeCell ref="AD1879:AI1879"/>
    <mergeCell ref="BG1879:BL1879"/>
    <mergeCell ref="BN1879:BS1879"/>
    <mergeCell ref="W1875:AB1875"/>
    <mergeCell ref="AD1875:AI1875"/>
    <mergeCell ref="BG1875:BL1875"/>
    <mergeCell ref="BN1875:BS1875"/>
    <mergeCell ref="W1877:AB1877"/>
    <mergeCell ref="AD1877:AI1877"/>
    <mergeCell ref="BG1877:BL1877"/>
    <mergeCell ref="BN1877:BS1877"/>
    <mergeCell ref="W1886:AB1886"/>
    <mergeCell ref="AD1886:AI1886"/>
    <mergeCell ref="BG1886:BL1886"/>
    <mergeCell ref="BN1886:BS1886"/>
    <mergeCell ref="W1888:AB1888"/>
    <mergeCell ref="AD1888:AI1888"/>
    <mergeCell ref="BG1888:BL1888"/>
    <mergeCell ref="BN1888:BS1888"/>
    <mergeCell ref="W1882:AB1882"/>
    <mergeCell ref="AD1882:AI1882"/>
    <mergeCell ref="BG1882:BL1882"/>
    <mergeCell ref="BN1882:BS1882"/>
    <mergeCell ref="W1885:AB1885"/>
    <mergeCell ref="AD1885:AI1885"/>
    <mergeCell ref="BG1885:BL1885"/>
    <mergeCell ref="BN1885:BS1885"/>
    <mergeCell ref="W1880:AB1880"/>
    <mergeCell ref="AD1880:AI1880"/>
    <mergeCell ref="BG1880:BL1880"/>
    <mergeCell ref="BN1880:BS1880"/>
    <mergeCell ref="W1893:AB1893"/>
    <mergeCell ref="AD1893:AI1893"/>
    <mergeCell ref="BG1893:BL1893"/>
    <mergeCell ref="BN1893:BS1893"/>
    <mergeCell ref="W1894:AB1894"/>
    <mergeCell ref="AD1894:AI1894"/>
    <mergeCell ref="W1891:AB1891"/>
    <mergeCell ref="AD1891:AI1891"/>
    <mergeCell ref="BG1891:BL1891"/>
    <mergeCell ref="BN1891:BS1891"/>
    <mergeCell ref="C1892:U1892"/>
    <mergeCell ref="W1892:AB1892"/>
    <mergeCell ref="AD1892:AI1892"/>
    <mergeCell ref="BG1892:BL1892"/>
    <mergeCell ref="BN1892:BS1892"/>
    <mergeCell ref="W1889:AB1889"/>
    <mergeCell ref="AD1889:AI1889"/>
    <mergeCell ref="BG1889:BL1889"/>
    <mergeCell ref="BN1889:BS1889"/>
    <mergeCell ref="W1890:AB1890"/>
    <mergeCell ref="AD1890:AI1890"/>
    <mergeCell ref="BG1890:BL1890"/>
    <mergeCell ref="BN1890:BS1890"/>
    <mergeCell ref="C1921:AI1921"/>
    <mergeCell ref="O1924:U1924"/>
    <mergeCell ref="W1924:AB1924"/>
    <mergeCell ref="AD1924:AI1924"/>
    <mergeCell ref="AY1924:BE1924"/>
    <mergeCell ref="BG1924:BL1924"/>
    <mergeCell ref="W1906:AB1906"/>
    <mergeCell ref="AD1906:AI1906"/>
    <mergeCell ref="C1911:AI1911"/>
    <mergeCell ref="C1916:AI1916"/>
    <mergeCell ref="AM1916:BS1916"/>
    <mergeCell ref="C1920:AI1920"/>
    <mergeCell ref="C1898:AI1898"/>
    <mergeCell ref="AM1898:BS1898"/>
    <mergeCell ref="C1903:AI1903"/>
    <mergeCell ref="AM1903:BS1903"/>
    <mergeCell ref="C1904:AI1904"/>
    <mergeCell ref="AM1904:BS1904"/>
    <mergeCell ref="BG1926:BL1926"/>
    <mergeCell ref="BN1926:BS1926"/>
    <mergeCell ref="C1927:M1927"/>
    <mergeCell ref="O1927:U1927"/>
    <mergeCell ref="W1927:AB1927"/>
    <mergeCell ref="AD1927:AI1927"/>
    <mergeCell ref="AM1927:AW1927"/>
    <mergeCell ref="AY1927:BE1927"/>
    <mergeCell ref="BG1927:BL1927"/>
    <mergeCell ref="BN1927:BS1927"/>
    <mergeCell ref="C1926:M1926"/>
    <mergeCell ref="O1926:U1926"/>
    <mergeCell ref="W1926:AB1926"/>
    <mergeCell ref="AD1926:AI1926"/>
    <mergeCell ref="AM1926:AW1926"/>
    <mergeCell ref="AY1926:BE1926"/>
    <mergeCell ref="BN1924:BS1924"/>
    <mergeCell ref="O1925:U1925"/>
    <mergeCell ref="W1925:AB1925"/>
    <mergeCell ref="AD1925:AI1925"/>
    <mergeCell ref="AY1925:BE1925"/>
    <mergeCell ref="BG1925:BL1925"/>
    <mergeCell ref="BN1925:BS1925"/>
    <mergeCell ref="BG1930:BL1930"/>
    <mergeCell ref="BN1930:BS1930"/>
    <mergeCell ref="C1931:M1931"/>
    <mergeCell ref="O1931:U1931"/>
    <mergeCell ref="W1931:AB1931"/>
    <mergeCell ref="AD1931:AI1931"/>
    <mergeCell ref="AM1931:AW1931"/>
    <mergeCell ref="AY1931:BE1931"/>
    <mergeCell ref="BG1931:BL1931"/>
    <mergeCell ref="BN1931:BS1931"/>
    <mergeCell ref="C1930:M1930"/>
    <mergeCell ref="O1930:U1930"/>
    <mergeCell ref="W1930:AB1930"/>
    <mergeCell ref="AD1930:AI1930"/>
    <mergeCell ref="AM1930:AW1930"/>
    <mergeCell ref="AY1930:BE1930"/>
    <mergeCell ref="BG1928:BL1928"/>
    <mergeCell ref="BN1928:BS1928"/>
    <mergeCell ref="C1929:L1929"/>
    <mergeCell ref="O1929:U1929"/>
    <mergeCell ref="W1929:AB1929"/>
    <mergeCell ref="AD1929:AI1929"/>
    <mergeCell ref="AM1929:AV1929"/>
    <mergeCell ref="AY1929:BE1929"/>
    <mergeCell ref="BG1929:BL1929"/>
    <mergeCell ref="BN1929:BS1929"/>
    <mergeCell ref="C1928:M1928"/>
    <mergeCell ref="O1928:U1928"/>
    <mergeCell ref="W1928:AB1928"/>
    <mergeCell ref="AD1928:AI1928"/>
    <mergeCell ref="AM1928:AW1928"/>
    <mergeCell ref="AY1928:BE1928"/>
    <mergeCell ref="BG1934:BL1934"/>
    <mergeCell ref="BN1934:BS1934"/>
    <mergeCell ref="C1935:L1935"/>
    <mergeCell ref="M1935:T1935"/>
    <mergeCell ref="W1935:AB1935"/>
    <mergeCell ref="AD1935:AI1935"/>
    <mergeCell ref="AM1935:AV1935"/>
    <mergeCell ref="AW1935:BD1935"/>
    <mergeCell ref="BG1935:BL1935"/>
    <mergeCell ref="BN1935:BS1935"/>
    <mergeCell ref="C1934:M1934"/>
    <mergeCell ref="O1934:U1934"/>
    <mergeCell ref="W1934:AB1934"/>
    <mergeCell ref="AD1934:AI1934"/>
    <mergeCell ref="AM1934:AW1934"/>
    <mergeCell ref="AY1934:BE1934"/>
    <mergeCell ref="BG1932:BL1932"/>
    <mergeCell ref="BN1932:BS1932"/>
    <mergeCell ref="C1933:M1933"/>
    <mergeCell ref="O1933:U1933"/>
    <mergeCell ref="W1933:AB1933"/>
    <mergeCell ref="AD1933:AI1933"/>
    <mergeCell ref="AM1933:AW1933"/>
    <mergeCell ref="AY1933:BE1933"/>
    <mergeCell ref="BG1933:BL1933"/>
    <mergeCell ref="BN1933:BS1933"/>
    <mergeCell ref="C1932:L1932"/>
    <mergeCell ref="M1932:T1932"/>
    <mergeCell ref="W1932:AB1932"/>
    <mergeCell ref="AD1932:AI1932"/>
    <mergeCell ref="AM1932:AV1932"/>
    <mergeCell ref="AW1932:BD1932"/>
    <mergeCell ref="BG1938:BL1938"/>
    <mergeCell ref="BN1938:BS1938"/>
    <mergeCell ref="C1939:M1939"/>
    <mergeCell ref="O1939:U1939"/>
    <mergeCell ref="W1939:AB1939"/>
    <mergeCell ref="AD1939:AI1939"/>
    <mergeCell ref="AM1939:AW1939"/>
    <mergeCell ref="AY1939:BE1939"/>
    <mergeCell ref="BG1939:BL1939"/>
    <mergeCell ref="BN1939:BS1939"/>
    <mergeCell ref="C1938:L1938"/>
    <mergeCell ref="M1938:T1938"/>
    <mergeCell ref="W1938:AB1938"/>
    <mergeCell ref="AD1938:AI1938"/>
    <mergeCell ref="AM1938:AV1938"/>
    <mergeCell ref="AW1938:BD1938"/>
    <mergeCell ref="BG1936:BL1936"/>
    <mergeCell ref="BN1936:BS1936"/>
    <mergeCell ref="C1937:M1937"/>
    <mergeCell ref="O1937:U1937"/>
    <mergeCell ref="W1937:AB1937"/>
    <mergeCell ref="AD1937:AI1937"/>
    <mergeCell ref="AM1937:AW1937"/>
    <mergeCell ref="AY1937:BE1937"/>
    <mergeCell ref="BG1937:BL1937"/>
    <mergeCell ref="BN1937:BS1937"/>
    <mergeCell ref="C1936:M1936"/>
    <mergeCell ref="O1936:U1936"/>
    <mergeCell ref="W1936:AB1936"/>
    <mergeCell ref="AD1936:AI1936"/>
    <mergeCell ref="AM1936:AW1936"/>
    <mergeCell ref="AY1936:BE1936"/>
    <mergeCell ref="O1944:U1944"/>
    <mergeCell ref="W1944:AB1944"/>
    <mergeCell ref="AD1944:AI1944"/>
    <mergeCell ref="AY1944:BE1944"/>
    <mergeCell ref="BG1944:BL1944"/>
    <mergeCell ref="BN1944:BS1944"/>
    <mergeCell ref="BG1940:BL1940"/>
    <mergeCell ref="BN1940:BS1940"/>
    <mergeCell ref="O1943:U1943"/>
    <mergeCell ref="W1943:AB1943"/>
    <mergeCell ref="AD1943:AI1943"/>
    <mergeCell ref="AY1943:BE1943"/>
    <mergeCell ref="BG1943:BL1943"/>
    <mergeCell ref="BN1943:BS1943"/>
    <mergeCell ref="C1940:M1940"/>
    <mergeCell ref="O1940:U1940"/>
    <mergeCell ref="W1940:AB1940"/>
    <mergeCell ref="AD1940:AI1940"/>
    <mergeCell ref="AM1940:AW1940"/>
    <mergeCell ref="AY1940:BE1940"/>
    <mergeCell ref="BG1947:BL1947"/>
    <mergeCell ref="BN1947:BS1947"/>
    <mergeCell ref="O1948:U1948"/>
    <mergeCell ref="W1948:AB1948"/>
    <mergeCell ref="AD1948:AI1948"/>
    <mergeCell ref="AY1948:BE1948"/>
    <mergeCell ref="BG1948:BL1948"/>
    <mergeCell ref="BN1948:BS1948"/>
    <mergeCell ref="C1947:M1947"/>
    <mergeCell ref="O1947:U1947"/>
    <mergeCell ref="W1947:AB1947"/>
    <mergeCell ref="AD1947:AI1947"/>
    <mergeCell ref="AM1947:AW1947"/>
    <mergeCell ref="AY1947:BE1947"/>
    <mergeCell ref="BG1945:BL1945"/>
    <mergeCell ref="BN1945:BS1945"/>
    <mergeCell ref="C1946:M1946"/>
    <mergeCell ref="O1946:U1946"/>
    <mergeCell ref="W1946:AB1946"/>
    <mergeCell ref="AD1946:AI1946"/>
    <mergeCell ref="AM1946:AW1946"/>
    <mergeCell ref="AY1946:BE1946"/>
    <mergeCell ref="BG1946:BL1946"/>
    <mergeCell ref="BN1946:BS1946"/>
    <mergeCell ref="C1945:M1945"/>
    <mergeCell ref="O1945:U1945"/>
    <mergeCell ref="W1945:AB1945"/>
    <mergeCell ref="AD1945:AI1945"/>
    <mergeCell ref="AM1945:AW1945"/>
    <mergeCell ref="AY1945:BE1945"/>
    <mergeCell ref="BG1951:BL1951"/>
    <mergeCell ref="BN1951:BS1951"/>
    <mergeCell ref="C1952:M1952"/>
    <mergeCell ref="O1952:U1952"/>
    <mergeCell ref="W1952:AB1952"/>
    <mergeCell ref="AD1952:AI1952"/>
    <mergeCell ref="AM1952:AW1952"/>
    <mergeCell ref="AY1952:BE1952"/>
    <mergeCell ref="BG1952:BL1952"/>
    <mergeCell ref="BN1952:BS1952"/>
    <mergeCell ref="C1951:M1951"/>
    <mergeCell ref="O1951:U1951"/>
    <mergeCell ref="W1951:AB1951"/>
    <mergeCell ref="AD1951:AI1951"/>
    <mergeCell ref="AM1951:AW1951"/>
    <mergeCell ref="AY1951:BE1951"/>
    <mergeCell ref="BG1949:BL1949"/>
    <mergeCell ref="BN1949:BS1949"/>
    <mergeCell ref="C1950:M1950"/>
    <mergeCell ref="O1950:U1950"/>
    <mergeCell ref="W1950:AB1950"/>
    <mergeCell ref="AD1950:AI1950"/>
    <mergeCell ref="AM1950:AW1950"/>
    <mergeCell ref="AY1950:BE1950"/>
    <mergeCell ref="BG1950:BL1950"/>
    <mergeCell ref="BN1950:BS1950"/>
    <mergeCell ref="C1949:M1949"/>
    <mergeCell ref="O1949:U1949"/>
    <mergeCell ref="W1949:AB1949"/>
    <mergeCell ref="AD1949:AI1949"/>
    <mergeCell ref="AM1949:AW1949"/>
    <mergeCell ref="AY1949:BE1949"/>
    <mergeCell ref="BG1955:BL1955"/>
    <mergeCell ref="BN1955:BS1955"/>
    <mergeCell ref="C1956:M1956"/>
    <mergeCell ref="O1956:U1956"/>
    <mergeCell ref="W1956:AB1956"/>
    <mergeCell ref="AD1956:AI1956"/>
    <mergeCell ref="AM1956:AW1956"/>
    <mergeCell ref="AY1956:BE1956"/>
    <mergeCell ref="BG1956:BL1956"/>
    <mergeCell ref="BN1956:BS1956"/>
    <mergeCell ref="C1955:M1955"/>
    <mergeCell ref="O1955:U1955"/>
    <mergeCell ref="W1955:AB1955"/>
    <mergeCell ref="AD1955:AI1955"/>
    <mergeCell ref="AM1955:AW1955"/>
    <mergeCell ref="AY1955:BE1955"/>
    <mergeCell ref="BG1953:BL1953"/>
    <mergeCell ref="BN1953:BS1953"/>
    <mergeCell ref="C1954:M1954"/>
    <mergeCell ref="O1954:U1954"/>
    <mergeCell ref="W1954:AB1954"/>
    <mergeCell ref="AD1954:AI1954"/>
    <mergeCell ref="AM1954:AW1954"/>
    <mergeCell ref="AY1954:BE1954"/>
    <mergeCell ref="BG1954:BL1954"/>
    <mergeCell ref="BN1954:BS1954"/>
    <mergeCell ref="C1953:M1953"/>
    <mergeCell ref="O1953:U1953"/>
    <mergeCell ref="W1953:AB1953"/>
    <mergeCell ref="AD1953:AI1953"/>
    <mergeCell ref="AM1953:AW1953"/>
    <mergeCell ref="AY1953:BE1953"/>
    <mergeCell ref="BG1959:BL1959"/>
    <mergeCell ref="BN1959:BS1959"/>
    <mergeCell ref="C1960:M1960"/>
    <mergeCell ref="O1960:U1960"/>
    <mergeCell ref="W1960:AB1960"/>
    <mergeCell ref="AD1960:AI1960"/>
    <mergeCell ref="AM1960:AW1960"/>
    <mergeCell ref="AY1960:BE1960"/>
    <mergeCell ref="BG1960:BL1960"/>
    <mergeCell ref="BN1960:BS1960"/>
    <mergeCell ref="C1959:M1959"/>
    <mergeCell ref="O1959:U1959"/>
    <mergeCell ref="W1959:AB1959"/>
    <mergeCell ref="AD1959:AI1959"/>
    <mergeCell ref="AM1959:AW1959"/>
    <mergeCell ref="AY1959:BE1959"/>
    <mergeCell ref="BG1957:BL1957"/>
    <mergeCell ref="BN1957:BS1957"/>
    <mergeCell ref="C1958:M1958"/>
    <mergeCell ref="O1958:U1958"/>
    <mergeCell ref="W1958:AB1958"/>
    <mergeCell ref="AD1958:AI1958"/>
    <mergeCell ref="BG1958:BL1958"/>
    <mergeCell ref="BN1958:BS1958"/>
    <mergeCell ref="C1957:M1957"/>
    <mergeCell ref="O1957:U1957"/>
    <mergeCell ref="W1957:AB1957"/>
    <mergeCell ref="AD1957:AI1957"/>
    <mergeCell ref="AM1957:AW1957"/>
    <mergeCell ref="AY1957:BE1957"/>
    <mergeCell ref="BG1963:BL1963"/>
    <mergeCell ref="BN1963:BS1963"/>
    <mergeCell ref="C1964:M1964"/>
    <mergeCell ref="O1964:U1964"/>
    <mergeCell ref="W1964:AB1964"/>
    <mergeCell ref="AD1964:AI1964"/>
    <mergeCell ref="AM1964:AW1964"/>
    <mergeCell ref="AY1964:BE1964"/>
    <mergeCell ref="BG1964:BL1964"/>
    <mergeCell ref="BN1964:BS1964"/>
    <mergeCell ref="C1963:M1963"/>
    <mergeCell ref="O1963:U1963"/>
    <mergeCell ref="W1963:AB1963"/>
    <mergeCell ref="AD1963:AI1963"/>
    <mergeCell ref="AM1963:AW1963"/>
    <mergeCell ref="AY1963:BE1963"/>
    <mergeCell ref="BG1961:BL1961"/>
    <mergeCell ref="BN1961:BS1961"/>
    <mergeCell ref="C1962:M1962"/>
    <mergeCell ref="O1962:U1962"/>
    <mergeCell ref="W1962:AB1962"/>
    <mergeCell ref="AD1962:AI1962"/>
    <mergeCell ref="AM1962:AW1962"/>
    <mergeCell ref="AY1962:BE1962"/>
    <mergeCell ref="BG1962:BL1962"/>
    <mergeCell ref="BN1962:BS1962"/>
    <mergeCell ref="C1961:M1961"/>
    <mergeCell ref="O1961:U1961"/>
    <mergeCell ref="W1961:AB1961"/>
    <mergeCell ref="AD1961:AI1961"/>
    <mergeCell ref="AM1961:AW1961"/>
    <mergeCell ref="AY1961:BE1961"/>
    <mergeCell ref="O1969:U1969"/>
    <mergeCell ref="W1969:AB1969"/>
    <mergeCell ref="AD1969:AI1969"/>
    <mergeCell ref="BG1969:BL1969"/>
    <mergeCell ref="BN1969:BS1969"/>
    <mergeCell ref="O1970:U1970"/>
    <mergeCell ref="W1970:AB1970"/>
    <mergeCell ref="AD1970:AI1970"/>
    <mergeCell ref="BG1970:BL1970"/>
    <mergeCell ref="BN1970:BS1970"/>
    <mergeCell ref="BG1965:BL1965"/>
    <mergeCell ref="BN1965:BS1965"/>
    <mergeCell ref="C1966:M1966"/>
    <mergeCell ref="O1966:U1966"/>
    <mergeCell ref="W1966:AB1966"/>
    <mergeCell ref="AD1966:AI1966"/>
    <mergeCell ref="AM1966:AW1966"/>
    <mergeCell ref="AY1966:BE1966"/>
    <mergeCell ref="BG1966:BL1966"/>
    <mergeCell ref="BN1966:BS1966"/>
    <mergeCell ref="C1965:M1965"/>
    <mergeCell ref="O1965:U1965"/>
    <mergeCell ref="W1965:AB1965"/>
    <mergeCell ref="AD1965:AI1965"/>
    <mergeCell ref="AM1965:AW1965"/>
    <mergeCell ref="AY1965:BE1965"/>
    <mergeCell ref="C1980:AI1980"/>
    <mergeCell ref="AM1980:BS1980"/>
    <mergeCell ref="S1981:U1981"/>
    <mergeCell ref="W1981:AB1981"/>
    <mergeCell ref="AD1981:AI1981"/>
    <mergeCell ref="BC1981:BE1981"/>
    <mergeCell ref="BG1981:BL1981"/>
    <mergeCell ref="BN1981:BS1981"/>
    <mergeCell ref="BN1972:BS1972"/>
    <mergeCell ref="C1977:AI1977"/>
    <mergeCell ref="AM1977:BS1977"/>
    <mergeCell ref="C1972:M1972"/>
    <mergeCell ref="O1972:U1972"/>
    <mergeCell ref="W1972:AB1972"/>
    <mergeCell ref="AD1972:AI1972"/>
    <mergeCell ref="AM1972:AW1972"/>
    <mergeCell ref="BG1972:BL1972"/>
    <mergeCell ref="BG1983:BL1983"/>
    <mergeCell ref="BN1983:BS1983"/>
    <mergeCell ref="C1984:R1984"/>
    <mergeCell ref="S1984:U1984"/>
    <mergeCell ref="W1984:AB1984"/>
    <mergeCell ref="AD1984:AI1984"/>
    <mergeCell ref="AM1984:BB1984"/>
    <mergeCell ref="BC1984:BE1984"/>
    <mergeCell ref="BG1984:BL1984"/>
    <mergeCell ref="BN1984:BS1984"/>
    <mergeCell ref="W1982:AB1982"/>
    <mergeCell ref="AD1982:AI1982"/>
    <mergeCell ref="BG1982:BL1982"/>
    <mergeCell ref="BN1982:BS1982"/>
    <mergeCell ref="C1983:R1983"/>
    <mergeCell ref="S1983:U1983"/>
    <mergeCell ref="W1983:AB1983"/>
    <mergeCell ref="AD1983:AI1983"/>
    <mergeCell ref="AM1983:BB1983"/>
    <mergeCell ref="BC1983:BE1983"/>
    <mergeCell ref="BG1987:BL1987"/>
    <mergeCell ref="BN1987:BS1987"/>
    <mergeCell ref="C1988:R1988"/>
    <mergeCell ref="S1988:U1988"/>
    <mergeCell ref="W1988:AB1988"/>
    <mergeCell ref="AD1988:AI1988"/>
    <mergeCell ref="AM1988:BB1988"/>
    <mergeCell ref="BC1988:BE1988"/>
    <mergeCell ref="BG1988:BL1988"/>
    <mergeCell ref="BN1988:BS1988"/>
    <mergeCell ref="C1987:R1987"/>
    <mergeCell ref="S1987:U1987"/>
    <mergeCell ref="W1987:AB1987"/>
    <mergeCell ref="AD1987:AI1987"/>
    <mergeCell ref="AM1987:BB1987"/>
    <mergeCell ref="BC1987:BE1987"/>
    <mergeCell ref="BG1985:BL1985"/>
    <mergeCell ref="BN1985:BS1985"/>
    <mergeCell ref="C1986:R1986"/>
    <mergeCell ref="S1986:U1986"/>
    <mergeCell ref="W1986:AB1986"/>
    <mergeCell ref="AD1986:AI1986"/>
    <mergeCell ref="AM1986:BB1986"/>
    <mergeCell ref="BC1986:BE1986"/>
    <mergeCell ref="BG1986:BL1986"/>
    <mergeCell ref="BN1986:BS1986"/>
    <mergeCell ref="C1985:R1985"/>
    <mergeCell ref="S1985:U1985"/>
    <mergeCell ref="W1985:AB1985"/>
    <mergeCell ref="AD1985:AI1985"/>
    <mergeCell ref="AM1985:BB1985"/>
    <mergeCell ref="BC1985:BE1985"/>
    <mergeCell ref="W1991:AB1991"/>
    <mergeCell ref="AD1991:AI1991"/>
    <mergeCell ref="AM1991:BB1991"/>
    <mergeCell ref="BC1991:BE1991"/>
    <mergeCell ref="BG1989:BL1989"/>
    <mergeCell ref="BN1989:BS1989"/>
    <mergeCell ref="C1990:R1990"/>
    <mergeCell ref="S1990:U1990"/>
    <mergeCell ref="W1990:AB1990"/>
    <mergeCell ref="AD1990:AI1990"/>
    <mergeCell ref="AM1990:BB1990"/>
    <mergeCell ref="BC1990:BE1990"/>
    <mergeCell ref="BG1990:BL1990"/>
    <mergeCell ref="BN1990:BS1990"/>
    <mergeCell ref="C1989:R1989"/>
    <mergeCell ref="S1989:U1989"/>
    <mergeCell ref="W1989:AB1989"/>
    <mergeCell ref="AD1989:AI1989"/>
    <mergeCell ref="AM1989:BB1989"/>
    <mergeCell ref="BC1989:BE1989"/>
    <mergeCell ref="C1995:AI1995"/>
    <mergeCell ref="V1979:AJ1979"/>
    <mergeCell ref="A2003:K2003"/>
    <mergeCell ref="N2003:V2003"/>
    <mergeCell ref="BG1993:BL1993"/>
    <mergeCell ref="BN1993:BS1993"/>
    <mergeCell ref="C1994:R1994"/>
    <mergeCell ref="S1994:U1994"/>
    <mergeCell ref="W1994:AB1994"/>
    <mergeCell ref="AD1994:AI1994"/>
    <mergeCell ref="AM1994:BB1994"/>
    <mergeCell ref="BC1994:BE1994"/>
    <mergeCell ref="BG1994:BL1994"/>
    <mergeCell ref="BN1994:BS1994"/>
    <mergeCell ref="C1993:R1993"/>
    <mergeCell ref="S1993:U1993"/>
    <mergeCell ref="W1993:AB1993"/>
    <mergeCell ref="AD1993:AI1993"/>
    <mergeCell ref="AM1993:BB1993"/>
    <mergeCell ref="BC1993:BE1993"/>
    <mergeCell ref="BG1991:BL1991"/>
    <mergeCell ref="BN1991:BS1991"/>
    <mergeCell ref="C1992:R1992"/>
    <mergeCell ref="S1992:U1992"/>
    <mergeCell ref="W1992:AB1992"/>
    <mergeCell ref="AD1992:AI1992"/>
    <mergeCell ref="AM1992:BB1992"/>
    <mergeCell ref="BC1992:BE1992"/>
    <mergeCell ref="BG1992:BL1992"/>
    <mergeCell ref="BN1992:BS1992"/>
    <mergeCell ref="C1991:R1991"/>
    <mergeCell ref="S1991:U1991"/>
  </mergeCells>
  <conditionalFormatting sqref="BV1:BX7 BV26:BX28 BX34 BX36 BV39:BX44 BX111:BX113 BX116:BX126 BX133:BX134 BX137:BX169 BX220:BX221 BX242:BX246 BX252:BX261 BX264:BX267 BX293 BX296:BX306 BX309:BX312 BX315:BX351 BX359 BX366 BX368 BX388:BX389 BX399:BX405 BX407:BX419 BX428:BX434 BX179:BX180 BX69:BX85 BX184:BX188 BX223 BX225:BX228 BX230:BX232 BX476:BX486 BX550:BX551 BX599:BX610 BX743:BX745 BX917:BX932 BX936:BX938 BX961:BX963 BX1014:BX1016 BX1096:BX1110 BX1170:BX1173 BX558:BX560 BX1031:BX1038 BX1114:BX1136 BX1250:BX1254 BX1388:BX1398 BX1403 BX1405:BX1433 BX1726:BX1731 BX527:BX545 BX979:BX1005 BX23:BX25 BX8:BX18 BX29 BV48:BX48 BX45:BX47 BV50:BX50 BX49 BV54:BX63 BX51:BX52 BX462:BX474 BV462:BW486 BV1724:BW1731 BV1734:BX1740 BX553:BX554 BX694:BX741 BV1633:BX1649 BV1877:BX1885 BV1888:BX1949 BV553:BW568 BX1061:BX1092 BV1716:BX1721 BX64:BX67 BX370:BX380 BV102:BW459 BV598:BW610 BX747:BX913 BV694:BW913 BV916:BW932 BV935:BW938 BV940:BW1005 BX940:BX949 BV1055:BW1092 BV1095:BW1110 BV1113:BW1136 BV1169:BW1173 BV1249:BW1254 BV1256:BX1279 BX1280:BX1375 BX1378:BX1385 BV1742:BX1747 BX1018:BX1029 BV1018:BW1046 BV1175:BX1246 BV1280:BW1433 BX630:BX639 BV629:BW639 BX1487:BX1563 BV1631:BX1631 BV1651:BX1659 BV1661:BX1714 BV64:BW95 BV97:BW100 BX438:BX459 BV1436:BX1456 BX501:BX502 BV495:BW502 BV506:BW545 BX506:BX525 BX548 BV548:BW551 BV570:BW570 BX579:BX592 BV578:BW592 BV613:BX626 BV641:BX654 BV1012:BW1016 BX1012 BX1145:BX1166 BV1144:BW1166 BV1461:BW1563 BX1461:BX1485 BV1607:BX1620 BV1624:BX1627 BV1759:BX1794 BV1796:BX1874 BV1951:BW1972 BX1951 BV575:BW575 BV595:BX595 BV1052:BW1052 BV667:BX676 BV686:BX691 BV1749:BX1756 BW1757:BX1757 BZ1757 BV1565:BX1604 BV1996:BW1048576 BX1967:BX1972 BV1973:BX1979">
    <cfRule type="cellIs" dxfId="1016" priority="929" stopIfTrue="1" operator="notEqual">
      <formula>0</formula>
    </cfRule>
  </conditionalFormatting>
  <conditionalFormatting sqref="BX1973">
    <cfRule type="cellIs" dxfId="1015" priority="928" stopIfTrue="1" operator="notEqual">
      <formula>0</formula>
    </cfRule>
  </conditionalFormatting>
  <conditionalFormatting sqref="BX1968:BX1972">
    <cfRule type="cellIs" dxfId="1014" priority="927" stopIfTrue="1" operator="notEqual">
      <formula>0</formula>
    </cfRule>
  </conditionalFormatting>
  <conditionalFormatting sqref="BX1766:BX1767 BX1771:BX1777 BX1780:BX1781 BX1793:BX1794 BX1854 BX1769">
    <cfRule type="cellIs" dxfId="1013" priority="926" stopIfTrue="1" operator="notEqual">
      <formula>0</formula>
    </cfRule>
  </conditionalFormatting>
  <conditionalFormatting sqref="BX1770">
    <cfRule type="cellIs" dxfId="1012" priority="925" stopIfTrue="1" operator="notEqual">
      <formula>0</formula>
    </cfRule>
  </conditionalFormatting>
  <conditionalFormatting sqref="BX1778">
    <cfRule type="cellIs" dxfId="1011" priority="924" stopIfTrue="1" operator="notEqual">
      <formula>0</formula>
    </cfRule>
  </conditionalFormatting>
  <conditionalFormatting sqref="BX1779">
    <cfRule type="cellIs" dxfId="1010" priority="923" stopIfTrue="1" operator="notEqual">
      <formula>0</formula>
    </cfRule>
  </conditionalFormatting>
  <conditionalFormatting sqref="BX1782">
    <cfRule type="cellIs" dxfId="1009" priority="922" stopIfTrue="1" operator="notEqual">
      <formula>0</formula>
    </cfRule>
  </conditionalFormatting>
  <conditionalFormatting sqref="BX1783">
    <cfRule type="cellIs" dxfId="1008" priority="921" stopIfTrue="1" operator="notEqual">
      <formula>0</formula>
    </cfRule>
  </conditionalFormatting>
  <conditionalFormatting sqref="BX1792">
    <cfRule type="cellIs" dxfId="1007" priority="920" stopIfTrue="1" operator="notEqual">
      <formula>0</formula>
    </cfRule>
  </conditionalFormatting>
  <conditionalFormatting sqref="BX1796">
    <cfRule type="cellIs" dxfId="1006" priority="919" stopIfTrue="1" operator="notEqual">
      <formula>0</formula>
    </cfRule>
  </conditionalFormatting>
  <conditionalFormatting sqref="BX1797">
    <cfRule type="cellIs" dxfId="1005" priority="918" stopIfTrue="1" operator="notEqual">
      <formula>0</formula>
    </cfRule>
  </conditionalFormatting>
  <conditionalFormatting sqref="BX1798">
    <cfRule type="cellIs" dxfId="1004" priority="917" stopIfTrue="1" operator="notEqual">
      <formula>0</formula>
    </cfRule>
  </conditionalFormatting>
  <conditionalFormatting sqref="BX1799">
    <cfRule type="cellIs" dxfId="1003" priority="916" stopIfTrue="1" operator="notEqual">
      <formula>0</formula>
    </cfRule>
  </conditionalFormatting>
  <conditionalFormatting sqref="BX1800">
    <cfRule type="cellIs" dxfId="1002" priority="915" stopIfTrue="1" operator="notEqual">
      <formula>0</formula>
    </cfRule>
  </conditionalFormatting>
  <conditionalFormatting sqref="BX1801">
    <cfRule type="cellIs" dxfId="1001" priority="914" stopIfTrue="1" operator="notEqual">
      <formula>0</formula>
    </cfRule>
  </conditionalFormatting>
  <conditionalFormatting sqref="BX1802">
    <cfRule type="cellIs" dxfId="1000" priority="913" stopIfTrue="1" operator="notEqual">
      <formula>0</formula>
    </cfRule>
  </conditionalFormatting>
  <conditionalFormatting sqref="BX1803">
    <cfRule type="cellIs" dxfId="999" priority="912" stopIfTrue="1" operator="notEqual">
      <formula>0</formula>
    </cfRule>
  </conditionalFormatting>
  <conditionalFormatting sqref="BX1804">
    <cfRule type="cellIs" dxfId="998" priority="911" stopIfTrue="1" operator="notEqual">
      <formula>0</formula>
    </cfRule>
  </conditionalFormatting>
  <conditionalFormatting sqref="BX1805">
    <cfRule type="cellIs" dxfId="997" priority="910" stopIfTrue="1" operator="notEqual">
      <formula>0</formula>
    </cfRule>
  </conditionalFormatting>
  <conditionalFormatting sqref="BX1806">
    <cfRule type="cellIs" dxfId="996" priority="909" stopIfTrue="1" operator="notEqual">
      <formula>0</formula>
    </cfRule>
  </conditionalFormatting>
  <conditionalFormatting sqref="BX1807">
    <cfRule type="cellIs" dxfId="995" priority="908" stopIfTrue="1" operator="notEqual">
      <formula>0</formula>
    </cfRule>
  </conditionalFormatting>
  <conditionalFormatting sqref="BX1808">
    <cfRule type="cellIs" dxfId="994" priority="907" stopIfTrue="1" operator="notEqual">
      <formula>0</formula>
    </cfRule>
  </conditionalFormatting>
  <conditionalFormatting sqref="BX1809">
    <cfRule type="cellIs" dxfId="993" priority="906" stopIfTrue="1" operator="notEqual">
      <formula>0</formula>
    </cfRule>
  </conditionalFormatting>
  <conditionalFormatting sqref="BX1810">
    <cfRule type="cellIs" dxfId="992" priority="905" stopIfTrue="1" operator="notEqual">
      <formula>0</formula>
    </cfRule>
  </conditionalFormatting>
  <conditionalFormatting sqref="BX1811">
    <cfRule type="cellIs" dxfId="991" priority="904" stopIfTrue="1" operator="notEqual">
      <formula>0</formula>
    </cfRule>
  </conditionalFormatting>
  <conditionalFormatting sqref="BX1812">
    <cfRule type="cellIs" dxfId="990" priority="903" stopIfTrue="1" operator="notEqual">
      <formula>0</formula>
    </cfRule>
  </conditionalFormatting>
  <conditionalFormatting sqref="BX1813">
    <cfRule type="cellIs" dxfId="989" priority="902" stopIfTrue="1" operator="notEqual">
      <formula>0</formula>
    </cfRule>
  </conditionalFormatting>
  <conditionalFormatting sqref="BX1849">
    <cfRule type="cellIs" dxfId="988" priority="901" stopIfTrue="1" operator="notEqual">
      <formula>0</formula>
    </cfRule>
  </conditionalFormatting>
  <conditionalFormatting sqref="BX1853">
    <cfRule type="cellIs" dxfId="987" priority="900" stopIfTrue="1" operator="notEqual">
      <formula>0</formula>
    </cfRule>
  </conditionalFormatting>
  <conditionalFormatting sqref="BX1845">
    <cfRule type="cellIs" dxfId="986" priority="899" stopIfTrue="1" operator="notEqual">
      <formula>0</formula>
    </cfRule>
  </conditionalFormatting>
  <conditionalFormatting sqref="BX1846">
    <cfRule type="cellIs" dxfId="985" priority="898" stopIfTrue="1" operator="notEqual">
      <formula>0</formula>
    </cfRule>
  </conditionalFormatting>
  <conditionalFormatting sqref="BX1843">
    <cfRule type="cellIs" dxfId="984" priority="897" stopIfTrue="1" operator="notEqual">
      <formula>0</formula>
    </cfRule>
  </conditionalFormatting>
  <conditionalFormatting sqref="BX1844">
    <cfRule type="cellIs" dxfId="983" priority="896" stopIfTrue="1" operator="notEqual">
      <formula>0</formula>
    </cfRule>
  </conditionalFormatting>
  <conditionalFormatting sqref="BX1841">
    <cfRule type="cellIs" dxfId="982" priority="895" stopIfTrue="1" operator="notEqual">
      <formula>0</formula>
    </cfRule>
  </conditionalFormatting>
  <conditionalFormatting sqref="BX1842">
    <cfRule type="cellIs" dxfId="981" priority="894" stopIfTrue="1" operator="notEqual">
      <formula>0</formula>
    </cfRule>
  </conditionalFormatting>
  <conditionalFormatting sqref="BX1839">
    <cfRule type="cellIs" dxfId="980" priority="893" stopIfTrue="1" operator="notEqual">
      <formula>0</formula>
    </cfRule>
  </conditionalFormatting>
  <conditionalFormatting sqref="BX1840">
    <cfRule type="cellIs" dxfId="979" priority="892" stopIfTrue="1" operator="notEqual">
      <formula>0</formula>
    </cfRule>
  </conditionalFormatting>
  <conditionalFormatting sqref="BX1837">
    <cfRule type="cellIs" dxfId="978" priority="891" stopIfTrue="1" operator="notEqual">
      <formula>0</formula>
    </cfRule>
  </conditionalFormatting>
  <conditionalFormatting sqref="BX1838">
    <cfRule type="cellIs" dxfId="977" priority="890" stopIfTrue="1" operator="notEqual">
      <formula>0</formula>
    </cfRule>
  </conditionalFormatting>
  <conditionalFormatting sqref="BX1835">
    <cfRule type="cellIs" dxfId="976" priority="889" stopIfTrue="1" operator="notEqual">
      <formula>0</formula>
    </cfRule>
  </conditionalFormatting>
  <conditionalFormatting sqref="BX1836">
    <cfRule type="cellIs" dxfId="975" priority="888" stopIfTrue="1" operator="notEqual">
      <formula>0</formula>
    </cfRule>
  </conditionalFormatting>
  <conditionalFormatting sqref="BX1833">
    <cfRule type="cellIs" dxfId="974" priority="887" stopIfTrue="1" operator="notEqual">
      <formula>0</formula>
    </cfRule>
  </conditionalFormatting>
  <conditionalFormatting sqref="BX1834">
    <cfRule type="cellIs" dxfId="973" priority="886" stopIfTrue="1" operator="notEqual">
      <formula>0</formula>
    </cfRule>
  </conditionalFormatting>
  <conditionalFormatting sqref="BX1847">
    <cfRule type="cellIs" dxfId="972" priority="885" stopIfTrue="1" operator="notEqual">
      <formula>0</formula>
    </cfRule>
  </conditionalFormatting>
  <conditionalFormatting sqref="BX1848">
    <cfRule type="cellIs" dxfId="971" priority="884" stopIfTrue="1" operator="notEqual">
      <formula>0</formula>
    </cfRule>
  </conditionalFormatting>
  <conditionalFormatting sqref="BX1852">
    <cfRule type="cellIs" dxfId="970" priority="883" stopIfTrue="1" operator="notEqual">
      <formula>0</formula>
    </cfRule>
  </conditionalFormatting>
  <conditionalFormatting sqref="BX1851">
    <cfRule type="cellIs" dxfId="969" priority="882" stopIfTrue="1" operator="notEqual">
      <formula>0</formula>
    </cfRule>
  </conditionalFormatting>
  <conditionalFormatting sqref="BX1850">
    <cfRule type="cellIs" dxfId="968" priority="881" stopIfTrue="1" operator="notEqual">
      <formula>0</formula>
    </cfRule>
  </conditionalFormatting>
  <conditionalFormatting sqref="BX1830">
    <cfRule type="cellIs" dxfId="967" priority="880" stopIfTrue="1" operator="notEqual">
      <formula>0</formula>
    </cfRule>
  </conditionalFormatting>
  <conditionalFormatting sqref="BX1824">
    <cfRule type="cellIs" dxfId="966" priority="879" stopIfTrue="1" operator="notEqual">
      <formula>0</formula>
    </cfRule>
  </conditionalFormatting>
  <conditionalFormatting sqref="BX1825">
    <cfRule type="cellIs" dxfId="965" priority="878" stopIfTrue="1" operator="notEqual">
      <formula>0</formula>
    </cfRule>
  </conditionalFormatting>
  <conditionalFormatting sqref="BX1822">
    <cfRule type="cellIs" dxfId="964" priority="877" stopIfTrue="1" operator="notEqual">
      <formula>0</formula>
    </cfRule>
  </conditionalFormatting>
  <conditionalFormatting sqref="BX1823">
    <cfRule type="cellIs" dxfId="963" priority="876" stopIfTrue="1" operator="notEqual">
      <formula>0</formula>
    </cfRule>
  </conditionalFormatting>
  <conditionalFormatting sqref="BX1820">
    <cfRule type="cellIs" dxfId="962" priority="875" stopIfTrue="1" operator="notEqual">
      <formula>0</formula>
    </cfRule>
  </conditionalFormatting>
  <conditionalFormatting sqref="BX1821">
    <cfRule type="cellIs" dxfId="961" priority="874" stopIfTrue="1" operator="notEqual">
      <formula>0</formula>
    </cfRule>
  </conditionalFormatting>
  <conditionalFormatting sqref="BX1816">
    <cfRule type="cellIs" dxfId="960" priority="873" stopIfTrue="1" operator="notEqual">
      <formula>0</formula>
    </cfRule>
  </conditionalFormatting>
  <conditionalFormatting sqref="BX1817">
    <cfRule type="cellIs" dxfId="959" priority="872" stopIfTrue="1" operator="notEqual">
      <formula>0</formula>
    </cfRule>
  </conditionalFormatting>
  <conditionalFormatting sqref="BX1814">
    <cfRule type="cellIs" dxfId="958" priority="871" stopIfTrue="1" operator="notEqual">
      <formula>0</formula>
    </cfRule>
  </conditionalFormatting>
  <conditionalFormatting sqref="BX1815">
    <cfRule type="cellIs" dxfId="957" priority="870" stopIfTrue="1" operator="notEqual">
      <formula>0</formula>
    </cfRule>
  </conditionalFormatting>
  <conditionalFormatting sqref="BX1826">
    <cfRule type="cellIs" dxfId="956" priority="869" stopIfTrue="1" operator="notEqual">
      <formula>0</formula>
    </cfRule>
  </conditionalFormatting>
  <conditionalFormatting sqref="BX1829">
    <cfRule type="cellIs" dxfId="955" priority="868" stopIfTrue="1" operator="notEqual">
      <formula>0</formula>
    </cfRule>
  </conditionalFormatting>
  <conditionalFormatting sqref="BX1831">
    <cfRule type="cellIs" dxfId="954" priority="866" stopIfTrue="1" operator="notEqual">
      <formula>0</formula>
    </cfRule>
  </conditionalFormatting>
  <conditionalFormatting sqref="BX1832">
    <cfRule type="cellIs" dxfId="953" priority="867" stopIfTrue="1" operator="notEqual">
      <formula>0</formula>
    </cfRule>
  </conditionalFormatting>
  <conditionalFormatting sqref="BX1819">
    <cfRule type="cellIs" dxfId="952" priority="864" stopIfTrue="1" operator="notEqual">
      <formula>0</formula>
    </cfRule>
  </conditionalFormatting>
  <conditionalFormatting sqref="BX1818">
    <cfRule type="cellIs" dxfId="951" priority="865" stopIfTrue="1" operator="notEqual">
      <formula>0</formula>
    </cfRule>
  </conditionalFormatting>
  <conditionalFormatting sqref="BX1828">
    <cfRule type="cellIs" dxfId="950" priority="863" stopIfTrue="1" operator="notEqual">
      <formula>0</formula>
    </cfRule>
  </conditionalFormatting>
  <conditionalFormatting sqref="BX1827">
    <cfRule type="cellIs" dxfId="949" priority="862" stopIfTrue="1" operator="notEqual">
      <formula>0</formula>
    </cfRule>
  </conditionalFormatting>
  <conditionalFormatting sqref="BX1895">
    <cfRule type="cellIs" dxfId="948" priority="861" stopIfTrue="1" operator="notEqual">
      <formula>0</formula>
    </cfRule>
  </conditionalFormatting>
  <conditionalFormatting sqref="BX466">
    <cfRule type="cellIs" dxfId="947" priority="860" stopIfTrue="1" operator="notEqual">
      <formula>0</formula>
    </cfRule>
  </conditionalFormatting>
  <conditionalFormatting sqref="BX469">
    <cfRule type="cellIs" dxfId="946" priority="859" stopIfTrue="1" operator="notEqual">
      <formula>0</formula>
    </cfRule>
  </conditionalFormatting>
  <conditionalFormatting sqref="BX470">
    <cfRule type="cellIs" dxfId="945" priority="858" stopIfTrue="1" operator="notEqual">
      <formula>0</formula>
    </cfRule>
  </conditionalFormatting>
  <conditionalFormatting sqref="BX471">
    <cfRule type="cellIs" dxfId="944" priority="857" stopIfTrue="1" operator="notEqual">
      <formula>0</formula>
    </cfRule>
  </conditionalFormatting>
  <conditionalFormatting sqref="BX476">
    <cfRule type="cellIs" dxfId="943" priority="856" stopIfTrue="1" operator="notEqual">
      <formula>0</formula>
    </cfRule>
  </conditionalFormatting>
  <conditionalFormatting sqref="BX477">
    <cfRule type="cellIs" dxfId="942" priority="855" stopIfTrue="1" operator="notEqual">
      <formula>0</formula>
    </cfRule>
  </conditionalFormatting>
  <conditionalFormatting sqref="BX478">
    <cfRule type="cellIs" dxfId="941" priority="854" stopIfTrue="1" operator="notEqual">
      <formula>0</formula>
    </cfRule>
  </conditionalFormatting>
  <conditionalFormatting sqref="BX479">
    <cfRule type="cellIs" dxfId="940" priority="853" stopIfTrue="1" operator="notEqual">
      <formula>0</formula>
    </cfRule>
  </conditionalFormatting>
  <conditionalFormatting sqref="BX553">
    <cfRule type="cellIs" dxfId="939" priority="852" stopIfTrue="1" operator="notEqual">
      <formula>0</formula>
    </cfRule>
  </conditionalFormatting>
  <conditionalFormatting sqref="BX554">
    <cfRule type="cellIs" dxfId="938" priority="851" stopIfTrue="1" operator="notEqual">
      <formula>0</formula>
    </cfRule>
  </conditionalFormatting>
  <conditionalFormatting sqref="BX558">
    <cfRule type="cellIs" dxfId="937" priority="850" stopIfTrue="1" operator="notEqual">
      <formula>0</formula>
    </cfRule>
  </conditionalFormatting>
  <conditionalFormatting sqref="BX616">
    <cfRule type="cellIs" dxfId="936" priority="849" stopIfTrue="1" operator="notEqual">
      <formula>0</formula>
    </cfRule>
  </conditionalFormatting>
  <conditionalFormatting sqref="BX617">
    <cfRule type="cellIs" dxfId="935" priority="848" stopIfTrue="1" operator="notEqual">
      <formula>0</formula>
    </cfRule>
  </conditionalFormatting>
  <conditionalFormatting sqref="BX618">
    <cfRule type="cellIs" dxfId="934" priority="847" stopIfTrue="1" operator="notEqual">
      <formula>0</formula>
    </cfRule>
  </conditionalFormatting>
  <conditionalFormatting sqref="BX619">
    <cfRule type="cellIs" dxfId="933" priority="846" stopIfTrue="1" operator="notEqual">
      <formula>0</formula>
    </cfRule>
  </conditionalFormatting>
  <conditionalFormatting sqref="BX620">
    <cfRule type="cellIs" dxfId="932" priority="845" stopIfTrue="1" operator="notEqual">
      <formula>0</formula>
    </cfRule>
  </conditionalFormatting>
  <conditionalFormatting sqref="BX621">
    <cfRule type="cellIs" dxfId="931" priority="844" stopIfTrue="1" operator="notEqual">
      <formula>0</formula>
    </cfRule>
  </conditionalFormatting>
  <conditionalFormatting sqref="BX622">
    <cfRule type="cellIs" dxfId="930" priority="843" stopIfTrue="1" operator="notEqual">
      <formula>0</formula>
    </cfRule>
  </conditionalFormatting>
  <conditionalFormatting sqref="BX623">
    <cfRule type="cellIs" dxfId="929" priority="842" stopIfTrue="1" operator="notEqual">
      <formula>0</formula>
    </cfRule>
  </conditionalFormatting>
  <conditionalFormatting sqref="BX624">
    <cfRule type="cellIs" dxfId="928" priority="841" stopIfTrue="1" operator="notEqual">
      <formula>0</formula>
    </cfRule>
  </conditionalFormatting>
  <conditionalFormatting sqref="BX625">
    <cfRule type="cellIs" dxfId="927" priority="840" stopIfTrue="1" operator="notEqual">
      <formula>0</formula>
    </cfRule>
  </conditionalFormatting>
  <conditionalFormatting sqref="BX626">
    <cfRule type="cellIs" dxfId="926" priority="839" stopIfTrue="1" operator="notEqual">
      <formula>0</formula>
    </cfRule>
  </conditionalFormatting>
  <conditionalFormatting sqref="BX630">
    <cfRule type="cellIs" dxfId="925" priority="838" stopIfTrue="1" operator="notEqual">
      <formula>0</formula>
    </cfRule>
  </conditionalFormatting>
  <conditionalFormatting sqref="BX631">
    <cfRule type="cellIs" dxfId="924" priority="837" stopIfTrue="1" operator="notEqual">
      <formula>0</formula>
    </cfRule>
  </conditionalFormatting>
  <conditionalFormatting sqref="BX632">
    <cfRule type="cellIs" dxfId="923" priority="836" stopIfTrue="1" operator="notEqual">
      <formula>0</formula>
    </cfRule>
  </conditionalFormatting>
  <conditionalFormatting sqref="BX633">
    <cfRule type="cellIs" dxfId="922" priority="835" stopIfTrue="1" operator="notEqual">
      <formula>0</formula>
    </cfRule>
  </conditionalFormatting>
  <conditionalFormatting sqref="BX634">
    <cfRule type="cellIs" dxfId="921" priority="834" stopIfTrue="1" operator="notEqual">
      <formula>0</formula>
    </cfRule>
  </conditionalFormatting>
  <conditionalFormatting sqref="BX635">
    <cfRule type="cellIs" dxfId="920" priority="833" stopIfTrue="1" operator="notEqual">
      <formula>0</formula>
    </cfRule>
  </conditionalFormatting>
  <conditionalFormatting sqref="BX643">
    <cfRule type="cellIs" dxfId="919" priority="832" stopIfTrue="1" operator="notEqual">
      <formula>0</formula>
    </cfRule>
  </conditionalFormatting>
  <conditionalFormatting sqref="BX644">
    <cfRule type="cellIs" dxfId="918" priority="831" stopIfTrue="1" operator="notEqual">
      <formula>0</formula>
    </cfRule>
  </conditionalFormatting>
  <conditionalFormatting sqref="BX645">
    <cfRule type="cellIs" dxfId="917" priority="830" stopIfTrue="1" operator="notEqual">
      <formula>0</formula>
    </cfRule>
  </conditionalFormatting>
  <conditionalFormatting sqref="BX646">
    <cfRule type="cellIs" dxfId="916" priority="829" stopIfTrue="1" operator="notEqual">
      <formula>0</formula>
    </cfRule>
  </conditionalFormatting>
  <conditionalFormatting sqref="BX647">
    <cfRule type="cellIs" dxfId="915" priority="828" stopIfTrue="1" operator="notEqual">
      <formula>0</formula>
    </cfRule>
  </conditionalFormatting>
  <conditionalFormatting sqref="BX648">
    <cfRule type="cellIs" dxfId="914" priority="827" stopIfTrue="1" operator="notEqual">
      <formula>0</formula>
    </cfRule>
  </conditionalFormatting>
  <conditionalFormatting sqref="BX649">
    <cfRule type="cellIs" dxfId="913" priority="826" stopIfTrue="1" operator="notEqual">
      <formula>0</formula>
    </cfRule>
  </conditionalFormatting>
  <conditionalFormatting sqref="BX650:BX651">
    <cfRule type="cellIs" dxfId="912" priority="825" stopIfTrue="1" operator="notEqual">
      <formula>0</formula>
    </cfRule>
  </conditionalFormatting>
  <conditionalFormatting sqref="BX716">
    <cfRule type="cellIs" dxfId="911" priority="824" stopIfTrue="1" operator="notEqual">
      <formula>0</formula>
    </cfRule>
  </conditionalFormatting>
  <conditionalFormatting sqref="BX725">
    <cfRule type="cellIs" dxfId="910" priority="823" stopIfTrue="1" operator="notEqual">
      <formula>0</formula>
    </cfRule>
  </conditionalFormatting>
  <conditionalFormatting sqref="BX726">
    <cfRule type="cellIs" dxfId="909" priority="822" stopIfTrue="1" operator="notEqual">
      <formula>0</formula>
    </cfRule>
  </conditionalFormatting>
  <conditionalFormatting sqref="BX727">
    <cfRule type="cellIs" dxfId="908" priority="821" stopIfTrue="1" operator="notEqual">
      <formula>0</formula>
    </cfRule>
  </conditionalFormatting>
  <conditionalFormatting sqref="BX728">
    <cfRule type="cellIs" dxfId="907" priority="820" stopIfTrue="1" operator="notEqual">
      <formula>0</formula>
    </cfRule>
  </conditionalFormatting>
  <conditionalFormatting sqref="BX729">
    <cfRule type="cellIs" dxfId="906" priority="819" stopIfTrue="1" operator="notEqual">
      <formula>0</formula>
    </cfRule>
  </conditionalFormatting>
  <conditionalFormatting sqref="BX730">
    <cfRule type="cellIs" dxfId="905" priority="818" stopIfTrue="1" operator="notEqual">
      <formula>0</formula>
    </cfRule>
  </conditionalFormatting>
  <conditionalFormatting sqref="BX731">
    <cfRule type="cellIs" dxfId="904" priority="817" stopIfTrue="1" operator="notEqual">
      <formula>0</formula>
    </cfRule>
  </conditionalFormatting>
  <conditionalFormatting sqref="BX735">
    <cfRule type="cellIs" dxfId="903" priority="816" stopIfTrue="1" operator="notEqual">
      <formula>0</formula>
    </cfRule>
  </conditionalFormatting>
  <conditionalFormatting sqref="BX736">
    <cfRule type="cellIs" dxfId="902" priority="815" stopIfTrue="1" operator="notEqual">
      <formula>0</formula>
    </cfRule>
  </conditionalFormatting>
  <conditionalFormatting sqref="BX737">
    <cfRule type="cellIs" dxfId="901" priority="814" stopIfTrue="1" operator="notEqual">
      <formula>0</formula>
    </cfRule>
  </conditionalFormatting>
  <conditionalFormatting sqref="BX738">
    <cfRule type="cellIs" dxfId="900" priority="813" stopIfTrue="1" operator="notEqual">
      <formula>0</formula>
    </cfRule>
  </conditionalFormatting>
  <conditionalFormatting sqref="BX739">
    <cfRule type="cellIs" dxfId="899" priority="812" stopIfTrue="1" operator="notEqual">
      <formula>0</formula>
    </cfRule>
  </conditionalFormatting>
  <conditionalFormatting sqref="BX743">
    <cfRule type="cellIs" dxfId="898" priority="811" stopIfTrue="1" operator="notEqual">
      <formula>0</formula>
    </cfRule>
  </conditionalFormatting>
  <conditionalFormatting sqref="BX845">
    <cfRule type="cellIs" dxfId="897" priority="810" stopIfTrue="1" operator="notEqual">
      <formula>0</formula>
    </cfRule>
  </conditionalFormatting>
  <conditionalFormatting sqref="BX847">
    <cfRule type="cellIs" dxfId="896" priority="809" stopIfTrue="1" operator="notEqual">
      <formula>0</formula>
    </cfRule>
  </conditionalFormatting>
  <conditionalFormatting sqref="BX846">
    <cfRule type="cellIs" dxfId="895" priority="808" stopIfTrue="1" operator="notEqual">
      <formula>0</formula>
    </cfRule>
  </conditionalFormatting>
  <conditionalFormatting sqref="BX900">
    <cfRule type="cellIs" dxfId="894" priority="807" stopIfTrue="1" operator="notEqual">
      <formula>0</formula>
    </cfRule>
  </conditionalFormatting>
  <conditionalFormatting sqref="BX901">
    <cfRule type="cellIs" dxfId="893" priority="806" stopIfTrue="1" operator="notEqual">
      <formula>0</formula>
    </cfRule>
  </conditionalFormatting>
  <conditionalFormatting sqref="BX928">
    <cfRule type="cellIs" dxfId="892" priority="805" stopIfTrue="1" operator="notEqual">
      <formula>0</formula>
    </cfRule>
  </conditionalFormatting>
  <conditionalFormatting sqref="BX929">
    <cfRule type="cellIs" dxfId="891" priority="804" stopIfTrue="1" operator="notEqual">
      <formula>0</formula>
    </cfRule>
  </conditionalFormatting>
  <conditionalFormatting sqref="BX930">
    <cfRule type="cellIs" dxfId="890" priority="803" stopIfTrue="1" operator="notEqual">
      <formula>0</formula>
    </cfRule>
  </conditionalFormatting>
  <conditionalFormatting sqref="BX931">
    <cfRule type="cellIs" dxfId="889" priority="802" stopIfTrue="1" operator="notEqual">
      <formula>0</formula>
    </cfRule>
  </conditionalFormatting>
  <conditionalFormatting sqref="BX936">
    <cfRule type="cellIs" dxfId="888" priority="801" stopIfTrue="1" operator="notEqual">
      <formula>0</formula>
    </cfRule>
  </conditionalFormatting>
  <conditionalFormatting sqref="BX937">
    <cfRule type="cellIs" dxfId="887" priority="800" stopIfTrue="1" operator="notEqual">
      <formula>0</formula>
    </cfRule>
  </conditionalFormatting>
  <conditionalFormatting sqref="BX1012">
    <cfRule type="cellIs" dxfId="886" priority="799" stopIfTrue="1" operator="notEqual">
      <formula>0</formula>
    </cfRule>
  </conditionalFormatting>
  <conditionalFormatting sqref="BX1024">
    <cfRule type="cellIs" dxfId="885" priority="798" stopIfTrue="1" operator="notEqual">
      <formula>0</formula>
    </cfRule>
  </conditionalFormatting>
  <conditionalFormatting sqref="BX1025">
    <cfRule type="cellIs" dxfId="884" priority="797" stopIfTrue="1" operator="notEqual">
      <formula>0</formula>
    </cfRule>
  </conditionalFormatting>
  <conditionalFormatting sqref="BX1026">
    <cfRule type="cellIs" dxfId="883" priority="796" stopIfTrue="1" operator="notEqual">
      <formula>0</formula>
    </cfRule>
  </conditionalFormatting>
  <conditionalFormatting sqref="BX1027">
    <cfRule type="cellIs" dxfId="882" priority="795" stopIfTrue="1" operator="notEqual">
      <formula>0</formula>
    </cfRule>
  </conditionalFormatting>
  <conditionalFormatting sqref="BX1028">
    <cfRule type="cellIs" dxfId="881" priority="794" stopIfTrue="1" operator="notEqual">
      <formula>0</formula>
    </cfRule>
  </conditionalFormatting>
  <conditionalFormatting sqref="BX1029">
    <cfRule type="cellIs" dxfId="880" priority="793" stopIfTrue="1" operator="notEqual">
      <formula>0</formula>
    </cfRule>
  </conditionalFormatting>
  <conditionalFormatting sqref="BX1035">
    <cfRule type="cellIs" dxfId="879" priority="792" stopIfTrue="1" operator="notEqual">
      <formula>0</formula>
    </cfRule>
  </conditionalFormatting>
  <conditionalFormatting sqref="BX1036">
    <cfRule type="cellIs" dxfId="878" priority="791" stopIfTrue="1" operator="notEqual">
      <formula>0</formula>
    </cfRule>
  </conditionalFormatting>
  <conditionalFormatting sqref="BX1037">
    <cfRule type="cellIs" dxfId="877" priority="790" stopIfTrue="1" operator="notEqual">
      <formula>0</formula>
    </cfRule>
  </conditionalFormatting>
  <conditionalFormatting sqref="BX1038">
    <cfRule type="cellIs" dxfId="876" priority="789" stopIfTrue="1" operator="notEqual">
      <formula>0</formula>
    </cfRule>
  </conditionalFormatting>
  <conditionalFormatting sqref="BX1014">
    <cfRule type="cellIs" dxfId="875" priority="788" stopIfTrue="1" operator="notEqual">
      <formula>0</formula>
    </cfRule>
  </conditionalFormatting>
  <conditionalFormatting sqref="BX1015">
    <cfRule type="cellIs" dxfId="874" priority="787" stopIfTrue="1" operator="notEqual">
      <formula>0</formula>
    </cfRule>
  </conditionalFormatting>
  <conditionalFormatting sqref="BX1016">
    <cfRule type="cellIs" dxfId="873" priority="786" stopIfTrue="1" operator="notEqual">
      <formula>0</formula>
    </cfRule>
  </conditionalFormatting>
  <conditionalFormatting sqref="BX1018">
    <cfRule type="cellIs" dxfId="872" priority="785" stopIfTrue="1" operator="notEqual">
      <formula>0</formula>
    </cfRule>
  </conditionalFormatting>
  <conditionalFormatting sqref="BX1019">
    <cfRule type="cellIs" dxfId="871" priority="784" stopIfTrue="1" operator="notEqual">
      <formula>0</formula>
    </cfRule>
  </conditionalFormatting>
  <conditionalFormatting sqref="BX1020">
    <cfRule type="cellIs" dxfId="870" priority="783" stopIfTrue="1" operator="notEqual">
      <formula>0</formula>
    </cfRule>
  </conditionalFormatting>
  <conditionalFormatting sqref="BX1021">
    <cfRule type="cellIs" dxfId="869" priority="782" stopIfTrue="1" operator="notEqual">
      <formula>0</formula>
    </cfRule>
  </conditionalFormatting>
  <conditionalFormatting sqref="BX1022">
    <cfRule type="cellIs" dxfId="868" priority="781" stopIfTrue="1" operator="notEqual">
      <formula>0</formula>
    </cfRule>
  </conditionalFormatting>
  <conditionalFormatting sqref="BX1023">
    <cfRule type="cellIs" dxfId="867" priority="780" stopIfTrue="1" operator="notEqual">
      <formula>0</formula>
    </cfRule>
  </conditionalFormatting>
  <conditionalFormatting sqref="BX1068">
    <cfRule type="cellIs" dxfId="866" priority="779" stopIfTrue="1" operator="notEqual">
      <formula>0</formula>
    </cfRule>
  </conditionalFormatting>
  <conditionalFormatting sqref="BX1069">
    <cfRule type="cellIs" dxfId="865" priority="778" stopIfTrue="1" operator="notEqual">
      <formula>0</formula>
    </cfRule>
  </conditionalFormatting>
  <conditionalFormatting sqref="BX1070">
    <cfRule type="cellIs" dxfId="864" priority="777" stopIfTrue="1" operator="notEqual">
      <formula>0</formula>
    </cfRule>
  </conditionalFormatting>
  <conditionalFormatting sqref="BX1071">
    <cfRule type="cellIs" dxfId="863" priority="776" stopIfTrue="1" operator="notEqual">
      <formula>0</formula>
    </cfRule>
  </conditionalFormatting>
  <conditionalFormatting sqref="BX1072">
    <cfRule type="cellIs" dxfId="862" priority="775" stopIfTrue="1" operator="notEqual">
      <formula>0</formula>
    </cfRule>
  </conditionalFormatting>
  <conditionalFormatting sqref="BX1073">
    <cfRule type="cellIs" dxfId="861" priority="774" stopIfTrue="1" operator="notEqual">
      <formula>0</formula>
    </cfRule>
  </conditionalFormatting>
  <conditionalFormatting sqref="BX1074">
    <cfRule type="cellIs" dxfId="860" priority="773" stopIfTrue="1" operator="notEqual">
      <formula>0</formula>
    </cfRule>
  </conditionalFormatting>
  <conditionalFormatting sqref="BX1075">
    <cfRule type="cellIs" dxfId="859" priority="772" stopIfTrue="1" operator="notEqual">
      <formula>0</formula>
    </cfRule>
  </conditionalFormatting>
  <conditionalFormatting sqref="BX1076">
    <cfRule type="cellIs" dxfId="858" priority="771" stopIfTrue="1" operator="notEqual">
      <formula>0</formula>
    </cfRule>
  </conditionalFormatting>
  <conditionalFormatting sqref="BX1077">
    <cfRule type="cellIs" dxfId="857" priority="770" stopIfTrue="1" operator="notEqual">
      <formula>0</formula>
    </cfRule>
  </conditionalFormatting>
  <conditionalFormatting sqref="BX1078">
    <cfRule type="cellIs" dxfId="856" priority="769" stopIfTrue="1" operator="notEqual">
      <formula>0</formula>
    </cfRule>
  </conditionalFormatting>
  <conditionalFormatting sqref="BX1079">
    <cfRule type="cellIs" dxfId="855" priority="768" stopIfTrue="1" operator="notEqual">
      <formula>0</formula>
    </cfRule>
  </conditionalFormatting>
  <conditionalFormatting sqref="BX1088">
    <cfRule type="cellIs" dxfId="854" priority="767" stopIfTrue="1" operator="notEqual">
      <formula>0</formula>
    </cfRule>
  </conditionalFormatting>
  <conditionalFormatting sqref="BX1090">
    <cfRule type="cellIs" dxfId="853" priority="766" stopIfTrue="1" operator="notEqual">
      <formula>0</formula>
    </cfRule>
  </conditionalFormatting>
  <conditionalFormatting sqref="BX1091">
    <cfRule type="cellIs" dxfId="852" priority="765" stopIfTrue="1" operator="notEqual">
      <formula>0</formula>
    </cfRule>
  </conditionalFormatting>
  <conditionalFormatting sqref="BX1092">
    <cfRule type="cellIs" dxfId="851" priority="764" stopIfTrue="1" operator="notEqual">
      <formula>0</formula>
    </cfRule>
  </conditionalFormatting>
  <conditionalFormatting sqref="BX1096">
    <cfRule type="cellIs" dxfId="850" priority="763" stopIfTrue="1" operator="notEqual">
      <formula>0</formula>
    </cfRule>
  </conditionalFormatting>
  <conditionalFormatting sqref="BX1164">
    <cfRule type="cellIs" dxfId="849" priority="762" stopIfTrue="1" operator="notEqual">
      <formula>0</formula>
    </cfRule>
  </conditionalFormatting>
  <conditionalFormatting sqref="BX1165">
    <cfRule type="cellIs" dxfId="848" priority="761" stopIfTrue="1" operator="notEqual">
      <formula>0</formula>
    </cfRule>
  </conditionalFormatting>
  <conditionalFormatting sqref="BX1166">
    <cfRule type="cellIs" dxfId="847" priority="760" stopIfTrue="1" operator="notEqual">
      <formula>0</formula>
    </cfRule>
  </conditionalFormatting>
  <conditionalFormatting sqref="BX1170">
    <cfRule type="cellIs" dxfId="846" priority="759" stopIfTrue="1" operator="notEqual">
      <formula>0</formula>
    </cfRule>
  </conditionalFormatting>
  <conditionalFormatting sqref="BX1171">
    <cfRule type="cellIs" dxfId="845" priority="758" stopIfTrue="1" operator="notEqual">
      <formula>0</formula>
    </cfRule>
  </conditionalFormatting>
  <conditionalFormatting sqref="BX1172">
    <cfRule type="cellIs" dxfId="844" priority="757" stopIfTrue="1" operator="notEqual">
      <formula>0</formula>
    </cfRule>
  </conditionalFormatting>
  <conditionalFormatting sqref="BX1173">
    <cfRule type="cellIs" dxfId="843" priority="756" stopIfTrue="1" operator="notEqual">
      <formula>0</formula>
    </cfRule>
  </conditionalFormatting>
  <conditionalFormatting sqref="BX1177">
    <cfRule type="cellIs" dxfId="842" priority="753" stopIfTrue="1" operator="notEqual">
      <formula>0</formula>
    </cfRule>
  </conditionalFormatting>
  <conditionalFormatting sqref="BX1175">
    <cfRule type="cellIs" dxfId="841" priority="755" stopIfTrue="1" operator="notEqual">
      <formula>0</formula>
    </cfRule>
  </conditionalFormatting>
  <conditionalFormatting sqref="BX1176">
    <cfRule type="cellIs" dxfId="840" priority="754" stopIfTrue="1" operator="notEqual">
      <formula>0</formula>
    </cfRule>
  </conditionalFormatting>
  <conditionalFormatting sqref="BX1362">
    <cfRule type="cellIs" dxfId="839" priority="749" stopIfTrue="1" operator="notEqual">
      <formula>0</formula>
    </cfRule>
  </conditionalFormatting>
  <conditionalFormatting sqref="BX1178">
    <cfRule type="cellIs" dxfId="838" priority="752" stopIfTrue="1" operator="notEqual">
      <formula>0</formula>
    </cfRule>
  </conditionalFormatting>
  <conditionalFormatting sqref="BX1179">
    <cfRule type="cellIs" dxfId="837" priority="751" stopIfTrue="1" operator="notEqual">
      <formula>0</formula>
    </cfRule>
  </conditionalFormatting>
  <conditionalFormatting sqref="BX1361">
    <cfRule type="cellIs" dxfId="836" priority="750" stopIfTrue="1" operator="notEqual">
      <formula>0</formula>
    </cfRule>
  </conditionalFormatting>
  <conditionalFormatting sqref="BX1364">
    <cfRule type="cellIs" dxfId="835" priority="748" stopIfTrue="1" operator="notEqual">
      <formula>0</formula>
    </cfRule>
  </conditionalFormatting>
  <conditionalFormatting sqref="BX1365">
    <cfRule type="cellIs" dxfId="834" priority="747" stopIfTrue="1" operator="notEqual">
      <formula>0</formula>
    </cfRule>
  </conditionalFormatting>
  <conditionalFormatting sqref="BX1366">
    <cfRule type="cellIs" dxfId="833" priority="746" stopIfTrue="1" operator="notEqual">
      <formula>0</formula>
    </cfRule>
  </conditionalFormatting>
  <conditionalFormatting sqref="BX1367">
    <cfRule type="cellIs" dxfId="832" priority="745" stopIfTrue="1" operator="notEqual">
      <formula>0</formula>
    </cfRule>
  </conditionalFormatting>
  <conditionalFormatting sqref="BX1381">
    <cfRule type="cellIs" dxfId="831" priority="744" stopIfTrue="1" operator="notEqual">
      <formula>0</formula>
    </cfRule>
  </conditionalFormatting>
  <conditionalFormatting sqref="BX1382">
    <cfRule type="cellIs" dxfId="830" priority="743" stopIfTrue="1" operator="notEqual">
      <formula>0</formula>
    </cfRule>
  </conditionalFormatting>
  <conditionalFormatting sqref="BX1383">
    <cfRule type="cellIs" dxfId="829" priority="742" stopIfTrue="1" operator="notEqual">
      <formula>0</formula>
    </cfRule>
  </conditionalFormatting>
  <conditionalFormatting sqref="BX1398">
    <cfRule type="cellIs" dxfId="828" priority="741" stopIfTrue="1" operator="notEqual">
      <formula>0</formula>
    </cfRule>
  </conditionalFormatting>
  <conditionalFormatting sqref="BX1403">
    <cfRule type="cellIs" dxfId="827" priority="740" stopIfTrue="1" operator="notEqual">
      <formula>0</formula>
    </cfRule>
  </conditionalFormatting>
  <conditionalFormatting sqref="BX1405">
    <cfRule type="cellIs" dxfId="826" priority="739" stopIfTrue="1" operator="notEqual">
      <formula>0</formula>
    </cfRule>
  </conditionalFormatting>
  <conditionalFormatting sqref="BX1406">
    <cfRule type="cellIs" dxfId="825" priority="738" stopIfTrue="1" operator="notEqual">
      <formula>0</formula>
    </cfRule>
  </conditionalFormatting>
  <conditionalFormatting sqref="BX1384">
    <cfRule type="cellIs" dxfId="824" priority="737" stopIfTrue="1" operator="notEqual">
      <formula>0</formula>
    </cfRule>
  </conditionalFormatting>
  <conditionalFormatting sqref="BX1385">
    <cfRule type="cellIs" dxfId="823" priority="736" stopIfTrue="1" operator="notEqual">
      <formula>0</formula>
    </cfRule>
  </conditionalFormatting>
  <conditionalFormatting sqref="BX1390">
    <cfRule type="cellIs" dxfId="822" priority="735" stopIfTrue="1" operator="notEqual">
      <formula>0</formula>
    </cfRule>
  </conditionalFormatting>
  <conditionalFormatting sqref="BX1393">
    <cfRule type="cellIs" dxfId="821" priority="734" stopIfTrue="1" operator="notEqual">
      <formula>0</formula>
    </cfRule>
  </conditionalFormatting>
  <conditionalFormatting sqref="BX1394">
    <cfRule type="cellIs" dxfId="820" priority="733" stopIfTrue="1" operator="notEqual">
      <formula>0</formula>
    </cfRule>
  </conditionalFormatting>
  <conditionalFormatting sqref="BX1395">
    <cfRule type="cellIs" dxfId="819" priority="732" stopIfTrue="1" operator="notEqual">
      <formula>0</formula>
    </cfRule>
  </conditionalFormatting>
  <conditionalFormatting sqref="BX1396">
    <cfRule type="cellIs" dxfId="818" priority="731" stopIfTrue="1" operator="notEqual">
      <formula>0</formula>
    </cfRule>
  </conditionalFormatting>
  <conditionalFormatting sqref="BX1397">
    <cfRule type="cellIs" dxfId="817" priority="730" stopIfTrue="1" operator="notEqual">
      <formula>0</formula>
    </cfRule>
  </conditionalFormatting>
  <conditionalFormatting sqref="BX1388">
    <cfRule type="cellIs" dxfId="816" priority="729" stopIfTrue="1" operator="notEqual">
      <formula>0</formula>
    </cfRule>
  </conditionalFormatting>
  <conditionalFormatting sqref="BX1389">
    <cfRule type="cellIs" dxfId="815" priority="728" stopIfTrue="1" operator="notEqual">
      <formula>0</formula>
    </cfRule>
  </conditionalFormatting>
  <conditionalFormatting sqref="BX1408">
    <cfRule type="cellIs" dxfId="814" priority="727" stopIfTrue="1" operator="notEqual">
      <formula>0</formula>
    </cfRule>
  </conditionalFormatting>
  <conditionalFormatting sqref="BX1427">
    <cfRule type="cellIs" dxfId="813" priority="726" stopIfTrue="1" operator="notEqual">
      <formula>0</formula>
    </cfRule>
  </conditionalFormatting>
  <conditionalFormatting sqref="BX1428">
    <cfRule type="cellIs" dxfId="812" priority="725" stopIfTrue="1" operator="notEqual">
      <formula>0</formula>
    </cfRule>
  </conditionalFormatting>
  <conditionalFormatting sqref="BX1429">
    <cfRule type="cellIs" dxfId="811" priority="724" stopIfTrue="1" operator="notEqual">
      <formula>0</formula>
    </cfRule>
  </conditionalFormatting>
  <conditionalFormatting sqref="BX1430">
    <cfRule type="cellIs" dxfId="810" priority="723" stopIfTrue="1" operator="notEqual">
      <formula>0</formula>
    </cfRule>
  </conditionalFormatting>
  <conditionalFormatting sqref="BX1431">
    <cfRule type="cellIs" dxfId="809" priority="722" stopIfTrue="1" operator="notEqual">
      <formula>0</formula>
    </cfRule>
  </conditionalFormatting>
  <conditionalFormatting sqref="BX1433">
    <cfRule type="cellIs" dxfId="808" priority="721" stopIfTrue="1" operator="notEqual">
      <formula>0</formula>
    </cfRule>
  </conditionalFormatting>
  <conditionalFormatting sqref="BX1438">
    <cfRule type="cellIs" dxfId="807" priority="720" stopIfTrue="1" operator="notEqual">
      <formula>0</formula>
    </cfRule>
  </conditionalFormatting>
  <conditionalFormatting sqref="BX1439">
    <cfRule type="cellIs" dxfId="806" priority="719" stopIfTrue="1" operator="notEqual">
      <formula>0</formula>
    </cfRule>
  </conditionalFormatting>
  <conditionalFormatting sqref="BX1440">
    <cfRule type="cellIs" dxfId="805" priority="718" stopIfTrue="1" operator="notEqual">
      <formula>0</formula>
    </cfRule>
  </conditionalFormatting>
  <conditionalFormatting sqref="BX1441">
    <cfRule type="cellIs" dxfId="804" priority="717" stopIfTrue="1" operator="notEqual">
      <formula>0</formula>
    </cfRule>
  </conditionalFormatting>
  <conditionalFormatting sqref="BX1442">
    <cfRule type="cellIs" dxfId="803" priority="716" stopIfTrue="1" operator="notEqual">
      <formula>0</formula>
    </cfRule>
  </conditionalFormatting>
  <conditionalFormatting sqref="BX1443">
    <cfRule type="cellIs" dxfId="802" priority="715" stopIfTrue="1" operator="notEqual">
      <formula>0</formula>
    </cfRule>
  </conditionalFormatting>
  <conditionalFormatting sqref="BX1444">
    <cfRule type="cellIs" dxfId="801" priority="714" stopIfTrue="1" operator="notEqual">
      <formula>0</formula>
    </cfRule>
  </conditionalFormatting>
  <conditionalFormatting sqref="BX1445">
    <cfRule type="cellIs" dxfId="800" priority="713" stopIfTrue="1" operator="notEqual">
      <formula>0</formula>
    </cfRule>
  </conditionalFormatting>
  <conditionalFormatting sqref="BX1446">
    <cfRule type="cellIs" dxfId="799" priority="712" stopIfTrue="1" operator="notEqual">
      <formula>0</formula>
    </cfRule>
  </conditionalFormatting>
  <conditionalFormatting sqref="BX1449">
    <cfRule type="cellIs" dxfId="798" priority="711" stopIfTrue="1" operator="notEqual">
      <formula>0</formula>
    </cfRule>
  </conditionalFormatting>
  <conditionalFormatting sqref="BX1450">
    <cfRule type="cellIs" dxfId="797" priority="710" stopIfTrue="1" operator="notEqual">
      <formula>0</formula>
    </cfRule>
  </conditionalFormatting>
  <conditionalFormatting sqref="BX1451">
    <cfRule type="cellIs" dxfId="796" priority="709" stopIfTrue="1" operator="notEqual">
      <formula>0</formula>
    </cfRule>
  </conditionalFormatting>
  <conditionalFormatting sqref="BX1452">
    <cfRule type="cellIs" dxfId="795" priority="708" stopIfTrue="1" operator="notEqual">
      <formula>0</formula>
    </cfRule>
  </conditionalFormatting>
  <conditionalFormatting sqref="BX1476">
    <cfRule type="cellIs" dxfId="794" priority="707" stopIfTrue="1" operator="notEqual">
      <formula>0</formula>
    </cfRule>
  </conditionalFormatting>
  <conditionalFormatting sqref="BX1477">
    <cfRule type="cellIs" dxfId="793" priority="706" stopIfTrue="1" operator="notEqual">
      <formula>0</formula>
    </cfRule>
  </conditionalFormatting>
  <conditionalFormatting sqref="BX1478">
    <cfRule type="cellIs" dxfId="792" priority="705" stopIfTrue="1" operator="notEqual">
      <formula>0</formula>
    </cfRule>
  </conditionalFormatting>
  <conditionalFormatting sqref="BX1479">
    <cfRule type="cellIs" dxfId="791" priority="704" stopIfTrue="1" operator="notEqual">
      <formula>0</formula>
    </cfRule>
  </conditionalFormatting>
  <conditionalFormatting sqref="BX1481">
    <cfRule type="cellIs" dxfId="790" priority="703" stopIfTrue="1" operator="notEqual">
      <formula>0</formula>
    </cfRule>
  </conditionalFormatting>
  <conditionalFormatting sqref="BX1482">
    <cfRule type="cellIs" dxfId="789" priority="702" stopIfTrue="1" operator="notEqual">
      <formula>0</formula>
    </cfRule>
  </conditionalFormatting>
  <conditionalFormatting sqref="BX1483">
    <cfRule type="cellIs" dxfId="788" priority="701" stopIfTrue="1" operator="notEqual">
      <formula>0</formula>
    </cfRule>
  </conditionalFormatting>
  <conditionalFormatting sqref="BX1484">
    <cfRule type="cellIs" dxfId="787" priority="700" stopIfTrue="1" operator="notEqual">
      <formula>0</formula>
    </cfRule>
  </conditionalFormatting>
  <conditionalFormatting sqref="BX1506">
    <cfRule type="cellIs" dxfId="786" priority="699" stopIfTrue="1" operator="notEqual">
      <formula>0</formula>
    </cfRule>
  </conditionalFormatting>
  <conditionalFormatting sqref="BX1507">
    <cfRule type="cellIs" dxfId="785" priority="698" stopIfTrue="1" operator="notEqual">
      <formula>0</formula>
    </cfRule>
  </conditionalFormatting>
  <conditionalFormatting sqref="BX1508">
    <cfRule type="cellIs" dxfId="784" priority="697" stopIfTrue="1" operator="notEqual">
      <formula>0</formula>
    </cfRule>
  </conditionalFormatting>
  <conditionalFormatting sqref="BX1509">
    <cfRule type="cellIs" dxfId="783" priority="696" stopIfTrue="1" operator="notEqual">
      <formula>0</formula>
    </cfRule>
  </conditionalFormatting>
  <conditionalFormatting sqref="BX1510">
    <cfRule type="cellIs" dxfId="782" priority="695" stopIfTrue="1" operator="notEqual">
      <formula>0</formula>
    </cfRule>
  </conditionalFormatting>
  <conditionalFormatting sqref="BX1511">
    <cfRule type="cellIs" dxfId="781" priority="694" stopIfTrue="1" operator="notEqual">
      <formula>0</formula>
    </cfRule>
  </conditionalFormatting>
  <conditionalFormatting sqref="BX1512">
    <cfRule type="cellIs" dxfId="780" priority="693" stopIfTrue="1" operator="notEqual">
      <formula>0</formula>
    </cfRule>
  </conditionalFormatting>
  <conditionalFormatting sqref="BX1737">
    <cfRule type="cellIs" dxfId="779" priority="692" stopIfTrue="1" operator="notEqual">
      <formula>0</formula>
    </cfRule>
  </conditionalFormatting>
  <conditionalFormatting sqref="BX1738">
    <cfRule type="cellIs" dxfId="778" priority="691" stopIfTrue="1" operator="notEqual">
      <formula>0</formula>
    </cfRule>
  </conditionalFormatting>
  <conditionalFormatting sqref="BX1739">
    <cfRule type="cellIs" dxfId="777" priority="690" stopIfTrue="1" operator="notEqual">
      <formula>0</formula>
    </cfRule>
  </conditionalFormatting>
  <conditionalFormatting sqref="BX1740">
    <cfRule type="cellIs" dxfId="776" priority="689" stopIfTrue="1" operator="notEqual">
      <formula>0</formula>
    </cfRule>
  </conditionalFormatting>
  <conditionalFormatting sqref="BX1742">
    <cfRule type="cellIs" dxfId="775" priority="688" stopIfTrue="1" operator="notEqual">
      <formula>0</formula>
    </cfRule>
  </conditionalFormatting>
  <conditionalFormatting sqref="BX465">
    <cfRule type="cellIs" dxfId="774" priority="687" stopIfTrue="1" operator="notEqual">
      <formula>0</formula>
    </cfRule>
  </conditionalFormatting>
  <conditionalFormatting sqref="BX740">
    <cfRule type="cellIs" dxfId="773" priority="686" stopIfTrue="1" operator="notEqual">
      <formula>0</formula>
    </cfRule>
  </conditionalFormatting>
  <conditionalFormatting sqref="BX741">
    <cfRule type="cellIs" dxfId="772" priority="685" stopIfTrue="1" operator="notEqual">
      <formula>0</formula>
    </cfRule>
  </conditionalFormatting>
  <conditionalFormatting sqref="BX744">
    <cfRule type="cellIs" dxfId="771" priority="684" stopIfTrue="1" operator="notEqual">
      <formula>0</formula>
    </cfRule>
  </conditionalFormatting>
  <conditionalFormatting sqref="BX745">
    <cfRule type="cellIs" dxfId="770" priority="683" stopIfTrue="1" operator="notEqual">
      <formula>0</formula>
    </cfRule>
  </conditionalFormatting>
  <conditionalFormatting sqref="BX748">
    <cfRule type="cellIs" dxfId="769" priority="682" stopIfTrue="1" operator="notEqual">
      <formula>0</formula>
    </cfRule>
  </conditionalFormatting>
  <conditionalFormatting sqref="BX749">
    <cfRule type="cellIs" dxfId="768" priority="681" stopIfTrue="1" operator="notEqual">
      <formula>0</formula>
    </cfRule>
  </conditionalFormatting>
  <conditionalFormatting sqref="BX486">
    <cfRule type="cellIs" dxfId="767" priority="680" stopIfTrue="1" operator="notEqual">
      <formula>0</formula>
    </cfRule>
  </conditionalFormatting>
  <conditionalFormatting sqref="BX485">
    <cfRule type="cellIs" dxfId="766" priority="679" stopIfTrue="1" operator="notEqual">
      <formula>0</formula>
    </cfRule>
  </conditionalFormatting>
  <conditionalFormatting sqref="BX538">
    <cfRule type="cellIs" dxfId="765" priority="678" stopIfTrue="1" operator="notEqual">
      <formula>0</formula>
    </cfRule>
  </conditionalFormatting>
  <conditionalFormatting sqref="BX544">
    <cfRule type="cellIs" dxfId="764" priority="677" stopIfTrue="1" operator="notEqual">
      <formula>0</formula>
    </cfRule>
  </conditionalFormatting>
  <conditionalFormatting sqref="BX721">
    <cfRule type="cellIs" dxfId="763" priority="676" stopIfTrue="1" operator="notEqual">
      <formula>0</formula>
    </cfRule>
  </conditionalFormatting>
  <conditionalFormatting sqref="BX722">
    <cfRule type="cellIs" dxfId="762" priority="675" stopIfTrue="1" operator="notEqual">
      <formula>0</formula>
    </cfRule>
  </conditionalFormatting>
  <conditionalFormatting sqref="BX734">
    <cfRule type="cellIs" dxfId="761" priority="674" stopIfTrue="1" operator="notEqual">
      <formula>0</formula>
    </cfRule>
  </conditionalFormatting>
  <conditionalFormatting sqref="BX909">
    <cfRule type="cellIs" dxfId="760" priority="673" stopIfTrue="1" operator="notEqual">
      <formula>0</formula>
    </cfRule>
  </conditionalFormatting>
  <conditionalFormatting sqref="BX932">
    <cfRule type="cellIs" dxfId="759" priority="672" stopIfTrue="1" operator="notEqual">
      <formula>0</formula>
    </cfRule>
  </conditionalFormatting>
  <conditionalFormatting sqref="BX938">
    <cfRule type="cellIs" dxfId="758" priority="671" stopIfTrue="1" operator="notEqual">
      <formula>0</formula>
    </cfRule>
  </conditionalFormatting>
  <conditionalFormatting sqref="BX999">
    <cfRule type="cellIs" dxfId="757" priority="670" stopIfTrue="1" operator="notEqual">
      <formula>0</formula>
    </cfRule>
  </conditionalFormatting>
  <conditionalFormatting sqref="BX1031">
    <cfRule type="cellIs" dxfId="756" priority="669" stopIfTrue="1" operator="notEqual">
      <formula>0</formula>
    </cfRule>
  </conditionalFormatting>
  <conditionalFormatting sqref="BX1032">
    <cfRule type="cellIs" dxfId="755" priority="668" stopIfTrue="1" operator="notEqual">
      <formula>0</formula>
    </cfRule>
  </conditionalFormatting>
  <conditionalFormatting sqref="BX1033">
    <cfRule type="cellIs" dxfId="754" priority="667" stopIfTrue="1" operator="notEqual">
      <formula>0</formula>
    </cfRule>
  </conditionalFormatting>
  <conditionalFormatting sqref="BX1034">
    <cfRule type="cellIs" dxfId="753" priority="666" stopIfTrue="1" operator="notEqual">
      <formula>0</formula>
    </cfRule>
  </conditionalFormatting>
  <conditionalFormatting sqref="BX1063:BX1064">
    <cfRule type="cellIs" dxfId="752" priority="665" stopIfTrue="1" operator="notEqual">
      <formula>0</formula>
    </cfRule>
  </conditionalFormatting>
  <conditionalFormatting sqref="BX1379">
    <cfRule type="cellIs" dxfId="751" priority="664" stopIfTrue="1" operator="notEqual">
      <formula>0</formula>
    </cfRule>
  </conditionalFormatting>
  <conditionalFormatting sqref="BX1380">
    <cfRule type="cellIs" dxfId="750" priority="663" stopIfTrue="1" operator="notEqual">
      <formula>0</formula>
    </cfRule>
  </conditionalFormatting>
  <conditionalFormatting sqref="BX1391">
    <cfRule type="cellIs" dxfId="749" priority="662" stopIfTrue="1" operator="notEqual">
      <formula>0</formula>
    </cfRule>
  </conditionalFormatting>
  <conditionalFormatting sqref="BX1392">
    <cfRule type="cellIs" dxfId="748" priority="661" stopIfTrue="1" operator="notEqual">
      <formula>0</formula>
    </cfRule>
  </conditionalFormatting>
  <conditionalFormatting sqref="BX1464">
    <cfRule type="cellIs" dxfId="747" priority="660" stopIfTrue="1" operator="notEqual">
      <formula>0</formula>
    </cfRule>
  </conditionalFormatting>
  <conditionalFormatting sqref="BX1465">
    <cfRule type="cellIs" dxfId="746" priority="659" stopIfTrue="1" operator="notEqual">
      <formula>0</formula>
    </cfRule>
  </conditionalFormatting>
  <conditionalFormatting sqref="BX1480">
    <cfRule type="cellIs" dxfId="745" priority="658" stopIfTrue="1" operator="notEqual">
      <formula>0</formula>
    </cfRule>
  </conditionalFormatting>
  <conditionalFormatting sqref="BX1768">
    <cfRule type="cellIs" dxfId="744" priority="657" stopIfTrue="1" operator="notEqual">
      <formula>0</formula>
    </cfRule>
  </conditionalFormatting>
  <conditionalFormatting sqref="BX599">
    <cfRule type="cellIs" dxfId="743" priority="656" stopIfTrue="1" operator="notEqual">
      <formula>0</formula>
    </cfRule>
  </conditionalFormatting>
  <conditionalFormatting sqref="BX600">
    <cfRule type="cellIs" dxfId="742" priority="655" stopIfTrue="1" operator="notEqual">
      <formula>0</formula>
    </cfRule>
  </conditionalFormatting>
  <conditionalFormatting sqref="BX1114">
    <cfRule type="cellIs" dxfId="741" priority="654" stopIfTrue="1" operator="notEqual">
      <formula>0</formula>
    </cfRule>
  </conditionalFormatting>
  <conditionalFormatting sqref="BX1115">
    <cfRule type="cellIs" dxfId="740" priority="653" stopIfTrue="1" operator="notEqual">
      <formula>0</formula>
    </cfRule>
  </conditionalFormatting>
  <conditionalFormatting sqref="BX1117">
    <cfRule type="cellIs" dxfId="739" priority="652" stopIfTrue="1" operator="notEqual">
      <formula>0</formula>
    </cfRule>
  </conditionalFormatting>
  <conditionalFormatting sqref="BX1116">
    <cfRule type="cellIs" dxfId="738" priority="651" stopIfTrue="1" operator="notEqual">
      <formula>0</formula>
    </cfRule>
  </conditionalFormatting>
  <conditionalFormatting sqref="BX601">
    <cfRule type="cellIs" dxfId="737" priority="650" stopIfTrue="1" operator="notEqual">
      <formula>0</formula>
    </cfRule>
  </conditionalFormatting>
  <conditionalFormatting sqref="BX1184">
    <cfRule type="cellIs" dxfId="736" priority="649" stopIfTrue="1" operator="notEqual">
      <formula>0</formula>
    </cfRule>
  </conditionalFormatting>
  <conditionalFormatting sqref="BX1185:BX1186">
    <cfRule type="cellIs" dxfId="735" priority="648" stopIfTrue="1" operator="notEqual">
      <formula>0</formula>
    </cfRule>
  </conditionalFormatting>
  <conditionalFormatting sqref="BX1187:BX1226">
    <cfRule type="cellIs" dxfId="734" priority="647" stopIfTrue="1" operator="notEqual">
      <formula>0</formula>
    </cfRule>
  </conditionalFormatting>
  <conditionalFormatting sqref="BX1227">
    <cfRule type="cellIs" dxfId="733" priority="646" stopIfTrue="1" operator="notEqual">
      <formula>0</formula>
    </cfRule>
  </conditionalFormatting>
  <conditionalFormatting sqref="BX1237">
    <cfRule type="cellIs" dxfId="732" priority="645" stopIfTrue="1" operator="notEqual">
      <formula>0</formula>
    </cfRule>
  </conditionalFormatting>
  <conditionalFormatting sqref="BX1228">
    <cfRule type="cellIs" dxfId="731" priority="644" stopIfTrue="1" operator="notEqual">
      <formula>0</formula>
    </cfRule>
  </conditionalFormatting>
  <conditionalFormatting sqref="BX1229">
    <cfRule type="cellIs" dxfId="730" priority="643" stopIfTrue="1" operator="notEqual">
      <formula>0</formula>
    </cfRule>
  </conditionalFormatting>
  <conditionalFormatting sqref="BX1230">
    <cfRule type="cellIs" dxfId="729" priority="642" stopIfTrue="1" operator="notEqual">
      <formula>0</formula>
    </cfRule>
  </conditionalFormatting>
  <conditionalFormatting sqref="BX1231">
    <cfRule type="cellIs" dxfId="728" priority="641" stopIfTrue="1" operator="notEqual">
      <formula>0</formula>
    </cfRule>
  </conditionalFormatting>
  <conditionalFormatting sqref="BX1232">
    <cfRule type="cellIs" dxfId="727" priority="640" stopIfTrue="1" operator="notEqual">
      <formula>0</formula>
    </cfRule>
  </conditionalFormatting>
  <conditionalFormatting sqref="BX1233">
    <cfRule type="cellIs" dxfId="726" priority="639" stopIfTrue="1" operator="notEqual">
      <formula>0</formula>
    </cfRule>
  </conditionalFormatting>
  <conditionalFormatting sqref="BX1234">
    <cfRule type="cellIs" dxfId="725" priority="638" stopIfTrue="1" operator="notEqual">
      <formula>0</formula>
    </cfRule>
  </conditionalFormatting>
  <conditionalFormatting sqref="BX1235">
    <cfRule type="cellIs" dxfId="724" priority="637" stopIfTrue="1" operator="notEqual">
      <formula>0</formula>
    </cfRule>
  </conditionalFormatting>
  <conditionalFormatting sqref="BX1236">
    <cfRule type="cellIs" dxfId="723" priority="636" stopIfTrue="1" operator="notEqual">
      <formula>0</formula>
    </cfRule>
  </conditionalFormatting>
  <conditionalFormatting sqref="BX1672">
    <cfRule type="cellIs" dxfId="722" priority="635" stopIfTrue="1" operator="notEqual">
      <formula>0</formula>
    </cfRule>
  </conditionalFormatting>
  <conditionalFormatting sqref="BX19:BX20 BX22">
    <cfRule type="cellIs" dxfId="721" priority="634" stopIfTrue="1" operator="notEqual">
      <formula>0</formula>
    </cfRule>
  </conditionalFormatting>
  <conditionalFormatting sqref="BX21">
    <cfRule type="cellIs" dxfId="720" priority="633" stopIfTrue="1" operator="notEqual">
      <formula>0</formula>
    </cfRule>
  </conditionalFormatting>
  <conditionalFormatting sqref="BV31:BX32 BX30 BX33">
    <cfRule type="cellIs" dxfId="719" priority="632" stopIfTrue="1" operator="notEqual">
      <formula>0</formula>
    </cfRule>
  </conditionalFormatting>
  <conditionalFormatting sqref="BV35:BX35">
    <cfRule type="cellIs" dxfId="718" priority="631" stopIfTrue="1" operator="notEqual">
      <formula>0</formula>
    </cfRule>
  </conditionalFormatting>
  <conditionalFormatting sqref="BV38:BX38">
    <cfRule type="cellIs" dxfId="717" priority="630" stopIfTrue="1" operator="notEqual">
      <formula>0</formula>
    </cfRule>
  </conditionalFormatting>
  <conditionalFormatting sqref="BX37">
    <cfRule type="cellIs" dxfId="716" priority="629" stopIfTrue="1" operator="notEqual">
      <formula>0</formula>
    </cfRule>
  </conditionalFormatting>
  <conditionalFormatting sqref="BX91:BX92">
    <cfRule type="cellIs" dxfId="715" priority="628" stopIfTrue="1" operator="notEqual">
      <formula>0</formula>
    </cfRule>
  </conditionalFormatting>
  <conditionalFormatting sqref="BX86:BX90">
    <cfRule type="cellIs" dxfId="714" priority="627" stopIfTrue="1" operator="notEqual">
      <formula>0</formula>
    </cfRule>
  </conditionalFormatting>
  <conditionalFormatting sqref="BX103">
    <cfRule type="cellIs" dxfId="713" priority="626" stopIfTrue="1" operator="notEqual">
      <formula>0</formula>
    </cfRule>
  </conditionalFormatting>
  <conditionalFormatting sqref="BX110">
    <cfRule type="cellIs" dxfId="712" priority="625" stopIfTrue="1" operator="notEqual">
      <formula>0</formula>
    </cfRule>
  </conditionalFormatting>
  <conditionalFormatting sqref="BX105">
    <cfRule type="cellIs" dxfId="711" priority="624" stopIfTrue="1" operator="notEqual">
      <formula>0</formula>
    </cfRule>
  </conditionalFormatting>
  <conditionalFormatting sqref="BX104">
    <cfRule type="cellIs" dxfId="710" priority="623" stopIfTrue="1" operator="notEqual">
      <formula>0</formula>
    </cfRule>
  </conditionalFormatting>
  <conditionalFormatting sqref="BX102">
    <cfRule type="cellIs" dxfId="709" priority="622" stopIfTrue="1" operator="notEqual">
      <formula>0</formula>
    </cfRule>
  </conditionalFormatting>
  <conditionalFormatting sqref="BX99:BX100">
    <cfRule type="cellIs" dxfId="708" priority="621" stopIfTrue="1" operator="notEqual">
      <formula>0</formula>
    </cfRule>
  </conditionalFormatting>
  <conditionalFormatting sqref="BX93">
    <cfRule type="cellIs" dxfId="707" priority="620" stopIfTrue="1" operator="notEqual">
      <formula>0</formula>
    </cfRule>
  </conditionalFormatting>
  <conditionalFormatting sqref="BX98">
    <cfRule type="cellIs" dxfId="706" priority="619" stopIfTrue="1" operator="notEqual">
      <formula>0</formula>
    </cfRule>
  </conditionalFormatting>
  <conditionalFormatting sqref="BX97">
    <cfRule type="cellIs" dxfId="705" priority="618" stopIfTrue="1" operator="notEqual">
      <formula>0</formula>
    </cfRule>
  </conditionalFormatting>
  <conditionalFormatting sqref="BX95">
    <cfRule type="cellIs" dxfId="704" priority="617" stopIfTrue="1" operator="notEqual">
      <formula>0</formula>
    </cfRule>
  </conditionalFormatting>
  <conditionalFormatting sqref="BX94">
    <cfRule type="cellIs" dxfId="703" priority="616" stopIfTrue="1" operator="notEqual">
      <formula>0</formula>
    </cfRule>
  </conditionalFormatting>
  <conditionalFormatting sqref="BX106 BX109">
    <cfRule type="cellIs" dxfId="702" priority="615" stopIfTrue="1" operator="notEqual">
      <formula>0</formula>
    </cfRule>
  </conditionalFormatting>
  <conditionalFormatting sqref="BX108">
    <cfRule type="cellIs" dxfId="701" priority="614" stopIfTrue="1" operator="notEqual">
      <formula>0</formula>
    </cfRule>
  </conditionalFormatting>
  <conditionalFormatting sqref="BX107">
    <cfRule type="cellIs" dxfId="700" priority="613" stopIfTrue="1" operator="notEqual">
      <formula>0</formula>
    </cfRule>
  </conditionalFormatting>
  <conditionalFormatting sqref="BX114:BX115">
    <cfRule type="cellIs" dxfId="699" priority="612" stopIfTrue="1" operator="notEqual">
      <formula>0</formula>
    </cfRule>
  </conditionalFormatting>
  <conditionalFormatting sqref="BX127:BX128">
    <cfRule type="cellIs" dxfId="698" priority="611" stopIfTrue="1" operator="notEqual">
      <formula>0</formula>
    </cfRule>
  </conditionalFormatting>
  <conditionalFormatting sqref="BX131:BX132">
    <cfRule type="cellIs" dxfId="697" priority="610" stopIfTrue="1" operator="notEqual">
      <formula>0</formula>
    </cfRule>
  </conditionalFormatting>
  <conditionalFormatting sqref="BX129:BX130">
    <cfRule type="cellIs" dxfId="696" priority="609" stopIfTrue="1" operator="notEqual">
      <formula>0</formula>
    </cfRule>
  </conditionalFormatting>
  <conditionalFormatting sqref="BX135:BX136">
    <cfRule type="cellIs" dxfId="695" priority="608" stopIfTrue="1" operator="notEqual">
      <formula>0</formula>
    </cfRule>
  </conditionalFormatting>
  <conditionalFormatting sqref="BX189:BX190">
    <cfRule type="cellIs" dxfId="694" priority="607" stopIfTrue="1" operator="notEqual">
      <formula>0</formula>
    </cfRule>
  </conditionalFormatting>
  <conditionalFormatting sqref="BX191:BX192">
    <cfRule type="cellIs" dxfId="693" priority="606" stopIfTrue="1" operator="notEqual">
      <formula>0</formula>
    </cfRule>
  </conditionalFormatting>
  <conditionalFormatting sqref="BX208 BX219">
    <cfRule type="cellIs" dxfId="692" priority="605" stopIfTrue="1" operator="notEqual">
      <formula>0</formula>
    </cfRule>
  </conditionalFormatting>
  <conditionalFormatting sqref="BX206:BX207">
    <cfRule type="cellIs" dxfId="691" priority="604" stopIfTrue="1" operator="notEqual">
      <formula>0</formula>
    </cfRule>
  </conditionalFormatting>
  <conditionalFormatting sqref="BX195:BX201">
    <cfRule type="cellIs" dxfId="690" priority="603" stopIfTrue="1" operator="notEqual">
      <formula>0</formula>
    </cfRule>
  </conditionalFormatting>
  <conditionalFormatting sqref="BX193:BX194">
    <cfRule type="cellIs" dxfId="689" priority="602" stopIfTrue="1" operator="notEqual">
      <formula>0</formula>
    </cfRule>
  </conditionalFormatting>
  <conditionalFormatting sqref="BX204:BX205">
    <cfRule type="cellIs" dxfId="688" priority="601" stopIfTrue="1" operator="notEqual">
      <formula>0</formula>
    </cfRule>
  </conditionalFormatting>
  <conditionalFormatting sqref="BX202:BX203">
    <cfRule type="cellIs" dxfId="687" priority="600" stopIfTrue="1" operator="notEqual">
      <formula>0</formula>
    </cfRule>
  </conditionalFormatting>
  <conditionalFormatting sqref="BX210:BX215">
    <cfRule type="cellIs" dxfId="686" priority="599" stopIfTrue="1" operator="notEqual">
      <formula>0</formula>
    </cfRule>
  </conditionalFormatting>
  <conditionalFormatting sqref="BX209">
    <cfRule type="cellIs" dxfId="685" priority="598" stopIfTrue="1" operator="notEqual">
      <formula>0</formula>
    </cfRule>
  </conditionalFormatting>
  <conditionalFormatting sqref="BX218">
    <cfRule type="cellIs" dxfId="684" priority="597" stopIfTrue="1" operator="notEqual">
      <formula>0</formula>
    </cfRule>
  </conditionalFormatting>
  <conditionalFormatting sqref="BX216:BX217">
    <cfRule type="cellIs" dxfId="683" priority="596" stopIfTrue="1" operator="notEqual">
      <formula>0</formula>
    </cfRule>
  </conditionalFormatting>
  <conditionalFormatting sqref="BX238:BX241 BX233:BX235">
    <cfRule type="cellIs" dxfId="682" priority="595" stopIfTrue="1" operator="notEqual">
      <formula>0</formula>
    </cfRule>
  </conditionalFormatting>
  <conditionalFormatting sqref="BX236:BX237">
    <cfRule type="cellIs" dxfId="681" priority="594" stopIfTrue="1" operator="notEqual">
      <formula>0</formula>
    </cfRule>
  </conditionalFormatting>
  <conditionalFormatting sqref="BX247:BX249">
    <cfRule type="cellIs" dxfId="680" priority="593" stopIfTrue="1" operator="notEqual">
      <formula>0</formula>
    </cfRule>
  </conditionalFormatting>
  <conditionalFormatting sqref="BX250:BX251">
    <cfRule type="cellIs" dxfId="679" priority="592" stopIfTrue="1" operator="notEqual">
      <formula>0</formula>
    </cfRule>
  </conditionalFormatting>
  <conditionalFormatting sqref="BX294:BX295">
    <cfRule type="cellIs" dxfId="678" priority="590" stopIfTrue="1" operator="notEqual">
      <formula>0</formula>
    </cfRule>
  </conditionalFormatting>
  <conditionalFormatting sqref="BX262:BX263">
    <cfRule type="cellIs" dxfId="677" priority="591" stopIfTrue="1" operator="notEqual">
      <formula>0</formula>
    </cfRule>
  </conditionalFormatting>
  <conditionalFormatting sqref="BX269:BX273">
    <cfRule type="cellIs" dxfId="676" priority="588" stopIfTrue="1" operator="notEqual">
      <formula>0</formula>
    </cfRule>
  </conditionalFormatting>
  <conditionalFormatting sqref="BX274:BX281 BX268">
    <cfRule type="cellIs" dxfId="675" priority="589" stopIfTrue="1" operator="notEqual">
      <formula>0</formula>
    </cfRule>
  </conditionalFormatting>
  <conditionalFormatting sqref="BX285:BX292 BX282">
    <cfRule type="cellIs" dxfId="674" priority="587" stopIfTrue="1" operator="notEqual">
      <formula>0</formula>
    </cfRule>
  </conditionalFormatting>
  <conditionalFormatting sqref="BX283:BX284">
    <cfRule type="cellIs" dxfId="673" priority="586" stopIfTrue="1" operator="notEqual">
      <formula>0</formula>
    </cfRule>
  </conditionalFormatting>
  <conditionalFormatting sqref="BX307:BX308">
    <cfRule type="cellIs" dxfId="672" priority="585" stopIfTrue="1" operator="notEqual">
      <formula>0</formula>
    </cfRule>
  </conditionalFormatting>
  <conditionalFormatting sqref="BX313:BX314">
    <cfRule type="cellIs" dxfId="671" priority="584" stopIfTrue="1" operator="notEqual">
      <formula>0</formula>
    </cfRule>
  </conditionalFormatting>
  <conditionalFormatting sqref="BX352:BX356">
    <cfRule type="cellIs" dxfId="670" priority="583" stopIfTrue="1" operator="notEqual">
      <formula>0</formula>
    </cfRule>
  </conditionalFormatting>
  <conditionalFormatting sqref="BX360">
    <cfRule type="cellIs" dxfId="669" priority="582" stopIfTrue="1" operator="notEqual">
      <formula>0</formula>
    </cfRule>
  </conditionalFormatting>
  <conditionalFormatting sqref="BX365">
    <cfRule type="cellIs" dxfId="668" priority="581" stopIfTrue="1" operator="notEqual">
      <formula>0</formula>
    </cfRule>
  </conditionalFormatting>
  <conditionalFormatting sqref="BX357">
    <cfRule type="cellIs" dxfId="667" priority="580" stopIfTrue="1" operator="notEqual">
      <formula>0</formula>
    </cfRule>
  </conditionalFormatting>
  <conditionalFormatting sqref="BX358">
    <cfRule type="cellIs" dxfId="666" priority="579" stopIfTrue="1" operator="notEqual">
      <formula>0</formula>
    </cfRule>
  </conditionalFormatting>
  <conditionalFormatting sqref="BX361:BX364">
    <cfRule type="cellIs" dxfId="665" priority="578" stopIfTrue="1" operator="notEqual">
      <formula>0</formula>
    </cfRule>
  </conditionalFormatting>
  <conditionalFormatting sqref="BX390 BX393:BX394">
    <cfRule type="cellIs" dxfId="664" priority="577" stopIfTrue="1" operator="notEqual">
      <formula>0</formula>
    </cfRule>
  </conditionalFormatting>
  <conditionalFormatting sqref="BX367">
    <cfRule type="cellIs" dxfId="663" priority="576" stopIfTrue="1" operator="notEqual">
      <formula>0</formula>
    </cfRule>
  </conditionalFormatting>
  <conditionalFormatting sqref="BX369">
    <cfRule type="cellIs" dxfId="662" priority="575" stopIfTrue="1" operator="notEqual">
      <formula>0</formula>
    </cfRule>
  </conditionalFormatting>
  <conditionalFormatting sqref="BX385:BX387 BX381:BX382">
    <cfRule type="cellIs" dxfId="661" priority="574" stopIfTrue="1" operator="notEqual">
      <formula>0</formula>
    </cfRule>
  </conditionalFormatting>
  <conditionalFormatting sqref="BX383:BX384">
    <cfRule type="cellIs" dxfId="660" priority="573" stopIfTrue="1" operator="notEqual">
      <formula>0</formula>
    </cfRule>
  </conditionalFormatting>
  <conditionalFormatting sqref="BX395">
    <cfRule type="cellIs" dxfId="659" priority="572" stopIfTrue="1" operator="notEqual">
      <formula>0</formula>
    </cfRule>
  </conditionalFormatting>
  <conditionalFormatting sqref="BX396:BX398">
    <cfRule type="cellIs" dxfId="658" priority="571" stopIfTrue="1" operator="notEqual">
      <formula>0</formula>
    </cfRule>
  </conditionalFormatting>
  <conditionalFormatting sqref="BX406">
    <cfRule type="cellIs" dxfId="657" priority="570" stopIfTrue="1" operator="notEqual">
      <formula>0</formula>
    </cfRule>
  </conditionalFormatting>
  <conditionalFormatting sqref="BX420:BX427">
    <cfRule type="cellIs" dxfId="656" priority="569" stopIfTrue="1" operator="notEqual">
      <formula>0</formula>
    </cfRule>
  </conditionalFormatting>
  <conditionalFormatting sqref="BX435 BX437">
    <cfRule type="cellIs" dxfId="655" priority="568" stopIfTrue="1" operator="notEqual">
      <formula>0</formula>
    </cfRule>
  </conditionalFormatting>
  <conditionalFormatting sqref="BX436">
    <cfRule type="cellIs" dxfId="654" priority="567" stopIfTrue="1" operator="notEqual">
      <formula>0</formula>
    </cfRule>
  </conditionalFormatting>
  <conditionalFormatting sqref="BX455">
    <cfRule type="cellIs" dxfId="653" priority="566" stopIfTrue="1" operator="notEqual">
      <formula>0</formula>
    </cfRule>
  </conditionalFormatting>
  <conditionalFormatting sqref="BX459">
    <cfRule type="cellIs" dxfId="652" priority="565" stopIfTrue="1" operator="notEqual">
      <formula>0</formula>
    </cfRule>
  </conditionalFormatting>
  <conditionalFormatting sqref="BX525">
    <cfRule type="cellIs" dxfId="651" priority="564" stopIfTrue="1" operator="notEqual">
      <formula>0</formula>
    </cfRule>
  </conditionalFormatting>
  <conditionalFormatting sqref="BX1310:BX1375 BX1388:BX1398 BX1403">
    <cfRule type="cellIs" dxfId="650" priority="563" stopIfTrue="1" operator="notEqual">
      <formula>0</formula>
    </cfRule>
  </conditionalFormatting>
  <conditionalFormatting sqref="BX671">
    <cfRule type="cellIs" dxfId="649" priority="562" stopIfTrue="1" operator="notEqual">
      <formula>0</formula>
    </cfRule>
  </conditionalFormatting>
  <conditionalFormatting sqref="BX672">
    <cfRule type="cellIs" dxfId="648" priority="561" stopIfTrue="1" operator="notEqual">
      <formula>0</formula>
    </cfRule>
  </conditionalFormatting>
  <conditionalFormatting sqref="BX673">
    <cfRule type="cellIs" dxfId="647" priority="560" stopIfTrue="1" operator="notEqual">
      <formula>0</formula>
    </cfRule>
  </conditionalFormatting>
  <conditionalFormatting sqref="BX674">
    <cfRule type="cellIs" dxfId="646" priority="559" stopIfTrue="1" operator="notEqual">
      <formula>0</formula>
    </cfRule>
  </conditionalFormatting>
  <conditionalFormatting sqref="BX675">
    <cfRule type="cellIs" dxfId="645" priority="558" stopIfTrue="1" operator="notEqual">
      <formula>0</formula>
    </cfRule>
  </conditionalFormatting>
  <conditionalFormatting sqref="BX688">
    <cfRule type="cellIs" dxfId="644" priority="557" stopIfTrue="1" operator="notEqual">
      <formula>0</formula>
    </cfRule>
  </conditionalFormatting>
  <conditionalFormatting sqref="BX689">
    <cfRule type="cellIs" dxfId="643" priority="556" stopIfTrue="1" operator="notEqual">
      <formula>0</formula>
    </cfRule>
  </conditionalFormatting>
  <conditionalFormatting sqref="BX690">
    <cfRule type="cellIs" dxfId="642" priority="555" stopIfTrue="1" operator="notEqual">
      <formula>0</formula>
    </cfRule>
  </conditionalFormatting>
  <conditionalFormatting sqref="BX695">
    <cfRule type="cellIs" dxfId="641" priority="554" stopIfTrue="1" operator="notEqual">
      <formula>0</formula>
    </cfRule>
  </conditionalFormatting>
  <conditionalFormatting sqref="BX694">
    <cfRule type="cellIs" dxfId="640" priority="553" stopIfTrue="1" operator="notEqual">
      <formula>0</formula>
    </cfRule>
  </conditionalFormatting>
  <conditionalFormatting sqref="BX717">
    <cfRule type="cellIs" dxfId="639" priority="552" stopIfTrue="1" operator="notEqual">
      <formula>0</formula>
    </cfRule>
  </conditionalFormatting>
  <conditionalFormatting sqref="BX852">
    <cfRule type="cellIs" dxfId="638" priority="551" stopIfTrue="1" operator="notEqual">
      <formula>0</formula>
    </cfRule>
  </conditionalFormatting>
  <conditionalFormatting sqref="BX853">
    <cfRule type="cellIs" dxfId="637" priority="550" stopIfTrue="1" operator="notEqual">
      <formula>0</formula>
    </cfRule>
  </conditionalFormatting>
  <conditionalFormatting sqref="BX876">
    <cfRule type="cellIs" dxfId="636" priority="549" stopIfTrue="1" operator="notEqual">
      <formula>0</formula>
    </cfRule>
  </conditionalFormatting>
  <conditionalFormatting sqref="BX877">
    <cfRule type="cellIs" dxfId="635" priority="548" stopIfTrue="1" operator="notEqual">
      <formula>0</formula>
    </cfRule>
  </conditionalFormatting>
  <conditionalFormatting sqref="BX888">
    <cfRule type="cellIs" dxfId="634" priority="547" stopIfTrue="1" operator="notEqual">
      <formula>0</formula>
    </cfRule>
  </conditionalFormatting>
  <conditionalFormatting sqref="BX889">
    <cfRule type="cellIs" dxfId="633" priority="546" stopIfTrue="1" operator="notEqual">
      <formula>0</formula>
    </cfRule>
  </conditionalFormatting>
  <conditionalFormatting sqref="BX890">
    <cfRule type="cellIs" dxfId="632" priority="545" stopIfTrue="1" operator="notEqual">
      <formula>0</formula>
    </cfRule>
  </conditionalFormatting>
  <conditionalFormatting sqref="BX891">
    <cfRule type="cellIs" dxfId="631" priority="544" stopIfTrue="1" operator="notEqual">
      <formula>0</formula>
    </cfRule>
  </conditionalFormatting>
  <conditionalFormatting sqref="BX892">
    <cfRule type="cellIs" dxfId="630" priority="543" stopIfTrue="1" operator="notEqual">
      <formula>0</formula>
    </cfRule>
  </conditionalFormatting>
  <conditionalFormatting sqref="BX893">
    <cfRule type="cellIs" dxfId="629" priority="542" stopIfTrue="1" operator="notEqual">
      <formula>0</formula>
    </cfRule>
  </conditionalFormatting>
  <conditionalFormatting sqref="BX894">
    <cfRule type="cellIs" dxfId="628" priority="541" stopIfTrue="1" operator="notEqual">
      <formula>0</formula>
    </cfRule>
  </conditionalFormatting>
  <conditionalFormatting sqref="BX895">
    <cfRule type="cellIs" dxfId="627" priority="540" stopIfTrue="1" operator="notEqual">
      <formula>0</formula>
    </cfRule>
  </conditionalFormatting>
  <conditionalFormatting sqref="BX896">
    <cfRule type="cellIs" dxfId="626" priority="539" stopIfTrue="1" operator="notEqual">
      <formula>0</formula>
    </cfRule>
  </conditionalFormatting>
  <conditionalFormatting sqref="BX897">
    <cfRule type="cellIs" dxfId="625" priority="538" stopIfTrue="1" operator="notEqual">
      <formula>0</formula>
    </cfRule>
  </conditionalFormatting>
  <conditionalFormatting sqref="BX898">
    <cfRule type="cellIs" dxfId="624" priority="537" stopIfTrue="1" operator="notEqual">
      <formula>0</formula>
    </cfRule>
  </conditionalFormatting>
  <conditionalFormatting sqref="BX878">
    <cfRule type="cellIs" dxfId="623" priority="536" stopIfTrue="1" operator="notEqual">
      <formula>0</formula>
    </cfRule>
  </conditionalFormatting>
  <conditionalFormatting sqref="BX879">
    <cfRule type="cellIs" dxfId="622" priority="535" stopIfTrue="1" operator="notEqual">
      <formula>0</formula>
    </cfRule>
  </conditionalFormatting>
  <conditionalFormatting sqref="BX880">
    <cfRule type="cellIs" dxfId="621" priority="534" stopIfTrue="1" operator="notEqual">
      <formula>0</formula>
    </cfRule>
  </conditionalFormatting>
  <conditionalFormatting sqref="BX881">
    <cfRule type="cellIs" dxfId="620" priority="533" stopIfTrue="1" operator="notEqual">
      <formula>0</formula>
    </cfRule>
  </conditionalFormatting>
  <conditionalFormatting sqref="BX882">
    <cfRule type="cellIs" dxfId="619" priority="532" stopIfTrue="1" operator="notEqual">
      <formula>0</formula>
    </cfRule>
  </conditionalFormatting>
  <conditionalFormatting sqref="BX883">
    <cfRule type="cellIs" dxfId="618" priority="531" stopIfTrue="1" operator="notEqual">
      <formula>0</formula>
    </cfRule>
  </conditionalFormatting>
  <conditionalFormatting sqref="BX884">
    <cfRule type="cellIs" dxfId="617" priority="530" stopIfTrue="1" operator="notEqual">
      <formula>0</formula>
    </cfRule>
  </conditionalFormatting>
  <conditionalFormatting sqref="BX885">
    <cfRule type="cellIs" dxfId="616" priority="529" stopIfTrue="1" operator="notEqual">
      <formula>0</formula>
    </cfRule>
  </conditionalFormatting>
  <conditionalFormatting sqref="BX886">
    <cfRule type="cellIs" dxfId="615" priority="528" stopIfTrue="1" operator="notEqual">
      <formula>0</formula>
    </cfRule>
  </conditionalFormatting>
  <conditionalFormatting sqref="BX887">
    <cfRule type="cellIs" dxfId="614" priority="527" stopIfTrue="1" operator="notEqual">
      <formula>0</formula>
    </cfRule>
  </conditionalFormatting>
  <conditionalFormatting sqref="BX902">
    <cfRule type="cellIs" dxfId="613" priority="526" stopIfTrue="1" operator="notEqual">
      <formula>0</formula>
    </cfRule>
  </conditionalFormatting>
  <conditionalFormatting sqref="BX584:BX585">
    <cfRule type="cellIs" dxfId="612" priority="525" stopIfTrue="1" operator="notEqual">
      <formula>0</formula>
    </cfRule>
  </conditionalFormatting>
  <conditionalFormatting sqref="BX560">
    <cfRule type="cellIs" dxfId="611" priority="524" stopIfTrue="1" operator="notEqual">
      <formula>0</formula>
    </cfRule>
  </conditionalFormatting>
  <conditionalFormatting sqref="BX1089">
    <cfRule type="cellIs" dxfId="610" priority="523" stopIfTrue="1" operator="notEqual">
      <formula>0</formula>
    </cfRule>
  </conditionalFormatting>
  <conditionalFormatting sqref="BX1259">
    <cfRule type="cellIs" dxfId="609" priority="522" stopIfTrue="1" operator="notEqual">
      <formula>0</formula>
    </cfRule>
  </conditionalFormatting>
  <conditionalFormatting sqref="BX1258">
    <cfRule type="cellIs" dxfId="608" priority="521" stopIfTrue="1" operator="notEqual">
      <formula>0</formula>
    </cfRule>
  </conditionalFormatting>
  <conditionalFormatting sqref="BX1423">
    <cfRule type="cellIs" dxfId="607" priority="520" stopIfTrue="1" operator="notEqual">
      <formula>0</formula>
    </cfRule>
  </conditionalFormatting>
  <conditionalFormatting sqref="BX1422">
    <cfRule type="cellIs" dxfId="606" priority="519" stopIfTrue="1" operator="notEqual">
      <formula>0</formula>
    </cfRule>
  </conditionalFormatting>
  <conditionalFormatting sqref="BX1432">
    <cfRule type="cellIs" dxfId="605" priority="518" stopIfTrue="1" operator="notEqual">
      <formula>0</formula>
    </cfRule>
  </conditionalFormatting>
  <conditionalFormatting sqref="BX1437">
    <cfRule type="cellIs" dxfId="604" priority="517" stopIfTrue="1" operator="notEqual">
      <formula>0</formula>
    </cfRule>
  </conditionalFormatting>
  <conditionalFormatting sqref="BX1436">
    <cfRule type="cellIs" dxfId="603" priority="516" stopIfTrue="1" operator="notEqual">
      <formula>0</formula>
    </cfRule>
  </conditionalFormatting>
  <conditionalFormatting sqref="BX1583">
    <cfRule type="cellIs" dxfId="602" priority="515" stopIfTrue="1" operator="notEqual">
      <formula>0</formula>
    </cfRule>
  </conditionalFormatting>
  <conditionalFormatting sqref="BX1553">
    <cfRule type="cellIs" dxfId="601" priority="514" stopIfTrue="1" operator="notEqual">
      <formula>0</formula>
    </cfRule>
  </conditionalFormatting>
  <conditionalFormatting sqref="BX1554">
    <cfRule type="cellIs" dxfId="600" priority="513" stopIfTrue="1" operator="notEqual">
      <formula>0</formula>
    </cfRule>
  </conditionalFormatting>
  <conditionalFormatting sqref="BX1555">
    <cfRule type="cellIs" dxfId="599" priority="512" stopIfTrue="1" operator="notEqual">
      <formula>0</formula>
    </cfRule>
  </conditionalFormatting>
  <conditionalFormatting sqref="BX1556">
    <cfRule type="cellIs" dxfId="598" priority="511" stopIfTrue="1" operator="notEqual">
      <formula>0</formula>
    </cfRule>
  </conditionalFormatting>
  <conditionalFormatting sqref="BX1557">
    <cfRule type="cellIs" dxfId="597" priority="510" stopIfTrue="1" operator="notEqual">
      <formula>0</formula>
    </cfRule>
  </conditionalFormatting>
  <conditionalFormatting sqref="BX1558">
    <cfRule type="cellIs" dxfId="596" priority="509" stopIfTrue="1" operator="notEqual">
      <formula>0</formula>
    </cfRule>
  </conditionalFormatting>
  <conditionalFormatting sqref="BX1559">
    <cfRule type="cellIs" dxfId="595" priority="508" stopIfTrue="1" operator="notEqual">
      <formula>0</formula>
    </cfRule>
  </conditionalFormatting>
  <conditionalFormatting sqref="BX1560">
    <cfRule type="cellIs" dxfId="594" priority="507" stopIfTrue="1" operator="notEqual">
      <formula>0</formula>
    </cfRule>
  </conditionalFormatting>
  <conditionalFormatting sqref="BX1561">
    <cfRule type="cellIs" dxfId="593" priority="506" stopIfTrue="1" operator="notEqual">
      <formula>0</formula>
    </cfRule>
  </conditionalFormatting>
  <conditionalFormatting sqref="BX1562">
    <cfRule type="cellIs" dxfId="592" priority="505" stopIfTrue="1" operator="notEqual">
      <formula>0</formula>
    </cfRule>
  </conditionalFormatting>
  <conditionalFormatting sqref="BX1566">
    <cfRule type="cellIs" dxfId="591" priority="504" stopIfTrue="1" operator="notEqual">
      <formula>0</formula>
    </cfRule>
  </conditionalFormatting>
  <conditionalFormatting sqref="BX1567">
    <cfRule type="cellIs" dxfId="590" priority="503" stopIfTrue="1" operator="notEqual">
      <formula>0</formula>
    </cfRule>
  </conditionalFormatting>
  <conditionalFormatting sqref="BX1568">
    <cfRule type="cellIs" dxfId="589" priority="502" stopIfTrue="1" operator="notEqual">
      <formula>0</formula>
    </cfRule>
  </conditionalFormatting>
  <conditionalFormatting sqref="BX1569">
    <cfRule type="cellIs" dxfId="588" priority="501" stopIfTrue="1" operator="notEqual">
      <formula>0</formula>
    </cfRule>
  </conditionalFormatting>
  <conditionalFormatting sqref="BX1570">
    <cfRule type="cellIs" dxfId="587" priority="500" stopIfTrue="1" operator="notEqual">
      <formula>0</formula>
    </cfRule>
  </conditionalFormatting>
  <conditionalFormatting sqref="BX1579">
    <cfRule type="cellIs" dxfId="586" priority="499" stopIfTrue="1" operator="notEqual">
      <formula>0</formula>
    </cfRule>
  </conditionalFormatting>
  <conditionalFormatting sqref="BX1580">
    <cfRule type="cellIs" dxfId="585" priority="498" stopIfTrue="1" operator="notEqual">
      <formula>0</formula>
    </cfRule>
  </conditionalFormatting>
  <conditionalFormatting sqref="BX1581">
    <cfRule type="cellIs" dxfId="584" priority="497" stopIfTrue="1" operator="notEqual">
      <formula>0</formula>
    </cfRule>
  </conditionalFormatting>
  <conditionalFormatting sqref="BX1582">
    <cfRule type="cellIs" dxfId="583" priority="496" stopIfTrue="1" operator="notEqual">
      <formula>0</formula>
    </cfRule>
  </conditionalFormatting>
  <conditionalFormatting sqref="BX1571">
    <cfRule type="cellIs" dxfId="582" priority="495" stopIfTrue="1" operator="notEqual">
      <formula>0</formula>
    </cfRule>
  </conditionalFormatting>
  <conditionalFormatting sqref="BX1572">
    <cfRule type="cellIs" dxfId="581" priority="494" stopIfTrue="1" operator="notEqual">
      <formula>0</formula>
    </cfRule>
  </conditionalFormatting>
  <conditionalFormatting sqref="BX1573">
    <cfRule type="cellIs" dxfId="580" priority="493" stopIfTrue="1" operator="notEqual">
      <formula>0</formula>
    </cfRule>
  </conditionalFormatting>
  <conditionalFormatting sqref="BX1574">
    <cfRule type="cellIs" dxfId="579" priority="492" stopIfTrue="1" operator="notEqual">
      <formula>0</formula>
    </cfRule>
  </conditionalFormatting>
  <conditionalFormatting sqref="BX1575">
    <cfRule type="cellIs" dxfId="578" priority="491" stopIfTrue="1" operator="notEqual">
      <formula>0</formula>
    </cfRule>
  </conditionalFormatting>
  <conditionalFormatting sqref="BX1576">
    <cfRule type="cellIs" dxfId="577" priority="490" stopIfTrue="1" operator="notEqual">
      <formula>0</formula>
    </cfRule>
  </conditionalFormatting>
  <conditionalFormatting sqref="BX1593">
    <cfRule type="cellIs" dxfId="576" priority="489" stopIfTrue="1" operator="notEqual">
      <formula>0</formula>
    </cfRule>
  </conditionalFormatting>
  <conditionalFormatting sqref="BX1612">
    <cfRule type="cellIs" dxfId="575" priority="488" stopIfTrue="1" operator="notEqual">
      <formula>0</formula>
    </cfRule>
  </conditionalFormatting>
  <conditionalFormatting sqref="BX1611">
    <cfRule type="cellIs" dxfId="574" priority="487" stopIfTrue="1" operator="notEqual">
      <formula>0</formula>
    </cfRule>
  </conditionalFormatting>
  <conditionalFormatting sqref="BX1665">
    <cfRule type="cellIs" dxfId="573" priority="486" stopIfTrue="1" operator="notEqual">
      <formula>0</formula>
    </cfRule>
  </conditionalFormatting>
  <conditionalFormatting sqref="BX1664">
    <cfRule type="cellIs" dxfId="572" priority="485" stopIfTrue="1" operator="notEqual">
      <formula>0</formula>
    </cfRule>
  </conditionalFormatting>
  <conditionalFormatting sqref="BX1668">
    <cfRule type="cellIs" dxfId="571" priority="484" stopIfTrue="1" operator="notEqual">
      <formula>0</formula>
    </cfRule>
  </conditionalFormatting>
  <conditionalFormatting sqref="BX1669">
    <cfRule type="cellIs" dxfId="570" priority="483" stopIfTrue="1" operator="notEqual">
      <formula>0</formula>
    </cfRule>
  </conditionalFormatting>
  <conditionalFormatting sqref="BX1704">
    <cfRule type="cellIs" dxfId="569" priority="482" stopIfTrue="1" operator="notEqual">
      <formula>0</formula>
    </cfRule>
  </conditionalFormatting>
  <conditionalFormatting sqref="BX1681">
    <cfRule type="cellIs" dxfId="568" priority="481" stopIfTrue="1" operator="notEqual">
      <formula>0</formula>
    </cfRule>
  </conditionalFormatting>
  <conditionalFormatting sqref="BX1682">
    <cfRule type="cellIs" dxfId="567" priority="480" stopIfTrue="1" operator="notEqual">
      <formula>0</formula>
    </cfRule>
  </conditionalFormatting>
  <conditionalFormatting sqref="BX1683">
    <cfRule type="cellIs" dxfId="566" priority="479" stopIfTrue="1" operator="notEqual">
      <formula>0</formula>
    </cfRule>
  </conditionalFormatting>
  <conditionalFormatting sqref="BX1684">
    <cfRule type="cellIs" dxfId="565" priority="478" stopIfTrue="1" operator="notEqual">
      <formula>0</formula>
    </cfRule>
  </conditionalFormatting>
  <conditionalFormatting sqref="BX1685">
    <cfRule type="cellIs" dxfId="564" priority="477" stopIfTrue="1" operator="notEqual">
      <formula>0</formula>
    </cfRule>
  </conditionalFormatting>
  <conditionalFormatting sqref="BX1686">
    <cfRule type="cellIs" dxfId="563" priority="476" stopIfTrue="1" operator="notEqual">
      <formula>0</formula>
    </cfRule>
  </conditionalFormatting>
  <conditionalFormatting sqref="BX1687">
    <cfRule type="cellIs" dxfId="562" priority="475" stopIfTrue="1" operator="notEqual">
      <formula>0</formula>
    </cfRule>
  </conditionalFormatting>
  <conditionalFormatting sqref="BX1688">
    <cfRule type="cellIs" dxfId="561" priority="474" stopIfTrue="1" operator="notEqual">
      <formula>0</formula>
    </cfRule>
  </conditionalFormatting>
  <conditionalFormatting sqref="BX1689">
    <cfRule type="cellIs" dxfId="560" priority="473" stopIfTrue="1" operator="notEqual">
      <formula>0</formula>
    </cfRule>
  </conditionalFormatting>
  <conditionalFormatting sqref="BX1690">
    <cfRule type="cellIs" dxfId="559" priority="472" stopIfTrue="1" operator="notEqual">
      <formula>0</formula>
    </cfRule>
  </conditionalFormatting>
  <conditionalFormatting sqref="BX1691">
    <cfRule type="cellIs" dxfId="558" priority="471" stopIfTrue="1" operator="notEqual">
      <formula>0</formula>
    </cfRule>
  </conditionalFormatting>
  <conditionalFormatting sqref="BX1692">
    <cfRule type="cellIs" dxfId="557" priority="470" stopIfTrue="1" operator="notEqual">
      <formula>0</formula>
    </cfRule>
  </conditionalFormatting>
  <conditionalFormatting sqref="BX1693">
    <cfRule type="cellIs" dxfId="556" priority="469" stopIfTrue="1" operator="notEqual">
      <formula>0</formula>
    </cfRule>
  </conditionalFormatting>
  <conditionalFormatting sqref="BX1694">
    <cfRule type="cellIs" dxfId="555" priority="468" stopIfTrue="1" operator="notEqual">
      <formula>0</formula>
    </cfRule>
  </conditionalFormatting>
  <conditionalFormatting sqref="BX1695">
    <cfRule type="cellIs" dxfId="554" priority="467" stopIfTrue="1" operator="notEqual">
      <formula>0</formula>
    </cfRule>
  </conditionalFormatting>
  <conditionalFormatting sqref="BX1696">
    <cfRule type="cellIs" dxfId="553" priority="466" stopIfTrue="1" operator="notEqual">
      <formula>0</formula>
    </cfRule>
  </conditionalFormatting>
  <conditionalFormatting sqref="BX1702">
    <cfRule type="cellIs" dxfId="552" priority="465" stopIfTrue="1" operator="notEqual">
      <formula>0</formula>
    </cfRule>
  </conditionalFormatting>
  <conditionalFormatting sqref="BX1703">
    <cfRule type="cellIs" dxfId="551" priority="464" stopIfTrue="1" operator="notEqual">
      <formula>0</formula>
    </cfRule>
  </conditionalFormatting>
  <conditionalFormatting sqref="BX1697">
    <cfRule type="cellIs" dxfId="550" priority="463" stopIfTrue="1" operator="notEqual">
      <formula>0</formula>
    </cfRule>
  </conditionalFormatting>
  <conditionalFormatting sqref="BX1698">
    <cfRule type="cellIs" dxfId="549" priority="462" stopIfTrue="1" operator="notEqual">
      <formula>0</formula>
    </cfRule>
  </conditionalFormatting>
  <conditionalFormatting sqref="BX1699">
    <cfRule type="cellIs" dxfId="548" priority="461" stopIfTrue="1" operator="notEqual">
      <formula>0</formula>
    </cfRule>
  </conditionalFormatting>
  <conditionalFormatting sqref="BX1700">
    <cfRule type="cellIs" dxfId="547" priority="460" stopIfTrue="1" operator="notEqual">
      <formula>0</formula>
    </cfRule>
  </conditionalFormatting>
  <conditionalFormatting sqref="BX1701">
    <cfRule type="cellIs" dxfId="546" priority="459" stopIfTrue="1" operator="notEqual">
      <formula>0</formula>
    </cfRule>
  </conditionalFormatting>
  <conditionalFormatting sqref="BX1729">
    <cfRule type="cellIs" dxfId="545" priority="458" stopIfTrue="1" operator="notEqual">
      <formula>0</formula>
    </cfRule>
  </conditionalFormatting>
  <conditionalFormatting sqref="BX1726">
    <cfRule type="cellIs" dxfId="544" priority="457" stopIfTrue="1" operator="notEqual">
      <formula>0</formula>
    </cfRule>
  </conditionalFormatting>
  <conditionalFormatting sqref="BX1727">
    <cfRule type="cellIs" dxfId="543" priority="456" stopIfTrue="1" operator="notEqual">
      <formula>0</formula>
    </cfRule>
  </conditionalFormatting>
  <conditionalFormatting sqref="BX1728">
    <cfRule type="cellIs" dxfId="542" priority="455" stopIfTrue="1" operator="notEqual">
      <formula>0</formula>
    </cfRule>
  </conditionalFormatting>
  <conditionalFormatting sqref="BX1765">
    <cfRule type="cellIs" dxfId="541" priority="454" stopIfTrue="1" operator="notEqual">
      <formula>0</formula>
    </cfRule>
  </conditionalFormatting>
  <conditionalFormatting sqref="BX1751">
    <cfRule type="cellIs" dxfId="540" priority="453" stopIfTrue="1" operator="notEqual">
      <formula>0</formula>
    </cfRule>
  </conditionalFormatting>
  <conditionalFormatting sqref="BX1752">
    <cfRule type="cellIs" dxfId="539" priority="452" stopIfTrue="1" operator="notEqual">
      <formula>0</formula>
    </cfRule>
  </conditionalFormatting>
  <conditionalFormatting sqref="BX1753">
    <cfRule type="cellIs" dxfId="538" priority="451" stopIfTrue="1" operator="notEqual">
      <formula>0</formula>
    </cfRule>
  </conditionalFormatting>
  <conditionalFormatting sqref="BX1754">
    <cfRule type="cellIs" dxfId="537" priority="450" stopIfTrue="1" operator="notEqual">
      <formula>0</formula>
    </cfRule>
  </conditionalFormatting>
  <conditionalFormatting sqref="BX1755">
    <cfRule type="cellIs" dxfId="536" priority="449" stopIfTrue="1" operator="notEqual">
      <formula>0</formula>
    </cfRule>
  </conditionalFormatting>
  <conditionalFormatting sqref="BX1756">
    <cfRule type="cellIs" dxfId="535" priority="448" stopIfTrue="1" operator="notEqual">
      <formula>0</formula>
    </cfRule>
  </conditionalFormatting>
  <conditionalFormatting sqref="BX1757">
    <cfRule type="cellIs" dxfId="534" priority="447" stopIfTrue="1" operator="notEqual">
      <formula>0</formula>
    </cfRule>
  </conditionalFormatting>
  <conditionalFormatting sqref="BX1759">
    <cfRule type="cellIs" dxfId="533" priority="446" stopIfTrue="1" operator="notEqual">
      <formula>0</formula>
    </cfRule>
  </conditionalFormatting>
  <conditionalFormatting sqref="BX1760">
    <cfRule type="cellIs" dxfId="532" priority="445" stopIfTrue="1" operator="notEqual">
      <formula>0</formula>
    </cfRule>
  </conditionalFormatting>
  <conditionalFormatting sqref="BX1761">
    <cfRule type="cellIs" dxfId="531" priority="444" stopIfTrue="1" operator="notEqual">
      <formula>0</formula>
    </cfRule>
  </conditionalFormatting>
  <conditionalFormatting sqref="BX1762">
    <cfRule type="cellIs" dxfId="530" priority="443" stopIfTrue="1" operator="notEqual">
      <formula>0</formula>
    </cfRule>
  </conditionalFormatting>
  <conditionalFormatting sqref="BX1763">
    <cfRule type="cellIs" dxfId="529" priority="442" stopIfTrue="1" operator="notEqual">
      <formula>0</formula>
    </cfRule>
  </conditionalFormatting>
  <conditionalFormatting sqref="BX1764">
    <cfRule type="cellIs" dxfId="528" priority="441" stopIfTrue="1" operator="notEqual">
      <formula>0</formula>
    </cfRule>
  </conditionalFormatting>
  <conditionalFormatting sqref="BX1894">
    <cfRule type="cellIs" dxfId="527" priority="440" stopIfTrue="1" operator="notEqual">
      <formula>0</formula>
    </cfRule>
  </conditionalFormatting>
  <conditionalFormatting sqref="BX1855">
    <cfRule type="cellIs" dxfId="526" priority="439" stopIfTrue="1" operator="notEqual">
      <formula>0</formula>
    </cfRule>
  </conditionalFormatting>
  <conditionalFormatting sqref="BX1867">
    <cfRule type="cellIs" dxfId="525" priority="438" stopIfTrue="1" operator="notEqual">
      <formula>0</formula>
    </cfRule>
  </conditionalFormatting>
  <conditionalFormatting sqref="BX1868">
    <cfRule type="cellIs" dxfId="524" priority="437" stopIfTrue="1" operator="notEqual">
      <formula>0</formula>
    </cfRule>
  </conditionalFormatting>
  <conditionalFormatting sqref="BX1869">
    <cfRule type="cellIs" dxfId="523" priority="436" stopIfTrue="1" operator="notEqual">
      <formula>0</formula>
    </cfRule>
  </conditionalFormatting>
  <conditionalFormatting sqref="BX1870">
    <cfRule type="cellIs" dxfId="522" priority="435" stopIfTrue="1" operator="notEqual">
      <formula>0</formula>
    </cfRule>
  </conditionalFormatting>
  <conditionalFormatting sqref="BX1871">
    <cfRule type="cellIs" dxfId="521" priority="434" stopIfTrue="1" operator="notEqual">
      <formula>0</formula>
    </cfRule>
  </conditionalFormatting>
  <conditionalFormatting sqref="BX1872">
    <cfRule type="cellIs" dxfId="520" priority="433" stopIfTrue="1" operator="notEqual">
      <formula>0</formula>
    </cfRule>
  </conditionalFormatting>
  <conditionalFormatting sqref="BX1873">
    <cfRule type="cellIs" dxfId="519" priority="432" stopIfTrue="1" operator="notEqual">
      <formula>0</formula>
    </cfRule>
  </conditionalFormatting>
  <conditionalFormatting sqref="BX1874">
    <cfRule type="cellIs" dxfId="518" priority="431" stopIfTrue="1" operator="notEqual">
      <formula>0</formula>
    </cfRule>
  </conditionalFormatting>
  <conditionalFormatting sqref="BX1877">
    <cfRule type="cellIs" dxfId="517" priority="430" stopIfTrue="1" operator="notEqual">
      <formula>0</formula>
    </cfRule>
  </conditionalFormatting>
  <conditionalFormatting sqref="BX1878">
    <cfRule type="cellIs" dxfId="516" priority="429" stopIfTrue="1" operator="notEqual">
      <formula>0</formula>
    </cfRule>
  </conditionalFormatting>
  <conditionalFormatting sqref="BX1879">
    <cfRule type="cellIs" dxfId="515" priority="428" stopIfTrue="1" operator="notEqual">
      <formula>0</formula>
    </cfRule>
  </conditionalFormatting>
  <conditionalFormatting sqref="BX1880">
    <cfRule type="cellIs" dxfId="514" priority="427" stopIfTrue="1" operator="notEqual">
      <formula>0</formula>
    </cfRule>
  </conditionalFormatting>
  <conditionalFormatting sqref="BX1881">
    <cfRule type="cellIs" dxfId="513" priority="426" stopIfTrue="1" operator="notEqual">
      <formula>0</formula>
    </cfRule>
  </conditionalFormatting>
  <conditionalFormatting sqref="BX1750">
    <cfRule type="cellIs" dxfId="512" priority="425" stopIfTrue="1" operator="notEqual">
      <formula>0</formula>
    </cfRule>
  </conditionalFormatting>
  <conditionalFormatting sqref="BX1856">
    <cfRule type="cellIs" dxfId="511" priority="424" stopIfTrue="1" operator="notEqual">
      <formula>0</formula>
    </cfRule>
  </conditionalFormatting>
  <conditionalFormatting sqref="BX1857">
    <cfRule type="cellIs" dxfId="510" priority="423" stopIfTrue="1" operator="notEqual">
      <formula>0</formula>
    </cfRule>
  </conditionalFormatting>
  <conditionalFormatting sqref="BX1858">
    <cfRule type="cellIs" dxfId="509" priority="422" stopIfTrue="1" operator="notEqual">
      <formula>0</formula>
    </cfRule>
  </conditionalFormatting>
  <conditionalFormatting sqref="BX1859">
    <cfRule type="cellIs" dxfId="508" priority="421" stopIfTrue="1" operator="notEqual">
      <formula>0</formula>
    </cfRule>
  </conditionalFormatting>
  <conditionalFormatting sqref="BX1860">
    <cfRule type="cellIs" dxfId="507" priority="420" stopIfTrue="1" operator="notEqual">
      <formula>0</formula>
    </cfRule>
  </conditionalFormatting>
  <conditionalFormatting sqref="BX1861">
    <cfRule type="cellIs" dxfId="506" priority="419" stopIfTrue="1" operator="notEqual">
      <formula>0</formula>
    </cfRule>
  </conditionalFormatting>
  <conditionalFormatting sqref="BX1862">
    <cfRule type="cellIs" dxfId="505" priority="418" stopIfTrue="1" operator="notEqual">
      <formula>0</formula>
    </cfRule>
  </conditionalFormatting>
  <conditionalFormatting sqref="BX1863">
    <cfRule type="cellIs" dxfId="504" priority="417" stopIfTrue="1" operator="notEqual">
      <formula>0</formula>
    </cfRule>
  </conditionalFormatting>
  <conditionalFormatting sqref="BX1864">
    <cfRule type="cellIs" dxfId="503" priority="416" stopIfTrue="1" operator="notEqual">
      <formula>0</formula>
    </cfRule>
  </conditionalFormatting>
  <conditionalFormatting sqref="BX1865">
    <cfRule type="cellIs" dxfId="502" priority="415" stopIfTrue="1" operator="notEqual">
      <formula>0</formula>
    </cfRule>
  </conditionalFormatting>
  <conditionalFormatting sqref="BX1866">
    <cfRule type="cellIs" dxfId="501" priority="414" stopIfTrue="1" operator="notEqual">
      <formula>0</formula>
    </cfRule>
  </conditionalFormatting>
  <conditionalFormatting sqref="BX1882">
    <cfRule type="cellIs" dxfId="500" priority="413" stopIfTrue="1" operator="notEqual">
      <formula>0</formula>
    </cfRule>
  </conditionalFormatting>
  <conditionalFormatting sqref="BX1883">
    <cfRule type="cellIs" dxfId="499" priority="412" stopIfTrue="1" operator="notEqual">
      <formula>0</formula>
    </cfRule>
  </conditionalFormatting>
  <conditionalFormatting sqref="BX1884">
    <cfRule type="cellIs" dxfId="498" priority="411" stopIfTrue="1" operator="notEqual">
      <formula>0</formula>
    </cfRule>
  </conditionalFormatting>
  <conditionalFormatting sqref="BX1885">
    <cfRule type="cellIs" dxfId="497" priority="410" stopIfTrue="1" operator="notEqual">
      <formula>0</formula>
    </cfRule>
  </conditionalFormatting>
  <conditionalFormatting sqref="BX1888">
    <cfRule type="cellIs" dxfId="496" priority="409" stopIfTrue="1" operator="notEqual">
      <formula>0</formula>
    </cfRule>
  </conditionalFormatting>
  <conditionalFormatting sqref="BX1889">
    <cfRule type="cellIs" dxfId="495" priority="408" stopIfTrue="1" operator="notEqual">
      <formula>0</formula>
    </cfRule>
  </conditionalFormatting>
  <conditionalFormatting sqref="BX1890">
    <cfRule type="cellIs" dxfId="494" priority="407" stopIfTrue="1" operator="notEqual">
      <formula>0</formula>
    </cfRule>
  </conditionalFormatting>
  <conditionalFormatting sqref="BX1891">
    <cfRule type="cellIs" dxfId="493" priority="406" stopIfTrue="1" operator="notEqual">
      <formula>0</formula>
    </cfRule>
  </conditionalFormatting>
  <conditionalFormatting sqref="BX1892">
    <cfRule type="cellIs" dxfId="492" priority="405" stopIfTrue="1" operator="notEqual">
      <formula>0</formula>
    </cfRule>
  </conditionalFormatting>
  <conditionalFormatting sqref="BX1893">
    <cfRule type="cellIs" dxfId="491" priority="404" stopIfTrue="1" operator="notEqual">
      <formula>0</formula>
    </cfRule>
  </conditionalFormatting>
  <conditionalFormatting sqref="BX536">
    <cfRule type="cellIs" dxfId="490" priority="403" stopIfTrue="1" operator="notEqual">
      <formula>0</formula>
    </cfRule>
  </conditionalFormatting>
  <conditionalFormatting sqref="BX537">
    <cfRule type="cellIs" dxfId="489" priority="402" stopIfTrue="1" operator="notEqual">
      <formula>0</formula>
    </cfRule>
  </conditionalFormatting>
  <conditionalFormatting sqref="BX527">
    <cfRule type="cellIs" dxfId="488" priority="401" stopIfTrue="1" operator="notEqual">
      <formula>0</formula>
    </cfRule>
  </conditionalFormatting>
  <conditionalFormatting sqref="BX528">
    <cfRule type="cellIs" dxfId="487" priority="400" stopIfTrue="1" operator="notEqual">
      <formula>0</formula>
    </cfRule>
  </conditionalFormatting>
  <conditionalFormatting sqref="BX529">
    <cfRule type="cellIs" dxfId="486" priority="399" stopIfTrue="1" operator="notEqual">
      <formula>0</formula>
    </cfRule>
  </conditionalFormatting>
  <conditionalFormatting sqref="BX530">
    <cfRule type="cellIs" dxfId="485" priority="398" stopIfTrue="1" operator="notEqual">
      <formula>0</formula>
    </cfRule>
  </conditionalFormatting>
  <conditionalFormatting sqref="BX531">
    <cfRule type="cellIs" dxfId="484" priority="397" stopIfTrue="1" operator="notEqual">
      <formula>0</formula>
    </cfRule>
  </conditionalFormatting>
  <conditionalFormatting sqref="BX532">
    <cfRule type="cellIs" dxfId="483" priority="396" stopIfTrue="1" operator="notEqual">
      <formula>0</formula>
    </cfRule>
  </conditionalFormatting>
  <conditionalFormatting sqref="BX533">
    <cfRule type="cellIs" dxfId="482" priority="395" stopIfTrue="1" operator="notEqual">
      <formula>0</formula>
    </cfRule>
  </conditionalFormatting>
  <conditionalFormatting sqref="BX534">
    <cfRule type="cellIs" dxfId="481" priority="394" stopIfTrue="1" operator="notEqual">
      <formula>0</formula>
    </cfRule>
  </conditionalFormatting>
  <conditionalFormatting sqref="BX535">
    <cfRule type="cellIs" dxfId="480" priority="393" stopIfTrue="1" operator="notEqual">
      <formula>0</formula>
    </cfRule>
  </conditionalFormatting>
  <conditionalFormatting sqref="BX506">
    <cfRule type="cellIs" dxfId="479" priority="392" stopIfTrue="1" operator="notEqual">
      <formula>0</formula>
    </cfRule>
  </conditionalFormatting>
  <conditionalFormatting sqref="BX507">
    <cfRule type="cellIs" dxfId="478" priority="391" stopIfTrue="1" operator="notEqual">
      <formula>0</formula>
    </cfRule>
  </conditionalFormatting>
  <conditionalFormatting sqref="BX508">
    <cfRule type="cellIs" dxfId="477" priority="390" stopIfTrue="1" operator="notEqual">
      <formula>0</formula>
    </cfRule>
  </conditionalFormatting>
  <conditionalFormatting sqref="BX510">
    <cfRule type="cellIs" dxfId="476" priority="389" stopIfTrue="1" operator="notEqual">
      <formula>0</formula>
    </cfRule>
  </conditionalFormatting>
  <conditionalFormatting sqref="BX511">
    <cfRule type="cellIs" dxfId="475" priority="388" stopIfTrue="1" operator="notEqual">
      <formula>0</formula>
    </cfRule>
  </conditionalFormatting>
  <conditionalFormatting sqref="BX512">
    <cfRule type="cellIs" dxfId="474" priority="387" stopIfTrue="1" operator="notEqual">
      <formula>0</formula>
    </cfRule>
  </conditionalFormatting>
  <conditionalFormatting sqref="BX513">
    <cfRule type="cellIs" dxfId="473" priority="386" stopIfTrue="1" operator="notEqual">
      <formula>0</formula>
    </cfRule>
  </conditionalFormatting>
  <conditionalFormatting sqref="BX514">
    <cfRule type="cellIs" dxfId="472" priority="385" stopIfTrue="1" operator="notEqual">
      <formula>0</formula>
    </cfRule>
  </conditionalFormatting>
  <conditionalFormatting sqref="BX515">
    <cfRule type="cellIs" dxfId="471" priority="384" stopIfTrue="1" operator="notEqual">
      <formula>0</formula>
    </cfRule>
  </conditionalFormatting>
  <conditionalFormatting sqref="BX516">
    <cfRule type="cellIs" dxfId="470" priority="383" stopIfTrue="1" operator="notEqual">
      <formula>0</formula>
    </cfRule>
  </conditionalFormatting>
  <conditionalFormatting sqref="BX517">
    <cfRule type="cellIs" dxfId="469" priority="382" stopIfTrue="1" operator="notEqual">
      <formula>0</formula>
    </cfRule>
  </conditionalFormatting>
  <conditionalFormatting sqref="BX518:BX519">
    <cfRule type="cellIs" dxfId="468" priority="381" stopIfTrue="1" operator="notEqual">
      <formula>0</formula>
    </cfRule>
  </conditionalFormatting>
  <conditionalFormatting sqref="BX520">
    <cfRule type="cellIs" dxfId="467" priority="380" stopIfTrue="1" operator="notEqual">
      <formula>0</formula>
    </cfRule>
  </conditionalFormatting>
  <conditionalFormatting sqref="BX521">
    <cfRule type="cellIs" dxfId="466" priority="379" stopIfTrue="1" operator="notEqual">
      <formula>0</formula>
    </cfRule>
  </conditionalFormatting>
  <conditionalFormatting sqref="BX522:BX523">
    <cfRule type="cellIs" dxfId="465" priority="378" stopIfTrue="1" operator="notEqual">
      <formula>0</formula>
    </cfRule>
  </conditionalFormatting>
  <conditionalFormatting sqref="BX524">
    <cfRule type="cellIs" dxfId="464" priority="377" stopIfTrue="1" operator="notEqual">
      <formula>0</formula>
    </cfRule>
  </conditionalFormatting>
  <conditionalFormatting sqref="BX732">
    <cfRule type="cellIs" dxfId="463" priority="376" stopIfTrue="1" operator="notEqual">
      <formula>0</formula>
    </cfRule>
  </conditionalFormatting>
  <conditionalFormatting sqref="BX733">
    <cfRule type="cellIs" dxfId="462" priority="375" stopIfTrue="1" operator="notEqual">
      <formula>0</formula>
    </cfRule>
  </conditionalFormatting>
  <conditionalFormatting sqref="BX996">
    <cfRule type="cellIs" dxfId="461" priority="374" stopIfTrue="1" operator="notEqual">
      <formula>0</formula>
    </cfRule>
  </conditionalFormatting>
  <conditionalFormatting sqref="BX947">
    <cfRule type="cellIs" dxfId="460" priority="373" stopIfTrue="1" operator="notEqual">
      <formula>0</formula>
    </cfRule>
  </conditionalFormatting>
  <conditionalFormatting sqref="BX948">
    <cfRule type="cellIs" dxfId="459" priority="372" stopIfTrue="1" operator="notEqual">
      <formula>0</formula>
    </cfRule>
  </conditionalFormatting>
  <conditionalFormatting sqref="BX949">
    <cfRule type="cellIs" dxfId="458" priority="371" stopIfTrue="1" operator="notEqual">
      <formula>0</formula>
    </cfRule>
  </conditionalFormatting>
  <conditionalFormatting sqref="BX961">
    <cfRule type="cellIs" dxfId="457" priority="370" stopIfTrue="1" operator="notEqual">
      <formula>0</formula>
    </cfRule>
  </conditionalFormatting>
  <conditionalFormatting sqref="BX962">
    <cfRule type="cellIs" dxfId="456" priority="369" stopIfTrue="1" operator="notEqual">
      <formula>0</formula>
    </cfRule>
  </conditionalFormatting>
  <conditionalFormatting sqref="BX963">
    <cfRule type="cellIs" dxfId="455" priority="368" stopIfTrue="1" operator="notEqual">
      <formula>0</formula>
    </cfRule>
  </conditionalFormatting>
  <conditionalFormatting sqref="BX979">
    <cfRule type="cellIs" dxfId="454" priority="367" stopIfTrue="1" operator="notEqual">
      <formula>0</formula>
    </cfRule>
  </conditionalFormatting>
  <conditionalFormatting sqref="BX980:BX981">
    <cfRule type="cellIs" dxfId="453" priority="366" stopIfTrue="1" operator="notEqual">
      <formula>0</formula>
    </cfRule>
  </conditionalFormatting>
  <conditionalFormatting sqref="BX982">
    <cfRule type="cellIs" dxfId="452" priority="365" stopIfTrue="1" operator="notEqual">
      <formula>0</formula>
    </cfRule>
  </conditionalFormatting>
  <conditionalFormatting sqref="BX983">
    <cfRule type="cellIs" dxfId="451" priority="364" stopIfTrue="1" operator="notEqual">
      <formula>0</formula>
    </cfRule>
  </conditionalFormatting>
  <conditionalFormatting sqref="BX984">
    <cfRule type="cellIs" dxfId="450" priority="363" stopIfTrue="1" operator="notEqual">
      <formula>0</formula>
    </cfRule>
  </conditionalFormatting>
  <conditionalFormatting sqref="BX985">
    <cfRule type="cellIs" dxfId="449" priority="362" stopIfTrue="1" operator="notEqual">
      <formula>0</formula>
    </cfRule>
  </conditionalFormatting>
  <conditionalFormatting sqref="BX986">
    <cfRule type="cellIs" dxfId="448" priority="361" stopIfTrue="1" operator="notEqual">
      <formula>0</formula>
    </cfRule>
  </conditionalFormatting>
  <conditionalFormatting sqref="BX987">
    <cfRule type="cellIs" dxfId="447" priority="360" stopIfTrue="1" operator="notEqual">
      <formula>0</formula>
    </cfRule>
  </conditionalFormatting>
  <conditionalFormatting sqref="BX988">
    <cfRule type="cellIs" dxfId="446" priority="359" stopIfTrue="1" operator="notEqual">
      <formula>0</formula>
    </cfRule>
  </conditionalFormatting>
  <conditionalFormatting sqref="BX989">
    <cfRule type="cellIs" dxfId="445" priority="358" stopIfTrue="1" operator="notEqual">
      <formula>0</formula>
    </cfRule>
  </conditionalFormatting>
  <conditionalFormatting sqref="BX990">
    <cfRule type="cellIs" dxfId="444" priority="357" stopIfTrue="1" operator="notEqual">
      <formula>0</formula>
    </cfRule>
  </conditionalFormatting>
  <conditionalFormatting sqref="BX991">
    <cfRule type="cellIs" dxfId="443" priority="356" stopIfTrue="1" operator="notEqual">
      <formula>0</formula>
    </cfRule>
  </conditionalFormatting>
  <conditionalFormatting sqref="BX992">
    <cfRule type="cellIs" dxfId="442" priority="355" stopIfTrue="1" operator="notEqual">
      <formula>0</formula>
    </cfRule>
  </conditionalFormatting>
  <conditionalFormatting sqref="BX993">
    <cfRule type="cellIs" dxfId="441" priority="354" stopIfTrue="1" operator="notEqual">
      <formula>0</formula>
    </cfRule>
  </conditionalFormatting>
  <conditionalFormatting sqref="BX994">
    <cfRule type="cellIs" dxfId="440" priority="353" stopIfTrue="1" operator="notEqual">
      <formula>0</formula>
    </cfRule>
  </conditionalFormatting>
  <conditionalFormatting sqref="BX995">
    <cfRule type="cellIs" dxfId="439" priority="352" stopIfTrue="1" operator="notEqual">
      <formula>0</formula>
    </cfRule>
  </conditionalFormatting>
  <conditionalFormatting sqref="BX1466">
    <cfRule type="cellIs" dxfId="438" priority="351" stopIfTrue="1" operator="notEqual">
      <formula>0</formula>
    </cfRule>
  </conditionalFormatting>
  <conditionalFormatting sqref="BX1467">
    <cfRule type="cellIs" dxfId="437" priority="350" stopIfTrue="1" operator="notEqual">
      <formula>0</formula>
    </cfRule>
  </conditionalFormatting>
  <conditionalFormatting sqref="BX1922">
    <cfRule type="cellIs" dxfId="436" priority="349" stopIfTrue="1" operator="notEqual">
      <formula>0</formula>
    </cfRule>
  </conditionalFormatting>
  <conditionalFormatting sqref="BX1923">
    <cfRule type="cellIs" dxfId="435" priority="348" stopIfTrue="1" operator="notEqual">
      <formula>0</formula>
    </cfRule>
  </conditionalFormatting>
  <conditionalFormatting sqref="BX1577">
    <cfRule type="cellIs" dxfId="434" priority="347" stopIfTrue="1" operator="notEqual">
      <formula>0</formula>
    </cfRule>
  </conditionalFormatting>
  <conditionalFormatting sqref="BX1578">
    <cfRule type="cellIs" dxfId="433" priority="346" stopIfTrue="1" operator="notEqual">
      <formula>0</formula>
    </cfRule>
  </conditionalFormatting>
  <conditionalFormatting sqref="BX1563">
    <cfRule type="cellIs" dxfId="432" priority="345" stopIfTrue="1" operator="notEqual">
      <formula>0</formula>
    </cfRule>
  </conditionalFormatting>
  <conditionalFormatting sqref="BX1565">
    <cfRule type="cellIs" dxfId="431" priority="344" stopIfTrue="1" operator="notEqual">
      <formula>0</formula>
    </cfRule>
  </conditionalFormatting>
  <conditionalFormatting sqref="BX1122">
    <cfRule type="cellIs" dxfId="430" priority="343" stopIfTrue="1" operator="notEqual">
      <formula>0</formula>
    </cfRule>
  </conditionalFormatting>
  <conditionalFormatting sqref="BX1123">
    <cfRule type="cellIs" dxfId="429" priority="342" stopIfTrue="1" operator="notEqual">
      <formula>0</formula>
    </cfRule>
  </conditionalFormatting>
  <conditionalFormatting sqref="BX1124">
    <cfRule type="cellIs" dxfId="428" priority="341" stopIfTrue="1" operator="notEqual">
      <formula>0</formula>
    </cfRule>
  </conditionalFormatting>
  <conditionalFormatting sqref="BX1125">
    <cfRule type="cellIs" dxfId="427" priority="340" stopIfTrue="1" operator="notEqual">
      <formula>0</formula>
    </cfRule>
  </conditionalFormatting>
  <conditionalFormatting sqref="BX1126">
    <cfRule type="cellIs" dxfId="426" priority="339" stopIfTrue="1" operator="notEqual">
      <formula>0</formula>
    </cfRule>
  </conditionalFormatting>
  <conditionalFormatting sqref="BX1127">
    <cfRule type="cellIs" dxfId="425" priority="338" stopIfTrue="1" operator="notEqual">
      <formula>0</formula>
    </cfRule>
  </conditionalFormatting>
  <conditionalFormatting sqref="BX1128">
    <cfRule type="cellIs" dxfId="424" priority="337" stopIfTrue="1" operator="notEqual">
      <formula>0</formula>
    </cfRule>
  </conditionalFormatting>
  <conditionalFormatting sqref="BX1129">
    <cfRule type="cellIs" dxfId="423" priority="336" stopIfTrue="1" operator="notEqual">
      <formula>0</formula>
    </cfRule>
  </conditionalFormatting>
  <conditionalFormatting sqref="BX1130">
    <cfRule type="cellIs" dxfId="422" priority="335" stopIfTrue="1" operator="notEqual">
      <formula>0</formula>
    </cfRule>
  </conditionalFormatting>
  <conditionalFormatting sqref="BX1131">
    <cfRule type="cellIs" dxfId="421" priority="334" stopIfTrue="1" operator="notEqual">
      <formula>0</formula>
    </cfRule>
  </conditionalFormatting>
  <conditionalFormatting sqref="BX1148">
    <cfRule type="cellIs" dxfId="420" priority="333" stopIfTrue="1" operator="notEqual">
      <formula>0</formula>
    </cfRule>
  </conditionalFormatting>
  <conditionalFormatting sqref="BX1149">
    <cfRule type="cellIs" dxfId="419" priority="332" stopIfTrue="1" operator="notEqual">
      <formula>0</formula>
    </cfRule>
  </conditionalFormatting>
  <conditionalFormatting sqref="BX1150">
    <cfRule type="cellIs" dxfId="418" priority="331" stopIfTrue="1" operator="notEqual">
      <formula>0</formula>
    </cfRule>
  </conditionalFormatting>
  <conditionalFormatting sqref="BX1151">
    <cfRule type="cellIs" dxfId="417" priority="330" stopIfTrue="1" operator="notEqual">
      <formula>0</formula>
    </cfRule>
  </conditionalFormatting>
  <conditionalFormatting sqref="BX1152">
    <cfRule type="cellIs" dxfId="416" priority="329" stopIfTrue="1" operator="notEqual">
      <formula>0</formula>
    </cfRule>
  </conditionalFormatting>
  <conditionalFormatting sqref="BX1153">
    <cfRule type="cellIs" dxfId="415" priority="328" stopIfTrue="1" operator="notEqual">
      <formula>0</formula>
    </cfRule>
  </conditionalFormatting>
  <conditionalFormatting sqref="BX1154">
    <cfRule type="cellIs" dxfId="414" priority="327" stopIfTrue="1" operator="notEqual">
      <formula>0</formula>
    </cfRule>
  </conditionalFormatting>
  <conditionalFormatting sqref="BX1155:BX1157">
    <cfRule type="cellIs" dxfId="413" priority="326" stopIfTrue="1" operator="notEqual">
      <formula>0</formula>
    </cfRule>
  </conditionalFormatting>
  <conditionalFormatting sqref="BX1158">
    <cfRule type="cellIs" dxfId="412" priority="325" stopIfTrue="1" operator="notEqual">
      <formula>0</formula>
    </cfRule>
  </conditionalFormatting>
  <conditionalFormatting sqref="BX1132">
    <cfRule type="cellIs" dxfId="411" priority="324" stopIfTrue="1" operator="notEqual">
      <formula>0</formula>
    </cfRule>
  </conditionalFormatting>
  <conditionalFormatting sqref="BX1133">
    <cfRule type="cellIs" dxfId="410" priority="323" stopIfTrue="1" operator="notEqual">
      <formula>0</formula>
    </cfRule>
  </conditionalFormatting>
  <conditionalFormatting sqref="BX1134">
    <cfRule type="cellIs" dxfId="409" priority="322" stopIfTrue="1" operator="notEqual">
      <formula>0</formula>
    </cfRule>
  </conditionalFormatting>
  <conditionalFormatting sqref="BX1135">
    <cfRule type="cellIs" dxfId="408" priority="321" stopIfTrue="1" operator="notEqual">
      <formula>0</formula>
    </cfRule>
  </conditionalFormatting>
  <conditionalFormatting sqref="BX1136">
    <cfRule type="cellIs" dxfId="407" priority="320" stopIfTrue="1" operator="notEqual">
      <formula>0</formula>
    </cfRule>
  </conditionalFormatting>
  <conditionalFormatting sqref="BX1145">
    <cfRule type="cellIs" dxfId="406" priority="319" stopIfTrue="1" operator="notEqual">
      <formula>0</formula>
    </cfRule>
  </conditionalFormatting>
  <conditionalFormatting sqref="BX1146">
    <cfRule type="cellIs" dxfId="405" priority="318" stopIfTrue="1" operator="notEqual">
      <formula>0</formula>
    </cfRule>
  </conditionalFormatting>
  <conditionalFormatting sqref="BX1147">
    <cfRule type="cellIs" dxfId="404" priority="317" stopIfTrue="1" operator="notEqual">
      <formula>0</formula>
    </cfRule>
  </conditionalFormatting>
  <conditionalFormatting sqref="BX1363">
    <cfRule type="cellIs" dxfId="403" priority="316" stopIfTrue="1" operator="notEqual">
      <formula>0</formula>
    </cfRule>
  </conditionalFormatting>
  <conditionalFormatting sqref="BX1360">
    <cfRule type="cellIs" dxfId="402" priority="315" stopIfTrue="1" operator="notEqual">
      <formula>0</formula>
    </cfRule>
  </conditionalFormatting>
  <conditionalFormatting sqref="BX1707">
    <cfRule type="cellIs" dxfId="401" priority="314" stopIfTrue="1" operator="notEqual">
      <formula>0</formula>
    </cfRule>
  </conditionalFormatting>
  <conditionalFormatting sqref="BX714">
    <cfRule type="cellIs" dxfId="400" priority="313" stopIfTrue="1" operator="notEqual">
      <formula>0</formula>
    </cfRule>
  </conditionalFormatting>
  <conditionalFormatting sqref="BX687">
    <cfRule type="cellIs" dxfId="399" priority="312" stopIfTrue="1" operator="notEqual">
      <formula>0</formula>
    </cfRule>
  </conditionalFormatting>
  <conditionalFormatting sqref="BX686">
    <cfRule type="cellIs" dxfId="398" priority="311" stopIfTrue="1" operator="notEqual">
      <formula>0</formula>
    </cfRule>
  </conditionalFormatting>
  <conditionalFormatting sqref="BX1376">
    <cfRule type="cellIs" dxfId="397" priority="310" stopIfTrue="1" operator="notEqual">
      <formula>0</formula>
    </cfRule>
  </conditionalFormatting>
  <conditionalFormatting sqref="BX1376">
    <cfRule type="cellIs" dxfId="396" priority="309" stopIfTrue="1" operator="notEqual">
      <formula>0</formula>
    </cfRule>
  </conditionalFormatting>
  <conditionalFormatting sqref="BX1377">
    <cfRule type="cellIs" dxfId="395" priority="308" stopIfTrue="1" operator="notEqual">
      <formula>0</formula>
    </cfRule>
  </conditionalFormatting>
  <conditionalFormatting sqref="BX1377">
    <cfRule type="cellIs" dxfId="394" priority="307" stopIfTrue="1" operator="notEqual">
      <formula>0</formula>
    </cfRule>
  </conditionalFormatting>
  <conditionalFormatting sqref="BX170">
    <cfRule type="cellIs" dxfId="393" priority="306" stopIfTrue="1" operator="notEqual">
      <formula>0</formula>
    </cfRule>
  </conditionalFormatting>
  <conditionalFormatting sqref="BX171">
    <cfRule type="cellIs" dxfId="392" priority="305" stopIfTrue="1" operator="notEqual">
      <formula>0</formula>
    </cfRule>
  </conditionalFormatting>
  <conditionalFormatting sqref="BX172">
    <cfRule type="cellIs" dxfId="391" priority="304" stopIfTrue="1" operator="notEqual">
      <formula>0</formula>
    </cfRule>
  </conditionalFormatting>
  <conditionalFormatting sqref="BX173">
    <cfRule type="cellIs" dxfId="390" priority="303" stopIfTrue="1" operator="notEqual">
      <formula>0</formula>
    </cfRule>
  </conditionalFormatting>
  <conditionalFormatting sqref="BX174">
    <cfRule type="cellIs" dxfId="389" priority="302" stopIfTrue="1" operator="notEqual">
      <formula>0</formula>
    </cfRule>
  </conditionalFormatting>
  <conditionalFormatting sqref="BX175">
    <cfRule type="cellIs" dxfId="388" priority="301" stopIfTrue="1" operator="notEqual">
      <formula>0</formula>
    </cfRule>
  </conditionalFormatting>
  <conditionalFormatting sqref="BX176">
    <cfRule type="cellIs" dxfId="387" priority="300" stopIfTrue="1" operator="notEqual">
      <formula>0</formula>
    </cfRule>
  </conditionalFormatting>
  <conditionalFormatting sqref="BX177">
    <cfRule type="cellIs" dxfId="386" priority="299" stopIfTrue="1" operator="notEqual">
      <formula>0</formula>
    </cfRule>
  </conditionalFormatting>
  <conditionalFormatting sqref="BX178">
    <cfRule type="cellIs" dxfId="385" priority="298" stopIfTrue="1" operator="notEqual">
      <formula>0</formula>
    </cfRule>
  </conditionalFormatting>
  <conditionalFormatting sqref="BX68">
    <cfRule type="cellIs" dxfId="384" priority="297" stopIfTrue="1" operator="notEqual">
      <formula>0</formula>
    </cfRule>
  </conditionalFormatting>
  <conditionalFormatting sqref="BX181:BX182">
    <cfRule type="cellIs" dxfId="383" priority="296" stopIfTrue="1" operator="notEqual">
      <formula>0</formula>
    </cfRule>
  </conditionalFormatting>
  <conditionalFormatting sqref="BX183">
    <cfRule type="cellIs" dxfId="382" priority="295" stopIfTrue="1" operator="notEqual">
      <formula>0</formula>
    </cfRule>
  </conditionalFormatting>
  <conditionalFormatting sqref="BX222">
    <cfRule type="cellIs" dxfId="381" priority="294" stopIfTrue="1" operator="notEqual">
      <formula>0</formula>
    </cfRule>
  </conditionalFormatting>
  <conditionalFormatting sqref="BX224">
    <cfRule type="cellIs" dxfId="380" priority="293" stopIfTrue="1" operator="notEqual">
      <formula>0</formula>
    </cfRule>
  </conditionalFormatting>
  <conditionalFormatting sqref="BX229">
    <cfRule type="cellIs" dxfId="379" priority="292" stopIfTrue="1" operator="notEqual">
      <formula>0</formula>
    </cfRule>
  </conditionalFormatting>
  <conditionalFormatting sqref="BX391">
    <cfRule type="cellIs" dxfId="378" priority="291" stopIfTrue="1" operator="notEqual">
      <formula>0</formula>
    </cfRule>
  </conditionalFormatting>
  <conditionalFormatting sqref="BX392">
    <cfRule type="cellIs" dxfId="377" priority="290" stopIfTrue="1" operator="notEqual">
      <formula>0</formula>
    </cfRule>
  </conditionalFormatting>
  <conditionalFormatting sqref="BX475">
    <cfRule type="cellIs" dxfId="376" priority="289" stopIfTrue="1" operator="notEqual">
      <formula>0</formula>
    </cfRule>
  </conditionalFormatting>
  <conditionalFormatting sqref="BX549">
    <cfRule type="cellIs" dxfId="375" priority="288" stopIfTrue="1" operator="notEqual">
      <formula>0</formula>
    </cfRule>
  </conditionalFormatting>
  <conditionalFormatting sqref="BX555">
    <cfRule type="cellIs" dxfId="374" priority="287" stopIfTrue="1" operator="notEqual">
      <formula>0</formula>
    </cfRule>
  </conditionalFormatting>
  <conditionalFormatting sqref="BX555">
    <cfRule type="cellIs" dxfId="373" priority="286" stopIfTrue="1" operator="notEqual">
      <formula>0</formula>
    </cfRule>
  </conditionalFormatting>
  <conditionalFormatting sqref="BX598">
    <cfRule type="cellIs" dxfId="372" priority="285" stopIfTrue="1" operator="notEqual">
      <formula>0</formula>
    </cfRule>
  </conditionalFormatting>
  <conditionalFormatting sqref="BX629">
    <cfRule type="cellIs" dxfId="371" priority="284" stopIfTrue="1" operator="notEqual">
      <formula>0</formula>
    </cfRule>
  </conditionalFormatting>
  <conditionalFormatting sqref="BX629">
    <cfRule type="cellIs" dxfId="370" priority="283" stopIfTrue="1" operator="notEqual">
      <formula>0</formula>
    </cfRule>
  </conditionalFormatting>
  <conditionalFormatting sqref="BX742">
    <cfRule type="cellIs" dxfId="369" priority="282" stopIfTrue="1" operator="notEqual">
      <formula>0</formula>
    </cfRule>
  </conditionalFormatting>
  <conditionalFormatting sqref="BX742">
    <cfRule type="cellIs" dxfId="368" priority="281" stopIfTrue="1" operator="notEqual">
      <formula>0</formula>
    </cfRule>
  </conditionalFormatting>
  <conditionalFormatting sqref="BX746">
    <cfRule type="cellIs" dxfId="367" priority="280" stopIfTrue="1" operator="notEqual">
      <formula>0</formula>
    </cfRule>
  </conditionalFormatting>
  <conditionalFormatting sqref="BX746">
    <cfRule type="cellIs" dxfId="366" priority="279" stopIfTrue="1" operator="notEqual">
      <formula>0</formula>
    </cfRule>
  </conditionalFormatting>
  <conditionalFormatting sqref="BX916">
    <cfRule type="cellIs" dxfId="365" priority="278" stopIfTrue="1" operator="notEqual">
      <formula>0</formula>
    </cfRule>
  </conditionalFormatting>
  <conditionalFormatting sqref="BX935">
    <cfRule type="cellIs" dxfId="364" priority="277" stopIfTrue="1" operator="notEqual">
      <formula>0</formula>
    </cfRule>
  </conditionalFormatting>
  <conditionalFormatting sqref="BX935">
    <cfRule type="cellIs" dxfId="363" priority="276" stopIfTrue="1" operator="notEqual">
      <formula>0</formula>
    </cfRule>
  </conditionalFormatting>
  <conditionalFormatting sqref="BX950">
    <cfRule type="cellIs" dxfId="362" priority="275" stopIfTrue="1" operator="notEqual">
      <formula>0</formula>
    </cfRule>
  </conditionalFormatting>
  <conditionalFormatting sqref="BX950">
    <cfRule type="cellIs" dxfId="361" priority="274" stopIfTrue="1" operator="notEqual">
      <formula>0</formula>
    </cfRule>
  </conditionalFormatting>
  <conditionalFormatting sqref="BX951">
    <cfRule type="cellIs" dxfId="360" priority="273" stopIfTrue="1" operator="notEqual">
      <formula>0</formula>
    </cfRule>
  </conditionalFormatting>
  <conditionalFormatting sqref="BX951">
    <cfRule type="cellIs" dxfId="359" priority="272" stopIfTrue="1" operator="notEqual">
      <formula>0</formula>
    </cfRule>
  </conditionalFormatting>
  <conditionalFormatting sqref="BX952">
    <cfRule type="cellIs" dxfId="358" priority="271" stopIfTrue="1" operator="notEqual">
      <formula>0</formula>
    </cfRule>
  </conditionalFormatting>
  <conditionalFormatting sqref="BX952">
    <cfRule type="cellIs" dxfId="357" priority="270" stopIfTrue="1" operator="notEqual">
      <formula>0</formula>
    </cfRule>
  </conditionalFormatting>
  <conditionalFormatting sqref="BX953">
    <cfRule type="cellIs" dxfId="356" priority="269" stopIfTrue="1" operator="notEqual">
      <formula>0</formula>
    </cfRule>
  </conditionalFormatting>
  <conditionalFormatting sqref="BX953">
    <cfRule type="cellIs" dxfId="355" priority="268" stopIfTrue="1" operator="notEqual">
      <formula>0</formula>
    </cfRule>
  </conditionalFormatting>
  <conditionalFormatting sqref="BX954">
    <cfRule type="cellIs" dxfId="354" priority="267" stopIfTrue="1" operator="notEqual">
      <formula>0</formula>
    </cfRule>
  </conditionalFormatting>
  <conditionalFormatting sqref="BX954">
    <cfRule type="cellIs" dxfId="353" priority="266" stopIfTrue="1" operator="notEqual">
      <formula>0</formula>
    </cfRule>
  </conditionalFormatting>
  <conditionalFormatting sqref="BX957">
    <cfRule type="cellIs" dxfId="352" priority="265" stopIfTrue="1" operator="notEqual">
      <formula>0</formula>
    </cfRule>
  </conditionalFormatting>
  <conditionalFormatting sqref="BX957">
    <cfRule type="cellIs" dxfId="351" priority="264" stopIfTrue="1" operator="notEqual">
      <formula>0</formula>
    </cfRule>
  </conditionalFormatting>
  <conditionalFormatting sqref="BX955">
    <cfRule type="cellIs" dxfId="350" priority="263" stopIfTrue="1" operator="notEqual">
      <formula>0</formula>
    </cfRule>
  </conditionalFormatting>
  <conditionalFormatting sqref="BX955">
    <cfRule type="cellIs" dxfId="349" priority="262" stopIfTrue="1" operator="notEqual">
      <formula>0</formula>
    </cfRule>
  </conditionalFormatting>
  <conditionalFormatting sqref="BX956">
    <cfRule type="cellIs" dxfId="348" priority="261" stopIfTrue="1" operator="notEqual">
      <formula>0</formula>
    </cfRule>
  </conditionalFormatting>
  <conditionalFormatting sqref="BX956">
    <cfRule type="cellIs" dxfId="347" priority="260" stopIfTrue="1" operator="notEqual">
      <formula>0</formula>
    </cfRule>
  </conditionalFormatting>
  <conditionalFormatting sqref="BX958">
    <cfRule type="cellIs" dxfId="346" priority="259" stopIfTrue="1" operator="notEqual">
      <formula>0</formula>
    </cfRule>
  </conditionalFormatting>
  <conditionalFormatting sqref="BX958">
    <cfRule type="cellIs" dxfId="345" priority="258" stopIfTrue="1" operator="notEqual">
      <formula>0</formula>
    </cfRule>
  </conditionalFormatting>
  <conditionalFormatting sqref="BX959">
    <cfRule type="cellIs" dxfId="344" priority="257" stopIfTrue="1" operator="notEqual">
      <formula>0</formula>
    </cfRule>
  </conditionalFormatting>
  <conditionalFormatting sqref="BX959">
    <cfRule type="cellIs" dxfId="343" priority="256" stopIfTrue="1" operator="notEqual">
      <formula>0</formula>
    </cfRule>
  </conditionalFormatting>
  <conditionalFormatting sqref="BX960">
    <cfRule type="cellIs" dxfId="342" priority="255" stopIfTrue="1" operator="notEqual">
      <formula>0</formula>
    </cfRule>
  </conditionalFormatting>
  <conditionalFormatting sqref="BX960">
    <cfRule type="cellIs" dxfId="341" priority="254" stopIfTrue="1" operator="notEqual">
      <formula>0</formula>
    </cfRule>
  </conditionalFormatting>
  <conditionalFormatting sqref="BX964">
    <cfRule type="cellIs" dxfId="340" priority="253" stopIfTrue="1" operator="notEqual">
      <formula>0</formula>
    </cfRule>
  </conditionalFormatting>
  <conditionalFormatting sqref="BX964">
    <cfRule type="cellIs" dxfId="339" priority="252" stopIfTrue="1" operator="notEqual">
      <formula>0</formula>
    </cfRule>
  </conditionalFormatting>
  <conditionalFormatting sqref="BX965">
    <cfRule type="cellIs" dxfId="338" priority="251" stopIfTrue="1" operator="notEqual">
      <formula>0</formula>
    </cfRule>
  </conditionalFormatting>
  <conditionalFormatting sqref="BX965">
    <cfRule type="cellIs" dxfId="337" priority="250" stopIfTrue="1" operator="notEqual">
      <formula>0</formula>
    </cfRule>
  </conditionalFormatting>
  <conditionalFormatting sqref="BX966">
    <cfRule type="cellIs" dxfId="336" priority="249" stopIfTrue="1" operator="notEqual">
      <formula>0</formula>
    </cfRule>
  </conditionalFormatting>
  <conditionalFormatting sqref="BX966">
    <cfRule type="cellIs" dxfId="335" priority="248" stopIfTrue="1" operator="notEqual">
      <formula>0</formula>
    </cfRule>
  </conditionalFormatting>
  <conditionalFormatting sqref="BX967">
    <cfRule type="cellIs" dxfId="334" priority="247" stopIfTrue="1" operator="notEqual">
      <formula>0</formula>
    </cfRule>
  </conditionalFormatting>
  <conditionalFormatting sqref="BX967">
    <cfRule type="cellIs" dxfId="333" priority="246" stopIfTrue="1" operator="notEqual">
      <formula>0</formula>
    </cfRule>
  </conditionalFormatting>
  <conditionalFormatting sqref="BX968">
    <cfRule type="cellIs" dxfId="332" priority="245" stopIfTrue="1" operator="notEqual">
      <formula>0</formula>
    </cfRule>
  </conditionalFormatting>
  <conditionalFormatting sqref="BX968">
    <cfRule type="cellIs" dxfId="331" priority="244" stopIfTrue="1" operator="notEqual">
      <formula>0</formula>
    </cfRule>
  </conditionalFormatting>
  <conditionalFormatting sqref="BX969">
    <cfRule type="cellIs" dxfId="330" priority="243" stopIfTrue="1" operator="notEqual">
      <formula>0</formula>
    </cfRule>
  </conditionalFormatting>
  <conditionalFormatting sqref="BX969">
    <cfRule type="cellIs" dxfId="329" priority="242" stopIfTrue="1" operator="notEqual">
      <formula>0</formula>
    </cfRule>
  </conditionalFormatting>
  <conditionalFormatting sqref="BX970">
    <cfRule type="cellIs" dxfId="328" priority="241" stopIfTrue="1" operator="notEqual">
      <formula>0</formula>
    </cfRule>
  </conditionalFormatting>
  <conditionalFormatting sqref="BX970">
    <cfRule type="cellIs" dxfId="327" priority="240" stopIfTrue="1" operator="notEqual">
      <formula>0</formula>
    </cfRule>
  </conditionalFormatting>
  <conditionalFormatting sqref="BX976">
    <cfRule type="cellIs" dxfId="326" priority="239" stopIfTrue="1" operator="notEqual">
      <formula>0</formula>
    </cfRule>
  </conditionalFormatting>
  <conditionalFormatting sqref="BX976">
    <cfRule type="cellIs" dxfId="325" priority="238" stopIfTrue="1" operator="notEqual">
      <formula>0</formula>
    </cfRule>
  </conditionalFormatting>
  <conditionalFormatting sqref="BX971">
    <cfRule type="cellIs" dxfId="324" priority="237" stopIfTrue="1" operator="notEqual">
      <formula>0</formula>
    </cfRule>
  </conditionalFormatting>
  <conditionalFormatting sqref="BX971">
    <cfRule type="cellIs" dxfId="323" priority="236" stopIfTrue="1" operator="notEqual">
      <formula>0</formula>
    </cfRule>
  </conditionalFormatting>
  <conditionalFormatting sqref="BX972">
    <cfRule type="cellIs" dxfId="322" priority="235" stopIfTrue="1" operator="notEqual">
      <formula>0</formula>
    </cfRule>
  </conditionalFormatting>
  <conditionalFormatting sqref="BX972">
    <cfRule type="cellIs" dxfId="321" priority="234" stopIfTrue="1" operator="notEqual">
      <formula>0</formula>
    </cfRule>
  </conditionalFormatting>
  <conditionalFormatting sqref="BX973">
    <cfRule type="cellIs" dxfId="320" priority="233" stopIfTrue="1" operator="notEqual">
      <formula>0</formula>
    </cfRule>
  </conditionalFormatting>
  <conditionalFormatting sqref="BX973">
    <cfRule type="cellIs" dxfId="319" priority="232" stopIfTrue="1" operator="notEqual">
      <formula>0</formula>
    </cfRule>
  </conditionalFormatting>
  <conditionalFormatting sqref="BX974">
    <cfRule type="cellIs" dxfId="318" priority="231" stopIfTrue="1" operator="notEqual">
      <formula>0</formula>
    </cfRule>
  </conditionalFormatting>
  <conditionalFormatting sqref="BX974">
    <cfRule type="cellIs" dxfId="317" priority="230" stopIfTrue="1" operator="notEqual">
      <formula>0</formula>
    </cfRule>
  </conditionalFormatting>
  <conditionalFormatting sqref="BX975">
    <cfRule type="cellIs" dxfId="316" priority="229" stopIfTrue="1" operator="notEqual">
      <formula>0</formula>
    </cfRule>
  </conditionalFormatting>
  <conditionalFormatting sqref="BX975">
    <cfRule type="cellIs" dxfId="315" priority="228" stopIfTrue="1" operator="notEqual">
      <formula>0</formula>
    </cfRule>
  </conditionalFormatting>
  <conditionalFormatting sqref="BX977">
    <cfRule type="cellIs" dxfId="314" priority="227" stopIfTrue="1" operator="notEqual">
      <formula>0</formula>
    </cfRule>
  </conditionalFormatting>
  <conditionalFormatting sqref="BX977">
    <cfRule type="cellIs" dxfId="313" priority="226" stopIfTrue="1" operator="notEqual">
      <formula>0</formula>
    </cfRule>
  </conditionalFormatting>
  <conditionalFormatting sqref="BX978">
    <cfRule type="cellIs" dxfId="312" priority="225" stopIfTrue="1" operator="notEqual">
      <formula>0</formula>
    </cfRule>
  </conditionalFormatting>
  <conditionalFormatting sqref="BX978">
    <cfRule type="cellIs" dxfId="311" priority="224" stopIfTrue="1" operator="notEqual">
      <formula>0</formula>
    </cfRule>
  </conditionalFormatting>
  <conditionalFormatting sqref="BX1013">
    <cfRule type="cellIs" dxfId="310" priority="222" stopIfTrue="1" operator="notEqual">
      <formula>0</formula>
    </cfRule>
  </conditionalFormatting>
  <conditionalFormatting sqref="BX1095">
    <cfRule type="cellIs" dxfId="309" priority="221" stopIfTrue="1" operator="notEqual">
      <formula>0</formula>
    </cfRule>
  </conditionalFormatting>
  <conditionalFormatting sqref="BX1013">
    <cfRule type="cellIs" dxfId="308" priority="223" stopIfTrue="1" operator="notEqual">
      <formula>0</formula>
    </cfRule>
  </conditionalFormatting>
  <conditionalFormatting sqref="BX1095">
    <cfRule type="cellIs" dxfId="307" priority="220" stopIfTrue="1" operator="notEqual">
      <formula>0</formula>
    </cfRule>
  </conditionalFormatting>
  <conditionalFormatting sqref="BX1144">
    <cfRule type="cellIs" dxfId="306" priority="219" stopIfTrue="1" operator="notEqual">
      <formula>0</formula>
    </cfRule>
  </conditionalFormatting>
  <conditionalFormatting sqref="BX1144">
    <cfRule type="cellIs" dxfId="305" priority="218" stopIfTrue="1" operator="notEqual">
      <formula>0</formula>
    </cfRule>
  </conditionalFormatting>
  <conditionalFormatting sqref="BX1169">
    <cfRule type="cellIs" dxfId="304" priority="217" stopIfTrue="1" operator="notEqual">
      <formula>0</formula>
    </cfRule>
  </conditionalFormatting>
  <conditionalFormatting sqref="BX1169">
    <cfRule type="cellIs" dxfId="303" priority="216" stopIfTrue="1" operator="notEqual">
      <formula>0</formula>
    </cfRule>
  </conditionalFormatting>
  <conditionalFormatting sqref="BX556">
    <cfRule type="cellIs" dxfId="302" priority="215" stopIfTrue="1" operator="notEqual">
      <formula>0</formula>
    </cfRule>
  </conditionalFormatting>
  <conditionalFormatting sqref="BX556">
    <cfRule type="cellIs" dxfId="301" priority="214" stopIfTrue="1" operator="notEqual">
      <formula>0</formula>
    </cfRule>
  </conditionalFormatting>
  <conditionalFormatting sqref="BX557">
    <cfRule type="cellIs" dxfId="300" priority="213" stopIfTrue="1" operator="notEqual">
      <formula>0</formula>
    </cfRule>
  </conditionalFormatting>
  <conditionalFormatting sqref="BX557">
    <cfRule type="cellIs" dxfId="299" priority="212" stopIfTrue="1" operator="notEqual">
      <formula>0</formula>
    </cfRule>
  </conditionalFormatting>
  <conditionalFormatting sqref="BX1030">
    <cfRule type="cellIs" dxfId="298" priority="211" stopIfTrue="1" operator="notEqual">
      <formula>0</formula>
    </cfRule>
  </conditionalFormatting>
  <conditionalFormatting sqref="BX1030">
    <cfRule type="cellIs" dxfId="297" priority="210" stopIfTrue="1" operator="notEqual">
      <formula>0</formula>
    </cfRule>
  </conditionalFormatting>
  <conditionalFormatting sqref="BX1113">
    <cfRule type="cellIs" dxfId="296" priority="209" stopIfTrue="1" operator="notEqual">
      <formula>0</formula>
    </cfRule>
  </conditionalFormatting>
  <conditionalFormatting sqref="BX1249">
    <cfRule type="cellIs" dxfId="295" priority="208" stopIfTrue="1" operator="notEqual">
      <formula>0</formula>
    </cfRule>
  </conditionalFormatting>
  <conditionalFormatting sqref="BX1386">
    <cfRule type="cellIs" dxfId="294" priority="207" stopIfTrue="1" operator="notEqual">
      <formula>0</formula>
    </cfRule>
  </conditionalFormatting>
  <conditionalFormatting sqref="BX1386">
    <cfRule type="cellIs" dxfId="293" priority="206" stopIfTrue="1" operator="notEqual">
      <formula>0</formula>
    </cfRule>
  </conditionalFormatting>
  <conditionalFormatting sqref="BX1386">
    <cfRule type="cellIs" dxfId="292" priority="205" stopIfTrue="1" operator="notEqual">
      <formula>0</formula>
    </cfRule>
  </conditionalFormatting>
  <conditionalFormatting sqref="BX1387">
    <cfRule type="cellIs" dxfId="291" priority="204" stopIfTrue="1" operator="notEqual">
      <formula>0</formula>
    </cfRule>
  </conditionalFormatting>
  <conditionalFormatting sqref="BX1387">
    <cfRule type="cellIs" dxfId="290" priority="203" stopIfTrue="1" operator="notEqual">
      <formula>0</formula>
    </cfRule>
  </conditionalFormatting>
  <conditionalFormatting sqref="BX1387">
    <cfRule type="cellIs" dxfId="289" priority="202" stopIfTrue="1" operator="notEqual">
      <formula>0</formula>
    </cfRule>
  </conditionalFormatting>
  <conditionalFormatting sqref="BX1399">
    <cfRule type="cellIs" dxfId="288" priority="201" stopIfTrue="1" operator="notEqual">
      <formula>0</formula>
    </cfRule>
  </conditionalFormatting>
  <conditionalFormatting sqref="BX1399">
    <cfRule type="cellIs" dxfId="287" priority="200" stopIfTrue="1" operator="notEqual">
      <formula>0</formula>
    </cfRule>
  </conditionalFormatting>
  <conditionalFormatting sqref="BX1399">
    <cfRule type="cellIs" dxfId="286" priority="199" stopIfTrue="1" operator="notEqual">
      <formula>0</formula>
    </cfRule>
  </conditionalFormatting>
  <conditionalFormatting sqref="BX1400">
    <cfRule type="cellIs" dxfId="285" priority="198" stopIfTrue="1" operator="notEqual">
      <formula>0</formula>
    </cfRule>
  </conditionalFormatting>
  <conditionalFormatting sqref="BX1400">
    <cfRule type="cellIs" dxfId="284" priority="197" stopIfTrue="1" operator="notEqual">
      <formula>0</formula>
    </cfRule>
  </conditionalFormatting>
  <conditionalFormatting sqref="BX1400">
    <cfRule type="cellIs" dxfId="283" priority="196" stopIfTrue="1" operator="notEqual">
      <formula>0</formula>
    </cfRule>
  </conditionalFormatting>
  <conditionalFormatting sqref="BX1401">
    <cfRule type="cellIs" dxfId="282" priority="195" stopIfTrue="1" operator="notEqual">
      <formula>0</formula>
    </cfRule>
  </conditionalFormatting>
  <conditionalFormatting sqref="BX1401">
    <cfRule type="cellIs" dxfId="281" priority="194" stopIfTrue="1" operator="notEqual">
      <formula>0</formula>
    </cfRule>
  </conditionalFormatting>
  <conditionalFormatting sqref="BX1401">
    <cfRule type="cellIs" dxfId="280" priority="193" stopIfTrue="1" operator="notEqual">
      <formula>0</formula>
    </cfRule>
  </conditionalFormatting>
  <conditionalFormatting sqref="BX1402">
    <cfRule type="cellIs" dxfId="279" priority="192" stopIfTrue="1" operator="notEqual">
      <formula>0</formula>
    </cfRule>
  </conditionalFormatting>
  <conditionalFormatting sqref="BX1402">
    <cfRule type="cellIs" dxfId="278" priority="191" stopIfTrue="1" operator="notEqual">
      <formula>0</formula>
    </cfRule>
  </conditionalFormatting>
  <conditionalFormatting sqref="BX1402">
    <cfRule type="cellIs" dxfId="277" priority="190" stopIfTrue="1" operator="notEqual">
      <formula>0</formula>
    </cfRule>
  </conditionalFormatting>
  <conditionalFormatting sqref="BX1404">
    <cfRule type="cellIs" dxfId="276" priority="189" stopIfTrue="1" operator="notEqual">
      <formula>0</formula>
    </cfRule>
  </conditionalFormatting>
  <conditionalFormatting sqref="BX1404">
    <cfRule type="cellIs" dxfId="275" priority="188" stopIfTrue="1" operator="notEqual">
      <formula>0</formula>
    </cfRule>
  </conditionalFormatting>
  <conditionalFormatting sqref="BX1404">
    <cfRule type="cellIs" dxfId="274" priority="187" stopIfTrue="1" operator="notEqual">
      <formula>0</formula>
    </cfRule>
  </conditionalFormatting>
  <conditionalFormatting sqref="BX1486">
    <cfRule type="cellIs" dxfId="273" priority="186" stopIfTrue="1" operator="notEqual">
      <formula>0</formula>
    </cfRule>
  </conditionalFormatting>
  <conditionalFormatting sqref="BX1725">
    <cfRule type="cellIs" dxfId="272" priority="184" stopIfTrue="1" operator="notEqual">
      <formula>0</formula>
    </cfRule>
  </conditionalFormatting>
  <conditionalFormatting sqref="BX1724">
    <cfRule type="cellIs" dxfId="271" priority="185" stopIfTrue="1" operator="notEqual">
      <formula>0</formula>
    </cfRule>
  </conditionalFormatting>
  <conditionalFormatting sqref="BX1952">
    <cfRule type="cellIs" dxfId="270" priority="183" stopIfTrue="1" operator="notEqual">
      <formula>0</formula>
    </cfRule>
  </conditionalFormatting>
  <conditionalFormatting sqref="BX1953">
    <cfRule type="cellIs" dxfId="269" priority="182" stopIfTrue="1" operator="notEqual">
      <formula>0</formula>
    </cfRule>
  </conditionalFormatting>
  <conditionalFormatting sqref="BX1954">
    <cfRule type="cellIs" dxfId="268" priority="181" stopIfTrue="1" operator="notEqual">
      <formula>0</formula>
    </cfRule>
  </conditionalFormatting>
  <conditionalFormatting sqref="BX1955">
    <cfRule type="cellIs" dxfId="267" priority="180" stopIfTrue="1" operator="notEqual">
      <formula>0</formula>
    </cfRule>
  </conditionalFormatting>
  <conditionalFormatting sqref="BX1956">
    <cfRule type="cellIs" dxfId="266" priority="179" stopIfTrue="1" operator="notEqual">
      <formula>0</formula>
    </cfRule>
  </conditionalFormatting>
  <conditionalFormatting sqref="BX1957">
    <cfRule type="cellIs" dxfId="265" priority="178" stopIfTrue="1" operator="notEqual">
      <formula>0</formula>
    </cfRule>
  </conditionalFormatting>
  <conditionalFormatting sqref="BX1958">
    <cfRule type="cellIs" dxfId="264" priority="177" stopIfTrue="1" operator="notEqual">
      <formula>0</formula>
    </cfRule>
  </conditionalFormatting>
  <conditionalFormatting sqref="BX1959">
    <cfRule type="cellIs" dxfId="263" priority="176" stopIfTrue="1" operator="notEqual">
      <formula>0</formula>
    </cfRule>
  </conditionalFormatting>
  <conditionalFormatting sqref="BX1960">
    <cfRule type="cellIs" dxfId="262" priority="175" stopIfTrue="1" operator="notEqual">
      <formula>0</formula>
    </cfRule>
  </conditionalFormatting>
  <conditionalFormatting sqref="BX1961">
    <cfRule type="cellIs" dxfId="261" priority="174" stopIfTrue="1" operator="notEqual">
      <formula>0</formula>
    </cfRule>
  </conditionalFormatting>
  <conditionalFormatting sqref="BX1962">
    <cfRule type="cellIs" dxfId="260" priority="173" stopIfTrue="1" operator="notEqual">
      <formula>0</formula>
    </cfRule>
  </conditionalFormatting>
  <conditionalFormatting sqref="BX1963">
    <cfRule type="cellIs" dxfId="259" priority="172" stopIfTrue="1" operator="notEqual">
      <formula>0</formula>
    </cfRule>
  </conditionalFormatting>
  <conditionalFormatting sqref="BX1964">
    <cfRule type="cellIs" dxfId="258" priority="171" stopIfTrue="1" operator="notEqual">
      <formula>0</formula>
    </cfRule>
  </conditionalFormatting>
  <conditionalFormatting sqref="BX1965">
    <cfRule type="cellIs" dxfId="257" priority="170" stopIfTrue="1" operator="notEqual">
      <formula>0</formula>
    </cfRule>
  </conditionalFormatting>
  <conditionalFormatting sqref="BX1966">
    <cfRule type="cellIs" dxfId="256" priority="169" stopIfTrue="1" operator="notEqual">
      <formula>0</formula>
    </cfRule>
  </conditionalFormatting>
  <conditionalFormatting sqref="BX526">
    <cfRule type="cellIs" dxfId="255" priority="168" stopIfTrue="1" operator="notEqual">
      <formula>0</formula>
    </cfRule>
  </conditionalFormatting>
  <conditionalFormatting sqref="BX526">
    <cfRule type="cellIs" dxfId="254" priority="167" stopIfTrue="1" operator="notEqual">
      <formula>0</formula>
    </cfRule>
  </conditionalFormatting>
  <conditionalFormatting sqref="BV8:BW25">
    <cfRule type="cellIs" dxfId="253" priority="165" stopIfTrue="1" operator="notEqual">
      <formula>0</formula>
    </cfRule>
  </conditionalFormatting>
  <conditionalFormatting sqref="BV29:BW30">
    <cfRule type="cellIs" dxfId="252" priority="164" stopIfTrue="1" operator="notEqual">
      <formula>0</formula>
    </cfRule>
  </conditionalFormatting>
  <conditionalFormatting sqref="BV33:BW34">
    <cfRule type="cellIs" dxfId="251" priority="163" stopIfTrue="1" operator="notEqual">
      <formula>0</formula>
    </cfRule>
  </conditionalFormatting>
  <conditionalFormatting sqref="BV36:BW37">
    <cfRule type="cellIs" dxfId="250" priority="162" stopIfTrue="1" operator="notEqual">
      <formula>0</formula>
    </cfRule>
  </conditionalFormatting>
  <conditionalFormatting sqref="BV45:BW47">
    <cfRule type="cellIs" dxfId="249" priority="161" stopIfTrue="1" operator="notEqual">
      <formula>0</formula>
    </cfRule>
  </conditionalFormatting>
  <conditionalFormatting sqref="BV49:BW49">
    <cfRule type="cellIs" dxfId="248" priority="160" stopIfTrue="1" operator="notEqual">
      <formula>0</formula>
    </cfRule>
  </conditionalFormatting>
  <conditionalFormatting sqref="BV51:BW52">
    <cfRule type="cellIs" dxfId="247" priority="159" stopIfTrue="1" operator="notEqual">
      <formula>0</formula>
    </cfRule>
  </conditionalFormatting>
  <conditionalFormatting sqref="BX460">
    <cfRule type="cellIs" dxfId="246" priority="158" stopIfTrue="1" operator="notEqual">
      <formula>0</formula>
    </cfRule>
  </conditionalFormatting>
  <conditionalFormatting sqref="BX460">
    <cfRule type="cellIs" dxfId="245" priority="157" stopIfTrue="1" operator="notEqual">
      <formula>0</formula>
    </cfRule>
  </conditionalFormatting>
  <conditionalFormatting sqref="BV460:BW460">
    <cfRule type="cellIs" dxfId="244" priority="156" stopIfTrue="1" operator="notEqual">
      <formula>0</formula>
    </cfRule>
  </conditionalFormatting>
  <conditionalFormatting sqref="BX461">
    <cfRule type="cellIs" dxfId="243" priority="155" stopIfTrue="1" operator="notEqual">
      <formula>0</formula>
    </cfRule>
  </conditionalFormatting>
  <conditionalFormatting sqref="BX461">
    <cfRule type="cellIs" dxfId="242" priority="154" stopIfTrue="1" operator="notEqual">
      <formula>0</formula>
    </cfRule>
  </conditionalFormatting>
  <conditionalFormatting sqref="BV461:BW461">
    <cfRule type="cellIs" dxfId="241" priority="153" stopIfTrue="1" operator="notEqual">
      <formula>0</formula>
    </cfRule>
  </conditionalFormatting>
  <conditionalFormatting sqref="BX493:BX494 BX503:BX505">
    <cfRule type="cellIs" dxfId="240" priority="152" stopIfTrue="1" operator="notEqual">
      <formula>0</formula>
    </cfRule>
  </conditionalFormatting>
  <conditionalFormatting sqref="BX493:BX494 BX503:BX505">
    <cfRule type="cellIs" dxfId="239" priority="151" stopIfTrue="1" operator="notEqual">
      <formula>0</formula>
    </cfRule>
  </conditionalFormatting>
  <conditionalFormatting sqref="BV493:BW494 BV503:BW505">
    <cfRule type="cellIs" dxfId="238" priority="150" stopIfTrue="1" operator="notEqual">
      <formula>0</formula>
    </cfRule>
  </conditionalFormatting>
  <conditionalFormatting sqref="BX487">
    <cfRule type="cellIs" dxfId="237" priority="149" stopIfTrue="1" operator="notEqual">
      <formula>0</formula>
    </cfRule>
  </conditionalFormatting>
  <conditionalFormatting sqref="BX487">
    <cfRule type="cellIs" dxfId="236" priority="148" stopIfTrue="1" operator="notEqual">
      <formula>0</formula>
    </cfRule>
  </conditionalFormatting>
  <conditionalFormatting sqref="BV487:BW487">
    <cfRule type="cellIs" dxfId="235" priority="147" stopIfTrue="1" operator="notEqual">
      <formula>0</formula>
    </cfRule>
  </conditionalFormatting>
  <conditionalFormatting sqref="BX488">
    <cfRule type="cellIs" dxfId="234" priority="146" stopIfTrue="1" operator="notEqual">
      <formula>0</formula>
    </cfRule>
  </conditionalFormatting>
  <conditionalFormatting sqref="BX488">
    <cfRule type="cellIs" dxfId="233" priority="145" stopIfTrue="1" operator="notEqual">
      <formula>0</formula>
    </cfRule>
  </conditionalFormatting>
  <conditionalFormatting sqref="BV488:BW488">
    <cfRule type="cellIs" dxfId="232" priority="144" stopIfTrue="1" operator="notEqual">
      <formula>0</formula>
    </cfRule>
  </conditionalFormatting>
  <conditionalFormatting sqref="BX489">
    <cfRule type="cellIs" dxfId="231" priority="143" stopIfTrue="1" operator="notEqual">
      <formula>0</formula>
    </cfRule>
  </conditionalFormatting>
  <conditionalFormatting sqref="BX489">
    <cfRule type="cellIs" dxfId="230" priority="142" stopIfTrue="1" operator="notEqual">
      <formula>0</formula>
    </cfRule>
  </conditionalFormatting>
  <conditionalFormatting sqref="BV489:BW489">
    <cfRule type="cellIs" dxfId="229" priority="141" stopIfTrue="1" operator="notEqual">
      <formula>0</formula>
    </cfRule>
  </conditionalFormatting>
  <conditionalFormatting sqref="BX490">
    <cfRule type="cellIs" dxfId="228" priority="140" stopIfTrue="1" operator="notEqual">
      <formula>0</formula>
    </cfRule>
  </conditionalFormatting>
  <conditionalFormatting sqref="BX490">
    <cfRule type="cellIs" dxfId="227" priority="139" stopIfTrue="1" operator="notEqual">
      <formula>0</formula>
    </cfRule>
  </conditionalFormatting>
  <conditionalFormatting sqref="BV490:BW490">
    <cfRule type="cellIs" dxfId="226" priority="138" stopIfTrue="1" operator="notEqual">
      <formula>0</formula>
    </cfRule>
  </conditionalFormatting>
  <conditionalFormatting sqref="BX491:BX492">
    <cfRule type="cellIs" dxfId="225" priority="137" stopIfTrue="1" operator="notEqual">
      <formula>0</formula>
    </cfRule>
  </conditionalFormatting>
  <conditionalFormatting sqref="BX491:BX492">
    <cfRule type="cellIs" dxfId="224" priority="136" stopIfTrue="1" operator="notEqual">
      <formula>0</formula>
    </cfRule>
  </conditionalFormatting>
  <conditionalFormatting sqref="BV491:BW492">
    <cfRule type="cellIs" dxfId="223" priority="135" stopIfTrue="1" operator="notEqual">
      <formula>0</formula>
    </cfRule>
  </conditionalFormatting>
  <conditionalFormatting sqref="BV1715:BX1715">
    <cfRule type="cellIs" dxfId="222" priority="134" stopIfTrue="1" operator="notEqual">
      <formula>0</formula>
    </cfRule>
  </conditionalFormatting>
  <conditionalFormatting sqref="BV1723:BW1723">
    <cfRule type="cellIs" dxfId="221" priority="133" stopIfTrue="1" operator="notEqual">
      <formula>0</formula>
    </cfRule>
  </conditionalFormatting>
  <conditionalFormatting sqref="BX1723">
    <cfRule type="cellIs" dxfId="220" priority="132" stopIfTrue="1" operator="notEqual">
      <formula>0</formula>
    </cfRule>
  </conditionalFormatting>
  <conditionalFormatting sqref="BV1732:BX1732">
    <cfRule type="cellIs" dxfId="219" priority="131" stopIfTrue="1" operator="notEqual">
      <formula>0</formula>
    </cfRule>
  </conditionalFormatting>
  <conditionalFormatting sqref="BV1733:BX1733">
    <cfRule type="cellIs" dxfId="218" priority="130" stopIfTrue="1" operator="notEqual">
      <formula>0</formula>
    </cfRule>
  </conditionalFormatting>
  <conditionalFormatting sqref="BV1741:BX1741">
    <cfRule type="cellIs" dxfId="217" priority="129" stopIfTrue="1" operator="notEqual">
      <formula>0</formula>
    </cfRule>
  </conditionalFormatting>
  <conditionalFormatting sqref="BX1741">
    <cfRule type="cellIs" dxfId="216" priority="128" stopIfTrue="1" operator="notEqual">
      <formula>0</formula>
    </cfRule>
  </conditionalFormatting>
  <conditionalFormatting sqref="BV552:BX552">
    <cfRule type="cellIs" dxfId="215" priority="127" stopIfTrue="1" operator="notEqual">
      <formula>0</formula>
    </cfRule>
  </conditionalFormatting>
  <conditionalFormatting sqref="BV655:BX655">
    <cfRule type="cellIs" dxfId="214" priority="126" stopIfTrue="1" operator="notEqual">
      <formula>0</formula>
    </cfRule>
  </conditionalFormatting>
  <conditionalFormatting sqref="BV656:BX656">
    <cfRule type="cellIs" dxfId="213" priority="125" stopIfTrue="1" operator="notEqual">
      <formula>0</formula>
    </cfRule>
  </conditionalFormatting>
  <conditionalFormatting sqref="BV657:BX657">
    <cfRule type="cellIs" dxfId="212" priority="124" stopIfTrue="1" operator="notEqual">
      <formula>0</formula>
    </cfRule>
  </conditionalFormatting>
  <conditionalFormatting sqref="BV658:BX658">
    <cfRule type="cellIs" dxfId="211" priority="123" stopIfTrue="1" operator="notEqual">
      <formula>0</formula>
    </cfRule>
  </conditionalFormatting>
  <conditionalFormatting sqref="BV659:BX659">
    <cfRule type="cellIs" dxfId="210" priority="122" stopIfTrue="1" operator="notEqual">
      <formula>0</formula>
    </cfRule>
  </conditionalFormatting>
  <conditionalFormatting sqref="BV660:BX660">
    <cfRule type="cellIs" dxfId="209" priority="121" stopIfTrue="1" operator="notEqual">
      <formula>0</formula>
    </cfRule>
  </conditionalFormatting>
  <conditionalFormatting sqref="BV661:BX661">
    <cfRule type="cellIs" dxfId="208" priority="120" stopIfTrue="1" operator="notEqual">
      <formula>0</formula>
    </cfRule>
  </conditionalFormatting>
  <conditionalFormatting sqref="BV662:BX662">
    <cfRule type="cellIs" dxfId="207" priority="119" stopIfTrue="1" operator="notEqual">
      <formula>0</formula>
    </cfRule>
  </conditionalFormatting>
  <conditionalFormatting sqref="BV663:BX663">
    <cfRule type="cellIs" dxfId="206" priority="118" stopIfTrue="1" operator="notEqual">
      <formula>0</formula>
    </cfRule>
  </conditionalFormatting>
  <conditionalFormatting sqref="BV664:BX664">
    <cfRule type="cellIs" dxfId="205" priority="117" stopIfTrue="1" operator="notEqual">
      <formula>0</formula>
    </cfRule>
  </conditionalFormatting>
  <conditionalFormatting sqref="BX665">
    <cfRule type="cellIs" dxfId="204" priority="116" stopIfTrue="1" operator="notEqual">
      <formula>0</formula>
    </cfRule>
  </conditionalFormatting>
  <conditionalFormatting sqref="BV666:BX666">
    <cfRule type="cellIs" dxfId="203" priority="115" stopIfTrue="1" operator="notEqual">
      <formula>0</formula>
    </cfRule>
  </conditionalFormatting>
  <conditionalFormatting sqref="BW665">
    <cfRule type="cellIs" dxfId="202" priority="113" stopIfTrue="1" operator="notEqual">
      <formula>0</formula>
    </cfRule>
  </conditionalFormatting>
  <conditionalFormatting sqref="BV665">
    <cfRule type="cellIs" dxfId="201" priority="114" stopIfTrue="1" operator="notEqual">
      <formula>0</formula>
    </cfRule>
  </conditionalFormatting>
  <conditionalFormatting sqref="BV1017:BX1017">
    <cfRule type="cellIs" dxfId="200" priority="112" stopIfTrue="1" operator="notEqual">
      <formula>0</formula>
    </cfRule>
  </conditionalFormatting>
  <conditionalFormatting sqref="BX1017">
    <cfRule type="cellIs" dxfId="199" priority="111" stopIfTrue="1" operator="notEqual">
      <formula>0</formula>
    </cfRule>
  </conditionalFormatting>
  <conditionalFormatting sqref="BX53">
    <cfRule type="cellIs" dxfId="198" priority="110" stopIfTrue="1" operator="notEqual">
      <formula>0</formula>
    </cfRule>
  </conditionalFormatting>
  <conditionalFormatting sqref="BV53:BW53">
    <cfRule type="cellIs" dxfId="197" priority="109" stopIfTrue="1" operator="notEqual">
      <formula>0</formula>
    </cfRule>
  </conditionalFormatting>
  <conditionalFormatting sqref="BV692:BX692">
    <cfRule type="cellIs" dxfId="196" priority="108" stopIfTrue="1" operator="notEqual">
      <formula>0</formula>
    </cfRule>
  </conditionalFormatting>
  <conditionalFormatting sqref="BV693:BX693">
    <cfRule type="cellIs" dxfId="195" priority="107" stopIfTrue="1" operator="notEqual">
      <formula>0</formula>
    </cfRule>
  </conditionalFormatting>
  <conditionalFormatting sqref="BV1632:BX1632">
    <cfRule type="cellIs" dxfId="194" priority="106" stopIfTrue="1" operator="notEqual">
      <formula>0</formula>
    </cfRule>
  </conditionalFormatting>
  <conditionalFormatting sqref="BV1875:BX1875">
    <cfRule type="cellIs" dxfId="193" priority="105" stopIfTrue="1" operator="notEqual">
      <formula>0</formula>
    </cfRule>
  </conditionalFormatting>
  <conditionalFormatting sqref="BV1876:BX1876">
    <cfRule type="cellIs" dxfId="192" priority="103" stopIfTrue="1" operator="notEqual">
      <formula>0</formula>
    </cfRule>
  </conditionalFormatting>
  <conditionalFormatting sqref="BX1875">
    <cfRule type="cellIs" dxfId="191" priority="104" stopIfTrue="1" operator="notEqual">
      <formula>0</formula>
    </cfRule>
  </conditionalFormatting>
  <conditionalFormatting sqref="BX1876">
    <cfRule type="cellIs" dxfId="190" priority="102" stopIfTrue="1" operator="notEqual">
      <formula>0</formula>
    </cfRule>
  </conditionalFormatting>
  <conditionalFormatting sqref="BV1886:BX1887">
    <cfRule type="cellIs" dxfId="189" priority="101" stopIfTrue="1" operator="notEqual">
      <formula>0</formula>
    </cfRule>
  </conditionalFormatting>
  <conditionalFormatting sqref="BX1886:BX1887">
    <cfRule type="cellIs" dxfId="188" priority="100" stopIfTrue="1" operator="notEqual">
      <formula>0</formula>
    </cfRule>
  </conditionalFormatting>
  <conditionalFormatting sqref="BV1434:BX1434">
    <cfRule type="cellIs" dxfId="187" priority="99" stopIfTrue="1" operator="notEqual">
      <formula>0</formula>
    </cfRule>
  </conditionalFormatting>
  <conditionalFormatting sqref="BX1434">
    <cfRule type="cellIs" dxfId="186" priority="98" stopIfTrue="1" operator="notEqual">
      <formula>0</formula>
    </cfRule>
  </conditionalFormatting>
  <conditionalFormatting sqref="BV1435:BX1435">
    <cfRule type="cellIs" dxfId="185" priority="97" stopIfTrue="1" operator="notEqual">
      <formula>0</formula>
    </cfRule>
  </conditionalFormatting>
  <conditionalFormatting sqref="BX1435">
    <cfRule type="cellIs" dxfId="184" priority="96" stopIfTrue="1" operator="notEqual">
      <formula>0</formula>
    </cfRule>
  </conditionalFormatting>
  <conditionalFormatting sqref="BX561:BX568 BX570 BX575">
    <cfRule type="cellIs" dxfId="183" priority="95" stopIfTrue="1" operator="notEqual">
      <formula>0</formula>
    </cfRule>
  </conditionalFormatting>
  <conditionalFormatting sqref="BX566">
    <cfRule type="cellIs" dxfId="182" priority="94" stopIfTrue="1" operator="notEqual">
      <formula>0</formula>
    </cfRule>
  </conditionalFormatting>
  <conditionalFormatting sqref="BX567">
    <cfRule type="cellIs" dxfId="181" priority="93" stopIfTrue="1" operator="notEqual">
      <formula>0</formula>
    </cfRule>
  </conditionalFormatting>
  <conditionalFormatting sqref="BX568">
    <cfRule type="cellIs" dxfId="180" priority="92" stopIfTrue="1" operator="notEqual">
      <formula>0</formula>
    </cfRule>
  </conditionalFormatting>
  <conditionalFormatting sqref="BX570">
    <cfRule type="cellIs" dxfId="179" priority="91" stopIfTrue="1" operator="notEqual">
      <formula>0</formula>
    </cfRule>
  </conditionalFormatting>
  <conditionalFormatting sqref="BX575">
    <cfRule type="cellIs" dxfId="178" priority="90" stopIfTrue="1" operator="notEqual">
      <formula>0</formula>
    </cfRule>
  </conditionalFormatting>
  <conditionalFormatting sqref="BX579">
    <cfRule type="cellIs" dxfId="177" priority="89" stopIfTrue="1" operator="notEqual">
      <formula>0</formula>
    </cfRule>
  </conditionalFormatting>
  <conditionalFormatting sqref="BX580">
    <cfRule type="cellIs" dxfId="176" priority="88" stopIfTrue="1" operator="notEqual">
      <formula>0</formula>
    </cfRule>
  </conditionalFormatting>
  <conditionalFormatting sqref="BX581">
    <cfRule type="cellIs" dxfId="175" priority="87" stopIfTrue="1" operator="notEqual">
      <formula>0</formula>
    </cfRule>
  </conditionalFormatting>
  <conditionalFormatting sqref="BX578">
    <cfRule type="cellIs" dxfId="174" priority="86" stopIfTrue="1" operator="notEqual">
      <formula>0</formula>
    </cfRule>
  </conditionalFormatting>
  <conditionalFormatting sqref="BX578">
    <cfRule type="cellIs" dxfId="173" priority="85" stopIfTrue="1" operator="notEqual">
      <formula>0</formula>
    </cfRule>
  </conditionalFormatting>
  <conditionalFormatting sqref="BX1056:BX1060 BX1039:BX1046 BX1052">
    <cfRule type="cellIs" dxfId="172" priority="84" stopIfTrue="1" operator="notEqual">
      <formula>0</formula>
    </cfRule>
  </conditionalFormatting>
  <conditionalFormatting sqref="BX1046">
    <cfRule type="cellIs" dxfId="171" priority="83" stopIfTrue="1" operator="notEqual">
      <formula>0</formula>
    </cfRule>
  </conditionalFormatting>
  <conditionalFormatting sqref="BX1056">
    <cfRule type="cellIs" dxfId="170" priority="82" stopIfTrue="1" operator="notEqual">
      <formula>0</formula>
    </cfRule>
  </conditionalFormatting>
  <conditionalFormatting sqref="BX1052">
    <cfRule type="cellIs" dxfId="169" priority="81" stopIfTrue="1" operator="notEqual">
      <formula>0</formula>
    </cfRule>
  </conditionalFormatting>
  <conditionalFormatting sqref="BX1055">
    <cfRule type="cellIs" dxfId="168" priority="80" stopIfTrue="1" operator="notEqual">
      <formula>0</formula>
    </cfRule>
  </conditionalFormatting>
  <conditionalFormatting sqref="BX1055">
    <cfRule type="cellIs" dxfId="167" priority="79" stopIfTrue="1" operator="notEqual">
      <formula>0</formula>
    </cfRule>
  </conditionalFormatting>
  <conditionalFormatting sqref="BV1980:BX1991 BV1995:BX1995">
    <cfRule type="cellIs" dxfId="166" priority="78" stopIfTrue="1" operator="notEqual">
      <formula>0</formula>
    </cfRule>
  </conditionalFormatting>
  <conditionalFormatting sqref="BV1992:BX1994">
    <cfRule type="cellIs" dxfId="165" priority="77" stopIfTrue="1" operator="notEqual">
      <formula>0</formula>
    </cfRule>
  </conditionalFormatting>
  <conditionalFormatting sqref="BV101:BW101">
    <cfRule type="cellIs" dxfId="164" priority="76" stopIfTrue="1" operator="notEqual">
      <formula>0</formula>
    </cfRule>
  </conditionalFormatting>
  <conditionalFormatting sqref="BX101">
    <cfRule type="cellIs" dxfId="163" priority="75" stopIfTrue="1" operator="notEqual">
      <formula>0</formula>
    </cfRule>
  </conditionalFormatting>
  <conditionalFormatting sqref="BV576:BX577">
    <cfRule type="cellIs" dxfId="162" priority="74" stopIfTrue="1" operator="notEqual">
      <formula>0</formula>
    </cfRule>
  </conditionalFormatting>
  <conditionalFormatting sqref="BV596:BX597">
    <cfRule type="cellIs" dxfId="161" priority="73" stopIfTrue="1" operator="notEqual">
      <formula>0</formula>
    </cfRule>
  </conditionalFormatting>
  <conditionalFormatting sqref="BV627:BX628">
    <cfRule type="cellIs" dxfId="160" priority="72" stopIfTrue="1" operator="notEqual">
      <formula>0</formula>
    </cfRule>
  </conditionalFormatting>
  <conditionalFormatting sqref="BV914:BX915">
    <cfRule type="cellIs" dxfId="159" priority="71" stopIfTrue="1" operator="notEqual">
      <formula>0</formula>
    </cfRule>
  </conditionalFormatting>
  <conditionalFormatting sqref="BV934:BX934">
    <cfRule type="cellIs" dxfId="158" priority="70" stopIfTrue="1" operator="notEqual">
      <formula>0</formula>
    </cfRule>
  </conditionalFormatting>
  <conditionalFormatting sqref="BV933:BW933">
    <cfRule type="cellIs" dxfId="157" priority="69" stopIfTrue="1" operator="notEqual">
      <formula>0</formula>
    </cfRule>
  </conditionalFormatting>
  <conditionalFormatting sqref="BX933">
    <cfRule type="cellIs" dxfId="156" priority="68" stopIfTrue="1" operator="notEqual">
      <formula>0</formula>
    </cfRule>
  </conditionalFormatting>
  <conditionalFormatting sqref="BX933">
    <cfRule type="cellIs" dxfId="155" priority="67" stopIfTrue="1" operator="notEqual">
      <formula>0</formula>
    </cfRule>
  </conditionalFormatting>
  <conditionalFormatting sqref="BV939:BW939">
    <cfRule type="cellIs" dxfId="154" priority="66" stopIfTrue="1" operator="notEqual">
      <formula>0</formula>
    </cfRule>
  </conditionalFormatting>
  <conditionalFormatting sqref="BX939">
    <cfRule type="cellIs" dxfId="153" priority="65" stopIfTrue="1" operator="notEqual">
      <formula>0</formula>
    </cfRule>
  </conditionalFormatting>
  <conditionalFormatting sqref="BX939">
    <cfRule type="cellIs" dxfId="152" priority="64" stopIfTrue="1" operator="notEqual">
      <formula>0</formula>
    </cfRule>
  </conditionalFormatting>
  <conditionalFormatting sqref="BV1053:BW1054">
    <cfRule type="cellIs" dxfId="151" priority="63" stopIfTrue="1" operator="notEqual">
      <formula>0</formula>
    </cfRule>
  </conditionalFormatting>
  <conditionalFormatting sqref="BX1053:BX1054">
    <cfRule type="cellIs" dxfId="150" priority="62" stopIfTrue="1" operator="notEqual">
      <formula>0</formula>
    </cfRule>
  </conditionalFormatting>
  <conditionalFormatting sqref="BV1093:BX1094">
    <cfRule type="cellIs" dxfId="149" priority="61" stopIfTrue="1" operator="notEqual">
      <formula>0</formula>
    </cfRule>
  </conditionalFormatting>
  <conditionalFormatting sqref="BV1111:BX1112">
    <cfRule type="cellIs" dxfId="148" priority="60" stopIfTrue="1" operator="notEqual">
      <formula>0</formula>
    </cfRule>
  </conditionalFormatting>
  <conditionalFormatting sqref="BV1142:BX1143">
    <cfRule type="cellIs" dxfId="147" priority="59" stopIfTrue="1" operator="notEqual">
      <formula>0</formula>
    </cfRule>
  </conditionalFormatting>
  <conditionalFormatting sqref="BX1142">
    <cfRule type="cellIs" dxfId="146" priority="58" stopIfTrue="1" operator="notEqual">
      <formula>0</formula>
    </cfRule>
  </conditionalFormatting>
  <conditionalFormatting sqref="BX1143">
    <cfRule type="cellIs" dxfId="145" priority="57" stopIfTrue="1" operator="notEqual">
      <formula>0</formula>
    </cfRule>
  </conditionalFormatting>
  <conditionalFormatting sqref="BV1168:BX1168">
    <cfRule type="cellIs" dxfId="144" priority="56" stopIfTrue="1" operator="notEqual">
      <formula>0</formula>
    </cfRule>
  </conditionalFormatting>
  <conditionalFormatting sqref="BX1174">
    <cfRule type="cellIs" dxfId="143" priority="50" stopIfTrue="1" operator="notEqual">
      <formula>0</formula>
    </cfRule>
  </conditionalFormatting>
  <conditionalFormatting sqref="BX1168">
    <cfRule type="cellIs" dxfId="142" priority="55" stopIfTrue="1" operator="notEqual">
      <formula>0</formula>
    </cfRule>
  </conditionalFormatting>
  <conditionalFormatting sqref="BV1167:BW1167">
    <cfRule type="cellIs" dxfId="141" priority="54" stopIfTrue="1" operator="notEqual">
      <formula>0</formula>
    </cfRule>
  </conditionalFormatting>
  <conditionalFormatting sqref="BX1167">
    <cfRule type="cellIs" dxfId="140" priority="53" stopIfTrue="1" operator="notEqual">
      <formula>0</formula>
    </cfRule>
  </conditionalFormatting>
  <conditionalFormatting sqref="BX1167">
    <cfRule type="cellIs" dxfId="139" priority="52" stopIfTrue="1" operator="notEqual">
      <formula>0</formula>
    </cfRule>
  </conditionalFormatting>
  <conditionalFormatting sqref="BV1174:BW1174">
    <cfRule type="cellIs" dxfId="138" priority="51" stopIfTrue="1" operator="notEqual">
      <formula>0</formula>
    </cfRule>
  </conditionalFormatting>
  <conditionalFormatting sqref="BV1255:BW1255">
    <cfRule type="cellIs" dxfId="137" priority="45" stopIfTrue="1" operator="notEqual">
      <formula>0</formula>
    </cfRule>
  </conditionalFormatting>
  <conditionalFormatting sqref="BX1174">
    <cfRule type="cellIs" dxfId="136" priority="49" stopIfTrue="1" operator="notEqual">
      <formula>0</formula>
    </cfRule>
  </conditionalFormatting>
  <conditionalFormatting sqref="BV1248:BX1248">
    <cfRule type="cellIs" dxfId="135" priority="48" stopIfTrue="1" operator="notEqual">
      <formula>0</formula>
    </cfRule>
  </conditionalFormatting>
  <conditionalFormatting sqref="BV1247:BW1247">
    <cfRule type="cellIs" dxfId="134" priority="47" stopIfTrue="1" operator="notEqual">
      <formula>0</formula>
    </cfRule>
  </conditionalFormatting>
  <conditionalFormatting sqref="BX1247">
    <cfRule type="cellIs" dxfId="133" priority="46" stopIfTrue="1" operator="notEqual">
      <formula>0</formula>
    </cfRule>
  </conditionalFormatting>
  <conditionalFormatting sqref="BX1255">
    <cfRule type="cellIs" dxfId="132" priority="44" stopIfTrue="1" operator="notEqual">
      <formula>0</formula>
    </cfRule>
  </conditionalFormatting>
  <conditionalFormatting sqref="BV1564:BX1564">
    <cfRule type="cellIs" dxfId="131" priority="43" stopIfTrue="1" operator="notEqual">
      <formula>0</formula>
    </cfRule>
  </conditionalFormatting>
  <conditionalFormatting sqref="BX1564">
    <cfRule type="cellIs" dxfId="130" priority="42" stopIfTrue="1" operator="notEqual">
      <formula>0</formula>
    </cfRule>
  </conditionalFormatting>
  <conditionalFormatting sqref="BV1628:BX1628">
    <cfRule type="cellIs" dxfId="129" priority="41" stopIfTrue="1" operator="notEqual">
      <formula>0</formula>
    </cfRule>
  </conditionalFormatting>
  <conditionalFormatting sqref="BV1650:BX1650">
    <cfRule type="cellIs" dxfId="128" priority="40" stopIfTrue="1" operator="notEqual">
      <formula>0</formula>
    </cfRule>
  </conditionalFormatting>
  <conditionalFormatting sqref="BV1660:BX1660">
    <cfRule type="cellIs" dxfId="127" priority="39" stopIfTrue="1" operator="notEqual">
      <formula>0</formula>
    </cfRule>
  </conditionalFormatting>
  <conditionalFormatting sqref="BV1722:BW1722">
    <cfRule type="cellIs" dxfId="126" priority="38" stopIfTrue="1" operator="notEqual">
      <formula>0</formula>
    </cfRule>
  </conditionalFormatting>
  <conditionalFormatting sqref="BX1722">
    <cfRule type="cellIs" dxfId="125" priority="37" stopIfTrue="1" operator="notEqual">
      <formula>0</formula>
    </cfRule>
  </conditionalFormatting>
  <conditionalFormatting sqref="BV1748:BX1748">
    <cfRule type="cellIs" dxfId="124" priority="36" stopIfTrue="1" operator="notEqual">
      <formula>0</formula>
    </cfRule>
  </conditionalFormatting>
  <conditionalFormatting sqref="BX1748">
    <cfRule type="cellIs" dxfId="123" priority="35" stopIfTrue="1" operator="notEqual">
      <formula>0</formula>
    </cfRule>
  </conditionalFormatting>
  <conditionalFormatting sqref="BV1795:BX1795">
    <cfRule type="cellIs" dxfId="122" priority="34" stopIfTrue="1" operator="notEqual">
      <formula>0</formula>
    </cfRule>
  </conditionalFormatting>
  <conditionalFormatting sqref="BX1795">
    <cfRule type="cellIs" dxfId="121" priority="33" stopIfTrue="1" operator="notEqual">
      <formula>0</formula>
    </cfRule>
  </conditionalFormatting>
  <conditionalFormatting sqref="BV96:BW96">
    <cfRule type="cellIs" dxfId="120" priority="32" stopIfTrue="1" operator="notEqual">
      <formula>0</formula>
    </cfRule>
  </conditionalFormatting>
  <conditionalFormatting sqref="BX96">
    <cfRule type="cellIs" dxfId="119" priority="31" stopIfTrue="1" operator="notEqual">
      <formula>0</formula>
    </cfRule>
  </conditionalFormatting>
  <conditionalFormatting sqref="BX495:BX500">
    <cfRule type="cellIs" dxfId="118" priority="30" stopIfTrue="1" operator="notEqual">
      <formula>0</formula>
    </cfRule>
  </conditionalFormatting>
  <conditionalFormatting sqref="BX497">
    <cfRule type="cellIs" dxfId="117" priority="29" stopIfTrue="1" operator="notEqual">
      <formula>0</formula>
    </cfRule>
  </conditionalFormatting>
  <conditionalFormatting sqref="BX498">
    <cfRule type="cellIs" dxfId="116" priority="28" stopIfTrue="1" operator="notEqual">
      <formula>0</formula>
    </cfRule>
  </conditionalFormatting>
  <conditionalFormatting sqref="BX499">
    <cfRule type="cellIs" dxfId="115" priority="27" stopIfTrue="1" operator="notEqual">
      <formula>0</formula>
    </cfRule>
  </conditionalFormatting>
  <conditionalFormatting sqref="BV546:BX547">
    <cfRule type="cellIs" dxfId="114" priority="26" stopIfTrue="1" operator="notEqual">
      <formula>0</formula>
    </cfRule>
  </conditionalFormatting>
  <conditionalFormatting sqref="BV611:BX612">
    <cfRule type="cellIs" dxfId="113" priority="25" stopIfTrue="1" operator="notEqual">
      <formula>0</formula>
    </cfRule>
  </conditionalFormatting>
  <conditionalFormatting sqref="BV1006:BX1011">
    <cfRule type="cellIs" dxfId="112" priority="24" stopIfTrue="1" operator="notEqual">
      <formula>0</formula>
    </cfRule>
  </conditionalFormatting>
  <conditionalFormatting sqref="BX1006:BX1011">
    <cfRule type="cellIs" dxfId="111" priority="23" stopIfTrue="1" operator="notEqual">
      <formula>0</formula>
    </cfRule>
  </conditionalFormatting>
  <conditionalFormatting sqref="BV1137:BX1141">
    <cfRule type="cellIs" dxfId="110" priority="22" stopIfTrue="1" operator="notEqual">
      <formula>0</formula>
    </cfRule>
  </conditionalFormatting>
  <conditionalFormatting sqref="BX1137:BX1141">
    <cfRule type="cellIs" dxfId="109" priority="21" stopIfTrue="1" operator="notEqual">
      <formula>0</formula>
    </cfRule>
  </conditionalFormatting>
  <conditionalFormatting sqref="BV1457:BX1460">
    <cfRule type="cellIs" dxfId="108" priority="20" stopIfTrue="1" operator="notEqual">
      <formula>0</formula>
    </cfRule>
  </conditionalFormatting>
  <conditionalFormatting sqref="BX1460">
    <cfRule type="cellIs" dxfId="107" priority="19" stopIfTrue="1" operator="notEqual">
      <formula>0</formula>
    </cfRule>
  </conditionalFormatting>
  <conditionalFormatting sqref="BV1605:BX1605">
    <cfRule type="cellIs" dxfId="106" priority="18" stopIfTrue="1" operator="notEqual">
      <formula>0</formula>
    </cfRule>
  </conditionalFormatting>
  <conditionalFormatting sqref="BV1621:BX1622">
    <cfRule type="cellIs" dxfId="105" priority="17" stopIfTrue="1" operator="notEqual">
      <formula>0</formula>
    </cfRule>
  </conditionalFormatting>
  <conditionalFormatting sqref="BV1629:BX1630">
    <cfRule type="cellIs" dxfId="104" priority="16" stopIfTrue="1" operator="notEqual">
      <formula>0</formula>
    </cfRule>
  </conditionalFormatting>
  <conditionalFormatting sqref="BV1758:BX1758">
    <cfRule type="cellIs" dxfId="103" priority="15" stopIfTrue="1" operator="notEqual">
      <formula>0</formula>
    </cfRule>
  </conditionalFormatting>
  <conditionalFormatting sqref="BX1758">
    <cfRule type="cellIs" dxfId="102" priority="14" stopIfTrue="1" operator="notEqual">
      <formula>0</formula>
    </cfRule>
  </conditionalFormatting>
  <conditionalFormatting sqref="BV1950:BX1950">
    <cfRule type="cellIs" dxfId="101" priority="13" stopIfTrue="1" operator="notEqual">
      <formula>0</formula>
    </cfRule>
  </conditionalFormatting>
  <conditionalFormatting sqref="BV571:BW574">
    <cfRule type="cellIs" dxfId="100" priority="12" stopIfTrue="1" operator="notEqual">
      <formula>0</formula>
    </cfRule>
  </conditionalFormatting>
  <conditionalFormatting sqref="BX571:BX574">
    <cfRule type="cellIs" dxfId="99" priority="11" stopIfTrue="1" operator="notEqual">
      <formula>0</formula>
    </cfRule>
  </conditionalFormatting>
  <conditionalFormatting sqref="BX571:BX574">
    <cfRule type="cellIs" dxfId="98" priority="10" stopIfTrue="1" operator="notEqual">
      <formula>0</formula>
    </cfRule>
  </conditionalFormatting>
  <conditionalFormatting sqref="BV593:BX593">
    <cfRule type="cellIs" dxfId="97" priority="9" stopIfTrue="1" operator="notEqual">
      <formula>0</formula>
    </cfRule>
  </conditionalFormatting>
  <conditionalFormatting sqref="BV594:BX594">
    <cfRule type="cellIs" dxfId="96" priority="8" stopIfTrue="1" operator="notEqual">
      <formula>0</formula>
    </cfRule>
  </conditionalFormatting>
  <conditionalFormatting sqref="BV1047:BW1051">
    <cfRule type="cellIs" dxfId="95" priority="7" stopIfTrue="1" operator="notEqual">
      <formula>0</formula>
    </cfRule>
  </conditionalFormatting>
  <conditionalFormatting sqref="BX1047:BX1051">
    <cfRule type="cellIs" dxfId="94" priority="6" stopIfTrue="1" operator="notEqual">
      <formula>0</formula>
    </cfRule>
  </conditionalFormatting>
  <conditionalFormatting sqref="BX1047:BX1051">
    <cfRule type="cellIs" dxfId="93" priority="5" stopIfTrue="1" operator="notEqual">
      <formula>0</formula>
    </cfRule>
  </conditionalFormatting>
  <conditionalFormatting sqref="BV1623:BX1623">
    <cfRule type="cellIs" dxfId="92" priority="4" stopIfTrue="1" operator="notEqual">
      <formula>0</formula>
    </cfRule>
  </conditionalFormatting>
  <conditionalFormatting sqref="BV677:BX685">
    <cfRule type="cellIs" dxfId="91" priority="3" stopIfTrue="1" operator="notEqual">
      <formula>0</formula>
    </cfRule>
  </conditionalFormatting>
  <conditionalFormatting sqref="BV1606:BX1606">
    <cfRule type="cellIs" dxfId="90" priority="2" stopIfTrue="1" operator="notEqual">
      <formula>0</formula>
    </cfRule>
  </conditionalFormatting>
  <conditionalFormatting sqref="BV1757">
    <cfRule type="cellIs" dxfId="89" priority="1" stopIfTrue="1" operator="notEqual">
      <formula>0</formula>
    </cfRule>
  </conditionalFormatting>
  <dataValidations count="4">
    <dataValidation allowBlank="1" errorTitle="CY" error="Mã cột này chưa được khai báo." promptTitle="CY" prompt="Chọn mã cột chỉ tiêu tương ứng." sqref="O791 V791 AC791 O821 V821 AC821"/>
    <dataValidation allowBlank="1" showInputMessage="1" showErrorMessage="1" errorTitle="CY" error="Mã cột này chưa được khai báo." promptTitle="CY" prompt="Chọn mã cột chỉ tiêu tương ứng." sqref="O757 V757 AC757"/>
    <dataValidation type="list" allowBlank="1" showInputMessage="1" showErrorMessage="1" errorTitle="CY" error="Cột này chưa có trong danh mục" promptTitle="CY" prompt="Chọn mã cột chỉ tiêu" sqref="I1266 AD1266:AI1266 O1266:U1266 W1266:AB1266">
      <formula1>TitleCode_TMVCSH</formula1>
    </dataValidation>
    <dataValidation type="list" allowBlank="1" showInputMessage="1" showErrorMessage="1" errorTitle="CY" error="Cột này chưa có trong danh mục" promptTitle="CY" prompt="Chọn mã cột chỉ tiêu" sqref="V1266 AC1266">
      <formula1>"4111,4112,4118,419,412,413,414,415,418,421,441,Cong"</formula1>
    </dataValidation>
  </dataValidations>
  <pageMargins left="0.8" right="0.4" top="0.39370078740157499" bottom="0.78740157480314998" header="0.196850393700787" footer="0.39370078740157499"/>
  <pageSetup paperSize="9" orientation="portrait" useFirstPageNumber="1" verticalDpi="300" r:id="rId1"/>
  <headerFooter>
    <oddFooter>&amp;R&amp;10&amp;P</oddFooter>
  </headerFooter>
  <rowBreaks count="21" manualBreakCount="21">
    <brk id="60" max="16383" man="1"/>
    <brk id="119" max="16383" man="1"/>
    <brk id="163" max="16383" man="1"/>
    <brk id="301" max="16383" man="1"/>
    <brk id="463" max="16383" man="1"/>
    <brk id="562" max="16383" man="1"/>
    <brk id="613" max="16383" man="1"/>
    <brk id="696" max="16383" man="1"/>
    <brk id="754" max="16383" man="1"/>
    <brk id="818" max="16383" man="1"/>
    <brk id="942" max="16383" man="1"/>
    <brk id="997" max="16383" man="1"/>
    <brk id="1260" max="16383" man="1"/>
    <brk id="1331" max="16383" man="1"/>
    <brk id="1500" max="16383" man="1"/>
    <brk id="1584" max="16383" man="1"/>
    <brk id="1705" max="16383" man="1"/>
    <brk id="1782" max="16383" man="1"/>
    <brk id="1813" max="16383" man="1"/>
    <brk id="1855" max="16383" man="1"/>
    <brk id="1967" max="16383" man="1"/>
  </rowBreaks>
  <drawing r:id="rId2"/>
  <legacyDrawing r:id="rId3"/>
  <controls>
    <mc:AlternateContent xmlns:mc="http://schemas.openxmlformats.org/markup-compatibility/2006">
      <mc:Choice Requires="x14">
        <control shapeId="5121" r:id="rId4" name="togEV">
          <controlPr defaultSize="0" print="0" autoFill="0" autoLine="0" r:id="rId5">
            <anchor>
              <from>
                <xdr:col>12</xdr:col>
                <xdr:colOff>38100</xdr:colOff>
                <xdr:row>1</xdr:row>
                <xdr:rowOff>0</xdr:rowOff>
              </from>
              <to>
                <xdr:col>18</xdr:col>
                <xdr:colOff>95250</xdr:colOff>
                <xdr:row>2</xdr:row>
                <xdr:rowOff>85725</xdr:rowOff>
              </to>
            </anchor>
          </controlPr>
        </control>
      </mc:Choice>
      <mc:Fallback>
        <control shapeId="5121" r:id="rId4" name="togEV"/>
      </mc:Fallback>
    </mc:AlternateContent>
    <mc:AlternateContent xmlns:mc="http://schemas.openxmlformats.org/markup-compatibility/2006">
      <mc:Choice Requires="x14">
        <control shapeId="5122" r:id="rId6" name="TogLock">
          <controlPr defaultSize="0" autoLine="0" r:id="rId7">
            <anchor moveWithCells="1">
              <from>
                <xdr:col>80</xdr:col>
                <xdr:colOff>0</xdr:colOff>
                <xdr:row>1</xdr:row>
                <xdr:rowOff>0</xdr:rowOff>
              </from>
              <to>
                <xdr:col>80</xdr:col>
                <xdr:colOff>838200</xdr:colOff>
                <xdr:row>2</xdr:row>
                <xdr:rowOff>133350</xdr:rowOff>
              </to>
            </anchor>
          </controlPr>
        </control>
      </mc:Choice>
      <mc:Fallback>
        <control shapeId="5122" r:id="rId6" name="TogLock"/>
      </mc:Fallback>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errorTitle="CY" error="Mã cột này chưa được khai báo." promptTitle="CY" prompt="Chọn mã cột chỉ tiêu tương ứng.">
          <x14:formula1>
            <xm:f>'D:\My Documents ( Hoang Anh)\2017\Cong ty 2017\BCTC quy 4 -2017\BCTC 2017- CBTT\[2017_AFS_AASC_BCTCR_Final7 ( Dự thảo ngay 17-1-2017).xlsb]TM_TSCDVH'!#REF!</xm:f>
          </x14:formula1>
          <xm:sqref>I821:N821 P821:U821 W821:AB821 AD821:AI821</xm:sqref>
        </x14:dataValidation>
        <x14:dataValidation type="list" allowBlank="1" showInputMessage="1" showErrorMessage="1" errorTitle="CY" error="Mã cột này chưa được khai báo." promptTitle="CY" prompt="Chọn mã cột chỉ tiêu tương ứng.">
          <x14:formula1>
            <xm:f>'D:\My Documents ( Hoang Anh)\2017\Cong ty 2017\BCTC quy 4 -2017\BCTC 2017- CBTT\[2017_AFS_AASC_BCTCR_Final7 ( Dự thảo ngay 17-1-2017).xlsb]TM_TSCDTTC'!#REF!</xm:f>
          </x14:formula1>
          <xm:sqref>I791:N791 P791:U791 W791:AB791 AD791:AI791</xm:sqref>
        </x14:dataValidation>
        <x14:dataValidation type="list" allowBlank="1" showInputMessage="1" showErrorMessage="1" errorTitle="CY" error="Mã cột này chưa được khai báo." promptTitle="CY" prompt="Chọn mã cột chỉ tiêu tương ứng.">
          <x14:formula1>
            <xm:f>'D:\My Documents ( Hoang Anh)\2017\Cong ty 2017\BCTC quy 4 -2017\BCTC 2017- CBTT\[2017_AFS_AASC_BCTCR_Final7 ( Dự thảo ngay 17-1-2017).xlsb]TM_TSCDHH'!#REF!</xm:f>
          </x14:formula1>
          <xm:sqref>I757:N757 P757:U757 W757:AB757 AD757:AI757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FF00"/>
  </sheetPr>
  <dimension ref="A1:AH40"/>
  <sheetViews>
    <sheetView view="pageBreakPreview" zoomScaleNormal="100" zoomScaleSheetLayoutView="100" workbookViewId="0">
      <pane xSplit="3" ySplit="9" topLeftCell="D33" activePane="bottomRight" state="frozen"/>
      <selection pane="topRight" activeCell="D1" sqref="D1"/>
      <selection pane="bottomLeft" activeCell="A8" sqref="A8"/>
      <selection pane="bottomRight" activeCell="J13" sqref="J13"/>
    </sheetView>
  </sheetViews>
  <sheetFormatPr defaultRowHeight="15" outlineLevelRow="1" outlineLevelCol="2" x14ac:dyDescent="0.25"/>
  <cols>
    <col min="1" max="1" width="3.7109375" style="715" customWidth="1" outlineLevel="1"/>
    <col min="2" max="2" width="1.140625" style="715" customWidth="1" outlineLevel="1"/>
    <col min="3" max="3" width="29.85546875" style="715" customWidth="1" outlineLevel="1"/>
    <col min="4" max="4" width="15.7109375" style="715" customWidth="1" outlineLevel="2"/>
    <col min="5" max="5" width="1.7109375" style="715" customWidth="1" outlineLevel="1"/>
    <col min="6" max="6" width="15.7109375" style="715" customWidth="1" outlineLevel="2"/>
    <col min="7" max="7" width="1.7109375" style="715" customWidth="1" outlineLevel="1"/>
    <col min="8" max="8" width="15.7109375" style="715" customWidth="1" outlineLevel="2"/>
    <col min="9" max="9" width="1.7109375" style="715" customWidth="1" outlineLevel="1"/>
    <col min="10" max="10" width="15.7109375" style="715" customWidth="1" outlineLevel="2"/>
    <col min="11" max="11" width="1.7109375" style="715" customWidth="1" outlineLevel="1"/>
    <col min="12" max="12" width="13.7109375" style="715" hidden="1" customWidth="1" outlineLevel="2"/>
    <col min="13" max="13" width="1.7109375" style="715" hidden="1" customWidth="1" outlineLevel="1" collapsed="1"/>
    <col min="14" max="14" width="14.7109375" style="715" hidden="1" customWidth="1" outlineLevel="2"/>
    <col min="15" max="15" width="1.7109375" style="715" customWidth="1" outlineLevel="1" collapsed="1"/>
    <col min="16" max="16" width="15.7109375" style="715" customWidth="1" outlineLevel="1"/>
    <col min="17" max="17" width="0.85546875" style="715" customWidth="1"/>
    <col min="18" max="18" width="3.7109375" style="715" hidden="1" customWidth="1" outlineLevel="1"/>
    <col min="19" max="19" width="1.140625" style="715" hidden="1" customWidth="1" outlineLevel="1"/>
    <col min="20" max="20" width="22.140625" style="715" hidden="1" customWidth="1" outlineLevel="1"/>
    <col min="21" max="21" width="15.7109375" style="715" hidden="1" customWidth="1" outlineLevel="2"/>
    <col min="22" max="22" width="1.7109375" style="715" hidden="1" customWidth="1" outlineLevel="1"/>
    <col min="23" max="23" width="15.7109375" style="715" hidden="1" customWidth="1" outlineLevel="2"/>
    <col min="24" max="24" width="1.7109375" style="715" hidden="1" customWidth="1" outlineLevel="1"/>
    <col min="25" max="25" width="15.7109375" style="715" hidden="1" customWidth="1" outlineLevel="2"/>
    <col min="26" max="26" width="1.7109375" style="715" hidden="1" customWidth="1" outlineLevel="1"/>
    <col min="27" max="27" width="15.7109375" style="715" hidden="1" customWidth="1" outlineLevel="2"/>
    <col min="28" max="28" width="1.7109375" style="715" hidden="1" customWidth="1" outlineLevel="1"/>
    <col min="29" max="29" width="15.7109375" style="715" hidden="1" customWidth="1" outlineLevel="2"/>
    <col min="30" max="30" width="1.7109375" style="715" hidden="1" customWidth="1" outlineLevel="1"/>
    <col min="31" max="31" width="15.7109375" style="715" hidden="1" customWidth="1" outlineLevel="2"/>
    <col min="32" max="32" width="1.7109375" style="715" hidden="1" customWidth="1" outlineLevel="1"/>
    <col min="33" max="33" width="15.7109375" style="715" hidden="1" customWidth="1" outlineLevel="1"/>
    <col min="34" max="34" width="0.85546875" style="715" customWidth="1" collapsed="1"/>
    <col min="35" max="16384" width="9.140625" style="817"/>
  </cols>
  <sheetData>
    <row r="1" spans="1:34" s="816" customFormat="1" ht="15" hidden="1" customHeight="1" outlineLevel="1" x14ac:dyDescent="0.25">
      <c r="A1" s="81" t="str">
        <f>Ten_DVCQ_V</f>
        <v>TỔNG CÔNG TY XYZ</v>
      </c>
      <c r="B1" s="715"/>
      <c r="C1" s="715"/>
      <c r="D1" s="715"/>
      <c r="E1" s="715"/>
      <c r="F1" s="715"/>
      <c r="G1" s="715"/>
      <c r="H1" s="715"/>
      <c r="I1" s="715"/>
      <c r="J1" s="715"/>
      <c r="K1" s="715"/>
      <c r="L1" s="715"/>
      <c r="M1" s="715"/>
      <c r="N1" s="715"/>
      <c r="O1" s="715"/>
      <c r="P1" s="147"/>
      <c r="Q1" s="147"/>
      <c r="R1" s="81" t="str">
        <f>Ten_DVCQ_E</f>
        <v>XYZ CORPORATION</v>
      </c>
      <c r="S1" s="715"/>
      <c r="T1" s="715"/>
      <c r="U1" s="715"/>
      <c r="V1" s="715"/>
      <c r="W1" s="715"/>
      <c r="X1" s="715"/>
      <c r="Y1" s="715"/>
      <c r="Z1" s="715"/>
      <c r="AA1" s="715"/>
      <c r="AB1" s="715"/>
      <c r="AC1" s="715"/>
      <c r="AD1" s="715"/>
      <c r="AE1" s="715"/>
      <c r="AF1" s="715"/>
      <c r="AG1" s="147"/>
      <c r="AH1" s="147"/>
    </row>
    <row r="2" spans="1:34" ht="15" customHeight="1" collapsed="1" x14ac:dyDescent="0.25">
      <c r="A2" s="61" t="str">
        <f>Ten_CongTy_TieuDe_V</f>
        <v>Công ty Cổ phần Viglacera Từ Sơn</v>
      </c>
      <c r="P2" s="145" t="str">
        <f>CONCATENATE(Loai_BC_V)</f>
        <v>Báo cáo tài chính</v>
      </c>
      <c r="Q2" s="146"/>
      <c r="R2" s="61" t="str">
        <f>Ten_CongTy_TieuDe_E</f>
        <v>ABC Joint Stock Company</v>
      </c>
      <c r="AG2" s="145" t="str">
        <f>CONCATENATE(Loai_BC_E)</f>
        <v>Separate Financial Statements</v>
      </c>
      <c r="AH2" s="146"/>
    </row>
    <row r="3" spans="1:34" ht="15" customHeight="1" x14ac:dyDescent="0.25">
      <c r="A3" s="81" t="str">
        <f>Dia_Chi_Congty_V</f>
        <v>Phường Đình Bảng - Thị xã Từ Sơn - Tỉnh Bắc Ninh</v>
      </c>
      <c r="P3" s="54" t="str">
        <f>Ky_ke_toan_V</f>
        <v>năm tài chính kết thúc ngày 31/12/2017</v>
      </c>
      <c r="Q3" s="147"/>
      <c r="R3" s="81" t="str">
        <f>Dia_Chi_Congty_E</f>
        <v>Sai Dong - Long Bien - Hanoi</v>
      </c>
      <c r="AG3" s="54" t="str">
        <f>Ky_ke_toan_E</f>
        <v>for the fiscal year ended as at 31 December 2015</v>
      </c>
      <c r="AH3" s="147"/>
    </row>
    <row r="4" spans="1:34" ht="0.95" customHeight="1" x14ac:dyDescent="0.25">
      <c r="A4" s="818"/>
      <c r="B4" s="818"/>
      <c r="C4" s="818"/>
      <c r="D4" s="818"/>
      <c r="E4" s="818"/>
      <c r="F4" s="818"/>
      <c r="G4" s="818"/>
      <c r="H4" s="818"/>
      <c r="I4" s="818"/>
      <c r="J4" s="818"/>
      <c r="K4" s="818"/>
      <c r="L4" s="818"/>
      <c r="M4" s="818"/>
      <c r="N4" s="818"/>
      <c r="O4" s="818"/>
      <c r="P4" s="818"/>
      <c r="Q4" s="819"/>
      <c r="R4" s="818"/>
      <c r="S4" s="818"/>
      <c r="T4" s="818"/>
      <c r="U4" s="818"/>
      <c r="V4" s="818"/>
      <c r="W4" s="818"/>
      <c r="X4" s="818"/>
      <c r="Y4" s="818"/>
      <c r="Z4" s="818"/>
      <c r="AA4" s="818"/>
      <c r="AB4" s="818"/>
      <c r="AC4" s="818"/>
      <c r="AD4" s="818"/>
      <c r="AE4" s="818"/>
      <c r="AF4" s="818"/>
      <c r="AG4" s="818"/>
      <c r="AH4" s="819"/>
    </row>
    <row r="5" spans="1:34" ht="9.9499999999999993" customHeight="1" x14ac:dyDescent="0.25"/>
    <row r="6" spans="1:34" ht="15" customHeight="1" x14ac:dyDescent="0.25">
      <c r="A6" s="820">
        <f>STT_TSCDHH</f>
        <v>12</v>
      </c>
      <c r="B6" s="821" t="s">
        <v>345</v>
      </c>
      <c r="C6" s="821" t="str">
        <f>[1]Thuyet_minh!C755</f>
        <v>TÀI SẢN CỐ ĐỊNH HỮU HÌNH</v>
      </c>
      <c r="R6" s="822">
        <f>A6</f>
        <v>12</v>
      </c>
      <c r="S6" s="821" t="s">
        <v>345</v>
      </c>
      <c r="T6" s="821" t="s">
        <v>978</v>
      </c>
    </row>
    <row r="7" spans="1:34" ht="15" customHeight="1" x14ac:dyDescent="0.25">
      <c r="A7" s="821"/>
      <c r="B7" s="823"/>
      <c r="C7" s="823"/>
      <c r="D7" s="826"/>
      <c r="E7" s="826"/>
      <c r="F7" s="826"/>
      <c r="G7" s="826"/>
      <c r="H7" s="826"/>
      <c r="I7" s="826"/>
      <c r="J7" s="826"/>
      <c r="K7" s="826"/>
      <c r="L7" s="826"/>
      <c r="M7" s="826"/>
      <c r="N7" s="826"/>
      <c r="O7" s="826"/>
      <c r="P7" s="827"/>
      <c r="Q7" s="828"/>
      <c r="R7" s="821"/>
      <c r="S7" s="823"/>
      <c r="T7" s="823"/>
      <c r="U7" s="826"/>
      <c r="V7" s="826"/>
      <c r="W7" s="826"/>
      <c r="X7" s="826"/>
      <c r="Y7" s="826"/>
      <c r="Z7" s="826"/>
      <c r="AA7" s="826"/>
      <c r="AB7" s="826"/>
      <c r="AC7" s="826"/>
      <c r="AD7" s="826"/>
      <c r="AE7" s="826"/>
      <c r="AF7" s="826"/>
      <c r="AG7" s="827"/>
      <c r="AH7" s="828"/>
    </row>
    <row r="8" spans="1:34" ht="15" hidden="1" customHeight="1" outlineLevel="1" x14ac:dyDescent="0.25">
      <c r="A8" s="829" t="s">
        <v>1975</v>
      </c>
      <c r="B8" s="830"/>
      <c r="C8" s="830"/>
      <c r="D8" s="831" t="s">
        <v>980</v>
      </c>
      <c r="E8" s="831"/>
      <c r="F8" s="831" t="s">
        <v>981</v>
      </c>
      <c r="G8" s="831"/>
      <c r="H8" s="831" t="s">
        <v>1976</v>
      </c>
      <c r="I8" s="831"/>
      <c r="J8" s="831" t="s">
        <v>982</v>
      </c>
      <c r="K8" s="831"/>
      <c r="L8" s="831" t="s">
        <v>1977</v>
      </c>
      <c r="M8" s="831"/>
      <c r="N8" s="831" t="s">
        <v>1978</v>
      </c>
      <c r="O8" s="831"/>
      <c r="P8" s="831" t="s">
        <v>983</v>
      </c>
      <c r="Q8" s="832"/>
      <c r="R8" s="829" t="s">
        <v>1979</v>
      </c>
      <c r="S8" s="830"/>
      <c r="T8" s="830"/>
      <c r="U8" s="831" t="str">
        <f>$D$8</f>
        <v>2111</v>
      </c>
      <c r="V8" s="831"/>
      <c r="W8" s="831" t="str">
        <f>$F$8</f>
        <v>2112</v>
      </c>
      <c r="X8" s="831"/>
      <c r="Y8" s="831" t="str">
        <f>$H$8</f>
        <v>2113</v>
      </c>
      <c r="Z8" s="831"/>
      <c r="AA8" s="831" t="str">
        <f>$J$8</f>
        <v>2114</v>
      </c>
      <c r="AB8" s="831"/>
      <c r="AC8" s="831" t="str">
        <f>$L$8</f>
        <v>2115</v>
      </c>
      <c r="AD8" s="831"/>
      <c r="AE8" s="831" t="str">
        <f>$N$8</f>
        <v>2118</v>
      </c>
      <c r="AF8" s="831"/>
      <c r="AG8" s="831" t="str">
        <f>$P$8</f>
        <v>Cong</v>
      </c>
      <c r="AH8" s="832"/>
    </row>
    <row r="9" spans="1:34" s="841" customFormat="1" ht="42.95" customHeight="1" collapsed="1" x14ac:dyDescent="0.25">
      <c r="A9" s="833"/>
      <c r="B9" s="834"/>
      <c r="C9" s="834"/>
      <c r="D9" s="835" t="s">
        <v>1980</v>
      </c>
      <c r="E9" s="836"/>
      <c r="F9" s="835" t="s">
        <v>1981</v>
      </c>
      <c r="G9" s="836"/>
      <c r="H9" s="835" t="s">
        <v>1982</v>
      </c>
      <c r="I9" s="836"/>
      <c r="J9" s="835" t="s">
        <v>1983</v>
      </c>
      <c r="K9" s="836"/>
      <c r="L9" s="835" t="s">
        <v>1984</v>
      </c>
      <c r="M9" s="836"/>
      <c r="N9" s="835" t="s">
        <v>1985</v>
      </c>
      <c r="O9" s="836"/>
      <c r="P9" s="837" t="s">
        <v>1068</v>
      </c>
      <c r="Q9" s="838"/>
      <c r="R9" s="833"/>
      <c r="S9" s="839"/>
      <c r="T9" s="839"/>
      <c r="U9" s="835" t="s">
        <v>480</v>
      </c>
      <c r="V9" s="836"/>
      <c r="W9" s="835" t="s">
        <v>1986</v>
      </c>
      <c r="X9" s="836"/>
      <c r="Y9" s="835" t="s">
        <v>1987</v>
      </c>
      <c r="Z9" s="836"/>
      <c r="AA9" s="835" t="s">
        <v>1988</v>
      </c>
      <c r="AB9" s="836"/>
      <c r="AC9" s="835" t="s">
        <v>1989</v>
      </c>
      <c r="AD9" s="836"/>
      <c r="AE9" s="835" t="s">
        <v>860</v>
      </c>
      <c r="AF9" s="836"/>
      <c r="AG9" s="837" t="s">
        <v>753</v>
      </c>
      <c r="AH9" s="838"/>
    </row>
    <row r="10" spans="1:34" s="847" customFormat="1" ht="15" customHeight="1" x14ac:dyDescent="0.25">
      <c r="A10" s="842"/>
      <c r="B10" s="843"/>
      <c r="C10" s="843"/>
      <c r="D10" s="844" t="str">
        <f>Don_Vi_Tinh_V</f>
        <v>VND</v>
      </c>
      <c r="E10" s="844"/>
      <c r="F10" s="844" t="str">
        <f>Don_Vi_Tinh_V</f>
        <v>VND</v>
      </c>
      <c r="G10" s="844"/>
      <c r="H10" s="844" t="str">
        <f>Don_Vi_Tinh_V</f>
        <v>VND</v>
      </c>
      <c r="I10" s="844"/>
      <c r="J10" s="844" t="str">
        <f>Don_Vi_Tinh_V</f>
        <v>VND</v>
      </c>
      <c r="K10" s="844"/>
      <c r="L10" s="844" t="str">
        <f>Don_Vi_Tinh_V</f>
        <v>VND</v>
      </c>
      <c r="M10" s="844"/>
      <c r="N10" s="844" t="str">
        <f>Don_Vi_Tinh_V</f>
        <v>VND</v>
      </c>
      <c r="O10" s="844"/>
      <c r="P10" s="844" t="str">
        <f>Don_Vi_Tinh_V</f>
        <v>VND</v>
      </c>
      <c r="Q10" s="845"/>
      <c r="R10" s="842"/>
      <c r="S10" s="843"/>
      <c r="T10" s="843"/>
      <c r="U10" s="844" t="str">
        <f>Don_Vi_Tinh_E</f>
        <v>VND</v>
      </c>
      <c r="V10" s="844"/>
      <c r="W10" s="844" t="str">
        <f>Don_Vi_Tinh_E</f>
        <v>VND</v>
      </c>
      <c r="X10" s="844"/>
      <c r="Y10" s="844" t="str">
        <f>Don_Vi_Tinh_E</f>
        <v>VND</v>
      </c>
      <c r="Z10" s="844"/>
      <c r="AA10" s="844" t="str">
        <f>Don_Vi_Tinh_E</f>
        <v>VND</v>
      </c>
      <c r="AB10" s="844"/>
      <c r="AC10" s="844" t="str">
        <f>Don_Vi_Tinh_E</f>
        <v>VND</v>
      </c>
      <c r="AD10" s="844"/>
      <c r="AE10" s="844" t="str">
        <f>Don_Vi_Tinh_E</f>
        <v>VND</v>
      </c>
      <c r="AF10" s="844"/>
      <c r="AG10" s="844" t="str">
        <f>Don_Vi_Tinh_E</f>
        <v>VND</v>
      </c>
      <c r="AH10" s="845"/>
    </row>
    <row r="11" spans="1:34" ht="15" customHeight="1" x14ac:dyDescent="0.25">
      <c r="B11" s="848"/>
      <c r="C11" s="849" t="s">
        <v>985</v>
      </c>
      <c r="D11" s="850"/>
      <c r="E11" s="850"/>
      <c r="F11" s="850"/>
      <c r="G11" s="850"/>
      <c r="H11" s="850"/>
      <c r="I11" s="850"/>
      <c r="J11" s="850"/>
      <c r="K11" s="850"/>
      <c r="L11" s="850"/>
      <c r="M11" s="850"/>
      <c r="N11" s="850"/>
      <c r="O11" s="850"/>
      <c r="P11" s="851"/>
      <c r="Q11" s="852"/>
      <c r="R11" s="849" t="s">
        <v>986</v>
      </c>
      <c r="S11" s="848"/>
      <c r="T11" s="848"/>
      <c r="U11" s="850"/>
      <c r="V11" s="850"/>
      <c r="W11" s="850"/>
      <c r="X11" s="850"/>
      <c r="Y11" s="850"/>
      <c r="Z11" s="850"/>
      <c r="AA11" s="850"/>
      <c r="AB11" s="850"/>
      <c r="AC11" s="850"/>
      <c r="AD11" s="850"/>
      <c r="AE11" s="850"/>
      <c r="AF11" s="850"/>
      <c r="AG11" s="851"/>
      <c r="AH11" s="852"/>
    </row>
    <row r="12" spans="1:34" s="816" customFormat="1" ht="15" customHeight="1" x14ac:dyDescent="0.25">
      <c r="B12" s="823"/>
      <c r="C12" s="853" t="s">
        <v>987</v>
      </c>
      <c r="D12" s="850">
        <v>33204676403</v>
      </c>
      <c r="E12" s="850"/>
      <c r="F12" s="850">
        <v>39164821619</v>
      </c>
      <c r="G12" s="850"/>
      <c r="H12" s="850">
        <v>2690519711</v>
      </c>
      <c r="I12" s="850"/>
      <c r="J12" s="850">
        <v>92033636</v>
      </c>
      <c r="K12" s="850"/>
      <c r="L12" s="850">
        <v>0</v>
      </c>
      <c r="M12" s="850"/>
      <c r="N12" s="850">
        <v>0</v>
      </c>
      <c r="O12" s="850"/>
      <c r="P12" s="851">
        <v>75152051369</v>
      </c>
      <c r="Q12" s="852"/>
      <c r="R12" s="853" t="s">
        <v>988</v>
      </c>
      <c r="S12" s="823"/>
      <c r="T12" s="823"/>
      <c r="U12" s="850">
        <f t="shared" ref="U12:U18" si="0">D12</f>
        <v>33204676403</v>
      </c>
      <c r="V12" s="850"/>
      <c r="W12" s="850">
        <f t="shared" ref="W12:W18" si="1">F12</f>
        <v>39164821619</v>
      </c>
      <c r="X12" s="850"/>
      <c r="Y12" s="850">
        <f t="shared" ref="Y12:Y18" si="2">H12</f>
        <v>2690519711</v>
      </c>
      <c r="Z12" s="850"/>
      <c r="AA12" s="850">
        <f t="shared" ref="AA12:AA18" si="3">J12</f>
        <v>92033636</v>
      </c>
      <c r="AB12" s="850"/>
      <c r="AC12" s="850">
        <f t="shared" ref="AC12:AC18" si="4">L12</f>
        <v>0</v>
      </c>
      <c r="AD12" s="850"/>
      <c r="AE12" s="850">
        <f t="shared" ref="AE12:AE18" si="5">N12</f>
        <v>0</v>
      </c>
      <c r="AF12" s="850"/>
      <c r="AG12" s="851">
        <f>SUBTOTAL(109,U12:AE12)</f>
        <v>75152051369</v>
      </c>
      <c r="AH12" s="852"/>
    </row>
    <row r="13" spans="1:34" s="847" customFormat="1" ht="15" customHeight="1" x14ac:dyDescent="0.25">
      <c r="B13" s="823"/>
      <c r="C13" s="853" t="s">
        <v>1990</v>
      </c>
      <c r="D13" s="854">
        <v>0</v>
      </c>
      <c r="E13" s="850"/>
      <c r="F13" s="854">
        <v>0</v>
      </c>
      <c r="G13" s="850"/>
      <c r="H13" s="854">
        <v>1022000000</v>
      </c>
      <c r="I13" s="850"/>
      <c r="J13" s="854">
        <v>0</v>
      </c>
      <c r="K13" s="850"/>
      <c r="L13" s="854">
        <v>0</v>
      </c>
      <c r="M13" s="850"/>
      <c r="N13" s="854">
        <v>0</v>
      </c>
      <c r="O13" s="850"/>
      <c r="P13" s="851">
        <v>1022000000</v>
      </c>
      <c r="Q13" s="852"/>
      <c r="R13" s="853" t="s">
        <v>1049</v>
      </c>
      <c r="S13" s="823"/>
      <c r="T13" s="823"/>
      <c r="U13" s="854">
        <f t="shared" si="0"/>
        <v>0</v>
      </c>
      <c r="V13" s="850"/>
      <c r="W13" s="854">
        <f t="shared" si="1"/>
        <v>0</v>
      </c>
      <c r="X13" s="850"/>
      <c r="Y13" s="854">
        <f t="shared" si="2"/>
        <v>1022000000</v>
      </c>
      <c r="Z13" s="850"/>
      <c r="AA13" s="854">
        <f t="shared" si="3"/>
        <v>0</v>
      </c>
      <c r="AB13" s="850"/>
      <c r="AC13" s="854">
        <f t="shared" si="4"/>
        <v>0</v>
      </c>
      <c r="AD13" s="850"/>
      <c r="AE13" s="854">
        <f t="shared" si="5"/>
        <v>0</v>
      </c>
      <c r="AF13" s="850"/>
      <c r="AG13" s="851">
        <f t="shared" ref="AG13:AG18" si="6">SUBTOTAL(109,U13:AE13)</f>
        <v>1022000000</v>
      </c>
      <c r="AH13" s="852"/>
    </row>
    <row r="14" spans="1:34" s="847" customFormat="1" ht="15" customHeight="1" x14ac:dyDescent="0.25">
      <c r="B14" s="823"/>
      <c r="C14" s="853" t="s">
        <v>1991</v>
      </c>
      <c r="D14" s="854">
        <v>-2847556400</v>
      </c>
      <c r="E14" s="850"/>
      <c r="F14" s="854">
        <v>-521627428</v>
      </c>
      <c r="G14" s="850"/>
      <c r="H14" s="854">
        <v>-952731818</v>
      </c>
      <c r="I14" s="850"/>
      <c r="J14" s="854">
        <v>0</v>
      </c>
      <c r="K14" s="850"/>
      <c r="L14" s="854">
        <v>0</v>
      </c>
      <c r="M14" s="850"/>
      <c r="N14" s="854">
        <v>0</v>
      </c>
      <c r="O14" s="850"/>
      <c r="P14" s="851">
        <v>-4321915646</v>
      </c>
      <c r="Q14" s="852"/>
      <c r="R14" s="853" t="s">
        <v>1992</v>
      </c>
      <c r="S14" s="823"/>
      <c r="T14" s="823"/>
      <c r="U14" s="854">
        <f t="shared" si="0"/>
        <v>-2847556400</v>
      </c>
      <c r="V14" s="850"/>
      <c r="W14" s="854">
        <f t="shared" si="1"/>
        <v>-521627428</v>
      </c>
      <c r="X14" s="850"/>
      <c r="Y14" s="854">
        <f t="shared" si="2"/>
        <v>-952731818</v>
      </c>
      <c r="Z14" s="850"/>
      <c r="AA14" s="854">
        <f t="shared" si="3"/>
        <v>0</v>
      </c>
      <c r="AB14" s="850"/>
      <c r="AC14" s="854">
        <f t="shared" si="4"/>
        <v>0</v>
      </c>
      <c r="AD14" s="850"/>
      <c r="AE14" s="854">
        <f t="shared" si="5"/>
        <v>0</v>
      </c>
      <c r="AF14" s="850"/>
      <c r="AG14" s="851">
        <f t="shared" si="6"/>
        <v>-4321915646</v>
      </c>
      <c r="AH14" s="852"/>
    </row>
    <row r="15" spans="1:34" s="847" customFormat="1" ht="15" hidden="1" customHeight="1" x14ac:dyDescent="0.25">
      <c r="B15" s="823"/>
      <c r="C15" s="853" t="s">
        <v>1993</v>
      </c>
      <c r="D15" s="854">
        <v>0</v>
      </c>
      <c r="E15" s="850"/>
      <c r="F15" s="854">
        <v>0</v>
      </c>
      <c r="G15" s="850"/>
      <c r="H15" s="854">
        <v>0</v>
      </c>
      <c r="I15" s="850"/>
      <c r="J15" s="854">
        <v>0</v>
      </c>
      <c r="K15" s="850"/>
      <c r="L15" s="854">
        <v>0</v>
      </c>
      <c r="M15" s="850"/>
      <c r="N15" s="854">
        <v>0</v>
      </c>
      <c r="O15" s="850"/>
      <c r="P15" s="851">
        <v>0</v>
      </c>
      <c r="Q15" s="852"/>
      <c r="R15" s="853" t="s">
        <v>1994</v>
      </c>
      <c r="S15" s="823"/>
      <c r="T15" s="823"/>
      <c r="U15" s="854">
        <f t="shared" si="0"/>
        <v>0</v>
      </c>
      <c r="V15" s="850"/>
      <c r="W15" s="854">
        <f t="shared" si="1"/>
        <v>0</v>
      </c>
      <c r="X15" s="850"/>
      <c r="Y15" s="854">
        <f t="shared" si="2"/>
        <v>0</v>
      </c>
      <c r="Z15" s="850"/>
      <c r="AA15" s="854">
        <f t="shared" si="3"/>
        <v>0</v>
      </c>
      <c r="AB15" s="850"/>
      <c r="AC15" s="854">
        <f t="shared" si="4"/>
        <v>0</v>
      </c>
      <c r="AD15" s="850"/>
      <c r="AE15" s="854">
        <f t="shared" si="5"/>
        <v>0</v>
      </c>
      <c r="AF15" s="850"/>
      <c r="AG15" s="851">
        <f t="shared" si="6"/>
        <v>0</v>
      </c>
      <c r="AH15" s="852"/>
    </row>
    <row r="16" spans="1:34" s="847" customFormat="1" ht="15" hidden="1" customHeight="1" x14ac:dyDescent="0.25">
      <c r="B16" s="823"/>
      <c r="C16" s="853" t="s">
        <v>1995</v>
      </c>
      <c r="D16" s="854">
        <v>0</v>
      </c>
      <c r="E16" s="850"/>
      <c r="F16" s="854">
        <v>0</v>
      </c>
      <c r="G16" s="850"/>
      <c r="H16" s="854">
        <v>0</v>
      </c>
      <c r="I16" s="850"/>
      <c r="J16" s="854">
        <v>0</v>
      </c>
      <c r="K16" s="850"/>
      <c r="L16" s="854">
        <v>0</v>
      </c>
      <c r="M16" s="850"/>
      <c r="N16" s="854">
        <v>0</v>
      </c>
      <c r="O16" s="850"/>
      <c r="P16" s="851">
        <v>0</v>
      </c>
      <c r="Q16" s="855"/>
      <c r="R16" s="853" t="s">
        <v>1996</v>
      </c>
      <c r="S16" s="823"/>
      <c r="T16" s="823"/>
      <c r="U16" s="854">
        <f t="shared" si="0"/>
        <v>0</v>
      </c>
      <c r="V16" s="850"/>
      <c r="W16" s="854">
        <f t="shared" si="1"/>
        <v>0</v>
      </c>
      <c r="X16" s="850"/>
      <c r="Y16" s="854">
        <f t="shared" si="2"/>
        <v>0</v>
      </c>
      <c r="Z16" s="850"/>
      <c r="AA16" s="854">
        <f t="shared" si="3"/>
        <v>0</v>
      </c>
      <c r="AB16" s="850"/>
      <c r="AC16" s="854">
        <f t="shared" si="4"/>
        <v>0</v>
      </c>
      <c r="AD16" s="850"/>
      <c r="AE16" s="854">
        <f t="shared" si="5"/>
        <v>0</v>
      </c>
      <c r="AF16" s="850"/>
      <c r="AG16" s="851">
        <f t="shared" si="6"/>
        <v>0</v>
      </c>
      <c r="AH16" s="855"/>
    </row>
    <row r="17" spans="2:34" s="847" customFormat="1" ht="15" customHeight="1" x14ac:dyDescent="0.25">
      <c r="B17" s="823"/>
      <c r="C17" s="853" t="s">
        <v>1997</v>
      </c>
      <c r="D17" s="854">
        <v>37085675</v>
      </c>
      <c r="E17" s="850"/>
      <c r="F17" s="854">
        <v>-37084472</v>
      </c>
      <c r="G17" s="850"/>
      <c r="H17" s="854">
        <v>-1203</v>
      </c>
      <c r="I17" s="850"/>
      <c r="J17" s="854">
        <v>0</v>
      </c>
      <c r="K17" s="850"/>
      <c r="L17" s="854">
        <v>0</v>
      </c>
      <c r="M17" s="850"/>
      <c r="N17" s="854">
        <v>0</v>
      </c>
      <c r="O17" s="850"/>
      <c r="P17" s="851">
        <v>0</v>
      </c>
      <c r="Q17" s="852"/>
      <c r="R17" s="853" t="s">
        <v>1998</v>
      </c>
      <c r="S17" s="823"/>
      <c r="T17" s="823"/>
      <c r="U17" s="854">
        <f t="shared" si="0"/>
        <v>37085675</v>
      </c>
      <c r="V17" s="850"/>
      <c r="W17" s="854">
        <f t="shared" si="1"/>
        <v>-37084472</v>
      </c>
      <c r="X17" s="850"/>
      <c r="Y17" s="854">
        <f t="shared" si="2"/>
        <v>-1203</v>
      </c>
      <c r="Z17" s="850"/>
      <c r="AA17" s="854">
        <f t="shared" si="3"/>
        <v>0</v>
      </c>
      <c r="AB17" s="850"/>
      <c r="AC17" s="854">
        <f t="shared" si="4"/>
        <v>0</v>
      </c>
      <c r="AD17" s="850"/>
      <c r="AE17" s="854">
        <f t="shared" si="5"/>
        <v>0</v>
      </c>
      <c r="AF17" s="850"/>
      <c r="AG17" s="851">
        <f t="shared" si="6"/>
        <v>0</v>
      </c>
      <c r="AH17" s="852"/>
    </row>
    <row r="18" spans="2:34" s="847" customFormat="1" ht="15" customHeight="1" x14ac:dyDescent="0.25">
      <c r="B18" s="823"/>
      <c r="C18" s="853" t="s">
        <v>1999</v>
      </c>
      <c r="D18" s="854">
        <v>0</v>
      </c>
      <c r="E18" s="850"/>
      <c r="F18" s="850">
        <v>0</v>
      </c>
      <c r="G18" s="850"/>
      <c r="H18" s="854">
        <v>0</v>
      </c>
      <c r="I18" s="850"/>
      <c r="J18" s="854">
        <v>-37033636</v>
      </c>
      <c r="K18" s="850"/>
      <c r="L18" s="854">
        <v>0</v>
      </c>
      <c r="M18" s="850"/>
      <c r="N18" s="854">
        <v>0</v>
      </c>
      <c r="O18" s="850"/>
      <c r="P18" s="851">
        <v>-37033636</v>
      </c>
      <c r="Q18" s="852"/>
      <c r="R18" s="853" t="s">
        <v>2000</v>
      </c>
      <c r="S18" s="823"/>
      <c r="T18" s="823"/>
      <c r="U18" s="854">
        <f t="shared" si="0"/>
        <v>0</v>
      </c>
      <c r="V18" s="850"/>
      <c r="W18" s="854">
        <f t="shared" si="1"/>
        <v>0</v>
      </c>
      <c r="X18" s="850"/>
      <c r="Y18" s="854">
        <f t="shared" si="2"/>
        <v>0</v>
      </c>
      <c r="Z18" s="850"/>
      <c r="AA18" s="854">
        <f t="shared" si="3"/>
        <v>-37033636</v>
      </c>
      <c r="AB18" s="850"/>
      <c r="AC18" s="854">
        <f t="shared" si="4"/>
        <v>0</v>
      </c>
      <c r="AD18" s="850"/>
      <c r="AE18" s="854">
        <f t="shared" si="5"/>
        <v>0</v>
      </c>
      <c r="AF18" s="850"/>
      <c r="AG18" s="851">
        <f t="shared" si="6"/>
        <v>-37033636</v>
      </c>
      <c r="AH18" s="852"/>
    </row>
    <row r="19" spans="2:34" s="841" customFormat="1" ht="15" customHeight="1" thickBot="1" x14ac:dyDescent="0.3">
      <c r="B19" s="823"/>
      <c r="C19" s="856" t="s">
        <v>1001</v>
      </c>
      <c r="D19" s="857">
        <f>SUBTOTAL(109,D12:D18)</f>
        <v>30394205678</v>
      </c>
      <c r="E19" s="858"/>
      <c r="F19" s="857">
        <f>SUBTOTAL(109,F12:F18)</f>
        <v>38606109719</v>
      </c>
      <c r="G19" s="858"/>
      <c r="H19" s="857">
        <f>SUBTOTAL(109,H12:H18)</f>
        <v>2759786690</v>
      </c>
      <c r="I19" s="858"/>
      <c r="J19" s="857">
        <f>SUBTOTAL(109,J12:J18)</f>
        <v>55000000</v>
      </c>
      <c r="K19" s="858"/>
      <c r="L19" s="857">
        <f>SUBTOTAL(109,L12:L18)</f>
        <v>0</v>
      </c>
      <c r="M19" s="858"/>
      <c r="N19" s="857">
        <f>SUBTOTAL(109,N12:N18)</f>
        <v>0</v>
      </c>
      <c r="O19" s="858"/>
      <c r="P19" s="857">
        <f>SUM(P12:P18)</f>
        <v>71815102087</v>
      </c>
      <c r="Q19" s="859"/>
      <c r="R19" s="856" t="s">
        <v>1002</v>
      </c>
      <c r="S19" s="823"/>
      <c r="T19" s="823"/>
      <c r="U19" s="857">
        <f>SUBTOTAL(109,U12:U18)</f>
        <v>30394205678</v>
      </c>
      <c r="V19" s="858"/>
      <c r="W19" s="857">
        <f>SUBTOTAL(109,W12:W18)</f>
        <v>38606109719</v>
      </c>
      <c r="X19" s="858"/>
      <c r="Y19" s="857">
        <f>SUBTOTAL(109,Y12:Y18)</f>
        <v>2759786690</v>
      </c>
      <c r="Z19" s="858"/>
      <c r="AA19" s="857">
        <f>SUBTOTAL(109,AA12:AA18)</f>
        <v>55000000</v>
      </c>
      <c r="AB19" s="858"/>
      <c r="AC19" s="857">
        <f>SUBTOTAL(109,AC12:AC18)</f>
        <v>0</v>
      </c>
      <c r="AD19" s="858"/>
      <c r="AE19" s="857">
        <f>SUBTOTAL(109,AE12:AE18)</f>
        <v>0</v>
      </c>
      <c r="AF19" s="858"/>
      <c r="AG19" s="857">
        <f>SUM(AG12:AG18)</f>
        <v>71815102087</v>
      </c>
      <c r="AH19" s="859"/>
    </row>
    <row r="20" spans="2:34" s="841" customFormat="1" ht="20.100000000000001" customHeight="1" thickTop="1" x14ac:dyDescent="0.25">
      <c r="B20" s="860"/>
      <c r="C20" s="861" t="s">
        <v>1003</v>
      </c>
      <c r="D20" s="862"/>
      <c r="E20" s="862"/>
      <c r="F20" s="862"/>
      <c r="G20" s="862"/>
      <c r="H20" s="862"/>
      <c r="I20" s="862"/>
      <c r="J20" s="862"/>
      <c r="K20" s="862"/>
      <c r="L20" s="862"/>
      <c r="M20" s="862"/>
      <c r="N20" s="862"/>
      <c r="O20" s="862"/>
      <c r="P20" s="863"/>
      <c r="Q20" s="864"/>
      <c r="R20" s="861" t="s">
        <v>1004</v>
      </c>
      <c r="S20" s="860"/>
      <c r="T20" s="860"/>
      <c r="U20" s="862"/>
      <c r="V20" s="862"/>
      <c r="W20" s="862"/>
      <c r="X20" s="862"/>
      <c r="Y20" s="862"/>
      <c r="Z20" s="862"/>
      <c r="AA20" s="862"/>
      <c r="AB20" s="862"/>
      <c r="AC20" s="862"/>
      <c r="AD20" s="862"/>
      <c r="AE20" s="862"/>
      <c r="AF20" s="862"/>
      <c r="AG20" s="863"/>
      <c r="AH20" s="864"/>
    </row>
    <row r="21" spans="2:34" s="847" customFormat="1" ht="15" customHeight="1" x14ac:dyDescent="0.25">
      <c r="B21" s="848"/>
      <c r="C21" s="865" t="s">
        <v>987</v>
      </c>
      <c r="D21" s="850">
        <v>23686107581</v>
      </c>
      <c r="E21" s="850"/>
      <c r="F21" s="850">
        <v>32519458908</v>
      </c>
      <c r="G21" s="850"/>
      <c r="H21" s="850">
        <v>2120739438</v>
      </c>
      <c r="I21" s="850"/>
      <c r="J21" s="850">
        <v>75517234</v>
      </c>
      <c r="K21" s="850"/>
      <c r="L21" s="850">
        <v>0</v>
      </c>
      <c r="M21" s="850"/>
      <c r="N21" s="850">
        <v>0</v>
      </c>
      <c r="O21" s="850"/>
      <c r="P21" s="851">
        <v>58401823161</v>
      </c>
      <c r="Q21" s="852"/>
      <c r="R21" s="865" t="s">
        <v>988</v>
      </c>
      <c r="S21" s="848"/>
      <c r="T21" s="848"/>
      <c r="U21" s="850">
        <f t="shared" ref="U21:U26" si="7">D21</f>
        <v>23686107581</v>
      </c>
      <c r="V21" s="850"/>
      <c r="W21" s="850">
        <f t="shared" ref="W21:W26" si="8">F21</f>
        <v>32519458908</v>
      </c>
      <c r="X21" s="850"/>
      <c r="Y21" s="850">
        <f t="shared" ref="Y21:Y26" si="9">H21</f>
        <v>2120739438</v>
      </c>
      <c r="Z21" s="850"/>
      <c r="AA21" s="850">
        <f t="shared" ref="AA21:AA26" si="10">J21</f>
        <v>75517234</v>
      </c>
      <c r="AB21" s="850"/>
      <c r="AC21" s="850">
        <f t="shared" ref="AC21:AC26" si="11">L21</f>
        <v>0</v>
      </c>
      <c r="AD21" s="850"/>
      <c r="AE21" s="850">
        <f t="shared" ref="AE21:AE26" si="12">N21</f>
        <v>0</v>
      </c>
      <c r="AF21" s="850"/>
      <c r="AG21" s="851">
        <f t="shared" ref="AG21:AG26" si="13">SUBTOTAL(109,U21:AE21)</f>
        <v>58401823161</v>
      </c>
      <c r="AH21" s="852"/>
    </row>
    <row r="22" spans="2:34" s="847" customFormat="1" ht="15" customHeight="1" x14ac:dyDescent="0.25">
      <c r="B22" s="848"/>
      <c r="C22" s="866" t="s">
        <v>2001</v>
      </c>
      <c r="D22" s="854">
        <v>1306483386</v>
      </c>
      <c r="E22" s="850"/>
      <c r="F22" s="854">
        <v>1196638335</v>
      </c>
      <c r="G22" s="850"/>
      <c r="H22" s="854">
        <v>179040329</v>
      </c>
      <c r="I22" s="850"/>
      <c r="J22" s="854">
        <v>5274924</v>
      </c>
      <c r="K22" s="850"/>
      <c r="L22" s="854">
        <v>0</v>
      </c>
      <c r="M22" s="850"/>
      <c r="N22" s="854">
        <v>0</v>
      </c>
      <c r="O22" s="850"/>
      <c r="P22" s="851">
        <v>2687436974</v>
      </c>
      <c r="Q22" s="852"/>
      <c r="R22" s="866" t="s">
        <v>2002</v>
      </c>
      <c r="S22" s="848"/>
      <c r="T22" s="848"/>
      <c r="U22" s="854">
        <f t="shared" si="7"/>
        <v>1306483386</v>
      </c>
      <c r="V22" s="850"/>
      <c r="W22" s="854">
        <f t="shared" si="8"/>
        <v>1196638335</v>
      </c>
      <c r="X22" s="850"/>
      <c r="Y22" s="854">
        <f t="shared" si="9"/>
        <v>179040329</v>
      </c>
      <c r="Z22" s="850"/>
      <c r="AA22" s="854">
        <f t="shared" si="10"/>
        <v>5274924</v>
      </c>
      <c r="AB22" s="850"/>
      <c r="AC22" s="854">
        <f t="shared" si="11"/>
        <v>0</v>
      </c>
      <c r="AD22" s="850"/>
      <c r="AE22" s="854">
        <f t="shared" si="12"/>
        <v>0</v>
      </c>
      <c r="AF22" s="850"/>
      <c r="AG22" s="851">
        <f t="shared" si="13"/>
        <v>2687436974</v>
      </c>
      <c r="AH22" s="852"/>
    </row>
    <row r="23" spans="2:34" s="847" customFormat="1" ht="15" customHeight="1" x14ac:dyDescent="0.25">
      <c r="B23" s="848"/>
      <c r="C23" s="866" t="s">
        <v>1991</v>
      </c>
      <c r="D23" s="854">
        <v>-1476299788</v>
      </c>
      <c r="E23" s="850"/>
      <c r="F23" s="854">
        <v>-521627428</v>
      </c>
      <c r="G23" s="850"/>
      <c r="H23" s="854">
        <v>-845433539</v>
      </c>
      <c r="I23" s="850"/>
      <c r="J23" s="854">
        <v>0</v>
      </c>
      <c r="K23" s="850"/>
      <c r="L23" s="854">
        <v>0</v>
      </c>
      <c r="M23" s="850"/>
      <c r="N23" s="854">
        <v>0</v>
      </c>
      <c r="O23" s="850"/>
      <c r="P23" s="851">
        <v>-2843360755</v>
      </c>
      <c r="Q23" s="852"/>
      <c r="R23" s="866" t="s">
        <v>1994</v>
      </c>
      <c r="S23" s="848"/>
      <c r="T23" s="848"/>
      <c r="U23" s="854">
        <f t="shared" si="7"/>
        <v>-1476299788</v>
      </c>
      <c r="V23" s="850"/>
      <c r="W23" s="854">
        <f t="shared" si="8"/>
        <v>-521627428</v>
      </c>
      <c r="X23" s="850"/>
      <c r="Y23" s="854">
        <f t="shared" si="9"/>
        <v>-845433539</v>
      </c>
      <c r="Z23" s="850"/>
      <c r="AA23" s="854">
        <f t="shared" si="10"/>
        <v>0</v>
      </c>
      <c r="AB23" s="850"/>
      <c r="AC23" s="854">
        <f t="shared" si="11"/>
        <v>0</v>
      </c>
      <c r="AD23" s="850"/>
      <c r="AE23" s="854">
        <f t="shared" si="12"/>
        <v>0</v>
      </c>
      <c r="AF23" s="850"/>
      <c r="AG23" s="851">
        <f t="shared" si="13"/>
        <v>-2843360755</v>
      </c>
      <c r="AH23" s="852"/>
    </row>
    <row r="24" spans="2:34" s="847" customFormat="1" ht="15" hidden="1" customHeight="1" x14ac:dyDescent="0.25">
      <c r="B24" s="848"/>
      <c r="C24" s="866" t="s">
        <v>1995</v>
      </c>
      <c r="D24" s="854">
        <v>0</v>
      </c>
      <c r="E24" s="850"/>
      <c r="F24" s="854">
        <v>0</v>
      </c>
      <c r="G24" s="850"/>
      <c r="H24" s="854">
        <v>0</v>
      </c>
      <c r="I24" s="850"/>
      <c r="J24" s="854">
        <v>0</v>
      </c>
      <c r="K24" s="850"/>
      <c r="L24" s="854">
        <v>0</v>
      </c>
      <c r="M24" s="850"/>
      <c r="N24" s="854">
        <v>0</v>
      </c>
      <c r="O24" s="850"/>
      <c r="P24" s="851">
        <v>0</v>
      </c>
      <c r="Q24" s="855"/>
      <c r="R24" s="866" t="s">
        <v>1996</v>
      </c>
      <c r="S24" s="848"/>
      <c r="T24" s="848"/>
      <c r="U24" s="854">
        <f t="shared" si="7"/>
        <v>0</v>
      </c>
      <c r="V24" s="850"/>
      <c r="W24" s="854">
        <f t="shared" si="8"/>
        <v>0</v>
      </c>
      <c r="X24" s="850"/>
      <c r="Y24" s="854">
        <f t="shared" si="9"/>
        <v>0</v>
      </c>
      <c r="Z24" s="850"/>
      <c r="AA24" s="854">
        <f t="shared" si="10"/>
        <v>0</v>
      </c>
      <c r="AB24" s="850"/>
      <c r="AC24" s="854">
        <f t="shared" si="11"/>
        <v>0</v>
      </c>
      <c r="AD24" s="850"/>
      <c r="AE24" s="854">
        <f t="shared" si="12"/>
        <v>0</v>
      </c>
      <c r="AF24" s="850"/>
      <c r="AG24" s="851">
        <f t="shared" si="13"/>
        <v>0</v>
      </c>
      <c r="AH24" s="855"/>
    </row>
    <row r="25" spans="2:34" s="847" customFormat="1" ht="15" customHeight="1" x14ac:dyDescent="0.25">
      <c r="B25" s="848"/>
      <c r="C25" s="866" t="s">
        <v>1997</v>
      </c>
      <c r="D25" s="854">
        <v>267720324</v>
      </c>
      <c r="E25" s="850"/>
      <c r="F25" s="854">
        <v>-297500375</v>
      </c>
      <c r="G25" s="850"/>
      <c r="H25" s="854">
        <v>29780051</v>
      </c>
      <c r="I25" s="850"/>
      <c r="J25" s="854">
        <v>0</v>
      </c>
      <c r="K25" s="850"/>
      <c r="L25" s="854">
        <v>0</v>
      </c>
      <c r="M25" s="850"/>
      <c r="N25" s="854">
        <v>0</v>
      </c>
      <c r="O25" s="850"/>
      <c r="P25" s="851">
        <v>0</v>
      </c>
      <c r="Q25" s="852"/>
      <c r="R25" s="866" t="s">
        <v>1998</v>
      </c>
      <c r="S25" s="848"/>
      <c r="T25" s="848"/>
      <c r="U25" s="854">
        <f t="shared" si="7"/>
        <v>267720324</v>
      </c>
      <c r="V25" s="850"/>
      <c r="W25" s="854">
        <f t="shared" si="8"/>
        <v>-297500375</v>
      </c>
      <c r="X25" s="850"/>
      <c r="Y25" s="854">
        <f t="shared" si="9"/>
        <v>29780051</v>
      </c>
      <c r="Z25" s="850"/>
      <c r="AA25" s="854">
        <f t="shared" si="10"/>
        <v>0</v>
      </c>
      <c r="AB25" s="850"/>
      <c r="AC25" s="854">
        <f t="shared" si="11"/>
        <v>0</v>
      </c>
      <c r="AD25" s="850"/>
      <c r="AE25" s="854">
        <f t="shared" si="12"/>
        <v>0</v>
      </c>
      <c r="AF25" s="850"/>
      <c r="AG25" s="851">
        <f t="shared" si="13"/>
        <v>0</v>
      </c>
      <c r="AH25" s="852"/>
    </row>
    <row r="26" spans="2:34" s="847" customFormat="1" ht="15" customHeight="1" x14ac:dyDescent="0.25">
      <c r="B26" s="848"/>
      <c r="C26" s="853" t="s">
        <v>1999</v>
      </c>
      <c r="D26" s="854">
        <v>0</v>
      </c>
      <c r="E26" s="850"/>
      <c r="F26" s="854">
        <v>0</v>
      </c>
      <c r="G26" s="850"/>
      <c r="H26" s="854">
        <v>0</v>
      </c>
      <c r="I26" s="850"/>
      <c r="J26" s="854">
        <v>-28083830</v>
      </c>
      <c r="K26" s="850"/>
      <c r="L26" s="854">
        <v>0</v>
      </c>
      <c r="M26" s="850"/>
      <c r="N26" s="854">
        <v>0</v>
      </c>
      <c r="O26" s="850"/>
      <c r="P26" s="851">
        <v>-28083830</v>
      </c>
      <c r="Q26" s="852"/>
      <c r="R26" s="866" t="s">
        <v>2000</v>
      </c>
      <c r="S26" s="848"/>
      <c r="T26" s="848"/>
      <c r="U26" s="854">
        <f t="shared" si="7"/>
        <v>0</v>
      </c>
      <c r="V26" s="850"/>
      <c r="W26" s="854">
        <f t="shared" si="8"/>
        <v>0</v>
      </c>
      <c r="X26" s="850"/>
      <c r="Y26" s="854">
        <f t="shared" si="9"/>
        <v>0</v>
      </c>
      <c r="Z26" s="850"/>
      <c r="AA26" s="854">
        <f t="shared" si="10"/>
        <v>-28083830</v>
      </c>
      <c r="AB26" s="850"/>
      <c r="AC26" s="854">
        <f t="shared" si="11"/>
        <v>0</v>
      </c>
      <c r="AD26" s="850"/>
      <c r="AE26" s="854">
        <f t="shared" si="12"/>
        <v>0</v>
      </c>
      <c r="AF26" s="850"/>
      <c r="AG26" s="851">
        <f t="shared" si="13"/>
        <v>-28083830</v>
      </c>
      <c r="AH26" s="852"/>
    </row>
    <row r="27" spans="2:34" s="841" customFormat="1" ht="15" customHeight="1" thickBot="1" x14ac:dyDescent="0.3">
      <c r="B27" s="848"/>
      <c r="C27" s="867" t="s">
        <v>1001</v>
      </c>
      <c r="D27" s="857">
        <f>SUBTOTAL(109,D21:D26)</f>
        <v>23784011503</v>
      </c>
      <c r="E27" s="858"/>
      <c r="F27" s="857">
        <f>SUBTOTAL(109,F21:F26)</f>
        <v>32896969440</v>
      </c>
      <c r="G27" s="858"/>
      <c r="H27" s="857">
        <f>SUBTOTAL(109,H21:H26)</f>
        <v>1484126279</v>
      </c>
      <c r="I27" s="858"/>
      <c r="J27" s="857">
        <f>SUBTOTAL(109,J21:J26)</f>
        <v>52708328</v>
      </c>
      <c r="K27" s="858"/>
      <c r="L27" s="857">
        <f>SUBTOTAL(109,L21:L26)</f>
        <v>0</v>
      </c>
      <c r="M27" s="858"/>
      <c r="N27" s="857">
        <f>SUBTOTAL(109,N20:N26)</f>
        <v>0</v>
      </c>
      <c r="O27" s="858"/>
      <c r="P27" s="857">
        <f>SUM(P21:P26)</f>
        <v>58217815550</v>
      </c>
      <c r="Q27" s="868"/>
      <c r="R27" s="867" t="s">
        <v>1007</v>
      </c>
      <c r="S27" s="848"/>
      <c r="T27" s="848"/>
      <c r="U27" s="857">
        <f>SUBTOTAL(109,U20:U26)</f>
        <v>23784011503</v>
      </c>
      <c r="V27" s="858"/>
      <c r="W27" s="857">
        <f>SUBTOTAL(109,W20:W26)</f>
        <v>32896969440</v>
      </c>
      <c r="X27" s="858"/>
      <c r="Y27" s="857">
        <f>SUBTOTAL(109,Y20:Y26)</f>
        <v>1484126279</v>
      </c>
      <c r="Z27" s="858"/>
      <c r="AA27" s="857">
        <f>SUBTOTAL(109,AA20:AA26)</f>
        <v>52708328</v>
      </c>
      <c r="AB27" s="858"/>
      <c r="AC27" s="857">
        <f>SUBTOTAL(109,AC20:AC26)</f>
        <v>0</v>
      </c>
      <c r="AD27" s="858"/>
      <c r="AE27" s="857">
        <f>SUBTOTAL(109,AE20:AE26)</f>
        <v>0</v>
      </c>
      <c r="AF27" s="858"/>
      <c r="AG27" s="857">
        <f>SUM(AG20:AG26)</f>
        <v>58217815550</v>
      </c>
      <c r="AH27" s="868"/>
    </row>
    <row r="28" spans="2:34" s="841" customFormat="1" ht="20.100000000000001" customHeight="1" thickTop="1" x14ac:dyDescent="0.25">
      <c r="B28" s="860"/>
      <c r="C28" s="861" t="s">
        <v>1008</v>
      </c>
      <c r="D28" s="862"/>
      <c r="E28" s="862"/>
      <c r="F28" s="862"/>
      <c r="G28" s="862"/>
      <c r="H28" s="862"/>
      <c r="I28" s="862"/>
      <c r="J28" s="862"/>
      <c r="K28" s="862"/>
      <c r="L28" s="862"/>
      <c r="M28" s="862"/>
      <c r="N28" s="862"/>
      <c r="O28" s="862"/>
      <c r="P28" s="863"/>
      <c r="Q28" s="864"/>
      <c r="R28" s="869" t="s">
        <v>1009</v>
      </c>
      <c r="S28" s="860"/>
      <c r="T28" s="860"/>
      <c r="U28" s="862"/>
      <c r="V28" s="862"/>
      <c r="W28" s="862"/>
      <c r="X28" s="862"/>
      <c r="Y28" s="862"/>
      <c r="Z28" s="862"/>
      <c r="AA28" s="862"/>
      <c r="AB28" s="862"/>
      <c r="AC28" s="862"/>
      <c r="AD28" s="862"/>
      <c r="AE28" s="862"/>
      <c r="AF28" s="862"/>
      <c r="AG28" s="863"/>
      <c r="AH28" s="864"/>
    </row>
    <row r="29" spans="2:34" s="841" customFormat="1" ht="15" customHeight="1" x14ac:dyDescent="0.25">
      <c r="B29" s="848"/>
      <c r="C29" s="866" t="s">
        <v>1010</v>
      </c>
      <c r="D29" s="850">
        <v>9518568822</v>
      </c>
      <c r="E29" s="850"/>
      <c r="F29" s="850">
        <v>6645362711</v>
      </c>
      <c r="G29" s="850"/>
      <c r="H29" s="850">
        <v>569780273</v>
      </c>
      <c r="I29" s="850"/>
      <c r="J29" s="850">
        <v>16516402</v>
      </c>
      <c r="K29" s="850"/>
      <c r="L29" s="850">
        <v>0</v>
      </c>
      <c r="M29" s="850"/>
      <c r="N29" s="850">
        <v>0</v>
      </c>
      <c r="O29" s="850"/>
      <c r="P29" s="850">
        <v>16750228208</v>
      </c>
      <c r="Q29" s="868"/>
      <c r="R29" s="866" t="s">
        <v>1011</v>
      </c>
      <c r="S29" s="848"/>
      <c r="T29" s="848"/>
      <c r="U29" s="850">
        <f>U12-U21</f>
        <v>9518568822</v>
      </c>
      <c r="V29" s="850"/>
      <c r="W29" s="850">
        <f>W12-W21</f>
        <v>6645362711</v>
      </c>
      <c r="X29" s="850"/>
      <c r="Y29" s="850">
        <f>Y12-Y21</f>
        <v>569780273</v>
      </c>
      <c r="Z29" s="850"/>
      <c r="AA29" s="850">
        <f>AA12-AA21</f>
        <v>16516402</v>
      </c>
      <c r="AB29" s="850"/>
      <c r="AC29" s="850">
        <f>AC12-AC21</f>
        <v>0</v>
      </c>
      <c r="AD29" s="850"/>
      <c r="AE29" s="850">
        <f>AE12-AE21</f>
        <v>0</v>
      </c>
      <c r="AF29" s="850"/>
      <c r="AG29" s="850">
        <f>AG12-AG21</f>
        <v>16750228208</v>
      </c>
      <c r="AH29" s="868"/>
    </row>
    <row r="30" spans="2:34" s="841" customFormat="1" ht="15" customHeight="1" thickBot="1" x14ac:dyDescent="0.3">
      <c r="B30" s="848"/>
      <c r="C30" s="849" t="s">
        <v>1012</v>
      </c>
      <c r="D30" s="857">
        <f>D19-D27</f>
        <v>6610194175</v>
      </c>
      <c r="E30" s="858"/>
      <c r="F30" s="857">
        <f>F19-F27</f>
        <v>5709140279</v>
      </c>
      <c r="G30" s="858"/>
      <c r="H30" s="857">
        <f>H19-H27</f>
        <v>1275660411</v>
      </c>
      <c r="I30" s="858"/>
      <c r="J30" s="857">
        <f>J19-J27</f>
        <v>2291672</v>
      </c>
      <c r="K30" s="858"/>
      <c r="L30" s="857">
        <f>L19-L27</f>
        <v>0</v>
      </c>
      <c r="M30" s="858"/>
      <c r="N30" s="857">
        <f>N19-N27</f>
        <v>0</v>
      </c>
      <c r="O30" s="858"/>
      <c r="P30" s="857">
        <f>P19-P27</f>
        <v>13597286537</v>
      </c>
      <c r="Q30" s="868"/>
      <c r="R30" s="849" t="s">
        <v>1013</v>
      </c>
      <c r="S30" s="848"/>
      <c r="T30" s="848"/>
      <c r="U30" s="857">
        <f>U19-U27</f>
        <v>6610194175</v>
      </c>
      <c r="V30" s="858"/>
      <c r="W30" s="857">
        <f>W19-W27</f>
        <v>5709140279</v>
      </c>
      <c r="X30" s="858"/>
      <c r="Y30" s="857">
        <f>Y19-Y27</f>
        <v>1275660411</v>
      </c>
      <c r="Z30" s="858"/>
      <c r="AA30" s="857">
        <f>AA19-AA27</f>
        <v>2291672</v>
      </c>
      <c r="AB30" s="858"/>
      <c r="AC30" s="857">
        <f>AC19-AC27</f>
        <v>0</v>
      </c>
      <c r="AD30" s="858"/>
      <c r="AE30" s="857">
        <f>AE19-AE27</f>
        <v>0</v>
      </c>
      <c r="AF30" s="858"/>
      <c r="AG30" s="857">
        <f>AG19-AG27</f>
        <v>13597286537</v>
      </c>
      <c r="AH30" s="868"/>
    </row>
    <row r="31" spans="2:34" ht="15" hidden="1" customHeight="1" outlineLevel="1" thickTop="1" x14ac:dyDescent="0.25">
      <c r="B31" s="830"/>
      <c r="C31" s="829"/>
      <c r="D31" s="831" t="s">
        <v>2003</v>
      </c>
      <c r="E31" s="831"/>
      <c r="F31" s="831" t="s">
        <v>2004</v>
      </c>
      <c r="G31" s="831"/>
      <c r="H31" s="831" t="s">
        <v>2005</v>
      </c>
      <c r="I31" s="831"/>
      <c r="J31" s="831" t="s">
        <v>2006</v>
      </c>
      <c r="K31" s="831"/>
      <c r="L31" s="831" t="s">
        <v>2007</v>
      </c>
      <c r="M31" s="831"/>
      <c r="N31" s="831" t="s">
        <v>2008</v>
      </c>
      <c r="O31" s="831"/>
      <c r="P31" s="831" t="s">
        <v>983</v>
      </c>
      <c r="R31" s="829"/>
      <c r="S31" s="830"/>
      <c r="T31" s="830"/>
      <c r="U31" s="831" t="str">
        <f>$D$31</f>
        <v>21411</v>
      </c>
      <c r="V31" s="831"/>
      <c r="W31" s="831" t="str">
        <f>$F$31</f>
        <v>21412</v>
      </c>
      <c r="X31" s="831"/>
      <c r="Y31" s="831" t="str">
        <f>$H$31</f>
        <v>21413</v>
      </c>
      <c r="Z31" s="831"/>
      <c r="AA31" s="831" t="str">
        <f>$J$31</f>
        <v>21414</v>
      </c>
      <c r="AB31" s="831"/>
      <c r="AC31" s="831" t="str">
        <f>$L$31</f>
        <v>21415</v>
      </c>
      <c r="AD31" s="831"/>
      <c r="AE31" s="831" t="str">
        <f>$N$31</f>
        <v>21418</v>
      </c>
      <c r="AF31" s="831"/>
      <c r="AG31" s="831" t="str">
        <f>$P$31</f>
        <v>Cong</v>
      </c>
    </row>
    <row r="32" spans="2:34" ht="15" customHeight="1" collapsed="1" thickTop="1" x14ac:dyDescent="0.25">
      <c r="B32" s="823"/>
      <c r="C32" s="821"/>
      <c r="R32" s="821"/>
      <c r="S32" s="823"/>
      <c r="T32" s="823"/>
    </row>
    <row r="33" spans="1:34" ht="29.1" customHeight="1" x14ac:dyDescent="0.25">
      <c r="B33" s="823"/>
      <c r="C33" s="1644" t="s">
        <v>2009</v>
      </c>
      <c r="D33" s="1644"/>
      <c r="E33" s="1644"/>
      <c r="F33" s="1644"/>
      <c r="G33" s="1644"/>
      <c r="H33" s="1644"/>
      <c r="I33" s="1644"/>
      <c r="J33" s="1644"/>
      <c r="K33" s="1644"/>
      <c r="L33" s="1644"/>
      <c r="M33" s="1644"/>
      <c r="N33" s="1644"/>
      <c r="O33" s="1644"/>
      <c r="P33" s="1644"/>
      <c r="R33" s="821"/>
      <c r="S33" s="823"/>
      <c r="T33" s="823"/>
    </row>
    <row r="34" spans="1:34" ht="15" customHeight="1" x14ac:dyDescent="0.25">
      <c r="B34" s="823"/>
      <c r="C34" s="821"/>
      <c r="R34" s="821"/>
      <c r="S34" s="823"/>
      <c r="T34" s="823"/>
    </row>
    <row r="35" spans="1:34" s="870" customFormat="1" ht="15" customHeight="1" x14ac:dyDescent="0.25">
      <c r="B35" s="871"/>
      <c r="C35" s="1644" t="s">
        <v>2010</v>
      </c>
      <c r="D35" s="1644"/>
      <c r="E35" s="1644"/>
      <c r="F35" s="1644"/>
      <c r="G35" s="1644"/>
      <c r="H35" s="1644"/>
      <c r="I35" s="1644"/>
      <c r="J35" s="1644"/>
      <c r="K35" s="1644"/>
      <c r="L35" s="1644"/>
      <c r="M35" s="1644"/>
      <c r="N35" s="1644"/>
      <c r="O35" s="1644"/>
      <c r="P35" s="1644"/>
      <c r="Q35" s="872"/>
      <c r="R35" s="873" t="s">
        <v>2011</v>
      </c>
      <c r="S35" s="871"/>
      <c r="T35" s="871"/>
      <c r="U35" s="874"/>
      <c r="V35" s="874"/>
      <c r="W35" s="874"/>
      <c r="X35" s="874"/>
      <c r="Y35" s="874"/>
      <c r="Z35" s="874"/>
      <c r="AA35" s="874"/>
      <c r="AB35" s="874"/>
      <c r="AC35" s="874"/>
      <c r="AD35" s="874"/>
      <c r="AE35" s="874"/>
      <c r="AF35" s="874"/>
      <c r="AG35" s="874"/>
      <c r="AH35" s="872"/>
    </row>
    <row r="36" spans="1:34" s="870" customFormat="1" ht="15" customHeight="1" x14ac:dyDescent="0.25">
      <c r="B36" s="871"/>
      <c r="C36" s="1644" t="s">
        <v>2012</v>
      </c>
      <c r="D36" s="1644"/>
      <c r="E36" s="1644"/>
      <c r="F36" s="1644"/>
      <c r="G36" s="1644"/>
      <c r="H36" s="1644"/>
      <c r="I36" s="1644"/>
      <c r="J36" s="1644"/>
      <c r="K36" s="1644"/>
      <c r="L36" s="1644"/>
      <c r="M36" s="1644"/>
      <c r="N36" s="1644"/>
      <c r="O36" s="1644"/>
      <c r="P36" s="1644"/>
      <c r="Q36" s="872"/>
      <c r="R36" s="873" t="s">
        <v>2013</v>
      </c>
      <c r="S36" s="871"/>
      <c r="T36" s="871"/>
      <c r="U36" s="874"/>
      <c r="V36" s="874"/>
      <c r="W36" s="874"/>
      <c r="X36" s="874"/>
      <c r="Y36" s="874"/>
      <c r="Z36" s="874"/>
      <c r="AA36" s="874"/>
      <c r="AB36" s="874"/>
      <c r="AC36" s="874"/>
      <c r="AD36" s="874"/>
      <c r="AE36" s="874"/>
      <c r="AF36" s="874"/>
      <c r="AG36" s="874"/>
      <c r="AH36" s="872"/>
    </row>
    <row r="37" spans="1:34" s="870" customFormat="1" ht="15" hidden="1" customHeight="1" x14ac:dyDescent="0.25">
      <c r="B37" s="871"/>
      <c r="C37" s="1644" t="s">
        <v>2014</v>
      </c>
      <c r="D37" s="1644"/>
      <c r="E37" s="1644"/>
      <c r="F37" s="1644"/>
      <c r="G37" s="1644"/>
      <c r="H37" s="1644"/>
      <c r="I37" s="1644"/>
      <c r="J37" s="1644"/>
      <c r="K37" s="1644"/>
      <c r="L37" s="1644"/>
      <c r="M37" s="1644"/>
      <c r="N37" s="1644"/>
      <c r="O37" s="1644"/>
      <c r="P37" s="1644"/>
      <c r="Q37" s="872"/>
      <c r="R37" s="873" t="s">
        <v>2015</v>
      </c>
      <c r="S37" s="871"/>
      <c r="T37" s="871"/>
      <c r="U37" s="874"/>
      <c r="V37" s="874"/>
      <c r="W37" s="874"/>
      <c r="X37" s="874"/>
      <c r="Y37" s="874"/>
      <c r="Z37" s="874"/>
      <c r="AA37" s="874"/>
      <c r="AB37" s="874"/>
      <c r="AC37" s="874"/>
      <c r="AD37" s="874"/>
      <c r="AE37" s="874"/>
      <c r="AF37" s="874"/>
      <c r="AG37" s="874"/>
      <c r="AH37" s="872"/>
    </row>
    <row r="38" spans="1:34" s="870" customFormat="1" ht="15" hidden="1" customHeight="1" x14ac:dyDescent="0.25">
      <c r="B38" s="871"/>
      <c r="C38" s="1644" t="s">
        <v>2016</v>
      </c>
      <c r="D38" s="1644"/>
      <c r="E38" s="1644"/>
      <c r="F38" s="1644"/>
      <c r="G38" s="1644"/>
      <c r="H38" s="1644"/>
      <c r="I38" s="1644"/>
      <c r="J38" s="1644"/>
      <c r="K38" s="1644"/>
      <c r="L38" s="1644"/>
      <c r="M38" s="1644"/>
      <c r="N38" s="1644"/>
      <c r="O38" s="1644"/>
      <c r="P38" s="1644"/>
      <c r="Q38" s="872"/>
      <c r="R38" s="873" t="s">
        <v>2017</v>
      </c>
      <c r="S38" s="871"/>
      <c r="T38" s="871"/>
      <c r="U38" s="874"/>
      <c r="V38" s="874"/>
      <c r="W38" s="874"/>
      <c r="X38" s="874"/>
      <c r="Y38" s="874"/>
      <c r="Z38" s="874"/>
      <c r="AA38" s="874"/>
      <c r="AB38" s="874"/>
      <c r="AC38" s="874"/>
      <c r="AD38" s="874"/>
      <c r="AE38" s="874"/>
      <c r="AF38" s="874"/>
      <c r="AG38" s="874"/>
      <c r="AH38" s="872"/>
    </row>
    <row r="39" spans="1:34" s="870" customFormat="1" ht="15" hidden="1" customHeight="1" x14ac:dyDescent="0.25">
      <c r="B39" s="874"/>
      <c r="C39" s="1643" t="s">
        <v>2018</v>
      </c>
      <c r="D39" s="1643"/>
      <c r="E39" s="1643"/>
      <c r="F39" s="1643"/>
      <c r="G39" s="1643"/>
      <c r="H39" s="1643"/>
      <c r="I39" s="1643"/>
      <c r="J39" s="1643"/>
      <c r="K39" s="1643"/>
      <c r="L39" s="1643"/>
      <c r="M39" s="1643"/>
      <c r="N39" s="1643"/>
      <c r="O39" s="1643"/>
      <c r="P39" s="1643"/>
      <c r="Q39" s="874"/>
      <c r="R39" s="875" t="s">
        <v>2019</v>
      </c>
      <c r="S39" s="874"/>
      <c r="T39" s="874"/>
      <c r="U39" s="874"/>
      <c r="V39" s="874"/>
      <c r="W39" s="874"/>
      <c r="X39" s="874"/>
      <c r="Y39" s="874"/>
      <c r="Z39" s="874"/>
      <c r="AA39" s="874"/>
      <c r="AB39" s="874"/>
      <c r="AC39" s="874"/>
      <c r="AD39" s="874"/>
      <c r="AE39" s="874"/>
      <c r="AF39" s="874"/>
      <c r="AG39" s="874"/>
      <c r="AH39" s="874"/>
    </row>
    <row r="40" spans="1:34" s="877" customFormat="1" ht="15" hidden="1" customHeight="1" x14ac:dyDescent="0.25">
      <c r="A40" s="876"/>
      <c r="B40" s="876"/>
      <c r="C40" s="876"/>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c r="AB40" s="876"/>
      <c r="AC40" s="876"/>
      <c r="AD40" s="876"/>
      <c r="AE40" s="876"/>
      <c r="AF40" s="876"/>
      <c r="AG40" s="876"/>
      <c r="AH40" s="876"/>
    </row>
  </sheetData>
  <sheetProtection formatCells="0" formatColumns="0" formatRows="0" autoFilter="0" pivotTables="0"/>
  <mergeCells count="6">
    <mergeCell ref="C39:P39"/>
    <mergeCell ref="C33:P33"/>
    <mergeCell ref="C35:P35"/>
    <mergeCell ref="C36:P36"/>
    <mergeCell ref="C37:P37"/>
    <mergeCell ref="C38:P38"/>
  </mergeCells>
  <conditionalFormatting sqref="D16:O16 U16:AF18 D24:O24 U24:AF26 D18:E18 G18:O18 E17:O17 D26:O26 E25:G25 I25:O25">
    <cfRule type="cellIs" dxfId="88" priority="11" operator="greaterThan">
      <formula>0</formula>
    </cfRule>
  </conditionalFormatting>
  <printOptions horizontalCentered="1"/>
  <pageMargins left="0.78740157480314998" right="0.78740157480314998" top="0.511811023622047" bottom="0.74803149606299202" header="0.196850393700787" footer="0.47244094488188998"/>
  <pageSetup paperSize="9" firstPageNumber="11" orientation="landscape" useFirstPageNumber="1" r:id="rId1"/>
  <headerFooter>
    <oddFooter>&amp;R&amp;10&amp;P</oddFooter>
  </headerFooter>
  <drawing r:id="rId2"/>
  <legacyDrawing r:id="rId3"/>
  <controls>
    <mc:AlternateContent xmlns:mc="http://schemas.openxmlformats.org/markup-compatibility/2006">
      <mc:Choice Requires="x14">
        <control shapeId="6145" r:id="rId4" name="togLock">
          <controlPr defaultSize="0" print="0" autoFill="0" autoLine="0" autoPict="0" r:id="rId5">
            <anchor moveWithCells="1" sizeWithCells="1">
              <from>
                <xdr:col>34</xdr:col>
                <xdr:colOff>0</xdr:colOff>
                <xdr:row>2</xdr:row>
                <xdr:rowOff>66675</xdr:rowOff>
              </from>
              <to>
                <xdr:col>34</xdr:col>
                <xdr:colOff>0</xdr:colOff>
                <xdr:row>4</xdr:row>
                <xdr:rowOff>76200</xdr:rowOff>
              </to>
            </anchor>
          </controlPr>
        </control>
      </mc:Choice>
      <mc:Fallback>
        <control shapeId="6145" r:id="rId4" name="togLock"/>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FF00"/>
  </sheetPr>
  <dimension ref="A1:FZ162"/>
  <sheetViews>
    <sheetView view="pageBreakPreview" topLeftCell="A34" zoomScaleNormal="100" zoomScaleSheetLayoutView="100" workbookViewId="0">
      <selection activeCell="Z14" sqref="Z14:AE14"/>
    </sheetView>
  </sheetViews>
  <sheetFormatPr defaultRowHeight="15" outlineLevelRow="1" outlineLevelCol="1" x14ac:dyDescent="0.25"/>
  <cols>
    <col min="1" max="1" width="3.7109375" style="715" customWidth="1" outlineLevel="1"/>
    <col min="2" max="2" width="1.140625" style="715" customWidth="1" outlineLevel="1"/>
    <col min="3" max="3" width="30.85546875" style="715" customWidth="1" outlineLevel="1"/>
    <col min="4" max="4" width="1" style="715" customWidth="1" outlineLevel="1"/>
    <col min="5" max="6" width="2.5703125" style="715" customWidth="1" outlineLevel="1"/>
    <col min="7" max="7" width="1.5703125" style="715" customWidth="1" outlineLevel="1"/>
    <col min="8" max="13" width="2.5703125" style="715" customWidth="1" outlineLevel="1"/>
    <col min="14" max="14" width="1.5703125" style="715" customWidth="1" outlineLevel="1"/>
    <col min="15" max="16" width="2.5703125" style="715" customWidth="1" outlineLevel="1"/>
    <col min="17" max="17" width="2.28515625" style="715" customWidth="1" outlineLevel="1"/>
    <col min="18" max="20" width="2.5703125" style="715" customWidth="1" outlineLevel="1"/>
    <col min="21" max="21" width="1.5703125" style="715" customWidth="1" outlineLevel="1"/>
    <col min="22" max="27" width="2.5703125" style="715" customWidth="1" outlineLevel="1"/>
    <col min="28" max="28" width="1.5703125" style="715" customWidth="1" outlineLevel="1"/>
    <col min="29" max="34" width="2.5703125" style="715" customWidth="1" outlineLevel="1"/>
    <col min="35" max="35" width="1.28515625" style="715" customWidth="1" outlineLevel="1"/>
    <col min="36" max="40" width="2.5703125" style="715" customWidth="1" outlineLevel="1"/>
    <col min="41" max="41" width="1.42578125" style="715" customWidth="1" outlineLevel="1"/>
    <col min="42" max="42" width="1.7109375" style="715" customWidth="1" outlineLevel="1"/>
    <col min="43" max="43" width="2.5703125" style="715" customWidth="1" outlineLevel="1"/>
    <col min="44" max="44" width="2.28515625" style="715" customWidth="1" outlineLevel="1"/>
    <col min="45" max="45" width="2.5703125" style="715" customWidth="1" outlineLevel="1"/>
    <col min="46" max="46" width="0.42578125" style="715" hidden="1" customWidth="1"/>
    <col min="47" max="47" width="3.7109375" style="819" hidden="1" customWidth="1" outlineLevel="1"/>
    <col min="48" max="48" width="1.140625" style="819" hidden="1" customWidth="1" outlineLevel="1"/>
    <col min="49" max="49" width="22.42578125" style="819" hidden="1" customWidth="1" outlineLevel="1"/>
    <col min="50" max="91" width="2.5703125" style="819" hidden="1" customWidth="1" outlineLevel="1"/>
    <col min="92" max="92" width="0.5703125" style="715" customWidth="1" collapsed="1"/>
    <col min="93" max="94" width="13.5703125" style="887" customWidth="1"/>
    <col min="95" max="95" width="12.85546875" style="885" bestFit="1" customWidth="1"/>
    <col min="96" max="16384" width="9.140625" style="817"/>
  </cols>
  <sheetData>
    <row r="1" spans="1:95" s="816" customFormat="1" ht="15" hidden="1" customHeight="1" outlineLevel="1" x14ac:dyDescent="0.25">
      <c r="A1" s="81" t="str">
        <f>Ten_DVCQ_V</f>
        <v>TỔNG CÔNG TY XYZ</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c r="AQ1" s="715"/>
      <c r="AR1" s="715"/>
      <c r="AS1" s="715"/>
      <c r="AT1" s="147"/>
      <c r="AU1" s="81" t="str">
        <f>Ten_DVCQ_E</f>
        <v>XYZ CORPORATION</v>
      </c>
      <c r="AV1" s="715"/>
      <c r="AW1" s="715"/>
      <c r="AX1" s="715"/>
      <c r="AY1" s="715"/>
      <c r="AZ1" s="715"/>
      <c r="BA1" s="715"/>
      <c r="BB1" s="715"/>
      <c r="BC1" s="715"/>
      <c r="BD1" s="715"/>
      <c r="BE1" s="715"/>
      <c r="BF1" s="715"/>
      <c r="BG1" s="715"/>
      <c r="BH1" s="715"/>
      <c r="BI1" s="715"/>
      <c r="BJ1" s="715"/>
      <c r="BK1" s="715"/>
      <c r="BL1" s="715"/>
      <c r="BM1" s="715"/>
      <c r="BN1" s="715"/>
      <c r="BO1" s="715"/>
      <c r="BP1" s="715"/>
      <c r="BQ1" s="715"/>
      <c r="BR1" s="715"/>
      <c r="BS1" s="715"/>
      <c r="BT1" s="715"/>
      <c r="BU1" s="715"/>
      <c r="BV1" s="715"/>
      <c r="BW1" s="715"/>
      <c r="BX1" s="715"/>
      <c r="BY1" s="715"/>
      <c r="BZ1" s="715"/>
      <c r="CA1" s="715"/>
      <c r="CB1" s="715"/>
      <c r="CC1" s="715"/>
      <c r="CD1" s="715"/>
      <c r="CE1" s="715"/>
      <c r="CF1" s="715"/>
      <c r="CG1" s="715"/>
      <c r="CH1" s="715"/>
      <c r="CI1" s="715"/>
      <c r="CJ1" s="715"/>
      <c r="CK1" s="715"/>
      <c r="CL1" s="715"/>
      <c r="CM1" s="715"/>
      <c r="CN1" s="147"/>
      <c r="CO1" s="880"/>
      <c r="CP1" s="880"/>
      <c r="CQ1" s="881"/>
    </row>
    <row r="2" spans="1:95" ht="15" customHeight="1" collapsed="1" x14ac:dyDescent="0.25">
      <c r="A2" s="61" t="str">
        <f>Ten_CongTy_TieuDe_V</f>
        <v>Công ty Cổ phần Viglacera Từ Sơn</v>
      </c>
      <c r="AS2" s="145" t="str">
        <f>CONCATENATE(Loai_BC_V)</f>
        <v>Báo cáo tài chính</v>
      </c>
      <c r="AT2" s="146"/>
      <c r="AU2" s="61" t="str">
        <f>Ten_CongTy_TieuDe_E</f>
        <v>ABC Joint Stock Company</v>
      </c>
      <c r="AV2" s="715"/>
      <c r="AW2" s="715"/>
      <c r="AX2" s="715"/>
      <c r="AY2" s="715"/>
      <c r="AZ2" s="715"/>
      <c r="BA2" s="715"/>
      <c r="BB2" s="715"/>
      <c r="BC2" s="715"/>
      <c r="BD2" s="715"/>
      <c r="BE2" s="715"/>
      <c r="BF2" s="715"/>
      <c r="BG2" s="715"/>
      <c r="BH2" s="715"/>
      <c r="BI2" s="715"/>
      <c r="BJ2" s="715"/>
      <c r="BK2" s="715"/>
      <c r="BL2" s="715"/>
      <c r="BM2" s="715"/>
      <c r="BN2" s="715"/>
      <c r="BO2" s="715"/>
      <c r="BP2" s="715"/>
      <c r="BQ2" s="715"/>
      <c r="BR2" s="715"/>
      <c r="BS2" s="715"/>
      <c r="BT2" s="715"/>
      <c r="BU2" s="715"/>
      <c r="BV2" s="715"/>
      <c r="BW2" s="715"/>
      <c r="BX2" s="715"/>
      <c r="BY2" s="715"/>
      <c r="BZ2" s="715"/>
      <c r="CA2" s="715"/>
      <c r="CB2" s="715"/>
      <c r="CC2" s="715"/>
      <c r="CD2" s="715"/>
      <c r="CE2" s="715"/>
      <c r="CF2" s="715"/>
      <c r="CG2" s="715"/>
      <c r="CH2" s="715"/>
      <c r="CI2" s="715"/>
      <c r="CJ2" s="715"/>
      <c r="CK2" s="715"/>
      <c r="CL2" s="715"/>
      <c r="CM2" s="145" t="str">
        <f>CONCATENATE(Loai_BC_E)</f>
        <v>Separate Financial Statements</v>
      </c>
      <c r="CN2" s="146"/>
      <c r="CO2" s="882" t="s">
        <v>339</v>
      </c>
      <c r="CP2" s="882" t="s">
        <v>340</v>
      </c>
      <c r="CQ2" s="883" t="s">
        <v>341</v>
      </c>
    </row>
    <row r="3" spans="1:95" ht="15" customHeight="1" x14ac:dyDescent="0.25">
      <c r="A3" s="81" t="str">
        <f>Dia_Chi_Congty_V</f>
        <v>Phường Đình Bảng - Thị xã Từ Sơn - Tỉnh Bắc Ninh</v>
      </c>
      <c r="AS3" s="54" t="str">
        <f>Ky_ke_toan_V</f>
        <v>năm tài chính kết thúc ngày 31/12/2017</v>
      </c>
      <c r="AT3" s="147"/>
      <c r="AU3" s="81" t="str">
        <f>Dia_Chi_Congty_E</f>
        <v>Sai Dong - Long Bien - Hanoi</v>
      </c>
      <c r="AV3" s="715"/>
      <c r="AW3" s="715"/>
      <c r="AX3" s="715"/>
      <c r="AY3" s="715"/>
      <c r="AZ3" s="715"/>
      <c r="BA3" s="715"/>
      <c r="BB3" s="715"/>
      <c r="BC3" s="715"/>
      <c r="BD3" s="715"/>
      <c r="BE3" s="715"/>
      <c r="BF3" s="715"/>
      <c r="BG3" s="715"/>
      <c r="BH3" s="715"/>
      <c r="BI3" s="715"/>
      <c r="BJ3" s="715"/>
      <c r="BK3" s="715"/>
      <c r="BL3" s="715"/>
      <c r="BM3" s="715"/>
      <c r="BN3" s="715"/>
      <c r="BO3" s="715"/>
      <c r="BP3" s="715"/>
      <c r="BQ3" s="715"/>
      <c r="BR3" s="715"/>
      <c r="BS3" s="715"/>
      <c r="BT3" s="715"/>
      <c r="BU3" s="715"/>
      <c r="BV3" s="715"/>
      <c r="BW3" s="715"/>
      <c r="BX3" s="715"/>
      <c r="BY3" s="715"/>
      <c r="BZ3" s="715"/>
      <c r="CA3" s="715"/>
      <c r="CB3" s="715"/>
      <c r="CC3" s="715"/>
      <c r="CD3" s="715"/>
      <c r="CE3" s="715"/>
      <c r="CF3" s="715"/>
      <c r="CG3" s="715"/>
      <c r="CH3" s="715"/>
      <c r="CI3" s="715"/>
      <c r="CJ3" s="715"/>
      <c r="CK3" s="715"/>
      <c r="CL3" s="715"/>
      <c r="CM3" s="54" t="str">
        <f>Ky_ke_toan_E</f>
        <v>for the fiscal year ended as at 31 December 2015</v>
      </c>
      <c r="CN3" s="147"/>
      <c r="CO3" s="884"/>
      <c r="CP3" s="884"/>
    </row>
    <row r="4" spans="1:95" ht="0.95" customHeight="1" x14ac:dyDescent="0.25">
      <c r="A4" s="818"/>
      <c r="B4" s="818"/>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9"/>
      <c r="AU4" s="818"/>
      <c r="AV4" s="818"/>
      <c r="AW4" s="818"/>
      <c r="AX4" s="818"/>
      <c r="AY4" s="818"/>
      <c r="AZ4" s="818"/>
      <c r="BA4" s="818"/>
      <c r="BB4" s="818"/>
      <c r="BC4" s="818"/>
      <c r="BD4" s="818"/>
      <c r="BE4" s="818"/>
      <c r="BF4" s="818"/>
      <c r="BG4" s="818"/>
      <c r="BH4" s="818"/>
      <c r="BI4" s="818"/>
      <c r="BJ4" s="818"/>
      <c r="BK4" s="818"/>
      <c r="BL4" s="818"/>
      <c r="BM4" s="818"/>
      <c r="BN4" s="818"/>
      <c r="BO4" s="818"/>
      <c r="BP4" s="818"/>
      <c r="BQ4" s="818"/>
      <c r="BR4" s="818"/>
      <c r="BS4" s="818"/>
      <c r="BT4" s="818"/>
      <c r="BU4" s="818"/>
      <c r="BV4" s="818"/>
      <c r="BW4" s="818"/>
      <c r="BX4" s="818"/>
      <c r="BY4" s="818"/>
      <c r="BZ4" s="818"/>
      <c r="CA4" s="818"/>
      <c r="CB4" s="818"/>
      <c r="CC4" s="818"/>
      <c r="CD4" s="818"/>
      <c r="CE4" s="818"/>
      <c r="CF4" s="818"/>
      <c r="CG4" s="818"/>
      <c r="CH4" s="818"/>
      <c r="CI4" s="818"/>
      <c r="CJ4" s="818"/>
      <c r="CK4" s="818"/>
      <c r="CL4" s="818"/>
      <c r="CM4" s="818"/>
      <c r="CN4" s="819"/>
      <c r="CO4" s="886"/>
      <c r="CP4" s="886"/>
    </row>
    <row r="5" spans="1:95" ht="9.9499999999999993" customHeight="1" x14ac:dyDescent="0.2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c r="BV5" s="715"/>
      <c r="BW5" s="715"/>
      <c r="BX5" s="715"/>
      <c r="BY5" s="715"/>
      <c r="BZ5" s="715"/>
      <c r="CA5" s="715"/>
      <c r="CB5" s="715"/>
      <c r="CC5" s="715"/>
      <c r="CD5" s="715"/>
      <c r="CE5" s="715"/>
      <c r="CF5" s="715"/>
      <c r="CG5" s="715"/>
      <c r="CH5" s="715"/>
      <c r="CI5" s="715"/>
      <c r="CJ5" s="715"/>
      <c r="CK5" s="715"/>
      <c r="CL5" s="715"/>
      <c r="CM5" s="715"/>
    </row>
    <row r="6" spans="1:95" ht="15" customHeight="1" x14ac:dyDescent="0.25">
      <c r="A6" s="888">
        <f>STT_VayvaNoThueTC</f>
        <v>15</v>
      </c>
      <c r="B6" s="821" t="s">
        <v>345</v>
      </c>
      <c r="C6" s="821" t="s">
        <v>2020</v>
      </c>
      <c r="D6" s="821"/>
      <c r="E6" s="821"/>
      <c r="F6" s="821"/>
      <c r="G6" s="821"/>
      <c r="H6" s="821"/>
      <c r="I6" s="821"/>
      <c r="AU6" s="889">
        <f>A6</f>
        <v>15</v>
      </c>
      <c r="AV6" s="821" t="s">
        <v>345</v>
      </c>
      <c r="AW6" s="821" t="s">
        <v>1102</v>
      </c>
      <c r="AX6" s="821"/>
      <c r="AY6" s="821"/>
      <c r="AZ6" s="821"/>
      <c r="BA6" s="821"/>
      <c r="BB6" s="821"/>
      <c r="BC6" s="821"/>
      <c r="BD6" s="715"/>
      <c r="BE6" s="715"/>
      <c r="BF6" s="715"/>
      <c r="BG6" s="715"/>
      <c r="BH6" s="715"/>
      <c r="BI6" s="715"/>
      <c r="BJ6" s="715"/>
      <c r="BK6" s="715"/>
      <c r="BL6" s="715"/>
      <c r="BM6" s="715"/>
      <c r="BN6" s="715"/>
      <c r="BO6" s="715"/>
      <c r="BP6" s="715"/>
      <c r="BQ6" s="715"/>
      <c r="BR6" s="715"/>
      <c r="BS6" s="715"/>
      <c r="BT6" s="715"/>
      <c r="BU6" s="715"/>
      <c r="BV6" s="715"/>
      <c r="BW6" s="715"/>
      <c r="BX6" s="715"/>
      <c r="BY6" s="715"/>
      <c r="BZ6" s="715"/>
      <c r="CA6" s="715"/>
      <c r="CB6" s="715"/>
      <c r="CC6" s="715"/>
      <c r="CD6" s="715"/>
      <c r="CE6" s="715"/>
      <c r="CF6" s="715"/>
      <c r="CG6" s="715"/>
      <c r="CH6" s="715"/>
      <c r="CI6" s="715"/>
      <c r="CJ6" s="715"/>
      <c r="CK6" s="715"/>
      <c r="CL6" s="715"/>
      <c r="CM6" s="715"/>
      <c r="CQ6" s="885">
        <f>IF(ISNONTEXT($C6),0,SUM(E6:AS6)-SUM(AY6:CM6))</f>
        <v>0</v>
      </c>
    </row>
    <row r="7" spans="1:95" ht="15" customHeight="1" x14ac:dyDescent="0.25">
      <c r="A7" s="888"/>
      <c r="B7" s="821"/>
      <c r="C7" s="821"/>
      <c r="D7" s="821"/>
      <c r="E7" s="821"/>
      <c r="F7" s="821"/>
      <c r="G7" s="821"/>
      <c r="H7" s="821"/>
      <c r="I7" s="821"/>
      <c r="AU7" s="889"/>
      <c r="AV7" s="821"/>
      <c r="AW7" s="821"/>
      <c r="AX7" s="821"/>
      <c r="AY7" s="821"/>
      <c r="AZ7" s="821"/>
      <c r="BA7" s="821"/>
      <c r="BB7" s="821"/>
      <c r="BC7" s="821"/>
      <c r="BD7" s="715"/>
      <c r="BE7" s="715"/>
      <c r="BF7" s="715"/>
      <c r="BG7" s="715"/>
      <c r="BH7" s="715"/>
      <c r="BI7" s="715"/>
      <c r="BJ7" s="715"/>
      <c r="BK7" s="715"/>
      <c r="BL7" s="715"/>
      <c r="BM7" s="715"/>
      <c r="BN7" s="715"/>
      <c r="BO7" s="715"/>
      <c r="BP7" s="715"/>
      <c r="BQ7" s="715"/>
      <c r="BR7" s="715"/>
      <c r="BS7" s="715"/>
      <c r="BT7" s="715"/>
      <c r="BU7" s="715"/>
      <c r="BV7" s="715"/>
      <c r="BW7" s="715"/>
      <c r="BX7" s="715"/>
      <c r="BY7" s="715"/>
      <c r="BZ7" s="715"/>
      <c r="CA7" s="715"/>
      <c r="CB7" s="715"/>
      <c r="CC7" s="715"/>
      <c r="CD7" s="715"/>
      <c r="CE7" s="715"/>
      <c r="CF7" s="715"/>
      <c r="CG7" s="715"/>
      <c r="CH7" s="715"/>
      <c r="CI7" s="715"/>
      <c r="CJ7" s="715"/>
      <c r="CK7" s="715"/>
      <c r="CL7" s="715"/>
      <c r="CM7" s="715"/>
      <c r="CQ7" s="885">
        <f t="shared" ref="CQ7:CQ110" si="0">IF(ISNONTEXT($C7),0,SUM(E7:AS7)-SUM(AY7:CM7))</f>
        <v>0</v>
      </c>
    </row>
    <row r="8" spans="1:95" s="896" customFormat="1" ht="15" customHeight="1" x14ac:dyDescent="0.25">
      <c r="A8" s="890"/>
      <c r="B8" s="890"/>
      <c r="C8" s="890"/>
      <c r="D8" s="890"/>
      <c r="E8" s="1693" t="str">
        <f>Ky_Truoc1_V</f>
        <v>01/01/2017</v>
      </c>
      <c r="F8" s="1693"/>
      <c r="G8" s="1693"/>
      <c r="H8" s="1693"/>
      <c r="I8" s="1693"/>
      <c r="J8" s="1693"/>
      <c r="K8" s="1693"/>
      <c r="L8" s="1693"/>
      <c r="M8" s="1693"/>
      <c r="N8" s="1693"/>
      <c r="O8" s="1693"/>
      <c r="P8" s="1693"/>
      <c r="Q8" s="1693"/>
      <c r="R8" s="891"/>
      <c r="S8" s="1694" t="s">
        <v>2021</v>
      </c>
      <c r="T8" s="1694"/>
      <c r="U8" s="1694"/>
      <c r="V8" s="1694"/>
      <c r="W8" s="1694"/>
      <c r="X8" s="1694"/>
      <c r="Y8" s="1694"/>
      <c r="Z8" s="1694"/>
      <c r="AA8" s="1694"/>
      <c r="AB8" s="1694"/>
      <c r="AC8" s="1694"/>
      <c r="AD8" s="1694"/>
      <c r="AE8" s="1694"/>
      <c r="AF8" s="891"/>
      <c r="AG8" s="1693" t="str">
        <f>Ky_Nay1_V</f>
        <v>31/12/2017</v>
      </c>
      <c r="AH8" s="1693"/>
      <c r="AI8" s="1693"/>
      <c r="AJ8" s="1693"/>
      <c r="AK8" s="1693"/>
      <c r="AL8" s="1693"/>
      <c r="AM8" s="1693"/>
      <c r="AN8" s="1693"/>
      <c r="AO8" s="1693"/>
      <c r="AP8" s="1693"/>
      <c r="AQ8" s="1693"/>
      <c r="AR8" s="1693"/>
      <c r="AS8" s="1693"/>
      <c r="AT8" s="892"/>
      <c r="AU8" s="893"/>
      <c r="AV8" s="890"/>
      <c r="AW8" s="890"/>
      <c r="AX8" s="890"/>
      <c r="AY8" s="1693" t="str">
        <f>Ky_Truoc1_E</f>
        <v>01/01/2017</v>
      </c>
      <c r="AZ8" s="1693"/>
      <c r="BA8" s="1693"/>
      <c r="BB8" s="1693"/>
      <c r="BC8" s="1693"/>
      <c r="BD8" s="1693"/>
      <c r="BE8" s="1693"/>
      <c r="BF8" s="1693"/>
      <c r="BG8" s="1693"/>
      <c r="BH8" s="1693"/>
      <c r="BI8" s="1693"/>
      <c r="BJ8" s="1693"/>
      <c r="BK8" s="1693"/>
      <c r="BL8" s="891"/>
      <c r="BM8" s="1694" t="s">
        <v>2022</v>
      </c>
      <c r="BN8" s="1694"/>
      <c r="BO8" s="1694"/>
      <c r="BP8" s="1694"/>
      <c r="BQ8" s="1694"/>
      <c r="BR8" s="1694"/>
      <c r="BS8" s="1694"/>
      <c r="BT8" s="1694"/>
      <c r="BU8" s="1694"/>
      <c r="BV8" s="1694"/>
      <c r="BW8" s="1694"/>
      <c r="BX8" s="1694"/>
      <c r="BY8" s="1694"/>
      <c r="BZ8" s="891"/>
      <c r="CA8" s="1693" t="str">
        <f>Ky_Nay1_V</f>
        <v>31/12/2017</v>
      </c>
      <c r="CB8" s="1693"/>
      <c r="CC8" s="1693"/>
      <c r="CD8" s="1693"/>
      <c r="CE8" s="1693"/>
      <c r="CF8" s="1693"/>
      <c r="CG8" s="1693"/>
      <c r="CH8" s="1693"/>
      <c r="CI8" s="1693"/>
      <c r="CJ8" s="1693"/>
      <c r="CK8" s="1693"/>
      <c r="CL8" s="1693"/>
      <c r="CM8" s="1693"/>
      <c r="CN8" s="892"/>
      <c r="CO8" s="894"/>
      <c r="CP8" s="894"/>
      <c r="CQ8" s="895">
        <f t="shared" si="0"/>
        <v>0</v>
      </c>
    </row>
    <row r="9" spans="1:95" s="902" customFormat="1" ht="27.95" customHeight="1" x14ac:dyDescent="0.25">
      <c r="A9" s="897"/>
      <c r="B9" s="836"/>
      <c r="C9" s="836"/>
      <c r="D9" s="836"/>
      <c r="E9" s="1651" t="s">
        <v>840</v>
      </c>
      <c r="F9" s="1651"/>
      <c r="G9" s="1651"/>
      <c r="H9" s="1651"/>
      <c r="I9" s="1651"/>
      <c r="J9" s="1651"/>
      <c r="K9" s="836"/>
      <c r="L9" s="1651" t="s">
        <v>2023</v>
      </c>
      <c r="M9" s="1651"/>
      <c r="N9" s="1651"/>
      <c r="O9" s="1651"/>
      <c r="P9" s="1651"/>
      <c r="Q9" s="1651"/>
      <c r="R9" s="836"/>
      <c r="S9" s="1651" t="s">
        <v>2024</v>
      </c>
      <c r="T9" s="1651"/>
      <c r="U9" s="1651"/>
      <c r="V9" s="1651"/>
      <c r="W9" s="1651"/>
      <c r="X9" s="1651"/>
      <c r="Y9" s="898"/>
      <c r="Z9" s="1651" t="s">
        <v>2025</v>
      </c>
      <c r="AA9" s="1651"/>
      <c r="AB9" s="1651"/>
      <c r="AC9" s="1651"/>
      <c r="AD9" s="1651"/>
      <c r="AE9" s="1651"/>
      <c r="AF9" s="836"/>
      <c r="AG9" s="1651" t="s">
        <v>840</v>
      </c>
      <c r="AH9" s="1651"/>
      <c r="AI9" s="1651"/>
      <c r="AJ9" s="1651"/>
      <c r="AK9" s="1651"/>
      <c r="AL9" s="1651"/>
      <c r="AM9" s="836"/>
      <c r="AN9" s="1651" t="s">
        <v>2023</v>
      </c>
      <c r="AO9" s="1651"/>
      <c r="AP9" s="1651"/>
      <c r="AQ9" s="1651"/>
      <c r="AR9" s="1651"/>
      <c r="AS9" s="1651"/>
      <c r="AT9" s="899"/>
      <c r="AU9" s="897"/>
      <c r="AV9" s="836"/>
      <c r="AW9" s="836"/>
      <c r="AX9" s="836"/>
      <c r="AY9" s="1651" t="s">
        <v>2026</v>
      </c>
      <c r="AZ9" s="1651"/>
      <c r="BA9" s="1651"/>
      <c r="BB9" s="1651"/>
      <c r="BC9" s="1651"/>
      <c r="BD9" s="1651"/>
      <c r="BE9" s="836"/>
      <c r="BF9" s="1651" t="s">
        <v>2027</v>
      </c>
      <c r="BG9" s="1651"/>
      <c r="BH9" s="1651"/>
      <c r="BI9" s="1651"/>
      <c r="BJ9" s="1651"/>
      <c r="BK9" s="1651"/>
      <c r="BL9" s="836"/>
      <c r="BM9" s="1651" t="s">
        <v>1677</v>
      </c>
      <c r="BN9" s="1651"/>
      <c r="BO9" s="1651"/>
      <c r="BP9" s="1651"/>
      <c r="BQ9" s="1651"/>
      <c r="BR9" s="1651"/>
      <c r="BS9" s="898"/>
      <c r="BT9" s="1651" t="s">
        <v>1689</v>
      </c>
      <c r="BU9" s="1651"/>
      <c r="BV9" s="1651"/>
      <c r="BW9" s="1651"/>
      <c r="BX9" s="1651"/>
      <c r="BY9" s="1651"/>
      <c r="BZ9" s="836"/>
      <c r="CA9" s="1651" t="s">
        <v>2026</v>
      </c>
      <c r="CB9" s="1651"/>
      <c r="CC9" s="1651"/>
      <c r="CD9" s="1651"/>
      <c r="CE9" s="1651"/>
      <c r="CF9" s="1651"/>
      <c r="CG9" s="836"/>
      <c r="CH9" s="1651" t="s">
        <v>2027</v>
      </c>
      <c r="CI9" s="1651"/>
      <c r="CJ9" s="1651"/>
      <c r="CK9" s="1651"/>
      <c r="CL9" s="1651"/>
      <c r="CM9" s="1651"/>
      <c r="CN9" s="899"/>
      <c r="CO9" s="900"/>
      <c r="CP9" s="900"/>
      <c r="CQ9" s="901">
        <f t="shared" si="0"/>
        <v>0</v>
      </c>
    </row>
    <row r="10" spans="1:95" s="907" customFormat="1" ht="15" customHeight="1" x14ac:dyDescent="0.25">
      <c r="A10" s="903"/>
      <c r="B10" s="904"/>
      <c r="C10" s="904"/>
      <c r="D10" s="904"/>
      <c r="E10" s="1650" t="str">
        <f>Don_Vi_Tinh_V</f>
        <v>VND</v>
      </c>
      <c r="F10" s="1650"/>
      <c r="G10" s="1650"/>
      <c r="H10" s="1650"/>
      <c r="I10" s="1650"/>
      <c r="J10" s="1650"/>
      <c r="K10" s="904"/>
      <c r="L10" s="1650" t="str">
        <f>Don_Vi_Tinh_V</f>
        <v>VND</v>
      </c>
      <c r="M10" s="1650"/>
      <c r="N10" s="1650"/>
      <c r="O10" s="1650"/>
      <c r="P10" s="1650"/>
      <c r="Q10" s="1650"/>
      <c r="R10" s="904"/>
      <c r="S10" s="1650" t="str">
        <f>Don_Vi_Tinh_V</f>
        <v>VND</v>
      </c>
      <c r="T10" s="1650"/>
      <c r="U10" s="1650"/>
      <c r="V10" s="1650"/>
      <c r="W10" s="1650"/>
      <c r="X10" s="1650"/>
      <c r="Y10" s="904"/>
      <c r="Z10" s="1650" t="str">
        <f>Don_Vi_Tinh_V</f>
        <v>VND</v>
      </c>
      <c r="AA10" s="1650"/>
      <c r="AB10" s="1650"/>
      <c r="AC10" s="1650"/>
      <c r="AD10" s="1650"/>
      <c r="AE10" s="1650"/>
      <c r="AF10" s="904"/>
      <c r="AG10" s="1650" t="str">
        <f>Don_Vi_Tinh_V</f>
        <v>VND</v>
      </c>
      <c r="AH10" s="1650"/>
      <c r="AI10" s="1650"/>
      <c r="AJ10" s="1650"/>
      <c r="AK10" s="1650"/>
      <c r="AL10" s="1650"/>
      <c r="AM10" s="904"/>
      <c r="AN10" s="1650" t="str">
        <f>Don_Vi_Tinh_V</f>
        <v>VND</v>
      </c>
      <c r="AO10" s="1650"/>
      <c r="AP10" s="1650"/>
      <c r="AQ10" s="1650"/>
      <c r="AR10" s="1650"/>
      <c r="AS10" s="1650"/>
      <c r="AT10" s="905"/>
      <c r="AU10" s="903"/>
      <c r="AV10" s="904"/>
      <c r="AW10" s="904"/>
      <c r="AX10" s="904"/>
      <c r="AY10" s="1650" t="str">
        <f>Don_Vi_Tinh_E</f>
        <v>VND</v>
      </c>
      <c r="AZ10" s="1650"/>
      <c r="BA10" s="1650"/>
      <c r="BB10" s="1650"/>
      <c r="BC10" s="1650"/>
      <c r="BD10" s="1650"/>
      <c r="BE10" s="904"/>
      <c r="BF10" s="1650" t="str">
        <f>Don_Vi_Tinh_E</f>
        <v>VND</v>
      </c>
      <c r="BG10" s="1650"/>
      <c r="BH10" s="1650"/>
      <c r="BI10" s="1650"/>
      <c r="BJ10" s="1650"/>
      <c r="BK10" s="1650"/>
      <c r="BL10" s="904"/>
      <c r="BM10" s="1650" t="str">
        <f>Don_Vi_Tinh_E</f>
        <v>VND</v>
      </c>
      <c r="BN10" s="1650"/>
      <c r="BO10" s="1650"/>
      <c r="BP10" s="1650"/>
      <c r="BQ10" s="1650"/>
      <c r="BR10" s="1650"/>
      <c r="BS10" s="904"/>
      <c r="BT10" s="1650" t="str">
        <f>Don_Vi_Tinh_E</f>
        <v>VND</v>
      </c>
      <c r="BU10" s="1650"/>
      <c r="BV10" s="1650"/>
      <c r="BW10" s="1650"/>
      <c r="BX10" s="1650"/>
      <c r="BY10" s="1650"/>
      <c r="BZ10" s="904"/>
      <c r="CA10" s="1650" t="str">
        <f>Don_Vi_Tinh_E</f>
        <v>VND</v>
      </c>
      <c r="CB10" s="1650"/>
      <c r="CC10" s="1650"/>
      <c r="CD10" s="1650"/>
      <c r="CE10" s="1650"/>
      <c r="CF10" s="1650"/>
      <c r="CG10" s="904"/>
      <c r="CH10" s="1650" t="str">
        <f>Don_Vi_Tinh_E</f>
        <v>VND</v>
      </c>
      <c r="CI10" s="1650"/>
      <c r="CJ10" s="1650"/>
      <c r="CK10" s="1650"/>
      <c r="CL10" s="1650"/>
      <c r="CM10" s="1650"/>
      <c r="CN10" s="905"/>
      <c r="CO10" s="906"/>
      <c r="CP10" s="906"/>
      <c r="CQ10" s="885">
        <f t="shared" si="0"/>
        <v>0</v>
      </c>
    </row>
    <row r="11" spans="1:95" s="841" customFormat="1" ht="14.1" customHeight="1" x14ac:dyDescent="0.25">
      <c r="A11" s="849"/>
      <c r="B11" s="848"/>
      <c r="C11" s="848"/>
      <c r="D11" s="848"/>
      <c r="E11" s="848"/>
      <c r="F11" s="848"/>
      <c r="G11" s="848"/>
      <c r="H11" s="848"/>
      <c r="I11" s="848"/>
      <c r="J11" s="850"/>
      <c r="K11" s="850"/>
      <c r="L11" s="850"/>
      <c r="M11" s="850"/>
      <c r="N11" s="850"/>
      <c r="O11" s="850"/>
      <c r="P11" s="850"/>
      <c r="Q11" s="850"/>
      <c r="R11" s="850"/>
      <c r="S11" s="1691"/>
      <c r="T11" s="1691"/>
      <c r="U11" s="1691"/>
      <c r="V11" s="1691"/>
      <c r="W11" s="1691"/>
      <c r="X11" s="1691"/>
      <c r="Y11" s="850"/>
      <c r="Z11" s="850"/>
      <c r="AA11" s="850"/>
      <c r="AB11" s="850"/>
      <c r="AC11" s="850"/>
      <c r="AD11" s="850"/>
      <c r="AE11" s="850"/>
      <c r="AF11" s="850"/>
      <c r="AG11" s="850"/>
      <c r="AH11" s="850"/>
      <c r="AI11" s="850"/>
      <c r="AJ11" s="850"/>
      <c r="AK11" s="850"/>
      <c r="AL11" s="850"/>
      <c r="AM11" s="850"/>
      <c r="AN11" s="850"/>
      <c r="AO11" s="850"/>
      <c r="AP11" s="850"/>
      <c r="AQ11" s="850"/>
      <c r="AR11" s="850"/>
      <c r="AS11" s="850"/>
      <c r="AT11" s="852"/>
      <c r="AU11" s="849"/>
      <c r="AV11" s="848"/>
      <c r="AW11" s="848"/>
      <c r="AX11" s="848"/>
      <c r="AY11" s="848"/>
      <c r="AZ11" s="848"/>
      <c r="BA11" s="848"/>
      <c r="BB11" s="848"/>
      <c r="BC11" s="848"/>
      <c r="BD11" s="850"/>
      <c r="BE11" s="850"/>
      <c r="BF11" s="850"/>
      <c r="BG11" s="850"/>
      <c r="BH11" s="850"/>
      <c r="BI11" s="850"/>
      <c r="BJ11" s="850"/>
      <c r="BK11" s="850"/>
      <c r="BL11" s="850"/>
      <c r="BM11" s="1691"/>
      <c r="BN11" s="1691"/>
      <c r="BO11" s="1691"/>
      <c r="BP11" s="1691"/>
      <c r="BQ11" s="1691"/>
      <c r="BR11" s="1691"/>
      <c r="BS11" s="850"/>
      <c r="BT11" s="850"/>
      <c r="BU11" s="850"/>
      <c r="BV11" s="850"/>
      <c r="BW11" s="850"/>
      <c r="BX11" s="850"/>
      <c r="BY11" s="850"/>
      <c r="BZ11" s="850"/>
      <c r="CA11" s="850"/>
      <c r="CB11" s="850"/>
      <c r="CC11" s="850"/>
      <c r="CD11" s="850"/>
      <c r="CE11" s="850"/>
      <c r="CF11" s="850"/>
      <c r="CG11" s="850"/>
      <c r="CH11" s="850"/>
      <c r="CI11" s="850"/>
      <c r="CJ11" s="850"/>
      <c r="CK11" s="850"/>
      <c r="CL11" s="850"/>
      <c r="CM11" s="850"/>
      <c r="CN11" s="852"/>
      <c r="CO11" s="908"/>
      <c r="CP11" s="908"/>
      <c r="CQ11" s="885">
        <f t="shared" si="0"/>
        <v>0</v>
      </c>
    </row>
    <row r="12" spans="1:95" s="841" customFormat="1" ht="15" customHeight="1" x14ac:dyDescent="0.25">
      <c r="A12" s="840"/>
      <c r="B12" s="823"/>
      <c r="C12" s="1692" t="s">
        <v>2028</v>
      </c>
      <c r="D12" s="1692"/>
      <c r="E12" s="1689"/>
      <c r="F12" s="1689"/>
      <c r="G12" s="1689"/>
      <c r="H12" s="1689"/>
      <c r="I12" s="1689"/>
      <c r="J12" s="1689"/>
      <c r="K12" s="909"/>
      <c r="L12" s="1689"/>
      <c r="M12" s="1689"/>
      <c r="N12" s="1689"/>
      <c r="O12" s="1689"/>
      <c r="P12" s="1689"/>
      <c r="Q12" s="1689"/>
      <c r="R12" s="909"/>
      <c r="S12" s="1689"/>
      <c r="T12" s="1689"/>
      <c r="U12" s="1689"/>
      <c r="V12" s="1689"/>
      <c r="W12" s="1689"/>
      <c r="X12" s="1689"/>
      <c r="Y12" s="909"/>
      <c r="Z12" s="1689"/>
      <c r="AA12" s="1689"/>
      <c r="AB12" s="1689"/>
      <c r="AC12" s="1689"/>
      <c r="AD12" s="1689"/>
      <c r="AE12" s="1689"/>
      <c r="AF12" s="909"/>
      <c r="AG12" s="1689"/>
      <c r="AH12" s="1689"/>
      <c r="AI12" s="1689"/>
      <c r="AJ12" s="1689"/>
      <c r="AK12" s="1689"/>
      <c r="AL12" s="1689"/>
      <c r="AM12" s="909"/>
      <c r="AN12" s="1689"/>
      <c r="AO12" s="1689"/>
      <c r="AP12" s="1689"/>
      <c r="AQ12" s="1689"/>
      <c r="AR12" s="1689"/>
      <c r="AS12" s="1689"/>
      <c r="AT12" s="855"/>
      <c r="AU12" s="866"/>
      <c r="AV12" s="823"/>
      <c r="AW12" s="910" t="s">
        <v>2029</v>
      </c>
      <c r="AX12" s="910"/>
      <c r="AY12" s="1689"/>
      <c r="AZ12" s="1689"/>
      <c r="BA12" s="1689"/>
      <c r="BB12" s="1689"/>
      <c r="BC12" s="1689"/>
      <c r="BD12" s="1689"/>
      <c r="BE12" s="909"/>
      <c r="BF12" s="1689"/>
      <c r="BG12" s="1689"/>
      <c r="BH12" s="1689"/>
      <c r="BI12" s="1689"/>
      <c r="BJ12" s="1689"/>
      <c r="BK12" s="1689"/>
      <c r="BL12" s="909"/>
      <c r="BM12" s="1689"/>
      <c r="BN12" s="1689"/>
      <c r="BO12" s="1689"/>
      <c r="BP12" s="1689"/>
      <c r="BQ12" s="1689"/>
      <c r="BR12" s="1689"/>
      <c r="BS12" s="909"/>
      <c r="BT12" s="1689"/>
      <c r="BU12" s="1689"/>
      <c r="BV12" s="1689"/>
      <c r="BW12" s="1689"/>
      <c r="BX12" s="1689"/>
      <c r="BY12" s="1689"/>
      <c r="BZ12" s="909"/>
      <c r="CA12" s="1689"/>
      <c r="CB12" s="1689"/>
      <c r="CC12" s="1689"/>
      <c r="CD12" s="1689"/>
      <c r="CE12" s="1689"/>
      <c r="CF12" s="1689"/>
      <c r="CG12" s="909"/>
      <c r="CH12" s="1689"/>
      <c r="CI12" s="1689"/>
      <c r="CJ12" s="1689"/>
      <c r="CK12" s="1689"/>
      <c r="CL12" s="1689"/>
      <c r="CM12" s="1689"/>
      <c r="CN12" s="855"/>
      <c r="CO12" s="911"/>
      <c r="CP12" s="911"/>
      <c r="CQ12" s="885">
        <f t="shared" si="0"/>
        <v>0</v>
      </c>
    </row>
    <row r="13" spans="1:95" s="847" customFormat="1" ht="29.1" customHeight="1" x14ac:dyDescent="0.25">
      <c r="A13" s="840"/>
      <c r="B13" s="823"/>
      <c r="C13" s="912" t="s">
        <v>2030</v>
      </c>
      <c r="D13" s="912"/>
      <c r="E13" s="1687">
        <v>1500000000</v>
      </c>
      <c r="F13" s="1687"/>
      <c r="G13" s="1687"/>
      <c r="H13" s="1687"/>
      <c r="I13" s="1687"/>
      <c r="J13" s="1687"/>
      <c r="K13" s="913"/>
      <c r="L13" s="1687">
        <v>1500000000</v>
      </c>
      <c r="M13" s="1687"/>
      <c r="N13" s="1687"/>
      <c r="O13" s="1687"/>
      <c r="P13" s="1687"/>
      <c r="Q13" s="1687"/>
      <c r="R13" s="913"/>
      <c r="S13" s="1687">
        <v>849901800</v>
      </c>
      <c r="T13" s="1687"/>
      <c r="U13" s="1687"/>
      <c r="V13" s="1687"/>
      <c r="W13" s="1687"/>
      <c r="X13" s="1687"/>
      <c r="Y13" s="913"/>
      <c r="Z13" s="1687">
        <v>1849901800</v>
      </c>
      <c r="AA13" s="1687"/>
      <c r="AB13" s="1687"/>
      <c r="AC13" s="1687"/>
      <c r="AD13" s="1687"/>
      <c r="AE13" s="1687"/>
      <c r="AF13" s="913"/>
      <c r="AG13" s="1687">
        <f>E13+S13-Z13</f>
        <v>500000000</v>
      </c>
      <c r="AH13" s="1687"/>
      <c r="AI13" s="1687"/>
      <c r="AJ13" s="1687"/>
      <c r="AK13" s="1687"/>
      <c r="AL13" s="1687"/>
      <c r="AM13" s="913"/>
      <c r="AN13" s="1687">
        <f>AG13</f>
        <v>500000000</v>
      </c>
      <c r="AO13" s="1687"/>
      <c r="AP13" s="1687"/>
      <c r="AQ13" s="1687"/>
      <c r="AR13" s="1687"/>
      <c r="AS13" s="1687"/>
      <c r="AT13" s="855"/>
      <c r="AU13" s="866"/>
      <c r="AV13" s="823"/>
      <c r="AW13" s="912" t="s">
        <v>2029</v>
      </c>
      <c r="AX13" s="912"/>
      <c r="AY13" s="1687">
        <f>E13</f>
        <v>1500000000</v>
      </c>
      <c r="AZ13" s="1687"/>
      <c r="BA13" s="1687"/>
      <c r="BB13" s="1687"/>
      <c r="BC13" s="1687"/>
      <c r="BD13" s="1687"/>
      <c r="BE13" s="913"/>
      <c r="BF13" s="1687">
        <f>L13</f>
        <v>1500000000</v>
      </c>
      <c r="BG13" s="1687"/>
      <c r="BH13" s="1687"/>
      <c r="BI13" s="1687"/>
      <c r="BJ13" s="1687"/>
      <c r="BK13" s="1687"/>
      <c r="BL13" s="913"/>
      <c r="BM13" s="1687">
        <f>S13</f>
        <v>849901800</v>
      </c>
      <c r="BN13" s="1687"/>
      <c r="BO13" s="1687"/>
      <c r="BP13" s="1687"/>
      <c r="BQ13" s="1687"/>
      <c r="BR13" s="1687"/>
      <c r="BS13" s="913"/>
      <c r="BT13" s="1687">
        <f>Z13</f>
        <v>1849901800</v>
      </c>
      <c r="BU13" s="1687"/>
      <c r="BV13" s="1687"/>
      <c r="BW13" s="1687"/>
      <c r="BX13" s="1687"/>
      <c r="BY13" s="1687"/>
      <c r="BZ13" s="913"/>
      <c r="CA13" s="1687">
        <f>AG13</f>
        <v>500000000</v>
      </c>
      <c r="CB13" s="1687"/>
      <c r="CC13" s="1687"/>
      <c r="CD13" s="1687"/>
      <c r="CE13" s="1687"/>
      <c r="CF13" s="1687"/>
      <c r="CG13" s="913"/>
      <c r="CH13" s="1687">
        <f>AN13</f>
        <v>500000000</v>
      </c>
      <c r="CI13" s="1687"/>
      <c r="CJ13" s="1687"/>
      <c r="CK13" s="1687"/>
      <c r="CL13" s="1687"/>
      <c r="CM13" s="1687"/>
      <c r="CN13" s="855"/>
      <c r="CO13" s="914"/>
      <c r="CP13" s="914"/>
      <c r="CQ13" s="881">
        <f t="shared" si="0"/>
        <v>0</v>
      </c>
    </row>
    <row r="14" spans="1:95" s="847" customFormat="1" ht="29.1" customHeight="1" x14ac:dyDescent="0.25">
      <c r="A14" s="840"/>
      <c r="B14" s="823"/>
      <c r="C14" s="912" t="s">
        <v>2031</v>
      </c>
      <c r="D14" s="912"/>
      <c r="E14" s="1687">
        <v>1111000000</v>
      </c>
      <c r="F14" s="1687"/>
      <c r="G14" s="1687"/>
      <c r="H14" s="1687"/>
      <c r="I14" s="1687"/>
      <c r="J14" s="1687"/>
      <c r="K14" s="913"/>
      <c r="L14" s="1687">
        <v>1111000000</v>
      </c>
      <c r="M14" s="1687"/>
      <c r="N14" s="1687"/>
      <c r="O14" s="1687"/>
      <c r="P14" s="1687"/>
      <c r="Q14" s="1687"/>
      <c r="R14" s="913"/>
      <c r="S14" s="1687">
        <v>1980754745</v>
      </c>
      <c r="T14" s="1687"/>
      <c r="U14" s="1687"/>
      <c r="V14" s="1687"/>
      <c r="W14" s="1687"/>
      <c r="X14" s="1687"/>
      <c r="Y14" s="913"/>
      <c r="Z14" s="1687">
        <v>2527278343</v>
      </c>
      <c r="AA14" s="1687"/>
      <c r="AB14" s="1687"/>
      <c r="AC14" s="1687"/>
      <c r="AD14" s="1687"/>
      <c r="AE14" s="1687"/>
      <c r="AF14" s="913"/>
      <c r="AG14" s="1687">
        <f>E14+S14-Z14</f>
        <v>564476402</v>
      </c>
      <c r="AH14" s="1687"/>
      <c r="AI14" s="1687"/>
      <c r="AJ14" s="1687"/>
      <c r="AK14" s="1687"/>
      <c r="AL14" s="1687"/>
      <c r="AM14" s="913"/>
      <c r="AN14" s="1687">
        <f>AG14</f>
        <v>564476402</v>
      </c>
      <c r="AO14" s="1687"/>
      <c r="AP14" s="1687"/>
      <c r="AQ14" s="1687"/>
      <c r="AR14" s="1687"/>
      <c r="AS14" s="1687"/>
      <c r="AT14" s="855"/>
      <c r="AU14" s="866"/>
      <c r="AV14" s="823"/>
      <c r="AW14" s="912"/>
      <c r="AX14" s="912"/>
      <c r="AY14" s="915"/>
      <c r="AZ14" s="915"/>
      <c r="BA14" s="915"/>
      <c r="BB14" s="915"/>
      <c r="BC14" s="915"/>
      <c r="BD14" s="915"/>
      <c r="BE14" s="913"/>
      <c r="BF14" s="915"/>
      <c r="BG14" s="915"/>
      <c r="BH14" s="915"/>
      <c r="BI14" s="915"/>
      <c r="BJ14" s="915"/>
      <c r="BK14" s="915"/>
      <c r="BL14" s="913"/>
      <c r="BM14" s="915"/>
      <c r="BN14" s="915"/>
      <c r="BO14" s="915"/>
      <c r="BP14" s="915"/>
      <c r="BQ14" s="915"/>
      <c r="BR14" s="915"/>
      <c r="BS14" s="913"/>
      <c r="BT14" s="915"/>
      <c r="BU14" s="915"/>
      <c r="BV14" s="915"/>
      <c r="BW14" s="915"/>
      <c r="BX14" s="915"/>
      <c r="BY14" s="915"/>
      <c r="BZ14" s="913"/>
      <c r="CA14" s="915"/>
      <c r="CB14" s="915"/>
      <c r="CC14" s="915"/>
      <c r="CD14" s="915"/>
      <c r="CE14" s="915"/>
      <c r="CF14" s="915"/>
      <c r="CG14" s="913"/>
      <c r="CH14" s="915"/>
      <c r="CI14" s="915"/>
      <c r="CJ14" s="915"/>
      <c r="CK14" s="915"/>
      <c r="CL14" s="915"/>
      <c r="CM14" s="915"/>
      <c r="CN14" s="855"/>
      <c r="CO14" s="914"/>
      <c r="CP14" s="914"/>
      <c r="CQ14" s="881"/>
    </row>
    <row r="15" spans="1:95" s="847" customFormat="1" ht="15" customHeight="1" x14ac:dyDescent="0.25">
      <c r="A15" s="840"/>
      <c r="B15" s="823"/>
      <c r="C15" s="912" t="s">
        <v>2032</v>
      </c>
      <c r="D15" s="912"/>
      <c r="E15" s="1687">
        <v>16000000</v>
      </c>
      <c r="F15" s="1687"/>
      <c r="G15" s="1687"/>
      <c r="H15" s="1687"/>
      <c r="I15" s="1687"/>
      <c r="J15" s="1687"/>
      <c r="K15" s="913"/>
      <c r="L15" s="1687">
        <v>16000000</v>
      </c>
      <c r="M15" s="1687"/>
      <c r="N15" s="1687"/>
      <c r="O15" s="1687"/>
      <c r="P15" s="1687"/>
      <c r="Q15" s="1687"/>
      <c r="R15" s="913"/>
      <c r="S15" s="1687">
        <v>0</v>
      </c>
      <c r="T15" s="1687"/>
      <c r="U15" s="1687"/>
      <c r="V15" s="1687"/>
      <c r="W15" s="1687"/>
      <c r="X15" s="1687"/>
      <c r="Y15" s="913"/>
      <c r="Z15" s="1687">
        <v>6000000</v>
      </c>
      <c r="AA15" s="1687"/>
      <c r="AB15" s="1687"/>
      <c r="AC15" s="1687"/>
      <c r="AD15" s="1687"/>
      <c r="AE15" s="1687"/>
      <c r="AF15" s="913"/>
      <c r="AG15" s="1687">
        <f>E15+S15-Z15</f>
        <v>10000000</v>
      </c>
      <c r="AH15" s="1687"/>
      <c r="AI15" s="1687"/>
      <c r="AJ15" s="1687"/>
      <c r="AK15" s="1687"/>
      <c r="AL15" s="1687"/>
      <c r="AM15" s="913"/>
      <c r="AN15" s="1687">
        <f>AG15</f>
        <v>10000000</v>
      </c>
      <c r="AO15" s="1687"/>
      <c r="AP15" s="1687"/>
      <c r="AQ15" s="1687"/>
      <c r="AR15" s="1687"/>
      <c r="AS15" s="1687"/>
      <c r="AT15" s="855"/>
      <c r="AU15" s="866"/>
      <c r="AV15" s="823"/>
      <c r="AW15" s="912" t="s">
        <v>2033</v>
      </c>
      <c r="AX15" s="912"/>
      <c r="AY15" s="1687">
        <f>E15</f>
        <v>16000000</v>
      </c>
      <c r="AZ15" s="1687"/>
      <c r="BA15" s="1687"/>
      <c r="BB15" s="1687"/>
      <c r="BC15" s="1687"/>
      <c r="BD15" s="1687"/>
      <c r="BE15" s="913"/>
      <c r="BF15" s="1687">
        <f>L15</f>
        <v>16000000</v>
      </c>
      <c r="BG15" s="1687"/>
      <c r="BH15" s="1687"/>
      <c r="BI15" s="1687"/>
      <c r="BJ15" s="1687"/>
      <c r="BK15" s="1687"/>
      <c r="BL15" s="913"/>
      <c r="BM15" s="1687">
        <f>S15</f>
        <v>0</v>
      </c>
      <c r="BN15" s="1687"/>
      <c r="BO15" s="1687"/>
      <c r="BP15" s="1687"/>
      <c r="BQ15" s="1687"/>
      <c r="BR15" s="1687"/>
      <c r="BS15" s="913"/>
      <c r="BT15" s="1687">
        <f>Z15</f>
        <v>6000000</v>
      </c>
      <c r="BU15" s="1687"/>
      <c r="BV15" s="1687"/>
      <c r="BW15" s="1687"/>
      <c r="BX15" s="1687"/>
      <c r="BY15" s="1687"/>
      <c r="BZ15" s="913"/>
      <c r="CA15" s="1687">
        <f>AG15</f>
        <v>10000000</v>
      </c>
      <c r="CB15" s="1687"/>
      <c r="CC15" s="1687"/>
      <c r="CD15" s="1687"/>
      <c r="CE15" s="1687"/>
      <c r="CF15" s="1687"/>
      <c r="CG15" s="913"/>
      <c r="CH15" s="1687">
        <f>AN15</f>
        <v>10000000</v>
      </c>
      <c r="CI15" s="1687"/>
      <c r="CJ15" s="1687"/>
      <c r="CK15" s="1687"/>
      <c r="CL15" s="1687"/>
      <c r="CM15" s="1687"/>
      <c r="CN15" s="855"/>
      <c r="CO15" s="916"/>
      <c r="CP15" s="916"/>
      <c r="CQ15" s="881">
        <f t="shared" si="0"/>
        <v>0</v>
      </c>
    </row>
    <row r="16" spans="1:95" s="847" customFormat="1" ht="14.1" customHeight="1" x14ac:dyDescent="0.25">
      <c r="A16" s="840"/>
      <c r="B16" s="823"/>
      <c r="C16" s="912"/>
      <c r="D16" s="912"/>
      <c r="E16" s="1687"/>
      <c r="F16" s="1687"/>
      <c r="G16" s="1687"/>
      <c r="H16" s="1687"/>
      <c r="I16" s="1687"/>
      <c r="J16" s="1687"/>
      <c r="K16" s="913"/>
      <c r="L16" s="1687"/>
      <c r="M16" s="1687"/>
      <c r="N16" s="1687"/>
      <c r="O16" s="1687"/>
      <c r="P16" s="1687"/>
      <c r="Q16" s="1687"/>
      <c r="R16" s="913"/>
      <c r="S16" s="1687"/>
      <c r="T16" s="1687"/>
      <c r="U16" s="1687"/>
      <c r="V16" s="1687"/>
      <c r="W16" s="1687"/>
      <c r="X16" s="1687"/>
      <c r="Y16" s="913"/>
      <c r="Z16" s="1687"/>
      <c r="AA16" s="1687"/>
      <c r="AB16" s="1687"/>
      <c r="AC16" s="1687"/>
      <c r="AD16" s="1687"/>
      <c r="AE16" s="1687"/>
      <c r="AF16" s="913"/>
      <c r="AG16" s="1687"/>
      <c r="AH16" s="1687"/>
      <c r="AI16" s="1687"/>
      <c r="AJ16" s="1687"/>
      <c r="AK16" s="1687"/>
      <c r="AL16" s="1687"/>
      <c r="AM16" s="913"/>
      <c r="AN16" s="1687"/>
      <c r="AO16" s="1687"/>
      <c r="AP16" s="1687"/>
      <c r="AQ16" s="1687"/>
      <c r="AR16" s="1687"/>
      <c r="AS16" s="1687"/>
      <c r="AT16" s="855"/>
      <c r="AU16" s="866"/>
      <c r="AV16" s="823"/>
      <c r="AW16" s="912"/>
      <c r="AX16" s="912"/>
      <c r="AY16" s="1687"/>
      <c r="AZ16" s="1687"/>
      <c r="BA16" s="1687"/>
      <c r="BB16" s="1687"/>
      <c r="BC16" s="1687"/>
      <c r="BD16" s="1687"/>
      <c r="BE16" s="913"/>
      <c r="BF16" s="1687"/>
      <c r="BG16" s="1687"/>
      <c r="BH16" s="1687"/>
      <c r="BI16" s="1687"/>
      <c r="BJ16" s="1687"/>
      <c r="BK16" s="1687"/>
      <c r="BL16" s="913"/>
      <c r="BM16" s="1687"/>
      <c r="BN16" s="1687"/>
      <c r="BO16" s="1687"/>
      <c r="BP16" s="1687"/>
      <c r="BQ16" s="1687"/>
      <c r="BR16" s="1687"/>
      <c r="BS16" s="913"/>
      <c r="BT16" s="1687"/>
      <c r="BU16" s="1687"/>
      <c r="BV16" s="1687"/>
      <c r="BW16" s="1687"/>
      <c r="BX16" s="1687"/>
      <c r="BY16" s="1687"/>
      <c r="BZ16" s="913"/>
      <c r="CA16" s="1687"/>
      <c r="CB16" s="1687"/>
      <c r="CC16" s="1687"/>
      <c r="CD16" s="1687"/>
      <c r="CE16" s="1687"/>
      <c r="CF16" s="1687"/>
      <c r="CG16" s="913"/>
      <c r="CH16" s="1687"/>
      <c r="CI16" s="1687"/>
      <c r="CJ16" s="1687"/>
      <c r="CK16" s="1687"/>
      <c r="CL16" s="1687"/>
      <c r="CM16" s="1687"/>
      <c r="CN16" s="855"/>
      <c r="CO16" s="916"/>
      <c r="CP16" s="916"/>
      <c r="CQ16" s="881">
        <f>IF(ISNONTEXT($C16),0,SUM(E16:AS16)-SUM(AY16:CM16))</f>
        <v>0</v>
      </c>
    </row>
    <row r="17" spans="1:95" s="847" customFormat="1" ht="15" customHeight="1" thickBot="1" x14ac:dyDescent="0.3">
      <c r="A17" s="840"/>
      <c r="B17" s="823"/>
      <c r="C17" s="917" t="s">
        <v>752</v>
      </c>
      <c r="D17" s="917"/>
      <c r="E17" s="1690">
        <f>SUBTOTAL(109,E13:J15)</f>
        <v>2627000000</v>
      </c>
      <c r="F17" s="1690"/>
      <c r="G17" s="1690"/>
      <c r="H17" s="1690"/>
      <c r="I17" s="1690"/>
      <c r="J17" s="1690"/>
      <c r="K17" s="918"/>
      <c r="L17" s="1690">
        <f>SUBTOTAL(109,L13:Q15)</f>
        <v>2627000000</v>
      </c>
      <c r="M17" s="1690"/>
      <c r="N17" s="1690"/>
      <c r="O17" s="1690"/>
      <c r="P17" s="1690"/>
      <c r="Q17" s="1690"/>
      <c r="R17" s="918"/>
      <c r="S17" s="1690">
        <f>SUBTOTAL(109,S13:X15)</f>
        <v>2830656545</v>
      </c>
      <c r="T17" s="1690"/>
      <c r="U17" s="1690"/>
      <c r="V17" s="1690"/>
      <c r="W17" s="1690"/>
      <c r="X17" s="1690"/>
      <c r="Y17" s="918"/>
      <c r="Z17" s="1690">
        <f>SUBTOTAL(109,Z13:AE15)</f>
        <v>4383180143</v>
      </c>
      <c r="AA17" s="1690"/>
      <c r="AB17" s="1690"/>
      <c r="AC17" s="1690"/>
      <c r="AD17" s="1690"/>
      <c r="AE17" s="1690"/>
      <c r="AF17" s="918"/>
      <c r="AG17" s="1690">
        <f>SUBTOTAL(109,AG13:AL15)</f>
        <v>1074476402</v>
      </c>
      <c r="AH17" s="1690"/>
      <c r="AI17" s="1690"/>
      <c r="AJ17" s="1690"/>
      <c r="AK17" s="1690"/>
      <c r="AL17" s="1690"/>
      <c r="AM17" s="918"/>
      <c r="AN17" s="1690">
        <f>SUBTOTAL(109,AN13:AS15)</f>
        <v>1074476402</v>
      </c>
      <c r="AO17" s="1690"/>
      <c r="AP17" s="1690"/>
      <c r="AQ17" s="1690"/>
      <c r="AR17" s="1690"/>
      <c r="AS17" s="1690"/>
      <c r="AT17" s="919"/>
      <c r="AU17" s="920"/>
      <c r="AV17" s="921"/>
      <c r="AW17" s="917" t="s">
        <v>752</v>
      </c>
      <c r="AX17" s="917"/>
      <c r="AY17" s="1686">
        <f>SUBTOTAL(109,AY13:BD15)</f>
        <v>1516000000</v>
      </c>
      <c r="AZ17" s="1686"/>
      <c r="BA17" s="1686"/>
      <c r="BB17" s="1686"/>
      <c r="BC17" s="1686"/>
      <c r="BD17" s="1686"/>
      <c r="BE17" s="918"/>
      <c r="BF17" s="1686">
        <f>SUBTOTAL(109,BF13:BK15)</f>
        <v>1516000000</v>
      </c>
      <c r="BG17" s="1686"/>
      <c r="BH17" s="1686"/>
      <c r="BI17" s="1686"/>
      <c r="BJ17" s="1686"/>
      <c r="BK17" s="1686"/>
      <c r="BL17" s="918"/>
      <c r="BM17" s="1686">
        <f>SUBTOTAL(109,BM13:BR15)</f>
        <v>849901800</v>
      </c>
      <c r="BN17" s="1686"/>
      <c r="BO17" s="1686"/>
      <c r="BP17" s="1686"/>
      <c r="BQ17" s="1686"/>
      <c r="BR17" s="1686"/>
      <c r="BS17" s="918"/>
      <c r="BT17" s="1686">
        <f>SUBTOTAL(109,BT13:BY15)</f>
        <v>1855901800</v>
      </c>
      <c r="BU17" s="1686"/>
      <c r="BV17" s="1686"/>
      <c r="BW17" s="1686"/>
      <c r="BX17" s="1686"/>
      <c r="BY17" s="1686"/>
      <c r="BZ17" s="918"/>
      <c r="CA17" s="1686">
        <f>SUBTOTAL(109,CA13:CF15)</f>
        <v>510000000</v>
      </c>
      <c r="CB17" s="1686"/>
      <c r="CC17" s="1686"/>
      <c r="CD17" s="1686"/>
      <c r="CE17" s="1686"/>
      <c r="CF17" s="1686"/>
      <c r="CG17" s="918"/>
      <c r="CH17" s="1686">
        <f>SUBTOTAL(109,CH13:CM15)</f>
        <v>510000000</v>
      </c>
      <c r="CI17" s="1686"/>
      <c r="CJ17" s="1686"/>
      <c r="CK17" s="1686"/>
      <c r="CL17" s="1686"/>
      <c r="CM17" s="1686"/>
      <c r="CN17" s="855"/>
      <c r="CO17" s="914">
        <f>AG17-KN_CT320</f>
        <v>0</v>
      </c>
      <c r="CP17" s="914">
        <f>KT_CT320-E17</f>
        <v>0</v>
      </c>
      <c r="CQ17" s="881">
        <f>IF(ISNONTEXT($C17),0,SUM(E17:AS17)-SUM(AY17:CM17))</f>
        <v>7858985892</v>
      </c>
    </row>
    <row r="18" spans="1:95" s="847" customFormat="1" ht="15" hidden="1" customHeight="1" thickTop="1" x14ac:dyDescent="0.25">
      <c r="A18" s="840"/>
      <c r="B18" s="823"/>
      <c r="C18" s="912"/>
      <c r="D18" s="912"/>
      <c r="E18" s="1687"/>
      <c r="F18" s="1687"/>
      <c r="G18" s="1687"/>
      <c r="H18" s="1687"/>
      <c r="I18" s="1687"/>
      <c r="J18" s="1687"/>
      <c r="K18" s="913"/>
      <c r="L18" s="1687"/>
      <c r="M18" s="1687"/>
      <c r="N18" s="1687"/>
      <c r="O18" s="1687"/>
      <c r="P18" s="1687"/>
      <c r="Q18" s="1687"/>
      <c r="R18" s="913"/>
      <c r="S18" s="1687"/>
      <c r="T18" s="1687"/>
      <c r="U18" s="1687"/>
      <c r="V18" s="1687"/>
      <c r="W18" s="1687"/>
      <c r="X18" s="1687"/>
      <c r="Y18" s="913"/>
      <c r="Z18" s="1687"/>
      <c r="AA18" s="1687"/>
      <c r="AB18" s="1687"/>
      <c r="AC18" s="1687"/>
      <c r="AD18" s="1687"/>
      <c r="AE18" s="1687"/>
      <c r="AF18" s="913"/>
      <c r="AG18" s="1687"/>
      <c r="AH18" s="1687"/>
      <c r="AI18" s="1687"/>
      <c r="AJ18" s="1687"/>
      <c r="AK18" s="1687"/>
      <c r="AL18" s="1687"/>
      <c r="AM18" s="913"/>
      <c r="AN18" s="1687"/>
      <c r="AO18" s="1687"/>
      <c r="AP18" s="1687"/>
      <c r="AQ18" s="1687"/>
      <c r="AR18" s="1687"/>
      <c r="AS18" s="1687"/>
      <c r="AT18" s="855"/>
      <c r="AU18" s="866"/>
      <c r="AV18" s="823"/>
      <c r="AW18" s="912"/>
      <c r="AX18" s="912"/>
      <c r="AY18" s="1687"/>
      <c r="AZ18" s="1687"/>
      <c r="BA18" s="1687"/>
      <c r="BB18" s="1687"/>
      <c r="BC18" s="1687"/>
      <c r="BD18" s="1687"/>
      <c r="BE18" s="913"/>
      <c r="BF18" s="1687"/>
      <c r="BG18" s="1687"/>
      <c r="BH18" s="1687"/>
      <c r="BI18" s="1687"/>
      <c r="BJ18" s="1687"/>
      <c r="BK18" s="1687"/>
      <c r="BL18" s="913"/>
      <c r="BM18" s="1687"/>
      <c r="BN18" s="1687"/>
      <c r="BO18" s="1687"/>
      <c r="BP18" s="1687"/>
      <c r="BQ18" s="1687"/>
      <c r="BR18" s="1687"/>
      <c r="BS18" s="913"/>
      <c r="BT18" s="1687"/>
      <c r="BU18" s="1687"/>
      <c r="BV18" s="1687"/>
      <c r="BW18" s="1687"/>
      <c r="BX18" s="1687"/>
      <c r="BY18" s="1687"/>
      <c r="BZ18" s="913"/>
      <c r="CA18" s="1687"/>
      <c r="CB18" s="1687"/>
      <c r="CC18" s="1687"/>
      <c r="CD18" s="1687"/>
      <c r="CE18" s="1687"/>
      <c r="CF18" s="1687"/>
      <c r="CG18" s="913"/>
      <c r="CH18" s="1687"/>
      <c r="CI18" s="1687"/>
      <c r="CJ18" s="1687"/>
      <c r="CK18" s="1687"/>
      <c r="CL18" s="1687"/>
      <c r="CM18" s="1687"/>
      <c r="CN18" s="855"/>
      <c r="CO18" s="916"/>
      <c r="CP18" s="916"/>
      <c r="CQ18" s="881">
        <f>IF(ISNONTEXT($C18),0,SUM(E18:AS18)-SUM(AY18:CM18))</f>
        <v>0</v>
      </c>
    </row>
    <row r="19" spans="1:95" s="847" customFormat="1" ht="15" hidden="1" customHeight="1" x14ac:dyDescent="0.25">
      <c r="B19" s="823"/>
      <c r="C19" s="910" t="s">
        <v>2034</v>
      </c>
      <c r="D19" s="910"/>
      <c r="E19" s="1689"/>
      <c r="F19" s="1689"/>
      <c r="G19" s="1689"/>
      <c r="H19" s="1689"/>
      <c r="I19" s="1689"/>
      <c r="J19" s="1689"/>
      <c r="K19" s="909"/>
      <c r="L19" s="1689"/>
      <c r="M19" s="1689"/>
      <c r="N19" s="1689"/>
      <c r="O19" s="1689"/>
      <c r="P19" s="1689"/>
      <c r="Q19" s="1689"/>
      <c r="R19" s="909"/>
      <c r="S19" s="1689"/>
      <c r="T19" s="1689"/>
      <c r="U19" s="1689"/>
      <c r="V19" s="1689"/>
      <c r="W19" s="1689"/>
      <c r="X19" s="1689"/>
      <c r="Y19" s="909"/>
      <c r="Z19" s="1689"/>
      <c r="AA19" s="1689"/>
      <c r="AB19" s="1689"/>
      <c r="AC19" s="1689"/>
      <c r="AD19" s="1689"/>
      <c r="AE19" s="1689"/>
      <c r="AF19" s="909"/>
      <c r="AG19" s="1689"/>
      <c r="AH19" s="1689"/>
      <c r="AI19" s="1689"/>
      <c r="AJ19" s="1689"/>
      <c r="AK19" s="1689"/>
      <c r="AL19" s="1689"/>
      <c r="AM19" s="909"/>
      <c r="AN19" s="1689"/>
      <c r="AO19" s="1689"/>
      <c r="AP19" s="1689"/>
      <c r="AQ19" s="1689"/>
      <c r="AR19" s="1689"/>
      <c r="AS19" s="1689"/>
      <c r="AT19" s="852"/>
      <c r="AU19" s="922"/>
      <c r="AV19" s="823"/>
      <c r="AW19" s="910" t="s">
        <v>2035</v>
      </c>
      <c r="AX19" s="910"/>
      <c r="AY19" s="1689"/>
      <c r="AZ19" s="1689"/>
      <c r="BA19" s="1689"/>
      <c r="BB19" s="1689"/>
      <c r="BC19" s="1689"/>
      <c r="BD19" s="1689"/>
      <c r="BE19" s="909"/>
      <c r="BF19" s="1689"/>
      <c r="BG19" s="1689"/>
      <c r="BH19" s="1689"/>
      <c r="BI19" s="1689"/>
      <c r="BJ19" s="1689"/>
      <c r="BK19" s="1689"/>
      <c r="BL19" s="909"/>
      <c r="BM19" s="1689"/>
      <c r="BN19" s="1689"/>
      <c r="BO19" s="1689"/>
      <c r="BP19" s="1689"/>
      <c r="BQ19" s="1689"/>
      <c r="BR19" s="1689"/>
      <c r="BS19" s="909"/>
      <c r="BT19" s="1689"/>
      <c r="BU19" s="1689"/>
      <c r="BV19" s="1689"/>
      <c r="BW19" s="1689"/>
      <c r="BX19" s="1689"/>
      <c r="BY19" s="1689"/>
      <c r="BZ19" s="909"/>
      <c r="CA19" s="1689"/>
      <c r="CB19" s="1689"/>
      <c r="CC19" s="1689"/>
      <c r="CD19" s="1689"/>
      <c r="CE19" s="1689"/>
      <c r="CF19" s="1689"/>
      <c r="CG19" s="909"/>
      <c r="CH19" s="1689"/>
      <c r="CI19" s="1689"/>
      <c r="CJ19" s="1689"/>
      <c r="CK19" s="1689"/>
      <c r="CL19" s="1689"/>
      <c r="CM19" s="1689"/>
      <c r="CN19" s="852"/>
      <c r="CO19" s="911"/>
      <c r="CP19" s="911"/>
      <c r="CQ19" s="881">
        <f t="shared" si="0"/>
        <v>0</v>
      </c>
    </row>
    <row r="20" spans="1:95" s="847" customFormat="1" ht="15" hidden="1" customHeight="1" x14ac:dyDescent="0.25">
      <c r="B20" s="823"/>
      <c r="C20" s="923" t="s">
        <v>2036</v>
      </c>
      <c r="D20" s="923"/>
      <c r="E20" s="1687">
        <v>0</v>
      </c>
      <c r="F20" s="1687"/>
      <c r="G20" s="1687"/>
      <c r="H20" s="1687"/>
      <c r="I20" s="1687"/>
      <c r="J20" s="1687"/>
      <c r="K20" s="913"/>
      <c r="L20" s="1688">
        <v>0</v>
      </c>
      <c r="M20" s="1688"/>
      <c r="N20" s="1688"/>
      <c r="O20" s="1688"/>
      <c r="P20" s="1688"/>
      <c r="Q20" s="1688"/>
      <c r="R20" s="913"/>
      <c r="S20" s="1688">
        <v>0</v>
      </c>
      <c r="T20" s="1688"/>
      <c r="U20" s="1688"/>
      <c r="V20" s="1688"/>
      <c r="W20" s="1688"/>
      <c r="X20" s="1688"/>
      <c r="Y20" s="913"/>
      <c r="Z20" s="1688">
        <v>0</v>
      </c>
      <c r="AA20" s="1688"/>
      <c r="AB20" s="1688"/>
      <c r="AC20" s="1688"/>
      <c r="AD20" s="1688"/>
      <c r="AE20" s="1688"/>
      <c r="AF20" s="913"/>
      <c r="AG20" s="1687">
        <f>E20+S20-Z20</f>
        <v>0</v>
      </c>
      <c r="AH20" s="1687"/>
      <c r="AI20" s="1687"/>
      <c r="AJ20" s="1687"/>
      <c r="AK20" s="1687"/>
      <c r="AL20" s="1687"/>
      <c r="AM20" s="913"/>
      <c r="AN20" s="1688">
        <v>0</v>
      </c>
      <c r="AO20" s="1688"/>
      <c r="AP20" s="1688"/>
      <c r="AQ20" s="1688"/>
      <c r="AR20" s="1688"/>
      <c r="AS20" s="1688"/>
      <c r="AT20" s="852"/>
      <c r="AU20" s="922"/>
      <c r="AV20" s="823"/>
      <c r="AW20" s="923" t="s">
        <v>2037</v>
      </c>
      <c r="AX20" s="923"/>
      <c r="AY20" s="1687">
        <f>E20</f>
        <v>0</v>
      </c>
      <c r="AZ20" s="1687"/>
      <c r="BA20" s="1687"/>
      <c r="BB20" s="1687"/>
      <c r="BC20" s="1687"/>
      <c r="BD20" s="1687"/>
      <c r="BE20" s="913"/>
      <c r="BF20" s="1687">
        <f>L20</f>
        <v>0</v>
      </c>
      <c r="BG20" s="1687"/>
      <c r="BH20" s="1687"/>
      <c r="BI20" s="1687"/>
      <c r="BJ20" s="1687"/>
      <c r="BK20" s="1687"/>
      <c r="BL20" s="913"/>
      <c r="BM20" s="1687">
        <f>S20</f>
        <v>0</v>
      </c>
      <c r="BN20" s="1687"/>
      <c r="BO20" s="1687"/>
      <c r="BP20" s="1687"/>
      <c r="BQ20" s="1687"/>
      <c r="BR20" s="1687"/>
      <c r="BS20" s="913"/>
      <c r="BT20" s="1687">
        <f>Z20</f>
        <v>0</v>
      </c>
      <c r="BU20" s="1687"/>
      <c r="BV20" s="1687"/>
      <c r="BW20" s="1687"/>
      <c r="BX20" s="1687"/>
      <c r="BY20" s="1687"/>
      <c r="BZ20" s="913"/>
      <c r="CA20" s="1687">
        <f>AG20</f>
        <v>0</v>
      </c>
      <c r="CB20" s="1687"/>
      <c r="CC20" s="1687"/>
      <c r="CD20" s="1687"/>
      <c r="CE20" s="1687"/>
      <c r="CF20" s="1687"/>
      <c r="CG20" s="913"/>
      <c r="CH20" s="1687">
        <f>AN20</f>
        <v>0</v>
      </c>
      <c r="CI20" s="1687"/>
      <c r="CJ20" s="1687"/>
      <c r="CK20" s="1687"/>
      <c r="CL20" s="1687"/>
      <c r="CM20" s="1687"/>
      <c r="CN20" s="852"/>
      <c r="CO20" s="911"/>
      <c r="CP20" s="911"/>
      <c r="CQ20" s="881">
        <f t="shared" si="0"/>
        <v>0</v>
      </c>
    </row>
    <row r="21" spans="1:95" s="847" customFormat="1" ht="15" hidden="1" customHeight="1" x14ac:dyDescent="0.25">
      <c r="B21" s="823"/>
      <c r="C21" s="923" t="s">
        <v>1278</v>
      </c>
      <c r="D21" s="923"/>
      <c r="E21" s="1687">
        <v>0</v>
      </c>
      <c r="F21" s="1687"/>
      <c r="G21" s="1687"/>
      <c r="H21" s="1687"/>
      <c r="I21" s="1687"/>
      <c r="J21" s="1687"/>
      <c r="K21" s="913"/>
      <c r="L21" s="1688">
        <v>0</v>
      </c>
      <c r="M21" s="1688"/>
      <c r="N21" s="1688"/>
      <c r="O21" s="1688"/>
      <c r="P21" s="1688"/>
      <c r="Q21" s="1688"/>
      <c r="R21" s="913"/>
      <c r="S21" s="1688">
        <v>0</v>
      </c>
      <c r="T21" s="1688"/>
      <c r="U21" s="1688"/>
      <c r="V21" s="1688"/>
      <c r="W21" s="1688"/>
      <c r="X21" s="1688"/>
      <c r="Y21" s="913"/>
      <c r="Z21" s="1688">
        <v>0</v>
      </c>
      <c r="AA21" s="1688"/>
      <c r="AB21" s="1688"/>
      <c r="AC21" s="1688"/>
      <c r="AD21" s="1688"/>
      <c r="AE21" s="1688"/>
      <c r="AF21" s="913"/>
      <c r="AG21" s="1687">
        <f>E21+S21-Z21</f>
        <v>0</v>
      </c>
      <c r="AH21" s="1687"/>
      <c r="AI21" s="1687"/>
      <c r="AJ21" s="1687"/>
      <c r="AK21" s="1687"/>
      <c r="AL21" s="1687"/>
      <c r="AM21" s="913"/>
      <c r="AN21" s="1688">
        <v>0</v>
      </c>
      <c r="AO21" s="1688"/>
      <c r="AP21" s="1688"/>
      <c r="AQ21" s="1688"/>
      <c r="AR21" s="1688"/>
      <c r="AS21" s="1688"/>
      <c r="AT21" s="852"/>
      <c r="AU21" s="922"/>
      <c r="AV21" s="823"/>
      <c r="AW21" s="923" t="s">
        <v>2038</v>
      </c>
      <c r="AX21" s="923"/>
      <c r="AY21" s="1687">
        <f>E21</f>
        <v>0</v>
      </c>
      <c r="AZ21" s="1687"/>
      <c r="BA21" s="1687"/>
      <c r="BB21" s="1687"/>
      <c r="BC21" s="1687"/>
      <c r="BD21" s="1687"/>
      <c r="BE21" s="913"/>
      <c r="BF21" s="1687">
        <f>L21</f>
        <v>0</v>
      </c>
      <c r="BG21" s="1687"/>
      <c r="BH21" s="1687"/>
      <c r="BI21" s="1687"/>
      <c r="BJ21" s="1687"/>
      <c r="BK21" s="1687"/>
      <c r="BL21" s="913"/>
      <c r="BM21" s="1687">
        <f>S21</f>
        <v>0</v>
      </c>
      <c r="BN21" s="1687"/>
      <c r="BO21" s="1687"/>
      <c r="BP21" s="1687"/>
      <c r="BQ21" s="1687"/>
      <c r="BR21" s="1687"/>
      <c r="BS21" s="913"/>
      <c r="BT21" s="1687">
        <f>Z21</f>
        <v>0</v>
      </c>
      <c r="BU21" s="1687"/>
      <c r="BV21" s="1687"/>
      <c r="BW21" s="1687"/>
      <c r="BX21" s="1687"/>
      <c r="BY21" s="1687"/>
      <c r="BZ21" s="913"/>
      <c r="CA21" s="1687">
        <f>AG21</f>
        <v>0</v>
      </c>
      <c r="CB21" s="1687"/>
      <c r="CC21" s="1687"/>
      <c r="CD21" s="1687"/>
      <c r="CE21" s="1687"/>
      <c r="CF21" s="1687"/>
      <c r="CG21" s="913"/>
      <c r="CH21" s="1687">
        <f>AN21</f>
        <v>0</v>
      </c>
      <c r="CI21" s="1687"/>
      <c r="CJ21" s="1687"/>
      <c r="CK21" s="1687"/>
      <c r="CL21" s="1687"/>
      <c r="CM21" s="1687"/>
      <c r="CN21" s="852"/>
      <c r="CO21" s="911"/>
      <c r="CP21" s="911"/>
      <c r="CQ21" s="881">
        <f t="shared" si="0"/>
        <v>0</v>
      </c>
    </row>
    <row r="22" spans="1:95" s="847" customFormat="1" ht="15" hidden="1" customHeight="1" x14ac:dyDescent="0.25">
      <c r="A22" s="840"/>
      <c r="B22" s="823"/>
      <c r="C22" s="924" t="s">
        <v>2039</v>
      </c>
      <c r="D22" s="924"/>
      <c r="E22" s="1687">
        <v>0</v>
      </c>
      <c r="F22" s="1687"/>
      <c r="G22" s="1687"/>
      <c r="H22" s="1687"/>
      <c r="I22" s="1687"/>
      <c r="J22" s="1687"/>
      <c r="K22" s="913"/>
      <c r="L22" s="1687">
        <v>0</v>
      </c>
      <c r="M22" s="1687"/>
      <c r="N22" s="1687"/>
      <c r="O22" s="1687"/>
      <c r="P22" s="1687"/>
      <c r="Q22" s="1687"/>
      <c r="R22" s="913"/>
      <c r="S22" s="1687">
        <v>0</v>
      </c>
      <c r="T22" s="1687"/>
      <c r="U22" s="1687"/>
      <c r="V22" s="1687"/>
      <c r="W22" s="1687"/>
      <c r="X22" s="1687"/>
      <c r="Y22" s="913"/>
      <c r="Z22" s="1687">
        <v>0</v>
      </c>
      <c r="AA22" s="1687"/>
      <c r="AB22" s="1687"/>
      <c r="AC22" s="1687"/>
      <c r="AD22" s="1687"/>
      <c r="AE22" s="1687"/>
      <c r="AF22" s="913"/>
      <c r="AG22" s="1687">
        <f>E22+S22-Z22</f>
        <v>0</v>
      </c>
      <c r="AH22" s="1687"/>
      <c r="AI22" s="1687"/>
      <c r="AJ22" s="1687"/>
      <c r="AK22" s="1687"/>
      <c r="AL22" s="1687"/>
      <c r="AM22" s="913"/>
      <c r="AN22" s="1687">
        <v>0</v>
      </c>
      <c r="AO22" s="1687"/>
      <c r="AP22" s="1687"/>
      <c r="AQ22" s="1687"/>
      <c r="AR22" s="1687"/>
      <c r="AS22" s="1687"/>
      <c r="AT22" s="852"/>
      <c r="AU22" s="925"/>
      <c r="AV22" s="823"/>
      <c r="AW22" s="924" t="s">
        <v>2040</v>
      </c>
      <c r="AX22" s="924"/>
      <c r="AY22" s="1687">
        <f>E22</f>
        <v>0</v>
      </c>
      <c r="AZ22" s="1687"/>
      <c r="BA22" s="1687"/>
      <c r="BB22" s="1687"/>
      <c r="BC22" s="1687"/>
      <c r="BD22" s="1687"/>
      <c r="BE22" s="913"/>
      <c r="BF22" s="1687">
        <f>L22</f>
        <v>0</v>
      </c>
      <c r="BG22" s="1687"/>
      <c r="BH22" s="1687"/>
      <c r="BI22" s="1687"/>
      <c r="BJ22" s="1687"/>
      <c r="BK22" s="1687"/>
      <c r="BL22" s="913"/>
      <c r="BM22" s="1687">
        <f>S22</f>
        <v>0</v>
      </c>
      <c r="BN22" s="1687"/>
      <c r="BO22" s="1687"/>
      <c r="BP22" s="1687"/>
      <c r="BQ22" s="1687"/>
      <c r="BR22" s="1687"/>
      <c r="BS22" s="913"/>
      <c r="BT22" s="1687">
        <f>Z22</f>
        <v>0</v>
      </c>
      <c r="BU22" s="1687"/>
      <c r="BV22" s="1687"/>
      <c r="BW22" s="1687"/>
      <c r="BX22" s="1687"/>
      <c r="BY22" s="1687"/>
      <c r="BZ22" s="913"/>
      <c r="CA22" s="1687">
        <f>AG22</f>
        <v>0</v>
      </c>
      <c r="CB22" s="1687"/>
      <c r="CC22" s="1687"/>
      <c r="CD22" s="1687"/>
      <c r="CE22" s="1687"/>
      <c r="CF22" s="1687"/>
      <c r="CG22" s="913"/>
      <c r="CH22" s="1687">
        <f>AN22</f>
        <v>0</v>
      </c>
      <c r="CI22" s="1687"/>
      <c r="CJ22" s="1687"/>
      <c r="CK22" s="1687"/>
      <c r="CL22" s="1687"/>
      <c r="CM22" s="1687"/>
      <c r="CN22" s="852"/>
      <c r="CO22" s="911"/>
      <c r="CP22" s="911"/>
      <c r="CQ22" s="881">
        <f t="shared" si="0"/>
        <v>0</v>
      </c>
    </row>
    <row r="23" spans="1:95" s="847" customFormat="1" ht="15" hidden="1" customHeight="1" x14ac:dyDescent="0.25">
      <c r="A23" s="840"/>
      <c r="B23" s="823"/>
      <c r="C23" s="846"/>
      <c r="D23" s="926"/>
      <c r="E23" s="1687"/>
      <c r="F23" s="1687"/>
      <c r="G23" s="1687"/>
      <c r="H23" s="1687"/>
      <c r="I23" s="1687"/>
      <c r="J23" s="1687"/>
      <c r="K23" s="913"/>
      <c r="L23" s="1687"/>
      <c r="M23" s="1687"/>
      <c r="N23" s="1687"/>
      <c r="O23" s="1687"/>
      <c r="P23" s="1687"/>
      <c r="Q23" s="1687"/>
      <c r="R23" s="913"/>
      <c r="S23" s="1687"/>
      <c r="T23" s="1687"/>
      <c r="U23" s="1687"/>
      <c r="V23" s="1687"/>
      <c r="W23" s="1687"/>
      <c r="X23" s="1687"/>
      <c r="Y23" s="913"/>
      <c r="Z23" s="1687"/>
      <c r="AA23" s="1687"/>
      <c r="AB23" s="1687"/>
      <c r="AC23" s="1687"/>
      <c r="AD23" s="1687"/>
      <c r="AE23" s="1687"/>
      <c r="AF23" s="913"/>
      <c r="AG23" s="1687"/>
      <c r="AH23" s="1687"/>
      <c r="AI23" s="1687"/>
      <c r="AJ23" s="1687"/>
      <c r="AK23" s="1687"/>
      <c r="AL23" s="1687"/>
      <c r="AM23" s="913"/>
      <c r="AN23" s="1687"/>
      <c r="AO23" s="1687"/>
      <c r="AP23" s="1687"/>
      <c r="AQ23" s="1687"/>
      <c r="AR23" s="1687"/>
      <c r="AS23" s="1687"/>
      <c r="AT23" s="852"/>
      <c r="AU23" s="925"/>
      <c r="AV23" s="823"/>
      <c r="AW23" s="846"/>
      <c r="AX23" s="926"/>
      <c r="AY23" s="1687"/>
      <c r="AZ23" s="1687"/>
      <c r="BA23" s="1687"/>
      <c r="BB23" s="1687"/>
      <c r="BC23" s="1687"/>
      <c r="BD23" s="1687"/>
      <c r="BE23" s="913"/>
      <c r="BF23" s="1687"/>
      <c r="BG23" s="1687"/>
      <c r="BH23" s="1687"/>
      <c r="BI23" s="1687"/>
      <c r="BJ23" s="1687"/>
      <c r="BK23" s="1687"/>
      <c r="BL23" s="913"/>
      <c r="BM23" s="1687"/>
      <c r="BN23" s="1687"/>
      <c r="BO23" s="1687"/>
      <c r="BP23" s="1687"/>
      <c r="BQ23" s="1687"/>
      <c r="BR23" s="1687"/>
      <c r="BS23" s="913"/>
      <c r="BT23" s="1687"/>
      <c r="BU23" s="1687"/>
      <c r="BV23" s="1687"/>
      <c r="BW23" s="1687"/>
      <c r="BX23" s="1687"/>
      <c r="BY23" s="1687"/>
      <c r="BZ23" s="913"/>
      <c r="CA23" s="1687"/>
      <c r="CB23" s="1687"/>
      <c r="CC23" s="1687"/>
      <c r="CD23" s="1687"/>
      <c r="CE23" s="1687"/>
      <c r="CF23" s="1687"/>
      <c r="CG23" s="913"/>
      <c r="CH23" s="1687"/>
      <c r="CI23" s="1687"/>
      <c r="CJ23" s="1687"/>
      <c r="CK23" s="1687"/>
      <c r="CL23" s="1687"/>
      <c r="CM23" s="1687"/>
      <c r="CN23" s="852"/>
      <c r="CO23" s="914"/>
      <c r="CP23" s="914"/>
      <c r="CQ23" s="881">
        <f t="shared" si="0"/>
        <v>0</v>
      </c>
    </row>
    <row r="24" spans="1:95" s="930" customFormat="1" ht="15" hidden="1" customHeight="1" x14ac:dyDescent="0.25">
      <c r="A24" s="927"/>
      <c r="B24" s="921"/>
      <c r="C24" s="928" t="s">
        <v>752</v>
      </c>
      <c r="D24" s="929"/>
      <c r="E24" s="1686">
        <f>SUBTOTAL(109,E20:J22)</f>
        <v>0</v>
      </c>
      <c r="F24" s="1686"/>
      <c r="G24" s="1686"/>
      <c r="H24" s="1686"/>
      <c r="I24" s="1686"/>
      <c r="J24" s="1686"/>
      <c r="K24" s="918"/>
      <c r="L24" s="1686">
        <f>SUBTOTAL(109,L20:Q22)</f>
        <v>0</v>
      </c>
      <c r="M24" s="1686"/>
      <c r="N24" s="1686"/>
      <c r="O24" s="1686"/>
      <c r="P24" s="1686"/>
      <c r="Q24" s="1686"/>
      <c r="R24" s="918"/>
      <c r="S24" s="1686">
        <f>SUBTOTAL(109,S20:X22)</f>
        <v>0</v>
      </c>
      <c r="T24" s="1686"/>
      <c r="U24" s="1686"/>
      <c r="V24" s="1686"/>
      <c r="W24" s="1686"/>
      <c r="X24" s="1686"/>
      <c r="Y24" s="918"/>
      <c r="Z24" s="1686">
        <f>SUBTOTAL(109,Z20:AE22)</f>
        <v>0</v>
      </c>
      <c r="AA24" s="1686"/>
      <c r="AB24" s="1686"/>
      <c r="AC24" s="1686"/>
      <c r="AD24" s="1686"/>
      <c r="AE24" s="1686"/>
      <c r="AF24" s="918"/>
      <c r="AG24" s="1686">
        <f>SUBTOTAL(109,AG20:AL22)</f>
        <v>0</v>
      </c>
      <c r="AH24" s="1686"/>
      <c r="AI24" s="1686"/>
      <c r="AJ24" s="1686"/>
      <c r="AK24" s="1686"/>
      <c r="AL24" s="1686"/>
      <c r="AM24" s="918"/>
      <c r="AN24" s="1686">
        <f>SUBTOTAL(109,AN20:AS22)</f>
        <v>0</v>
      </c>
      <c r="AO24" s="1686"/>
      <c r="AP24" s="1686"/>
      <c r="AQ24" s="1686"/>
      <c r="AR24" s="1686"/>
      <c r="AS24" s="1686"/>
      <c r="AT24" s="919"/>
      <c r="AU24" s="920"/>
      <c r="AV24" s="921"/>
      <c r="AW24" s="917" t="s">
        <v>752</v>
      </c>
      <c r="AX24" s="929"/>
      <c r="AY24" s="1686">
        <f>SUBTOTAL(109,AY20:BD22)</f>
        <v>0</v>
      </c>
      <c r="AZ24" s="1686"/>
      <c r="BA24" s="1686"/>
      <c r="BB24" s="1686"/>
      <c r="BC24" s="1686"/>
      <c r="BD24" s="1686"/>
      <c r="BE24" s="918"/>
      <c r="BF24" s="1686">
        <f>SUBTOTAL(109,BF20:BK22)</f>
        <v>0</v>
      </c>
      <c r="BG24" s="1686"/>
      <c r="BH24" s="1686"/>
      <c r="BI24" s="1686"/>
      <c r="BJ24" s="1686"/>
      <c r="BK24" s="1686"/>
      <c r="BL24" s="918"/>
      <c r="BM24" s="1686">
        <f>SUBTOTAL(109,BM20:BR22)</f>
        <v>0</v>
      </c>
      <c r="BN24" s="1686"/>
      <c r="BO24" s="1686"/>
      <c r="BP24" s="1686"/>
      <c r="BQ24" s="1686"/>
      <c r="BR24" s="1686"/>
      <c r="BS24" s="918"/>
      <c r="BT24" s="1686">
        <f>SUBTOTAL(109,BT20:BY22)</f>
        <v>0</v>
      </c>
      <c r="BU24" s="1686"/>
      <c r="BV24" s="1686"/>
      <c r="BW24" s="1686"/>
      <c r="BX24" s="1686"/>
      <c r="BY24" s="1686"/>
      <c r="BZ24" s="918"/>
      <c r="CA24" s="1686">
        <f>SUBTOTAL(109,CA20:CF22)</f>
        <v>0</v>
      </c>
      <c r="CB24" s="1686"/>
      <c r="CC24" s="1686"/>
      <c r="CD24" s="1686"/>
      <c r="CE24" s="1686"/>
      <c r="CF24" s="1686"/>
      <c r="CG24" s="918"/>
      <c r="CH24" s="1686">
        <f>SUBTOTAL(109,CH20:CM22)</f>
        <v>0</v>
      </c>
      <c r="CI24" s="1686"/>
      <c r="CJ24" s="1686"/>
      <c r="CK24" s="1686"/>
      <c r="CL24" s="1686"/>
      <c r="CM24" s="1686"/>
      <c r="CN24" s="919"/>
      <c r="CO24" s="914"/>
      <c r="CP24" s="914"/>
      <c r="CQ24" s="881">
        <f t="shared" si="0"/>
        <v>0</v>
      </c>
    </row>
    <row r="25" spans="1:95" s="938" customFormat="1" ht="15" hidden="1" customHeight="1" x14ac:dyDescent="0.25">
      <c r="A25" s="931"/>
      <c r="B25" s="932"/>
      <c r="C25" s="933"/>
      <c r="D25" s="934"/>
      <c r="E25" s="1668"/>
      <c r="F25" s="1668"/>
      <c r="G25" s="1668"/>
      <c r="H25" s="1668"/>
      <c r="I25" s="1668"/>
      <c r="J25" s="1668"/>
      <c r="K25" s="935"/>
      <c r="L25" s="1669"/>
      <c r="M25" s="1669"/>
      <c r="N25" s="1669"/>
      <c r="O25" s="1669"/>
      <c r="P25" s="1669"/>
      <c r="Q25" s="1669"/>
      <c r="R25" s="935"/>
      <c r="S25" s="1669"/>
      <c r="T25" s="1669"/>
      <c r="U25" s="1669"/>
      <c r="V25" s="1669"/>
      <c r="W25" s="1669"/>
      <c r="X25" s="1669"/>
      <c r="Y25" s="935"/>
      <c r="Z25" s="1669"/>
      <c r="AA25" s="1669"/>
      <c r="AB25" s="1669"/>
      <c r="AC25" s="1669"/>
      <c r="AD25" s="1669"/>
      <c r="AE25" s="1669"/>
      <c r="AF25" s="935"/>
      <c r="AG25" s="1668"/>
      <c r="AH25" s="1668"/>
      <c r="AI25" s="1668"/>
      <c r="AJ25" s="1668"/>
      <c r="AK25" s="1668"/>
      <c r="AL25" s="1668"/>
      <c r="AM25" s="935"/>
      <c r="AN25" s="1669"/>
      <c r="AO25" s="1669"/>
      <c r="AP25" s="1669"/>
      <c r="AQ25" s="1669"/>
      <c r="AR25" s="1669"/>
      <c r="AS25" s="1669"/>
      <c r="AT25" s="936"/>
      <c r="AU25" s="937"/>
      <c r="AV25" s="932"/>
      <c r="AW25" s="933"/>
      <c r="AX25" s="934"/>
      <c r="AY25" s="1668"/>
      <c r="AZ25" s="1668"/>
      <c r="BA25" s="1668"/>
      <c r="BB25" s="1668"/>
      <c r="BC25" s="1668"/>
      <c r="BD25" s="1668"/>
      <c r="BE25" s="935"/>
      <c r="BF25" s="1669"/>
      <c r="BG25" s="1669"/>
      <c r="BH25" s="1669"/>
      <c r="BI25" s="1669"/>
      <c r="BJ25" s="1669"/>
      <c r="BK25" s="1669"/>
      <c r="BL25" s="935"/>
      <c r="BM25" s="1669"/>
      <c r="BN25" s="1669"/>
      <c r="BO25" s="1669"/>
      <c r="BP25" s="1669"/>
      <c r="BQ25" s="1669"/>
      <c r="BR25" s="1669"/>
      <c r="BS25" s="935"/>
      <c r="BT25" s="1669"/>
      <c r="BU25" s="1669"/>
      <c r="BV25" s="1669"/>
      <c r="BW25" s="1669"/>
      <c r="BX25" s="1669"/>
      <c r="BY25" s="1669"/>
      <c r="BZ25" s="935"/>
      <c r="CA25" s="1668"/>
      <c r="CB25" s="1668"/>
      <c r="CC25" s="1668"/>
      <c r="CD25" s="1668"/>
      <c r="CE25" s="1668"/>
      <c r="CF25" s="1668"/>
      <c r="CG25" s="935"/>
      <c r="CH25" s="1669"/>
      <c r="CI25" s="1669"/>
      <c r="CJ25" s="1669"/>
      <c r="CK25" s="1669"/>
      <c r="CL25" s="1669"/>
      <c r="CM25" s="1669"/>
      <c r="CN25" s="936"/>
      <c r="CO25" s="914"/>
      <c r="CP25" s="914"/>
      <c r="CQ25" s="881">
        <f t="shared" si="0"/>
        <v>0</v>
      </c>
    </row>
    <row r="26" spans="1:95" s="938" customFormat="1" ht="27.95" hidden="1" customHeight="1" x14ac:dyDescent="0.25">
      <c r="A26" s="931"/>
      <c r="B26" s="932"/>
      <c r="C26" s="939" t="s">
        <v>1134</v>
      </c>
      <c r="D26" s="934"/>
      <c r="E26" s="1685">
        <f>-E15</f>
        <v>-16000000</v>
      </c>
      <c r="F26" s="1685"/>
      <c r="G26" s="1685"/>
      <c r="H26" s="1685"/>
      <c r="I26" s="1685"/>
      <c r="J26" s="1685"/>
      <c r="K26" s="940"/>
      <c r="L26" s="1685">
        <f>-L15</f>
        <v>-16000000</v>
      </c>
      <c r="M26" s="1685"/>
      <c r="N26" s="1685"/>
      <c r="O26" s="1685"/>
      <c r="P26" s="1685"/>
      <c r="Q26" s="1685"/>
      <c r="R26" s="935"/>
      <c r="S26" s="1685">
        <f>-S15</f>
        <v>0</v>
      </c>
      <c r="T26" s="1685"/>
      <c r="U26" s="1685"/>
      <c r="V26" s="1685"/>
      <c r="W26" s="1685"/>
      <c r="X26" s="1685"/>
      <c r="Y26" s="935"/>
      <c r="Z26" s="1685">
        <f>-Z15</f>
        <v>-6000000</v>
      </c>
      <c r="AA26" s="1685"/>
      <c r="AB26" s="1685"/>
      <c r="AC26" s="1685"/>
      <c r="AD26" s="1685"/>
      <c r="AE26" s="1685"/>
      <c r="AF26" s="935"/>
      <c r="AG26" s="1685">
        <f>-AG15</f>
        <v>-10000000</v>
      </c>
      <c r="AH26" s="1685"/>
      <c r="AI26" s="1685"/>
      <c r="AJ26" s="1685"/>
      <c r="AK26" s="1685"/>
      <c r="AL26" s="1685"/>
      <c r="AM26" s="935"/>
      <c r="AN26" s="1685">
        <f>-AN15</f>
        <v>-10000000</v>
      </c>
      <c r="AO26" s="1685"/>
      <c r="AP26" s="1685"/>
      <c r="AQ26" s="1685"/>
      <c r="AR26" s="1685"/>
      <c r="AS26" s="1685"/>
      <c r="AT26" s="936"/>
      <c r="AU26" s="937"/>
      <c r="AV26" s="932"/>
      <c r="AW26" s="939" t="s">
        <v>1135</v>
      </c>
      <c r="AX26" s="934"/>
      <c r="AY26" s="1668"/>
      <c r="AZ26" s="1668"/>
      <c r="BA26" s="1668"/>
      <c r="BB26" s="1668"/>
      <c r="BC26" s="1668"/>
      <c r="BD26" s="1668"/>
      <c r="BE26" s="935"/>
      <c r="BF26" s="1669"/>
      <c r="BG26" s="1669"/>
      <c r="BH26" s="1669"/>
      <c r="BI26" s="1669"/>
      <c r="BJ26" s="1669"/>
      <c r="BK26" s="1669"/>
      <c r="BL26" s="935"/>
      <c r="BM26" s="1669"/>
      <c r="BN26" s="1669"/>
      <c r="BO26" s="1669"/>
      <c r="BP26" s="1669"/>
      <c r="BQ26" s="1669"/>
      <c r="BR26" s="1669"/>
      <c r="BS26" s="935"/>
      <c r="BT26" s="1669"/>
      <c r="BU26" s="1669"/>
      <c r="BV26" s="1669"/>
      <c r="BW26" s="1669"/>
      <c r="BX26" s="1669"/>
      <c r="BY26" s="1669"/>
      <c r="BZ26" s="935"/>
      <c r="CA26" s="1668"/>
      <c r="CB26" s="1668"/>
      <c r="CC26" s="1668"/>
      <c r="CD26" s="1668"/>
      <c r="CE26" s="1668"/>
      <c r="CF26" s="1668"/>
      <c r="CG26" s="935"/>
      <c r="CH26" s="1669"/>
      <c r="CI26" s="1669"/>
      <c r="CJ26" s="1669"/>
      <c r="CK26" s="1669"/>
      <c r="CL26" s="1669"/>
      <c r="CM26" s="1669"/>
      <c r="CN26" s="936"/>
      <c r="CO26" s="914">
        <f>AG26+AG15</f>
        <v>0</v>
      </c>
      <c r="CP26" s="914">
        <f>E26+E15</f>
        <v>0</v>
      </c>
      <c r="CQ26" s="881">
        <f>IF(ISNONTEXT($C26),0,SUM(E26:AS26)-SUM(AY26:CM26))</f>
        <v>-58000000</v>
      </c>
    </row>
    <row r="27" spans="1:95" s="938" customFormat="1" ht="15" hidden="1" customHeight="1" x14ac:dyDescent="0.25">
      <c r="A27" s="931"/>
      <c r="B27" s="932"/>
      <c r="C27" s="933"/>
      <c r="D27" s="934"/>
      <c r="E27" s="1668"/>
      <c r="F27" s="1668"/>
      <c r="G27" s="1668"/>
      <c r="H27" s="1668"/>
      <c r="I27" s="1668"/>
      <c r="J27" s="1668"/>
      <c r="K27" s="935"/>
      <c r="L27" s="1669"/>
      <c r="M27" s="1669"/>
      <c r="N27" s="1669"/>
      <c r="O27" s="1669"/>
      <c r="P27" s="1669"/>
      <c r="Q27" s="1669"/>
      <c r="R27" s="935"/>
      <c r="S27" s="1669"/>
      <c r="T27" s="1669"/>
      <c r="U27" s="1669"/>
      <c r="V27" s="1669"/>
      <c r="W27" s="1669"/>
      <c r="X27" s="1669"/>
      <c r="Y27" s="935"/>
      <c r="Z27" s="1669"/>
      <c r="AA27" s="1669"/>
      <c r="AB27" s="1669"/>
      <c r="AC27" s="1669"/>
      <c r="AD27" s="1669"/>
      <c r="AE27" s="1669"/>
      <c r="AF27" s="935"/>
      <c r="AG27" s="1668"/>
      <c r="AH27" s="1668"/>
      <c r="AI27" s="1668"/>
      <c r="AJ27" s="1668"/>
      <c r="AK27" s="1668"/>
      <c r="AL27" s="1668"/>
      <c r="AM27" s="935"/>
      <c r="AN27" s="1669"/>
      <c r="AO27" s="1669"/>
      <c r="AP27" s="1669"/>
      <c r="AQ27" s="1669"/>
      <c r="AR27" s="1669"/>
      <c r="AS27" s="1669"/>
      <c r="AT27" s="936"/>
      <c r="AU27" s="937"/>
      <c r="AV27" s="932"/>
      <c r="AW27" s="933"/>
      <c r="AX27" s="934"/>
      <c r="AY27" s="1668"/>
      <c r="AZ27" s="1668"/>
      <c r="BA27" s="1668"/>
      <c r="BB27" s="1668"/>
      <c r="BC27" s="1668"/>
      <c r="BD27" s="1668"/>
      <c r="BE27" s="935"/>
      <c r="BF27" s="1669"/>
      <c r="BG27" s="1669"/>
      <c r="BH27" s="1669"/>
      <c r="BI27" s="1669"/>
      <c r="BJ27" s="1669"/>
      <c r="BK27" s="1669"/>
      <c r="BL27" s="935"/>
      <c r="BM27" s="1669"/>
      <c r="BN27" s="1669"/>
      <c r="BO27" s="1669"/>
      <c r="BP27" s="1669"/>
      <c r="BQ27" s="1669"/>
      <c r="BR27" s="1669"/>
      <c r="BS27" s="935"/>
      <c r="BT27" s="1669"/>
      <c r="BU27" s="1669"/>
      <c r="BV27" s="1669"/>
      <c r="BW27" s="1669"/>
      <c r="BX27" s="1669"/>
      <c r="BY27" s="1669"/>
      <c r="BZ27" s="935"/>
      <c r="CA27" s="1668"/>
      <c r="CB27" s="1668"/>
      <c r="CC27" s="1668"/>
      <c r="CD27" s="1668"/>
      <c r="CE27" s="1668"/>
      <c r="CF27" s="1668"/>
      <c r="CG27" s="935"/>
      <c r="CH27" s="1669"/>
      <c r="CI27" s="1669"/>
      <c r="CJ27" s="1669"/>
      <c r="CK27" s="1669"/>
      <c r="CL27" s="1669"/>
      <c r="CM27" s="1669"/>
      <c r="CN27" s="936"/>
      <c r="CO27" s="914"/>
      <c r="CP27" s="914"/>
      <c r="CQ27" s="881">
        <f>IF(ISNONTEXT($C27),0,SUM(E27:AS27)-SUM(AY27:CM27))</f>
        <v>0</v>
      </c>
    </row>
    <row r="28" spans="1:95" s="946" customFormat="1" ht="27.95" hidden="1" customHeight="1" thickBot="1" x14ac:dyDescent="0.3">
      <c r="A28" s="941"/>
      <c r="B28" s="941"/>
      <c r="C28" s="942" t="s">
        <v>1136</v>
      </c>
      <c r="D28" s="929"/>
      <c r="E28" s="1683">
        <f>SUM(E24:J26)</f>
        <v>-16000000</v>
      </c>
      <c r="F28" s="1683"/>
      <c r="G28" s="1683"/>
      <c r="H28" s="1683"/>
      <c r="I28" s="1683"/>
      <c r="J28" s="1683"/>
      <c r="K28" s="943"/>
      <c r="L28" s="1683">
        <f>SUM(L24:Q26)</f>
        <v>-16000000</v>
      </c>
      <c r="M28" s="1683"/>
      <c r="N28" s="1683"/>
      <c r="O28" s="1683"/>
      <c r="P28" s="1683"/>
      <c r="Q28" s="1683"/>
      <c r="R28" s="943"/>
      <c r="S28" s="1684"/>
      <c r="T28" s="1684"/>
      <c r="U28" s="1684"/>
      <c r="V28" s="1684"/>
      <c r="W28" s="1684"/>
      <c r="X28" s="1684"/>
      <c r="Y28" s="943"/>
      <c r="Z28" s="1684"/>
      <c r="AA28" s="1684"/>
      <c r="AB28" s="1684"/>
      <c r="AC28" s="1684"/>
      <c r="AD28" s="1684"/>
      <c r="AE28" s="1684"/>
      <c r="AF28" s="943"/>
      <c r="AG28" s="1683">
        <f>SUM(AG24:AL26)</f>
        <v>-10000000</v>
      </c>
      <c r="AH28" s="1683"/>
      <c r="AI28" s="1683"/>
      <c r="AJ28" s="1683"/>
      <c r="AK28" s="1683"/>
      <c r="AL28" s="1683"/>
      <c r="AM28" s="943"/>
      <c r="AN28" s="1683">
        <f>SUM(AN24:AS26)</f>
        <v>-10000000</v>
      </c>
      <c r="AO28" s="1683"/>
      <c r="AP28" s="1683"/>
      <c r="AQ28" s="1683"/>
      <c r="AR28" s="1683"/>
      <c r="AS28" s="1683"/>
      <c r="AT28" s="944"/>
      <c r="AU28" s="944"/>
      <c r="AV28" s="941"/>
      <c r="AW28" s="942" t="s">
        <v>1137</v>
      </c>
      <c r="AX28" s="929"/>
      <c r="AY28" s="1683">
        <f>SUM(AY24:BD26)</f>
        <v>0</v>
      </c>
      <c r="AZ28" s="1683"/>
      <c r="BA28" s="1683"/>
      <c r="BB28" s="1683"/>
      <c r="BC28" s="1683"/>
      <c r="BD28" s="1683"/>
      <c r="BE28" s="943"/>
      <c r="BF28" s="1683">
        <f>SUM(BF24:BK26)</f>
        <v>0</v>
      </c>
      <c r="BG28" s="1683"/>
      <c r="BH28" s="1683"/>
      <c r="BI28" s="1683"/>
      <c r="BJ28" s="1683"/>
      <c r="BK28" s="1683"/>
      <c r="BL28" s="943"/>
      <c r="BM28" s="1683">
        <f>SUM(BM24:BR26)</f>
        <v>0</v>
      </c>
      <c r="BN28" s="1683"/>
      <c r="BO28" s="1683"/>
      <c r="BP28" s="1683"/>
      <c r="BQ28" s="1683"/>
      <c r="BR28" s="1683"/>
      <c r="BS28" s="943"/>
      <c r="BT28" s="1683">
        <f>SUM(BT24:BY26)</f>
        <v>0</v>
      </c>
      <c r="BU28" s="1683"/>
      <c r="BV28" s="1683"/>
      <c r="BW28" s="1683"/>
      <c r="BX28" s="1683"/>
      <c r="BY28" s="1683"/>
      <c r="BZ28" s="943"/>
      <c r="CA28" s="1683">
        <f>SUM(CA24:CF26)</f>
        <v>0</v>
      </c>
      <c r="CB28" s="1683"/>
      <c r="CC28" s="1683"/>
      <c r="CD28" s="1683"/>
      <c r="CE28" s="1683"/>
      <c r="CF28" s="1683"/>
      <c r="CG28" s="943"/>
      <c r="CH28" s="1683">
        <f>SUM(CH24:CM26)</f>
        <v>0</v>
      </c>
      <c r="CI28" s="1683"/>
      <c r="CJ28" s="1683"/>
      <c r="CK28" s="1683"/>
      <c r="CL28" s="1683"/>
      <c r="CM28" s="1683"/>
      <c r="CN28" s="944"/>
      <c r="CO28" s="914">
        <f>AG28-KN_CT338</f>
        <v>-10000000</v>
      </c>
      <c r="CP28" s="914">
        <f>E28-KT_CT338</f>
        <v>-16000000</v>
      </c>
      <c r="CQ28" s="945">
        <f>IF(ISNONTEXT($C28),0,SUM(E28:AS28)-SUM(AY28:CM28))</f>
        <v>-52000000</v>
      </c>
    </row>
    <row r="29" spans="1:95" s="957" customFormat="1" ht="15" hidden="1" customHeight="1" thickTop="1" x14ac:dyDescent="0.25">
      <c r="A29" s="947"/>
      <c r="B29" s="948"/>
      <c r="C29" s="949"/>
      <c r="D29" s="950"/>
      <c r="E29" s="951"/>
      <c r="F29" s="951"/>
      <c r="G29" s="951"/>
      <c r="H29" s="951"/>
      <c r="I29" s="951"/>
      <c r="J29" s="951"/>
      <c r="K29" s="952"/>
      <c r="L29" s="953"/>
      <c r="M29" s="953"/>
      <c r="N29" s="953"/>
      <c r="O29" s="953"/>
      <c r="P29" s="953"/>
      <c r="Q29" s="953"/>
      <c r="R29" s="952"/>
      <c r="S29" s="953"/>
      <c r="T29" s="953"/>
      <c r="U29" s="953"/>
      <c r="V29" s="953"/>
      <c r="W29" s="953"/>
      <c r="X29" s="953"/>
      <c r="Y29" s="952"/>
      <c r="Z29" s="953"/>
      <c r="AA29" s="953"/>
      <c r="AB29" s="953"/>
      <c r="AC29" s="953"/>
      <c r="AD29" s="953"/>
      <c r="AE29" s="953"/>
      <c r="AF29" s="952"/>
      <c r="AG29" s="951"/>
      <c r="AH29" s="951"/>
      <c r="AI29" s="951"/>
      <c r="AJ29" s="951"/>
      <c r="AK29" s="951"/>
      <c r="AL29" s="951"/>
      <c r="AM29" s="952"/>
      <c r="AN29" s="953"/>
      <c r="AO29" s="953"/>
      <c r="AP29" s="953"/>
      <c r="AQ29" s="953"/>
      <c r="AR29" s="953"/>
      <c r="AS29" s="953"/>
      <c r="AT29" s="954"/>
      <c r="AU29" s="955"/>
      <c r="AV29" s="948"/>
      <c r="AW29" s="956"/>
      <c r="AX29" s="948"/>
      <c r="AY29" s="951"/>
      <c r="AZ29" s="951"/>
      <c r="BA29" s="951"/>
      <c r="BB29" s="951"/>
      <c r="BC29" s="951"/>
      <c r="BD29" s="951"/>
      <c r="BE29" s="952"/>
      <c r="BF29" s="953"/>
      <c r="BG29" s="953"/>
      <c r="BH29" s="953"/>
      <c r="BI29" s="953"/>
      <c r="BJ29" s="953"/>
      <c r="BK29" s="953"/>
      <c r="BL29" s="952"/>
      <c r="BM29" s="953"/>
      <c r="BN29" s="953"/>
      <c r="BO29" s="953"/>
      <c r="BP29" s="953"/>
      <c r="BQ29" s="953"/>
      <c r="BR29" s="953"/>
      <c r="BS29" s="952"/>
      <c r="BT29" s="953"/>
      <c r="BU29" s="953"/>
      <c r="BV29" s="953"/>
      <c r="BW29" s="953"/>
      <c r="BX29" s="953"/>
      <c r="BY29" s="953"/>
      <c r="BZ29" s="952"/>
      <c r="CA29" s="951"/>
      <c r="CB29" s="951"/>
      <c r="CC29" s="951"/>
      <c r="CD29" s="951"/>
      <c r="CE29" s="951"/>
      <c r="CF29" s="951"/>
      <c r="CG29" s="952"/>
      <c r="CH29" s="953"/>
      <c r="CI29" s="953"/>
      <c r="CJ29" s="953"/>
      <c r="CK29" s="953"/>
      <c r="CL29" s="953"/>
      <c r="CM29" s="953"/>
      <c r="CN29" s="954"/>
      <c r="CO29" s="914"/>
      <c r="CP29" s="914"/>
      <c r="CQ29" s="885">
        <f t="shared" si="0"/>
        <v>0</v>
      </c>
    </row>
    <row r="30" spans="1:95" s="957" customFormat="1" ht="69.75" hidden="1" customHeight="1" x14ac:dyDescent="0.25">
      <c r="A30" s="947"/>
      <c r="B30" s="948"/>
      <c r="C30" s="1677" t="s">
        <v>2041</v>
      </c>
      <c r="D30" s="1681"/>
      <c r="E30" s="1681"/>
      <c r="F30" s="1681"/>
      <c r="G30" s="1681"/>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1681"/>
      <c r="AO30" s="1681"/>
      <c r="AP30" s="1681"/>
      <c r="AQ30" s="1681"/>
      <c r="AR30" s="1681"/>
      <c r="AS30" s="1681"/>
      <c r="AT30" s="954"/>
      <c r="AU30" s="955"/>
      <c r="AV30" s="948"/>
      <c r="AW30" s="1682" t="s">
        <v>2042</v>
      </c>
      <c r="AX30" s="1682"/>
      <c r="AY30" s="1682"/>
      <c r="AZ30" s="1682"/>
      <c r="BA30" s="1682"/>
      <c r="BB30" s="1682"/>
      <c r="BC30" s="1682"/>
      <c r="BD30" s="1682"/>
      <c r="BE30" s="1682"/>
      <c r="BF30" s="1682"/>
      <c r="BG30" s="1682"/>
      <c r="BH30" s="1682"/>
      <c r="BI30" s="1682"/>
      <c r="BJ30" s="1682"/>
      <c r="BK30" s="1682"/>
      <c r="BL30" s="1682"/>
      <c r="BM30" s="1682"/>
      <c r="BN30" s="1682"/>
      <c r="BO30" s="1682"/>
      <c r="BP30" s="1682"/>
      <c r="BQ30" s="1682"/>
      <c r="BR30" s="1682"/>
      <c r="BS30" s="1682"/>
      <c r="BT30" s="1682"/>
      <c r="BU30" s="1682"/>
      <c r="BV30" s="1682"/>
      <c r="BW30" s="1682"/>
      <c r="BX30" s="1682"/>
      <c r="BY30" s="1682"/>
      <c r="BZ30" s="1682"/>
      <c r="CA30" s="1682"/>
      <c r="CB30" s="1682"/>
      <c r="CC30" s="1682"/>
      <c r="CD30" s="1682"/>
      <c r="CE30" s="1682"/>
      <c r="CF30" s="1682"/>
      <c r="CG30" s="1682"/>
      <c r="CH30" s="1682"/>
      <c r="CI30" s="1682"/>
      <c r="CJ30" s="1682"/>
      <c r="CK30" s="1682"/>
      <c r="CL30" s="1682"/>
      <c r="CM30" s="1682"/>
      <c r="CN30" s="954"/>
      <c r="CO30" s="958"/>
      <c r="CP30" s="958"/>
      <c r="CQ30" s="885">
        <f t="shared" si="0"/>
        <v>0</v>
      </c>
    </row>
    <row r="31" spans="1:95" s="957" customFormat="1" ht="15" hidden="1" customHeight="1" x14ac:dyDescent="0.25">
      <c r="A31" s="947"/>
      <c r="B31" s="948"/>
      <c r="C31" s="959"/>
      <c r="D31" s="948"/>
      <c r="E31" s="951"/>
      <c r="F31" s="951"/>
      <c r="G31" s="951"/>
      <c r="H31" s="951"/>
      <c r="I31" s="951"/>
      <c r="J31" s="951"/>
      <c r="K31" s="952"/>
      <c r="L31" s="953"/>
      <c r="M31" s="953"/>
      <c r="N31" s="953"/>
      <c r="O31" s="953"/>
      <c r="P31" s="953"/>
      <c r="Q31" s="953"/>
      <c r="R31" s="952"/>
      <c r="S31" s="953"/>
      <c r="T31" s="953"/>
      <c r="U31" s="953"/>
      <c r="V31" s="953"/>
      <c r="W31" s="953"/>
      <c r="X31" s="953"/>
      <c r="Y31" s="952"/>
      <c r="Z31" s="953"/>
      <c r="AA31" s="953"/>
      <c r="AB31" s="953"/>
      <c r="AC31" s="953"/>
      <c r="AD31" s="953"/>
      <c r="AE31" s="953"/>
      <c r="AF31" s="952"/>
      <c r="AG31" s="951"/>
      <c r="AH31" s="951"/>
      <c r="AI31" s="951"/>
      <c r="AJ31" s="951"/>
      <c r="AK31" s="951"/>
      <c r="AL31" s="951"/>
      <c r="AM31" s="952"/>
      <c r="AN31" s="953"/>
      <c r="AO31" s="953"/>
      <c r="AP31" s="953"/>
      <c r="AQ31" s="953"/>
      <c r="AR31" s="953"/>
      <c r="AS31" s="953"/>
      <c r="AT31" s="954"/>
      <c r="AU31" s="955"/>
      <c r="AV31" s="948"/>
      <c r="AW31" s="959"/>
      <c r="AX31" s="948"/>
      <c r="AY31" s="951"/>
      <c r="AZ31" s="951"/>
      <c r="BA31" s="951"/>
      <c r="BB31" s="951"/>
      <c r="BC31" s="951"/>
      <c r="BD31" s="951"/>
      <c r="BE31" s="952"/>
      <c r="BF31" s="953"/>
      <c r="BG31" s="953"/>
      <c r="BH31" s="953"/>
      <c r="BI31" s="953"/>
      <c r="BJ31" s="953"/>
      <c r="BK31" s="953"/>
      <c r="BL31" s="952"/>
      <c r="BM31" s="953"/>
      <c r="BN31" s="953"/>
      <c r="BO31" s="953"/>
      <c r="BP31" s="953"/>
      <c r="BQ31" s="953"/>
      <c r="BR31" s="953"/>
      <c r="BS31" s="952"/>
      <c r="BT31" s="953"/>
      <c r="BU31" s="953"/>
      <c r="BV31" s="953"/>
      <c r="BW31" s="953"/>
      <c r="BX31" s="953"/>
      <c r="BY31" s="953"/>
      <c r="BZ31" s="952"/>
      <c r="CA31" s="951"/>
      <c r="CB31" s="951"/>
      <c r="CC31" s="951"/>
      <c r="CD31" s="951"/>
      <c r="CE31" s="951"/>
      <c r="CF31" s="951"/>
      <c r="CG31" s="952"/>
      <c r="CH31" s="953"/>
      <c r="CI31" s="953"/>
      <c r="CJ31" s="953"/>
      <c r="CK31" s="953"/>
      <c r="CL31" s="953"/>
      <c r="CM31" s="953"/>
      <c r="CN31" s="954"/>
      <c r="CO31" s="958"/>
      <c r="CP31" s="958"/>
      <c r="CQ31" s="885">
        <f>IF(ISNONTEXT($C31),0,SUM(E31:AS31)-SUM(AY31:CM31))</f>
        <v>0</v>
      </c>
    </row>
    <row r="32" spans="1:95" s="957" customFormat="1" ht="108.75" hidden="1" customHeight="1" x14ac:dyDescent="0.25">
      <c r="A32" s="947"/>
      <c r="B32" s="948"/>
      <c r="C32" s="1661" t="s">
        <v>2043</v>
      </c>
      <c r="D32" s="1681"/>
      <c r="E32" s="1681"/>
      <c r="F32" s="1681"/>
      <c r="G32" s="1681"/>
      <c r="H32" s="1681"/>
      <c r="I32" s="1681"/>
      <c r="J32" s="1681"/>
      <c r="K32" s="1681"/>
      <c r="L32" s="1681"/>
      <c r="M32" s="1681"/>
      <c r="N32" s="1681"/>
      <c r="O32" s="1681"/>
      <c r="P32" s="1681"/>
      <c r="Q32" s="1681"/>
      <c r="R32" s="1681"/>
      <c r="S32" s="1681"/>
      <c r="T32" s="1681"/>
      <c r="U32" s="1681"/>
      <c r="V32" s="1681"/>
      <c r="W32" s="1681"/>
      <c r="X32" s="1681"/>
      <c r="Y32" s="1681"/>
      <c r="Z32" s="1681"/>
      <c r="AA32" s="1681"/>
      <c r="AB32" s="1681"/>
      <c r="AC32" s="1681"/>
      <c r="AD32" s="1681"/>
      <c r="AE32" s="1681"/>
      <c r="AF32" s="1681"/>
      <c r="AG32" s="1681"/>
      <c r="AH32" s="1681"/>
      <c r="AI32" s="1681"/>
      <c r="AJ32" s="1681"/>
      <c r="AK32" s="1681"/>
      <c r="AL32" s="1681"/>
      <c r="AM32" s="1681"/>
      <c r="AN32" s="1681"/>
      <c r="AO32" s="1681"/>
      <c r="AP32" s="1681"/>
      <c r="AQ32" s="1681"/>
      <c r="AR32" s="1681"/>
      <c r="AS32" s="1681"/>
      <c r="AT32" s="954"/>
      <c r="AU32" s="955"/>
      <c r="AV32" s="948"/>
      <c r="AW32" s="1681" t="s">
        <v>2044</v>
      </c>
      <c r="AX32" s="1681"/>
      <c r="AY32" s="1681"/>
      <c r="AZ32" s="1681"/>
      <c r="BA32" s="1681"/>
      <c r="BB32" s="1681"/>
      <c r="BC32" s="1681"/>
      <c r="BD32" s="1681"/>
      <c r="BE32" s="1681"/>
      <c r="BF32" s="1681"/>
      <c r="BG32" s="1681"/>
      <c r="BH32" s="1681"/>
      <c r="BI32" s="1681"/>
      <c r="BJ32" s="1681"/>
      <c r="BK32" s="1681"/>
      <c r="BL32" s="1681"/>
      <c r="BM32" s="1681"/>
      <c r="BN32" s="1681"/>
      <c r="BO32" s="1681"/>
      <c r="BP32" s="1681"/>
      <c r="BQ32" s="1681"/>
      <c r="BR32" s="1681"/>
      <c r="BS32" s="1681"/>
      <c r="BT32" s="1681"/>
      <c r="BU32" s="1681"/>
      <c r="BV32" s="1681"/>
      <c r="BW32" s="1681"/>
      <c r="BX32" s="1681"/>
      <c r="BY32" s="1681"/>
      <c r="BZ32" s="1681"/>
      <c r="CA32" s="1681"/>
      <c r="CB32" s="1681"/>
      <c r="CC32" s="1681"/>
      <c r="CD32" s="1681"/>
      <c r="CE32" s="1681"/>
      <c r="CF32" s="1681"/>
      <c r="CG32" s="1681"/>
      <c r="CH32" s="1681"/>
      <c r="CI32" s="1681"/>
      <c r="CJ32" s="1681"/>
      <c r="CK32" s="1681"/>
      <c r="CL32" s="1681"/>
      <c r="CM32" s="1681"/>
      <c r="CN32" s="954"/>
      <c r="CO32" s="958"/>
      <c r="CP32" s="958"/>
      <c r="CQ32" s="885">
        <f>IF(ISNONTEXT($C32),0,SUM(E32:AS32)-SUM(AY32:CM32))</f>
        <v>0</v>
      </c>
    </row>
    <row r="33" spans="1:95" s="957" customFormat="1" ht="15" hidden="1" customHeight="1" x14ac:dyDescent="0.25">
      <c r="A33" s="947"/>
      <c r="B33" s="948"/>
      <c r="C33" s="1661" t="s">
        <v>2045</v>
      </c>
      <c r="D33" s="1681"/>
      <c r="E33" s="1681"/>
      <c r="F33" s="1681"/>
      <c r="G33" s="1681"/>
      <c r="H33" s="1681"/>
      <c r="I33" s="1681"/>
      <c r="J33" s="1681"/>
      <c r="K33" s="1681"/>
      <c r="L33" s="1681"/>
      <c r="M33" s="1681"/>
      <c r="N33" s="1681"/>
      <c r="O33" s="1681"/>
      <c r="P33" s="1681"/>
      <c r="Q33" s="1681"/>
      <c r="R33" s="1681"/>
      <c r="S33" s="1681"/>
      <c r="T33" s="1681"/>
      <c r="U33" s="1681"/>
      <c r="V33" s="1681"/>
      <c r="W33" s="1681"/>
      <c r="X33" s="1681"/>
      <c r="Y33" s="1681"/>
      <c r="Z33" s="1681"/>
      <c r="AA33" s="1681"/>
      <c r="AB33" s="1681"/>
      <c r="AC33" s="1681"/>
      <c r="AD33" s="1681"/>
      <c r="AE33" s="1681"/>
      <c r="AF33" s="1681"/>
      <c r="AG33" s="1681"/>
      <c r="AH33" s="1681"/>
      <c r="AI33" s="1681"/>
      <c r="AJ33" s="1681"/>
      <c r="AK33" s="1681"/>
      <c r="AL33" s="1681"/>
      <c r="AM33" s="1681"/>
      <c r="AN33" s="1681"/>
      <c r="AO33" s="1681"/>
      <c r="AP33" s="1681"/>
      <c r="AQ33" s="1681"/>
      <c r="AR33" s="1681"/>
      <c r="AS33" s="1681"/>
      <c r="AT33" s="954"/>
      <c r="AU33" s="955"/>
      <c r="AV33" s="948"/>
      <c r="AW33" s="959"/>
      <c r="AX33" s="948"/>
      <c r="AY33" s="951"/>
      <c r="AZ33" s="951"/>
      <c r="BA33" s="951"/>
      <c r="BB33" s="951"/>
      <c r="BC33" s="951"/>
      <c r="BD33" s="951"/>
      <c r="BE33" s="952"/>
      <c r="BF33" s="953"/>
      <c r="BG33" s="953"/>
      <c r="BH33" s="953"/>
      <c r="BI33" s="953"/>
      <c r="BJ33" s="953"/>
      <c r="BK33" s="953"/>
      <c r="BL33" s="952"/>
      <c r="BM33" s="953"/>
      <c r="BN33" s="953"/>
      <c r="BO33" s="953"/>
      <c r="BP33" s="953"/>
      <c r="BQ33" s="953"/>
      <c r="BR33" s="953"/>
      <c r="BS33" s="952"/>
      <c r="BT33" s="953"/>
      <c r="BU33" s="953"/>
      <c r="BV33" s="953"/>
      <c r="BW33" s="953"/>
      <c r="BX33" s="953"/>
      <c r="BY33" s="953"/>
      <c r="BZ33" s="952"/>
      <c r="CA33" s="951"/>
      <c r="CB33" s="951"/>
      <c r="CC33" s="951"/>
      <c r="CD33" s="951"/>
      <c r="CE33" s="951"/>
      <c r="CF33" s="951"/>
      <c r="CG33" s="952"/>
      <c r="CH33" s="953"/>
      <c r="CI33" s="953"/>
      <c r="CJ33" s="953"/>
      <c r="CK33" s="953"/>
      <c r="CL33" s="953"/>
      <c r="CM33" s="953"/>
      <c r="CN33" s="954"/>
      <c r="CO33" s="958"/>
      <c r="CP33" s="958"/>
      <c r="CQ33" s="885">
        <f>IF(ISNONTEXT($C33),0,SUM(E33:AS33)-SUM(AY33:CM33))</f>
        <v>0</v>
      </c>
    </row>
    <row r="34" spans="1:95" s="957" customFormat="1" ht="15" customHeight="1" thickTop="1" x14ac:dyDescent="0.25">
      <c r="A34" s="947"/>
      <c r="B34" s="948"/>
      <c r="C34" s="960"/>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1"/>
      <c r="AR34" s="961"/>
      <c r="AS34" s="961"/>
      <c r="AT34" s="954"/>
      <c r="AU34" s="955"/>
      <c r="AV34" s="948"/>
      <c r="AW34" s="959"/>
      <c r="AX34" s="948"/>
      <c r="AY34" s="951"/>
      <c r="AZ34" s="951"/>
      <c r="BA34" s="951"/>
      <c r="BB34" s="951"/>
      <c r="BC34" s="951"/>
      <c r="BD34" s="951"/>
      <c r="BE34" s="952"/>
      <c r="BF34" s="953"/>
      <c r="BG34" s="953"/>
      <c r="BH34" s="953"/>
      <c r="BI34" s="953"/>
      <c r="BJ34" s="953"/>
      <c r="BK34" s="953"/>
      <c r="BL34" s="952"/>
      <c r="BM34" s="953"/>
      <c r="BN34" s="953"/>
      <c r="BO34" s="953"/>
      <c r="BP34" s="953"/>
      <c r="BQ34" s="953"/>
      <c r="BR34" s="953"/>
      <c r="BS34" s="952"/>
      <c r="BT34" s="953"/>
      <c r="BU34" s="953"/>
      <c r="BV34" s="953"/>
      <c r="BW34" s="953"/>
      <c r="BX34" s="953"/>
      <c r="BY34" s="953"/>
      <c r="BZ34" s="952"/>
      <c r="CA34" s="951"/>
      <c r="CB34" s="951"/>
      <c r="CC34" s="951"/>
      <c r="CD34" s="951"/>
      <c r="CE34" s="951"/>
      <c r="CF34" s="951"/>
      <c r="CG34" s="952"/>
      <c r="CH34" s="953"/>
      <c r="CI34" s="953"/>
      <c r="CJ34" s="953"/>
      <c r="CK34" s="953"/>
      <c r="CL34" s="953"/>
      <c r="CM34" s="953"/>
      <c r="CN34" s="954"/>
      <c r="CO34" s="958"/>
      <c r="CP34" s="958"/>
      <c r="CQ34" s="885"/>
    </row>
    <row r="35" spans="1:95" s="972" customFormat="1" ht="15" customHeight="1" x14ac:dyDescent="0.25">
      <c r="A35" s="962"/>
      <c r="B35" s="963"/>
      <c r="C35" s="964" t="s">
        <v>2046</v>
      </c>
      <c r="D35" s="963"/>
      <c r="E35" s="965"/>
      <c r="F35" s="965"/>
      <c r="G35" s="965"/>
      <c r="H35" s="965"/>
      <c r="I35" s="965"/>
      <c r="J35" s="965"/>
      <c r="K35" s="966"/>
      <c r="L35" s="967"/>
      <c r="M35" s="967"/>
      <c r="N35" s="967"/>
      <c r="O35" s="967"/>
      <c r="P35" s="967"/>
      <c r="Q35" s="967"/>
      <c r="R35" s="966"/>
      <c r="S35" s="967"/>
      <c r="T35" s="967"/>
      <c r="U35" s="967"/>
      <c r="V35" s="967"/>
      <c r="W35" s="967"/>
      <c r="X35" s="967"/>
      <c r="Y35" s="966"/>
      <c r="Z35" s="967"/>
      <c r="AA35" s="967"/>
      <c r="AB35" s="967"/>
      <c r="AC35" s="967"/>
      <c r="AD35" s="967"/>
      <c r="AE35" s="967"/>
      <c r="AF35" s="966"/>
      <c r="AG35" s="965"/>
      <c r="AH35" s="965"/>
      <c r="AI35" s="965"/>
      <c r="AJ35" s="965"/>
      <c r="AK35" s="965"/>
      <c r="AL35" s="965"/>
      <c r="AM35" s="966"/>
      <c r="AN35" s="967"/>
      <c r="AO35" s="967"/>
      <c r="AP35" s="967"/>
      <c r="AQ35" s="967"/>
      <c r="AR35" s="967"/>
      <c r="AS35" s="967"/>
      <c r="AT35" s="968"/>
      <c r="AU35" s="969"/>
      <c r="AV35" s="963"/>
      <c r="AW35" s="964" t="s">
        <v>2047</v>
      </c>
      <c r="AX35" s="963"/>
      <c r="AY35" s="965"/>
      <c r="AZ35" s="965"/>
      <c r="BA35" s="965"/>
      <c r="BB35" s="965"/>
      <c r="BC35" s="965"/>
      <c r="BD35" s="965"/>
      <c r="BE35" s="966"/>
      <c r="BF35" s="967"/>
      <c r="BG35" s="967"/>
      <c r="BH35" s="967"/>
      <c r="BI35" s="967"/>
      <c r="BJ35" s="967"/>
      <c r="BK35" s="967"/>
      <c r="BL35" s="966"/>
      <c r="BM35" s="967"/>
      <c r="BN35" s="967"/>
      <c r="BO35" s="967"/>
      <c r="BP35" s="967"/>
      <c r="BQ35" s="967"/>
      <c r="BR35" s="967"/>
      <c r="BS35" s="966"/>
      <c r="BT35" s="967"/>
      <c r="BU35" s="967"/>
      <c r="BV35" s="967"/>
      <c r="BW35" s="967"/>
      <c r="BX35" s="967"/>
      <c r="BY35" s="967"/>
      <c r="BZ35" s="966"/>
      <c r="CA35" s="965"/>
      <c r="CB35" s="965"/>
      <c r="CC35" s="965"/>
      <c r="CD35" s="965"/>
      <c r="CE35" s="965"/>
      <c r="CF35" s="965"/>
      <c r="CG35" s="966"/>
      <c r="CH35" s="967"/>
      <c r="CI35" s="967"/>
      <c r="CJ35" s="967"/>
      <c r="CK35" s="967"/>
      <c r="CL35" s="967"/>
      <c r="CM35" s="967"/>
      <c r="CN35" s="968"/>
      <c r="CO35" s="970"/>
      <c r="CP35" s="970"/>
      <c r="CQ35" s="971">
        <f t="shared" si="0"/>
        <v>0</v>
      </c>
    </row>
    <row r="36" spans="1:95" s="976" customFormat="1" ht="42" hidden="1" customHeight="1" x14ac:dyDescent="0.25">
      <c r="A36" s="973"/>
      <c r="B36" s="950"/>
      <c r="C36" s="1677" t="s">
        <v>2048</v>
      </c>
      <c r="D36" s="1677"/>
      <c r="E36" s="1677"/>
      <c r="F36" s="1677"/>
      <c r="G36" s="1677"/>
      <c r="H36" s="1677"/>
      <c r="I36" s="1677"/>
      <c r="J36" s="1677"/>
      <c r="K36" s="1677"/>
      <c r="L36" s="1677"/>
      <c r="M36" s="1677"/>
      <c r="N36" s="1677"/>
      <c r="O36" s="1677"/>
      <c r="P36" s="1677"/>
      <c r="Q36" s="1677"/>
      <c r="R36" s="1677"/>
      <c r="S36" s="1677"/>
      <c r="T36" s="1677"/>
      <c r="U36" s="1677"/>
      <c r="V36" s="1677"/>
      <c r="W36" s="1677"/>
      <c r="X36" s="1677"/>
      <c r="Y36" s="1677"/>
      <c r="Z36" s="1677"/>
      <c r="AA36" s="1677"/>
      <c r="AB36" s="1677"/>
      <c r="AC36" s="1677"/>
      <c r="AD36" s="1677"/>
      <c r="AE36" s="1677"/>
      <c r="AF36" s="1677"/>
      <c r="AG36" s="1677"/>
      <c r="AH36" s="1677"/>
      <c r="AI36" s="1677"/>
      <c r="AJ36" s="1677"/>
      <c r="AK36" s="1677"/>
      <c r="AL36" s="1677"/>
      <c r="AM36" s="1677"/>
      <c r="AN36" s="1677"/>
      <c r="AO36" s="1677"/>
      <c r="AP36" s="1677"/>
      <c r="AQ36" s="1677"/>
      <c r="AR36" s="1677"/>
      <c r="AS36" s="1677"/>
      <c r="AT36" s="974"/>
      <c r="AU36" s="975"/>
      <c r="AV36" s="950"/>
      <c r="AW36" s="1677" t="s">
        <v>2049</v>
      </c>
      <c r="AX36" s="1677"/>
      <c r="AY36" s="1677"/>
      <c r="AZ36" s="1677"/>
      <c r="BA36" s="1677"/>
      <c r="BB36" s="1677"/>
      <c r="BC36" s="1677"/>
      <c r="BD36" s="1677"/>
      <c r="BE36" s="1677"/>
      <c r="BF36" s="1677"/>
      <c r="BG36" s="1677"/>
      <c r="BH36" s="1677"/>
      <c r="BI36" s="1677"/>
      <c r="BJ36" s="1677"/>
      <c r="BK36" s="1677"/>
      <c r="BL36" s="1677"/>
      <c r="BM36" s="1677"/>
      <c r="BN36" s="1677"/>
      <c r="BO36" s="1677"/>
      <c r="BP36" s="1677"/>
      <c r="BQ36" s="1677"/>
      <c r="BR36" s="1677"/>
      <c r="BS36" s="1677"/>
      <c r="BT36" s="1677"/>
      <c r="BU36" s="1677"/>
      <c r="BV36" s="1677"/>
      <c r="BW36" s="1677"/>
      <c r="BX36" s="1677"/>
      <c r="BY36" s="1677"/>
      <c r="BZ36" s="1677"/>
      <c r="CA36" s="1677"/>
      <c r="CB36" s="1677"/>
      <c r="CC36" s="1677"/>
      <c r="CD36" s="1677"/>
      <c r="CE36" s="1677"/>
      <c r="CF36" s="1677"/>
      <c r="CG36" s="1677"/>
      <c r="CH36" s="1677"/>
      <c r="CI36" s="1677"/>
      <c r="CJ36" s="1677"/>
      <c r="CK36" s="1677"/>
      <c r="CL36" s="1677"/>
      <c r="CM36" s="1677"/>
      <c r="CN36" s="974"/>
      <c r="CO36" s="914"/>
      <c r="CP36" s="914"/>
      <c r="CQ36" s="885">
        <f t="shared" si="0"/>
        <v>0</v>
      </c>
    </row>
    <row r="37" spans="1:95" s="976" customFormat="1" ht="14.1" customHeight="1" x14ac:dyDescent="0.25">
      <c r="A37" s="973"/>
      <c r="B37" s="950"/>
      <c r="C37" s="977"/>
      <c r="D37" s="977"/>
      <c r="E37" s="977"/>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c r="AL37" s="977"/>
      <c r="AM37" s="977"/>
      <c r="AN37" s="977"/>
      <c r="AO37" s="977"/>
      <c r="AP37" s="977"/>
      <c r="AQ37" s="977"/>
      <c r="AR37" s="977"/>
      <c r="AS37" s="977"/>
      <c r="AT37" s="974"/>
      <c r="AU37" s="975"/>
      <c r="AV37" s="950"/>
      <c r="AW37" s="977"/>
      <c r="AX37" s="977"/>
      <c r="AY37" s="977"/>
      <c r="AZ37" s="977"/>
      <c r="BA37" s="977"/>
      <c r="BB37" s="977"/>
      <c r="BC37" s="977"/>
      <c r="BD37" s="977"/>
      <c r="BE37" s="977"/>
      <c r="BF37" s="977"/>
      <c r="BG37" s="977"/>
      <c r="BH37" s="977"/>
      <c r="BI37" s="977"/>
      <c r="BJ37" s="977"/>
      <c r="BK37" s="977"/>
      <c r="BL37" s="977"/>
      <c r="BM37" s="977"/>
      <c r="BN37" s="977"/>
      <c r="BO37" s="977"/>
      <c r="BP37" s="977"/>
      <c r="BQ37" s="977"/>
      <c r="BR37" s="977"/>
      <c r="BS37" s="977"/>
      <c r="BT37" s="977"/>
      <c r="BU37" s="977"/>
      <c r="BV37" s="977"/>
      <c r="BW37" s="977"/>
      <c r="BX37" s="977"/>
      <c r="BY37" s="977"/>
      <c r="BZ37" s="977"/>
      <c r="CA37" s="977"/>
      <c r="CB37" s="977"/>
      <c r="CC37" s="977"/>
      <c r="CD37" s="977"/>
      <c r="CE37" s="977"/>
      <c r="CF37" s="977"/>
      <c r="CG37" s="977"/>
      <c r="CH37" s="977"/>
      <c r="CI37" s="977"/>
      <c r="CJ37" s="977"/>
      <c r="CK37" s="977"/>
      <c r="CL37" s="977"/>
      <c r="CM37" s="977"/>
      <c r="CN37" s="974"/>
      <c r="CO37" s="911"/>
      <c r="CP37" s="911"/>
      <c r="CQ37" s="885">
        <f t="shared" si="0"/>
        <v>0</v>
      </c>
    </row>
    <row r="38" spans="1:95" s="976" customFormat="1" ht="15" hidden="1" customHeight="1" x14ac:dyDescent="0.25">
      <c r="A38" s="973"/>
      <c r="B38" s="950"/>
      <c r="C38" s="978" t="s">
        <v>2050</v>
      </c>
      <c r="D38" s="977"/>
      <c r="E38" s="977"/>
      <c r="F38" s="977"/>
      <c r="G38" s="977"/>
      <c r="H38" s="977"/>
      <c r="I38" s="977"/>
      <c r="J38" s="977"/>
      <c r="K38" s="977"/>
      <c r="L38" s="977"/>
      <c r="M38" s="977"/>
      <c r="N38" s="977"/>
      <c r="O38" s="977"/>
      <c r="P38" s="977"/>
      <c r="Q38" s="977"/>
      <c r="R38" s="977"/>
      <c r="S38" s="977"/>
      <c r="T38" s="977"/>
      <c r="U38" s="977"/>
      <c r="V38" s="977"/>
      <c r="W38" s="977"/>
      <c r="X38" s="977"/>
      <c r="Y38" s="977"/>
      <c r="Z38" s="977"/>
      <c r="AA38" s="977"/>
      <c r="AB38" s="977"/>
      <c r="AC38" s="977"/>
      <c r="AD38" s="977"/>
      <c r="AE38" s="977"/>
      <c r="AF38" s="977"/>
      <c r="AG38" s="977"/>
      <c r="AH38" s="977"/>
      <c r="AI38" s="977"/>
      <c r="AJ38" s="977"/>
      <c r="AK38" s="977"/>
      <c r="AL38" s="977"/>
      <c r="AM38" s="977"/>
      <c r="AN38" s="977"/>
      <c r="AO38" s="977"/>
      <c r="AP38" s="977"/>
      <c r="AQ38" s="977"/>
      <c r="AR38" s="977"/>
      <c r="AS38" s="977"/>
      <c r="AT38" s="974"/>
      <c r="AU38" s="975"/>
      <c r="AV38" s="950"/>
      <c r="AW38" s="978" t="s">
        <v>2051</v>
      </c>
      <c r="AX38" s="977"/>
      <c r="AY38" s="977"/>
      <c r="AZ38" s="977"/>
      <c r="BA38" s="977"/>
      <c r="BB38" s="977"/>
      <c r="BC38" s="977"/>
      <c r="BD38" s="977"/>
      <c r="BE38" s="977"/>
      <c r="BF38" s="977"/>
      <c r="BG38" s="977"/>
      <c r="BH38" s="977"/>
      <c r="BI38" s="977"/>
      <c r="BJ38" s="977"/>
      <c r="BK38" s="977"/>
      <c r="BL38" s="977"/>
      <c r="BM38" s="977"/>
      <c r="BN38" s="977"/>
      <c r="BO38" s="977"/>
      <c r="BP38" s="977"/>
      <c r="BQ38" s="977"/>
      <c r="BR38" s="977"/>
      <c r="BS38" s="977"/>
      <c r="BT38" s="977"/>
      <c r="BU38" s="977"/>
      <c r="BV38" s="977"/>
      <c r="BW38" s="977"/>
      <c r="BX38" s="977"/>
      <c r="BY38" s="977"/>
      <c r="BZ38" s="977"/>
      <c r="CA38" s="977"/>
      <c r="CB38" s="977"/>
      <c r="CC38" s="977"/>
      <c r="CD38" s="977"/>
      <c r="CE38" s="977"/>
      <c r="CF38" s="977"/>
      <c r="CG38" s="977"/>
      <c r="CH38" s="977"/>
      <c r="CI38" s="977"/>
      <c r="CJ38" s="977"/>
      <c r="CK38" s="977"/>
      <c r="CL38" s="977"/>
      <c r="CM38" s="977"/>
      <c r="CN38" s="974"/>
      <c r="CO38" s="911"/>
      <c r="CP38" s="911"/>
      <c r="CQ38" s="885">
        <f t="shared" si="0"/>
        <v>0</v>
      </c>
    </row>
    <row r="39" spans="1:95" s="987" customFormat="1" ht="15" customHeight="1" x14ac:dyDescent="0.25">
      <c r="A39" s="979"/>
      <c r="B39" s="980"/>
      <c r="C39" s="981"/>
      <c r="D39" s="981"/>
      <c r="E39" s="1674" t="s">
        <v>1110</v>
      </c>
      <c r="F39" s="1674"/>
      <c r="G39" s="1674"/>
      <c r="H39" s="1674"/>
      <c r="I39" s="981"/>
      <c r="J39" s="1674" t="s">
        <v>1111</v>
      </c>
      <c r="K39" s="1674"/>
      <c r="L39" s="1674"/>
      <c r="M39" s="1674"/>
      <c r="N39" s="981"/>
      <c r="O39" s="1675" t="s">
        <v>2052</v>
      </c>
      <c r="P39" s="1675"/>
      <c r="Q39" s="1675"/>
      <c r="R39" s="1675"/>
      <c r="S39" s="1675"/>
      <c r="T39" s="1675"/>
      <c r="U39" s="1675"/>
      <c r="V39" s="1675"/>
      <c r="W39" s="1675"/>
      <c r="X39" s="1675"/>
      <c r="Y39" s="1675"/>
      <c r="Z39" s="1675"/>
      <c r="AA39" s="1675"/>
      <c r="AB39" s="1675"/>
      <c r="AC39" s="1675"/>
      <c r="AD39" s="1675"/>
      <c r="AE39" s="1675"/>
      <c r="AF39" s="981"/>
      <c r="AG39" s="1676" t="str">
        <f>Ky_Nay1_V</f>
        <v>31/12/2017</v>
      </c>
      <c r="AH39" s="1676"/>
      <c r="AI39" s="1676"/>
      <c r="AJ39" s="1676"/>
      <c r="AK39" s="1676"/>
      <c r="AL39" s="1676"/>
      <c r="AM39" s="982"/>
      <c r="AN39" s="1676" t="str">
        <f>Ky_Truoc1_V</f>
        <v>01/01/2017</v>
      </c>
      <c r="AO39" s="1676"/>
      <c r="AP39" s="1676"/>
      <c r="AQ39" s="1676"/>
      <c r="AR39" s="1676"/>
      <c r="AS39" s="1676"/>
      <c r="AT39" s="983"/>
      <c r="AU39" s="984"/>
      <c r="AV39" s="980"/>
      <c r="AW39" s="981"/>
      <c r="AX39" s="981"/>
      <c r="AY39" s="981"/>
      <c r="AZ39" s="981"/>
      <c r="BA39" s="981"/>
      <c r="BB39" s="981"/>
      <c r="BC39" s="981"/>
      <c r="BD39" s="981"/>
      <c r="BE39" s="981"/>
      <c r="BF39" s="981"/>
      <c r="BG39" s="981"/>
      <c r="BH39" s="981"/>
      <c r="BI39" s="1674" t="s">
        <v>1113</v>
      </c>
      <c r="BJ39" s="1674"/>
      <c r="BK39" s="1674"/>
      <c r="BL39" s="1674"/>
      <c r="BM39" s="981"/>
      <c r="BN39" s="1674" t="s">
        <v>2053</v>
      </c>
      <c r="BO39" s="1674"/>
      <c r="BP39" s="1674"/>
      <c r="BQ39" s="1674"/>
      <c r="BR39" s="981"/>
      <c r="BS39" s="1675" t="s">
        <v>1115</v>
      </c>
      <c r="BT39" s="1675"/>
      <c r="BU39" s="1675"/>
      <c r="BV39" s="1675"/>
      <c r="BW39" s="1675"/>
      <c r="BX39" s="1675"/>
      <c r="BY39" s="1675"/>
      <c r="BZ39" s="981"/>
      <c r="CA39" s="1676" t="str">
        <f>Ky_Nay1_E</f>
        <v>31/12/2017</v>
      </c>
      <c r="CB39" s="1676"/>
      <c r="CC39" s="1676"/>
      <c r="CD39" s="1676"/>
      <c r="CE39" s="1676"/>
      <c r="CF39" s="1676"/>
      <c r="CG39" s="982"/>
      <c r="CH39" s="1676" t="str">
        <f>Ky_Truoc1_E</f>
        <v>01/01/2017</v>
      </c>
      <c r="CI39" s="1676"/>
      <c r="CJ39" s="1676"/>
      <c r="CK39" s="1676"/>
      <c r="CL39" s="1676"/>
      <c r="CM39" s="1676"/>
      <c r="CN39" s="983"/>
      <c r="CO39" s="985"/>
      <c r="CP39" s="985"/>
      <c r="CQ39" s="986">
        <f t="shared" si="0"/>
        <v>0</v>
      </c>
    </row>
    <row r="40" spans="1:95" s="976" customFormat="1" ht="15" customHeight="1" x14ac:dyDescent="0.25">
      <c r="A40" s="973"/>
      <c r="B40" s="950"/>
      <c r="C40" s="977"/>
      <c r="D40" s="977"/>
      <c r="E40" s="977"/>
      <c r="F40" s="977"/>
      <c r="G40" s="977"/>
      <c r="H40" s="977"/>
      <c r="I40" s="977"/>
      <c r="J40" s="977"/>
      <c r="K40" s="977"/>
      <c r="L40" s="977"/>
      <c r="M40" s="977"/>
      <c r="N40" s="977"/>
      <c r="O40" s="977"/>
      <c r="P40" s="977"/>
      <c r="Q40" s="977"/>
      <c r="R40" s="977"/>
      <c r="S40" s="977"/>
      <c r="T40" s="977"/>
      <c r="U40" s="977"/>
      <c r="X40" s="977"/>
      <c r="AF40" s="977"/>
      <c r="AG40" s="1669" t="str">
        <f>Don_Vi_Tinh_V</f>
        <v>VND</v>
      </c>
      <c r="AH40" s="1669"/>
      <c r="AI40" s="1669"/>
      <c r="AJ40" s="1669"/>
      <c r="AK40" s="1669"/>
      <c r="AL40" s="1669"/>
      <c r="AM40" s="935"/>
      <c r="AN40" s="1669" t="str">
        <f>Don_Vi_Tinh_V</f>
        <v>VND</v>
      </c>
      <c r="AO40" s="1669"/>
      <c r="AP40" s="1669"/>
      <c r="AQ40" s="1669"/>
      <c r="AR40" s="1669"/>
      <c r="AS40" s="1669"/>
      <c r="AT40" s="974"/>
      <c r="AU40" s="975"/>
      <c r="AV40" s="950"/>
      <c r="AW40" s="977"/>
      <c r="AX40" s="977"/>
      <c r="AY40" s="977"/>
      <c r="AZ40" s="977"/>
      <c r="BA40" s="977"/>
      <c r="BB40" s="977"/>
      <c r="BC40" s="977"/>
      <c r="BD40" s="977"/>
      <c r="BE40" s="977"/>
      <c r="BF40" s="977"/>
      <c r="BG40" s="977"/>
      <c r="BH40" s="977"/>
      <c r="BI40" s="977"/>
      <c r="BJ40" s="977"/>
      <c r="BK40" s="977"/>
      <c r="BL40" s="977"/>
      <c r="BM40" s="977"/>
      <c r="BN40" s="977"/>
      <c r="BO40" s="977"/>
      <c r="BP40" s="977"/>
      <c r="BQ40" s="977"/>
      <c r="BR40" s="977"/>
      <c r="BS40" s="977"/>
      <c r="BT40" s="977"/>
      <c r="BU40" s="977"/>
      <c r="BV40" s="977"/>
      <c r="BW40" s="977"/>
      <c r="BX40" s="977"/>
      <c r="BY40" s="977"/>
      <c r="BZ40" s="977"/>
      <c r="CA40" s="1669" t="str">
        <f>Don_Vi_Tinh_E</f>
        <v>VND</v>
      </c>
      <c r="CB40" s="1669"/>
      <c r="CC40" s="1669"/>
      <c r="CD40" s="1669"/>
      <c r="CE40" s="1669"/>
      <c r="CF40" s="1669"/>
      <c r="CG40" s="935"/>
      <c r="CH40" s="1669" t="str">
        <f>Don_Vi_Tinh_E</f>
        <v>VND</v>
      </c>
      <c r="CI40" s="1669"/>
      <c r="CJ40" s="1669"/>
      <c r="CK40" s="1669"/>
      <c r="CL40" s="1669"/>
      <c r="CM40" s="1669"/>
      <c r="CN40" s="974"/>
      <c r="CO40" s="911"/>
      <c r="CP40" s="911"/>
      <c r="CQ40" s="885">
        <f t="shared" si="0"/>
        <v>0</v>
      </c>
    </row>
    <row r="41" spans="1:95" s="976" customFormat="1" ht="15" customHeight="1" x14ac:dyDescent="0.25">
      <c r="A41" s="973"/>
      <c r="B41" s="950"/>
      <c r="C41" s="977"/>
      <c r="D41" s="977"/>
      <c r="E41" s="977"/>
      <c r="F41" s="977"/>
      <c r="G41" s="977"/>
      <c r="H41" s="977"/>
      <c r="I41" s="977"/>
      <c r="J41" s="977"/>
      <c r="K41" s="977"/>
      <c r="L41" s="977"/>
      <c r="M41" s="977"/>
      <c r="N41" s="977"/>
      <c r="O41" s="977"/>
      <c r="P41" s="977"/>
      <c r="Q41" s="977"/>
      <c r="R41" s="977"/>
      <c r="S41" s="977"/>
      <c r="T41" s="977"/>
      <c r="U41" s="977"/>
      <c r="X41" s="977"/>
      <c r="AF41" s="977"/>
      <c r="AG41" s="1668"/>
      <c r="AH41" s="1668"/>
      <c r="AI41" s="1668"/>
      <c r="AJ41" s="1668"/>
      <c r="AK41" s="1668"/>
      <c r="AL41" s="1668"/>
      <c r="AM41" s="935"/>
      <c r="AN41" s="1669"/>
      <c r="AO41" s="1669"/>
      <c r="AP41" s="1669"/>
      <c r="AQ41" s="1669"/>
      <c r="AR41" s="1669"/>
      <c r="AS41" s="1669"/>
      <c r="AT41" s="974"/>
      <c r="AU41" s="975"/>
      <c r="AV41" s="950"/>
      <c r="AW41" s="977"/>
      <c r="AX41" s="977"/>
      <c r="AY41" s="977"/>
      <c r="AZ41" s="977"/>
      <c r="BA41" s="977"/>
      <c r="BB41" s="977"/>
      <c r="BC41" s="977"/>
      <c r="BD41" s="977"/>
      <c r="BE41" s="977"/>
      <c r="BF41" s="977"/>
      <c r="BG41" s="977"/>
      <c r="BH41" s="977"/>
      <c r="BI41" s="977"/>
      <c r="BJ41" s="977"/>
      <c r="BK41" s="977"/>
      <c r="BL41" s="977"/>
      <c r="BM41" s="977"/>
      <c r="BN41" s="977"/>
      <c r="BO41" s="977"/>
      <c r="BP41" s="977"/>
      <c r="BQ41" s="977"/>
      <c r="BR41" s="977"/>
      <c r="BS41" s="977"/>
      <c r="BT41" s="977"/>
      <c r="BU41" s="977"/>
      <c r="BV41" s="977"/>
      <c r="BW41" s="977"/>
      <c r="BX41" s="977"/>
      <c r="BY41" s="977"/>
      <c r="BZ41" s="977"/>
      <c r="CA41" s="1668"/>
      <c r="CB41" s="1668"/>
      <c r="CC41" s="1668"/>
      <c r="CD41" s="1668"/>
      <c r="CE41" s="1668"/>
      <c r="CF41" s="1668"/>
      <c r="CG41" s="935"/>
      <c r="CH41" s="1669"/>
      <c r="CI41" s="1669"/>
      <c r="CJ41" s="1669"/>
      <c r="CK41" s="1669"/>
      <c r="CL41" s="1669"/>
      <c r="CM41" s="1669"/>
      <c r="CN41" s="974"/>
      <c r="CO41" s="911"/>
      <c r="CP41" s="911"/>
      <c r="CQ41" s="885">
        <f t="shared" si="0"/>
        <v>0</v>
      </c>
    </row>
    <row r="42" spans="1:95" s="993" customFormat="1" ht="29.1" customHeight="1" x14ac:dyDescent="0.25">
      <c r="A42" s="988"/>
      <c r="B42" s="934"/>
      <c r="C42" s="939" t="s">
        <v>2030</v>
      </c>
      <c r="D42" s="933"/>
      <c r="E42" s="1671" t="s">
        <v>2054</v>
      </c>
      <c r="F42" s="1671"/>
      <c r="G42" s="1671"/>
      <c r="H42" s="1671"/>
      <c r="I42" s="933"/>
      <c r="J42" s="1670">
        <v>8.5000000000000006E-2</v>
      </c>
      <c r="K42" s="1670"/>
      <c r="L42" s="1670"/>
      <c r="M42" s="1670"/>
      <c r="N42" s="989"/>
      <c r="O42" s="1672" t="s">
        <v>2055</v>
      </c>
      <c r="P42" s="1672"/>
      <c r="Q42" s="1672"/>
      <c r="R42" s="1672"/>
      <c r="S42" s="1672"/>
      <c r="T42" s="1672"/>
      <c r="U42" s="1672"/>
      <c r="V42" s="1672"/>
      <c r="W42" s="1672"/>
      <c r="X42" s="1672"/>
      <c r="Y42" s="1672"/>
      <c r="Z42" s="1672"/>
      <c r="AA42" s="1672"/>
      <c r="AB42" s="1672"/>
      <c r="AC42" s="1672"/>
      <c r="AD42" s="1672"/>
      <c r="AE42" s="1672"/>
      <c r="AF42" s="989"/>
      <c r="AG42" s="1678">
        <f>AN13</f>
        <v>500000000</v>
      </c>
      <c r="AH42" s="1678"/>
      <c r="AI42" s="1678"/>
      <c r="AJ42" s="1678"/>
      <c r="AK42" s="1678"/>
      <c r="AL42" s="1678"/>
      <c r="AM42" s="990"/>
      <c r="AN42" s="1679">
        <v>1500000000</v>
      </c>
      <c r="AO42" s="1679"/>
      <c r="AP42" s="1679"/>
      <c r="AQ42" s="1679"/>
      <c r="AR42" s="1679"/>
      <c r="AS42" s="1679"/>
      <c r="AT42" s="991"/>
      <c r="AU42" s="992"/>
      <c r="AV42" s="934"/>
      <c r="AW42" s="989" t="s">
        <v>2056</v>
      </c>
      <c r="AX42" s="989"/>
      <c r="AY42" s="989"/>
      <c r="AZ42" s="989"/>
      <c r="BA42" s="989"/>
      <c r="BB42" s="989"/>
      <c r="BC42" s="989"/>
      <c r="BD42" s="989"/>
      <c r="BE42" s="989"/>
      <c r="BF42" s="989"/>
      <c r="BG42" s="989"/>
      <c r="BH42" s="989"/>
      <c r="BI42" s="1671" t="s">
        <v>1118</v>
      </c>
      <c r="BJ42" s="1671"/>
      <c r="BK42" s="1671"/>
      <c r="BL42" s="1671"/>
      <c r="BM42" s="989"/>
      <c r="BN42" s="1670">
        <v>0.1</v>
      </c>
      <c r="BO42" s="1670"/>
      <c r="BP42" s="1670"/>
      <c r="BQ42" s="1670"/>
      <c r="BR42" s="989"/>
      <c r="BS42" s="1672" t="s">
        <v>1121</v>
      </c>
      <c r="BT42" s="1672"/>
      <c r="BU42" s="1672"/>
      <c r="BV42" s="1672"/>
      <c r="BW42" s="1672"/>
      <c r="BX42" s="1672"/>
      <c r="BY42" s="1672"/>
      <c r="BZ42" s="989"/>
      <c r="CA42" s="1668"/>
      <c r="CB42" s="1668"/>
      <c r="CC42" s="1668"/>
      <c r="CD42" s="1668"/>
      <c r="CE42" s="1668"/>
      <c r="CF42" s="1668"/>
      <c r="CG42" s="935"/>
      <c r="CH42" s="1669"/>
      <c r="CI42" s="1669"/>
      <c r="CJ42" s="1669"/>
      <c r="CK42" s="1669"/>
      <c r="CL42" s="1669"/>
      <c r="CM42" s="1669"/>
      <c r="CN42" s="991"/>
      <c r="CO42" s="911"/>
      <c r="CP42" s="911"/>
      <c r="CQ42" s="881">
        <f t="shared" si="0"/>
        <v>1999999999.9850001</v>
      </c>
    </row>
    <row r="43" spans="1:95" s="993" customFormat="1" ht="29.1" customHeight="1" x14ac:dyDescent="0.25">
      <c r="A43" s="988"/>
      <c r="B43" s="934"/>
      <c r="C43" s="939" t="s">
        <v>2031</v>
      </c>
      <c r="D43" s="933"/>
      <c r="E43" s="1671" t="s">
        <v>2054</v>
      </c>
      <c r="F43" s="1671"/>
      <c r="G43" s="1671"/>
      <c r="H43" s="1671"/>
      <c r="I43" s="933"/>
      <c r="J43" s="1680">
        <v>8.5000000000000006E-2</v>
      </c>
      <c r="K43" s="1680"/>
      <c r="L43" s="1680"/>
      <c r="M43" s="1680"/>
      <c r="N43" s="989"/>
      <c r="O43" s="1672" t="s">
        <v>2055</v>
      </c>
      <c r="P43" s="1672"/>
      <c r="Q43" s="1672"/>
      <c r="R43" s="1672"/>
      <c r="S43" s="1672"/>
      <c r="T43" s="1672"/>
      <c r="U43" s="1672"/>
      <c r="V43" s="1672"/>
      <c r="W43" s="1672"/>
      <c r="X43" s="1672"/>
      <c r="Y43" s="1672"/>
      <c r="Z43" s="1672"/>
      <c r="AA43" s="1672"/>
      <c r="AB43" s="1672"/>
      <c r="AC43" s="1672"/>
      <c r="AD43" s="1672"/>
      <c r="AE43" s="1672"/>
      <c r="AF43" s="989"/>
      <c r="AG43" s="1678">
        <f>AN14</f>
        <v>564476402</v>
      </c>
      <c r="AH43" s="1678"/>
      <c r="AI43" s="1678"/>
      <c r="AJ43" s="1678"/>
      <c r="AK43" s="1678"/>
      <c r="AL43" s="1678"/>
      <c r="AM43" s="990"/>
      <c r="AN43" s="1679">
        <v>1111000000</v>
      </c>
      <c r="AO43" s="1679"/>
      <c r="AP43" s="1679"/>
      <c r="AQ43" s="1679"/>
      <c r="AR43" s="1679"/>
      <c r="AS43" s="1679"/>
      <c r="AT43" s="991"/>
      <c r="AU43" s="992"/>
      <c r="AV43" s="934"/>
      <c r="AW43" s="989" t="s">
        <v>2056</v>
      </c>
      <c r="AX43" s="989"/>
      <c r="AY43" s="989"/>
      <c r="AZ43" s="989"/>
      <c r="BA43" s="989"/>
      <c r="BB43" s="989"/>
      <c r="BC43" s="989"/>
      <c r="BD43" s="989"/>
      <c r="BE43" s="989"/>
      <c r="BF43" s="989"/>
      <c r="BG43" s="989"/>
      <c r="BH43" s="989"/>
      <c r="BI43" s="1671" t="s">
        <v>1118</v>
      </c>
      <c r="BJ43" s="1671"/>
      <c r="BK43" s="1671"/>
      <c r="BL43" s="1671"/>
      <c r="BM43" s="989"/>
      <c r="BN43" s="1670">
        <v>0.1</v>
      </c>
      <c r="BO43" s="1670"/>
      <c r="BP43" s="1670"/>
      <c r="BQ43" s="1670"/>
      <c r="BR43" s="989"/>
      <c r="BS43" s="1672" t="s">
        <v>1121</v>
      </c>
      <c r="BT43" s="1672"/>
      <c r="BU43" s="1672"/>
      <c r="BV43" s="1672"/>
      <c r="BW43" s="1672"/>
      <c r="BX43" s="1672"/>
      <c r="BY43" s="1672"/>
      <c r="BZ43" s="989"/>
      <c r="CA43" s="1668"/>
      <c r="CB43" s="1668"/>
      <c r="CC43" s="1668"/>
      <c r="CD43" s="1668"/>
      <c r="CE43" s="1668"/>
      <c r="CF43" s="1668"/>
      <c r="CG43" s="935"/>
      <c r="CH43" s="1669"/>
      <c r="CI43" s="1669"/>
      <c r="CJ43" s="1669"/>
      <c r="CK43" s="1669"/>
      <c r="CL43" s="1669"/>
      <c r="CM43" s="1669"/>
      <c r="CN43" s="991"/>
      <c r="CO43" s="911"/>
      <c r="CP43" s="911"/>
      <c r="CQ43" s="881">
        <f t="shared" si="0"/>
        <v>1675476401.9850001</v>
      </c>
    </row>
    <row r="44" spans="1:95" s="993" customFormat="1" ht="15" customHeight="1" x14ac:dyDescent="0.25">
      <c r="A44" s="988"/>
      <c r="B44" s="934"/>
      <c r="C44" s="989" t="s">
        <v>2032</v>
      </c>
      <c r="D44" s="989"/>
      <c r="E44" s="1671" t="s">
        <v>2054</v>
      </c>
      <c r="F44" s="1671"/>
      <c r="G44" s="1671"/>
      <c r="H44" s="1671"/>
      <c r="I44" s="989"/>
      <c r="J44" s="1670">
        <v>7.0000000000000007E-2</v>
      </c>
      <c r="K44" s="1670"/>
      <c r="L44" s="1670"/>
      <c r="M44" s="1670"/>
      <c r="N44" s="989"/>
      <c r="O44" s="1672" t="s">
        <v>2057</v>
      </c>
      <c r="P44" s="1672"/>
      <c r="Q44" s="1672"/>
      <c r="R44" s="1672"/>
      <c r="S44" s="1672"/>
      <c r="T44" s="1672"/>
      <c r="U44" s="1672"/>
      <c r="V44" s="1672"/>
      <c r="W44" s="1672"/>
      <c r="X44" s="1672"/>
      <c r="Y44" s="1672"/>
      <c r="Z44" s="1672"/>
      <c r="AA44" s="1672"/>
      <c r="AB44" s="1672"/>
      <c r="AC44" s="1672"/>
      <c r="AD44" s="1672"/>
      <c r="AE44" s="1672"/>
      <c r="AF44" s="989"/>
      <c r="AG44" s="1678">
        <f>AN15</f>
        <v>10000000</v>
      </c>
      <c r="AH44" s="1678"/>
      <c r="AI44" s="1678"/>
      <c r="AJ44" s="1678"/>
      <c r="AK44" s="1678"/>
      <c r="AL44" s="1678"/>
      <c r="AM44" s="990"/>
      <c r="AN44" s="1679">
        <v>16000000</v>
      </c>
      <c r="AO44" s="1679"/>
      <c r="AP44" s="1679"/>
      <c r="AQ44" s="1679"/>
      <c r="AR44" s="1679"/>
      <c r="AS44" s="1679"/>
      <c r="AT44" s="991"/>
      <c r="AU44" s="992"/>
      <c r="AV44" s="934"/>
      <c r="AW44" s="989" t="s">
        <v>2058</v>
      </c>
      <c r="AX44" s="989"/>
      <c r="AY44" s="989"/>
      <c r="AZ44" s="989"/>
      <c r="BA44" s="989"/>
      <c r="BB44" s="989"/>
      <c r="BC44" s="989"/>
      <c r="BD44" s="989"/>
      <c r="BE44" s="989"/>
      <c r="BF44" s="989"/>
      <c r="BG44" s="989"/>
      <c r="BH44" s="989"/>
      <c r="BI44" s="1671" t="s">
        <v>2054</v>
      </c>
      <c r="BJ44" s="1671"/>
      <c r="BK44" s="1671"/>
      <c r="BL44" s="1671"/>
      <c r="BM44" s="989"/>
      <c r="BN44" s="1670">
        <v>0.11</v>
      </c>
      <c r="BO44" s="1670"/>
      <c r="BP44" s="1670"/>
      <c r="BQ44" s="1670"/>
      <c r="BR44" s="989"/>
      <c r="BS44" s="1672" t="s">
        <v>1121</v>
      </c>
      <c r="BT44" s="1672"/>
      <c r="BU44" s="1672"/>
      <c r="BV44" s="1672"/>
      <c r="BW44" s="1672"/>
      <c r="BX44" s="1672"/>
      <c r="BY44" s="1672"/>
      <c r="BZ44" s="989"/>
      <c r="CA44" s="1668"/>
      <c r="CB44" s="1668"/>
      <c r="CC44" s="1668"/>
      <c r="CD44" s="1668"/>
      <c r="CE44" s="1668"/>
      <c r="CF44" s="1668"/>
      <c r="CG44" s="935"/>
      <c r="CH44" s="1669"/>
      <c r="CI44" s="1669"/>
      <c r="CJ44" s="1669"/>
      <c r="CK44" s="1669"/>
      <c r="CL44" s="1669"/>
      <c r="CM44" s="1669"/>
      <c r="CN44" s="991"/>
      <c r="CO44" s="911"/>
      <c r="CP44" s="911"/>
      <c r="CQ44" s="881">
        <f t="shared" si="0"/>
        <v>25999999.960000001</v>
      </c>
    </row>
    <row r="45" spans="1:95" s="993" customFormat="1" ht="15" customHeight="1" x14ac:dyDescent="0.25">
      <c r="A45" s="988"/>
      <c r="B45" s="934"/>
      <c r="C45" s="989"/>
      <c r="D45" s="989"/>
      <c r="E45" s="989"/>
      <c r="F45" s="989"/>
      <c r="G45" s="989"/>
      <c r="H45" s="989"/>
      <c r="I45" s="989"/>
      <c r="J45" s="989"/>
      <c r="K45" s="989"/>
      <c r="L45" s="989"/>
      <c r="M45" s="989"/>
      <c r="N45" s="989"/>
      <c r="O45" s="989"/>
      <c r="P45" s="989"/>
      <c r="Q45" s="989"/>
      <c r="R45" s="989"/>
      <c r="S45" s="989"/>
      <c r="T45" s="989"/>
      <c r="U45" s="989"/>
      <c r="V45" s="989"/>
      <c r="W45" s="989"/>
      <c r="X45" s="989"/>
      <c r="Y45" s="989"/>
      <c r="Z45" s="989"/>
      <c r="AA45" s="989"/>
      <c r="AB45" s="989"/>
      <c r="AC45" s="989"/>
      <c r="AD45" s="989"/>
      <c r="AE45" s="989"/>
      <c r="AF45" s="989"/>
      <c r="AG45" s="989"/>
      <c r="AH45" s="989"/>
      <c r="AI45" s="989"/>
      <c r="AJ45" s="989"/>
      <c r="AK45" s="989"/>
      <c r="AL45" s="989"/>
      <c r="AM45" s="989"/>
      <c r="AN45" s="989"/>
      <c r="AO45" s="989"/>
      <c r="AP45" s="989"/>
      <c r="AQ45" s="989"/>
      <c r="AR45" s="989"/>
      <c r="AS45" s="989"/>
      <c r="AT45" s="991"/>
      <c r="AU45" s="992"/>
      <c r="AV45" s="934"/>
      <c r="AW45" s="989"/>
      <c r="AX45" s="989"/>
      <c r="AY45" s="989"/>
      <c r="AZ45" s="989"/>
      <c r="BA45" s="989"/>
      <c r="BB45" s="989"/>
      <c r="BC45" s="989"/>
      <c r="BD45" s="989"/>
      <c r="BE45" s="989"/>
      <c r="BF45" s="989"/>
      <c r="BG45" s="989"/>
      <c r="BH45" s="989"/>
      <c r="BI45" s="989"/>
      <c r="BJ45" s="989"/>
      <c r="BK45" s="989"/>
      <c r="BL45" s="989"/>
      <c r="BM45" s="989"/>
      <c r="BN45" s="989"/>
      <c r="BO45" s="989"/>
      <c r="BP45" s="989"/>
      <c r="BQ45" s="989"/>
      <c r="BR45" s="989"/>
      <c r="BS45" s="989"/>
      <c r="BT45" s="989"/>
      <c r="BU45" s="989"/>
      <c r="BV45" s="989"/>
      <c r="BW45" s="989"/>
      <c r="BX45" s="989"/>
      <c r="BY45" s="989"/>
      <c r="BZ45" s="989"/>
      <c r="CA45" s="989"/>
      <c r="CB45" s="989"/>
      <c r="CC45" s="989"/>
      <c r="CD45" s="989"/>
      <c r="CE45" s="989"/>
      <c r="CF45" s="989"/>
      <c r="CG45" s="989"/>
      <c r="CH45" s="989"/>
      <c r="CI45" s="989"/>
      <c r="CJ45" s="989"/>
      <c r="CK45" s="989"/>
      <c r="CL45" s="989"/>
      <c r="CM45" s="989"/>
      <c r="CN45" s="991"/>
      <c r="CO45" s="911"/>
      <c r="CP45" s="911"/>
      <c r="CQ45" s="881">
        <f t="shared" si="0"/>
        <v>0</v>
      </c>
    </row>
    <row r="46" spans="1:95" s="993" customFormat="1" ht="15" customHeight="1" thickBot="1" x14ac:dyDescent="0.3">
      <c r="A46" s="988"/>
      <c r="B46" s="934"/>
      <c r="C46" s="964"/>
      <c r="D46" s="989"/>
      <c r="E46" s="989"/>
      <c r="F46" s="989"/>
      <c r="G46" s="989"/>
      <c r="H46" s="989"/>
      <c r="I46" s="989"/>
      <c r="J46" s="989"/>
      <c r="K46" s="989"/>
      <c r="L46" s="989"/>
      <c r="M46" s="989"/>
      <c r="N46" s="989"/>
      <c r="O46" s="989"/>
      <c r="P46" s="989"/>
      <c r="Q46" s="989"/>
      <c r="R46" s="989"/>
      <c r="S46" s="989"/>
      <c r="T46" s="989"/>
      <c r="U46" s="989"/>
      <c r="V46" s="989"/>
      <c r="W46" s="989"/>
      <c r="X46" s="989"/>
      <c r="Y46" s="989"/>
      <c r="Z46" s="989"/>
      <c r="AA46" s="989"/>
      <c r="AB46" s="989"/>
      <c r="AC46" s="989"/>
      <c r="AD46" s="989"/>
      <c r="AE46" s="989"/>
      <c r="AF46" s="989"/>
      <c r="AG46" s="1645">
        <f>SUBTOTAL(109,AG42:AL44)</f>
        <v>1074476402</v>
      </c>
      <c r="AH46" s="1645"/>
      <c r="AI46" s="1645"/>
      <c r="AJ46" s="1645"/>
      <c r="AK46" s="1645"/>
      <c r="AL46" s="1645"/>
      <c r="AM46" s="994"/>
      <c r="AN46" s="1645">
        <f>SUBTOTAL(109,AN42:AS44)</f>
        <v>2627000000</v>
      </c>
      <c r="AO46" s="1645"/>
      <c r="AP46" s="1645"/>
      <c r="AQ46" s="1645"/>
      <c r="AR46" s="1645"/>
      <c r="AS46" s="1645"/>
      <c r="AT46" s="991"/>
      <c r="AU46" s="992"/>
      <c r="AV46" s="934"/>
      <c r="AW46" s="964"/>
      <c r="AX46" s="989"/>
      <c r="AY46" s="989"/>
      <c r="AZ46" s="989"/>
      <c r="BA46" s="989"/>
      <c r="BB46" s="989"/>
      <c r="BC46" s="989"/>
      <c r="BD46" s="989"/>
      <c r="BE46" s="989"/>
      <c r="BF46" s="989"/>
      <c r="BG46" s="989"/>
      <c r="BH46" s="989"/>
      <c r="BI46" s="989"/>
      <c r="BJ46" s="989"/>
      <c r="BK46" s="989"/>
      <c r="BL46" s="989"/>
      <c r="BM46" s="989"/>
      <c r="BN46" s="989"/>
      <c r="BO46" s="989"/>
      <c r="BP46" s="989"/>
      <c r="BQ46" s="989"/>
      <c r="BR46" s="989"/>
      <c r="BS46" s="989"/>
      <c r="BT46" s="989"/>
      <c r="BU46" s="989"/>
      <c r="BV46" s="989"/>
      <c r="BW46" s="989"/>
      <c r="BX46" s="989"/>
      <c r="BY46" s="989"/>
      <c r="BZ46" s="989"/>
      <c r="CA46" s="1645">
        <f>SUBTOTAL(109,CA42:CF44)</f>
        <v>0</v>
      </c>
      <c r="CB46" s="1645"/>
      <c r="CC46" s="1645"/>
      <c r="CD46" s="1645"/>
      <c r="CE46" s="1645"/>
      <c r="CF46" s="1645"/>
      <c r="CG46" s="994"/>
      <c r="CH46" s="1645">
        <f>SUBTOTAL(109,CH42:CM44)</f>
        <v>0</v>
      </c>
      <c r="CI46" s="1645"/>
      <c r="CJ46" s="1645"/>
      <c r="CK46" s="1645"/>
      <c r="CL46" s="1645"/>
      <c r="CM46" s="1645"/>
      <c r="CN46" s="991"/>
      <c r="CO46" s="911">
        <f>AG46-AG17</f>
        <v>0</v>
      </c>
      <c r="CP46" s="911">
        <f>AN46-E17</f>
        <v>0</v>
      </c>
      <c r="CQ46" s="881">
        <f t="shared" si="0"/>
        <v>0</v>
      </c>
    </row>
    <row r="47" spans="1:95" s="976" customFormat="1" ht="15" customHeight="1" thickTop="1" x14ac:dyDescent="0.25">
      <c r="A47" s="973"/>
      <c r="B47" s="950"/>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4"/>
      <c r="AU47" s="975"/>
      <c r="AV47" s="950"/>
      <c r="AW47" s="977"/>
      <c r="AX47" s="977"/>
      <c r="AY47" s="977"/>
      <c r="AZ47" s="977"/>
      <c r="BA47" s="977"/>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7"/>
      <c r="BZ47" s="977"/>
      <c r="CA47" s="977"/>
      <c r="CB47" s="977"/>
      <c r="CC47" s="977"/>
      <c r="CD47" s="977"/>
      <c r="CE47" s="977"/>
      <c r="CF47" s="977"/>
      <c r="CG47" s="977"/>
      <c r="CH47" s="977"/>
      <c r="CI47" s="977"/>
      <c r="CJ47" s="977"/>
      <c r="CK47" s="977"/>
      <c r="CL47" s="977"/>
      <c r="CM47" s="977"/>
      <c r="CN47" s="974"/>
      <c r="CO47" s="911"/>
      <c r="CP47" s="911"/>
      <c r="CQ47" s="885">
        <f t="shared" si="0"/>
        <v>0</v>
      </c>
    </row>
    <row r="48" spans="1:95" s="976" customFormat="1" ht="15" hidden="1" customHeight="1" x14ac:dyDescent="0.25">
      <c r="A48" s="973"/>
      <c r="B48" s="950"/>
      <c r="C48" s="978" t="s">
        <v>2059</v>
      </c>
      <c r="D48" s="977"/>
      <c r="E48" s="977"/>
      <c r="F48" s="977"/>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977"/>
      <c r="AR48" s="977"/>
      <c r="AS48" s="977"/>
      <c r="AT48" s="974"/>
      <c r="AU48" s="975"/>
      <c r="AV48" s="950"/>
      <c r="AW48" s="978" t="s">
        <v>2059</v>
      </c>
      <c r="AX48" s="977"/>
      <c r="AY48" s="977"/>
      <c r="AZ48" s="977"/>
      <c r="BA48" s="977"/>
      <c r="BB48" s="977"/>
      <c r="BC48" s="977"/>
      <c r="BD48" s="977"/>
      <c r="BE48" s="977"/>
      <c r="BF48" s="977"/>
      <c r="BG48" s="977"/>
      <c r="BH48" s="977"/>
      <c r="BI48" s="977"/>
      <c r="BJ48" s="977"/>
      <c r="BK48" s="977"/>
      <c r="BL48" s="977"/>
      <c r="BM48" s="977"/>
      <c r="BN48" s="977"/>
      <c r="BO48" s="977"/>
      <c r="BP48" s="977"/>
      <c r="BQ48" s="977"/>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4"/>
      <c r="CO48" s="911"/>
      <c r="CP48" s="911"/>
      <c r="CQ48" s="885">
        <f t="shared" si="0"/>
        <v>0</v>
      </c>
    </row>
    <row r="49" spans="1:95" s="976" customFormat="1" ht="15" customHeight="1" x14ac:dyDescent="0.25">
      <c r="A49" s="973"/>
      <c r="B49" s="950"/>
      <c r="C49" s="1661" t="s">
        <v>2060</v>
      </c>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677"/>
      <c r="AM49" s="1677"/>
      <c r="AN49" s="1677"/>
      <c r="AO49" s="1677"/>
      <c r="AP49" s="1677"/>
      <c r="AQ49" s="1677"/>
      <c r="AR49" s="1677"/>
      <c r="AS49" s="1677"/>
      <c r="AT49" s="974"/>
      <c r="AU49" s="975"/>
      <c r="AV49" s="950"/>
      <c r="AW49" s="1661" t="s">
        <v>2061</v>
      </c>
      <c r="AX49" s="1677"/>
      <c r="AY49" s="1677"/>
      <c r="AZ49" s="1677"/>
      <c r="BA49" s="1677"/>
      <c r="BB49" s="1677"/>
      <c r="BC49" s="1677"/>
      <c r="BD49" s="1677"/>
      <c r="BE49" s="1677"/>
      <c r="BF49" s="1677"/>
      <c r="BG49" s="1677"/>
      <c r="BH49" s="1677"/>
      <c r="BI49" s="1677"/>
      <c r="BJ49" s="1677"/>
      <c r="BK49" s="1677"/>
      <c r="BL49" s="1677"/>
      <c r="BM49" s="1677"/>
      <c r="BN49" s="1677"/>
      <c r="BO49" s="1677"/>
      <c r="BP49" s="1677"/>
      <c r="BQ49" s="1677"/>
      <c r="BR49" s="1677"/>
      <c r="BS49" s="1677"/>
      <c r="BT49" s="1677"/>
      <c r="BU49" s="1677"/>
      <c r="BV49" s="1677"/>
      <c r="BW49" s="1677"/>
      <c r="BX49" s="1677"/>
      <c r="BY49" s="1677"/>
      <c r="BZ49" s="1677"/>
      <c r="CA49" s="1677"/>
      <c r="CB49" s="1677"/>
      <c r="CC49" s="1677"/>
      <c r="CD49" s="1677"/>
      <c r="CE49" s="1677"/>
      <c r="CF49" s="1677"/>
      <c r="CG49" s="1677"/>
      <c r="CH49" s="1677"/>
      <c r="CI49" s="1677"/>
      <c r="CJ49" s="1677"/>
      <c r="CK49" s="1677"/>
      <c r="CL49" s="1677"/>
      <c r="CM49" s="1677"/>
      <c r="CN49" s="974"/>
      <c r="CO49" s="911"/>
      <c r="CP49" s="911"/>
      <c r="CQ49" s="885">
        <f t="shared" si="0"/>
        <v>0</v>
      </c>
    </row>
    <row r="50" spans="1:95" s="976" customFormat="1" ht="15" hidden="1" customHeight="1" x14ac:dyDescent="0.25">
      <c r="A50" s="973"/>
      <c r="B50" s="950"/>
      <c r="C50" s="977"/>
      <c r="D50" s="977"/>
      <c r="E50" s="977"/>
      <c r="F50" s="977"/>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977"/>
      <c r="AR50" s="977"/>
      <c r="AS50" s="977"/>
      <c r="AT50" s="974"/>
      <c r="AU50" s="975"/>
      <c r="AV50" s="950"/>
      <c r="AW50" s="977"/>
      <c r="AX50" s="977"/>
      <c r="AY50" s="977"/>
      <c r="AZ50" s="977"/>
      <c r="BA50" s="977"/>
      <c r="BB50" s="977"/>
      <c r="BC50" s="977"/>
      <c r="BD50" s="977"/>
      <c r="BE50" s="977"/>
      <c r="BF50" s="977"/>
      <c r="BG50" s="977"/>
      <c r="BH50" s="977"/>
      <c r="BI50" s="977"/>
      <c r="BJ50" s="977"/>
      <c r="BK50" s="977"/>
      <c r="BL50" s="977"/>
      <c r="BM50" s="977"/>
      <c r="BN50" s="977"/>
      <c r="BO50" s="977"/>
      <c r="BP50" s="977"/>
      <c r="BQ50" s="977"/>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4"/>
      <c r="CO50" s="911"/>
      <c r="CP50" s="911"/>
      <c r="CQ50" s="885">
        <f t="shared" si="0"/>
        <v>0</v>
      </c>
    </row>
    <row r="51" spans="1:95" s="972" customFormat="1" ht="15" hidden="1" customHeight="1" x14ac:dyDescent="0.25">
      <c r="A51" s="962"/>
      <c r="B51" s="963"/>
      <c r="C51" s="964" t="s">
        <v>2062</v>
      </c>
      <c r="D51" s="963"/>
      <c r="E51" s="965"/>
      <c r="F51" s="965"/>
      <c r="G51" s="965"/>
      <c r="H51" s="965"/>
      <c r="I51" s="965"/>
      <c r="J51" s="965"/>
      <c r="K51" s="966"/>
      <c r="L51" s="967"/>
      <c r="M51" s="967"/>
      <c r="N51" s="967"/>
      <c r="O51" s="967"/>
      <c r="P51" s="967"/>
      <c r="Q51" s="967"/>
      <c r="R51" s="966"/>
      <c r="S51" s="967"/>
      <c r="T51" s="967"/>
      <c r="U51" s="967"/>
      <c r="V51" s="967"/>
      <c r="W51" s="967"/>
      <c r="X51" s="967"/>
      <c r="Y51" s="966"/>
      <c r="Z51" s="967"/>
      <c r="AA51" s="967"/>
      <c r="AB51" s="967"/>
      <c r="AC51" s="967"/>
      <c r="AD51" s="967"/>
      <c r="AE51" s="967"/>
      <c r="AF51" s="966"/>
      <c r="AG51" s="965"/>
      <c r="AH51" s="965"/>
      <c r="AI51" s="965"/>
      <c r="AJ51" s="965"/>
      <c r="AK51" s="965"/>
      <c r="AL51" s="965"/>
      <c r="AM51" s="966"/>
      <c r="AN51" s="967"/>
      <c r="AO51" s="967"/>
      <c r="AP51" s="967"/>
      <c r="AQ51" s="967"/>
      <c r="AR51" s="967"/>
      <c r="AS51" s="967"/>
      <c r="AT51" s="968"/>
      <c r="AU51" s="969"/>
      <c r="AV51" s="963"/>
      <c r="AW51" s="964" t="s">
        <v>2063</v>
      </c>
      <c r="AX51" s="963"/>
      <c r="AY51" s="965"/>
      <c r="AZ51" s="965"/>
      <c r="BA51" s="965"/>
      <c r="BB51" s="965"/>
      <c r="BC51" s="965"/>
      <c r="BD51" s="965"/>
      <c r="BE51" s="966"/>
      <c r="BF51" s="967"/>
      <c r="BG51" s="967"/>
      <c r="BH51" s="967"/>
      <c r="BI51" s="967"/>
      <c r="BJ51" s="967"/>
      <c r="BK51" s="967"/>
      <c r="BL51" s="966"/>
      <c r="BM51" s="967"/>
      <c r="BN51" s="967"/>
      <c r="BO51" s="967"/>
      <c r="BP51" s="967"/>
      <c r="BQ51" s="967"/>
      <c r="BR51" s="967"/>
      <c r="BS51" s="966"/>
      <c r="BT51" s="967"/>
      <c r="BU51" s="967"/>
      <c r="BV51" s="967"/>
      <c r="BW51" s="967"/>
      <c r="BX51" s="967"/>
      <c r="BY51" s="967"/>
      <c r="BZ51" s="966"/>
      <c r="CA51" s="965"/>
      <c r="CB51" s="965"/>
      <c r="CC51" s="965"/>
      <c r="CD51" s="965"/>
      <c r="CE51" s="965"/>
      <c r="CF51" s="965"/>
      <c r="CG51" s="966"/>
      <c r="CH51" s="967"/>
      <c r="CI51" s="967"/>
      <c r="CJ51" s="967"/>
      <c r="CK51" s="967"/>
      <c r="CL51" s="967"/>
      <c r="CM51" s="967"/>
      <c r="CN51" s="968"/>
      <c r="CO51" s="995"/>
      <c r="CP51" s="995"/>
      <c r="CQ51" s="971">
        <f t="shared" si="0"/>
        <v>0</v>
      </c>
    </row>
    <row r="52" spans="1:95" s="976" customFormat="1" ht="15" hidden="1" customHeight="1" x14ac:dyDescent="0.25">
      <c r="A52" s="973"/>
      <c r="B52" s="950"/>
      <c r="C52" s="996"/>
      <c r="D52" s="950"/>
      <c r="E52" s="997"/>
      <c r="F52" s="997"/>
      <c r="G52" s="997"/>
      <c r="H52" s="997"/>
      <c r="I52" s="997"/>
      <c r="J52" s="997"/>
      <c r="K52" s="998"/>
      <c r="L52" s="999"/>
      <c r="M52" s="999"/>
      <c r="N52" s="999"/>
      <c r="O52" s="999"/>
      <c r="P52" s="999"/>
      <c r="Q52" s="999"/>
      <c r="R52" s="998"/>
      <c r="S52" s="999"/>
      <c r="T52" s="999"/>
      <c r="U52" s="999"/>
      <c r="V52" s="999"/>
      <c r="W52" s="999"/>
      <c r="X52" s="999"/>
      <c r="Y52" s="998"/>
      <c r="Z52" s="999"/>
      <c r="AA52" s="999"/>
      <c r="AB52" s="999"/>
      <c r="AC52" s="999"/>
      <c r="AD52" s="999"/>
      <c r="AE52" s="999"/>
      <c r="AF52" s="998"/>
      <c r="AG52" s="997"/>
      <c r="AH52" s="997"/>
      <c r="AI52" s="997"/>
      <c r="AJ52" s="997"/>
      <c r="AK52" s="997"/>
      <c r="AL52" s="997"/>
      <c r="AM52" s="998"/>
      <c r="AN52" s="999"/>
      <c r="AO52" s="999"/>
      <c r="AP52" s="999"/>
      <c r="AQ52" s="999"/>
      <c r="AR52" s="999"/>
      <c r="AS52" s="999"/>
      <c r="AT52" s="974"/>
      <c r="AU52" s="975"/>
      <c r="AV52" s="950"/>
      <c r="AW52" s="996"/>
      <c r="AX52" s="950"/>
      <c r="AY52" s="997"/>
      <c r="AZ52" s="997"/>
      <c r="BA52" s="997"/>
      <c r="BB52" s="997"/>
      <c r="BC52" s="997"/>
      <c r="BD52" s="997"/>
      <c r="BE52" s="998"/>
      <c r="BF52" s="999"/>
      <c r="BG52" s="999"/>
      <c r="BH52" s="999"/>
      <c r="BI52" s="999"/>
      <c r="BJ52" s="999"/>
      <c r="BK52" s="999"/>
      <c r="BL52" s="998"/>
      <c r="BM52" s="999"/>
      <c r="BN52" s="999"/>
      <c r="BO52" s="999"/>
      <c r="BP52" s="999"/>
      <c r="BQ52" s="999"/>
      <c r="BR52" s="999"/>
      <c r="BS52" s="998"/>
      <c r="BT52" s="999"/>
      <c r="BU52" s="999"/>
      <c r="BV52" s="999"/>
      <c r="BW52" s="999"/>
      <c r="BX52" s="999"/>
      <c r="BY52" s="999"/>
      <c r="BZ52" s="998"/>
      <c r="CA52" s="997"/>
      <c r="CB52" s="997"/>
      <c r="CC52" s="997"/>
      <c r="CD52" s="997"/>
      <c r="CE52" s="997"/>
      <c r="CF52" s="997"/>
      <c r="CG52" s="998"/>
      <c r="CH52" s="999"/>
      <c r="CI52" s="999"/>
      <c r="CJ52" s="999"/>
      <c r="CK52" s="999"/>
      <c r="CL52" s="999"/>
      <c r="CM52" s="999"/>
      <c r="CN52" s="974"/>
      <c r="CO52" s="1000"/>
      <c r="CP52" s="1000"/>
      <c r="CQ52" s="885">
        <f t="shared" si="0"/>
        <v>0</v>
      </c>
    </row>
    <row r="53" spans="1:95" s="976" customFormat="1" ht="42" hidden="1" customHeight="1" x14ac:dyDescent="0.25">
      <c r="A53" s="973"/>
      <c r="B53" s="950"/>
      <c r="C53" s="1677" t="s">
        <v>2064</v>
      </c>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677"/>
      <c r="AM53" s="1677"/>
      <c r="AN53" s="1677"/>
      <c r="AO53" s="1677"/>
      <c r="AP53" s="1677"/>
      <c r="AQ53" s="1677"/>
      <c r="AR53" s="1677"/>
      <c r="AS53" s="1677"/>
      <c r="AT53" s="974"/>
      <c r="AU53" s="975"/>
      <c r="AV53" s="950"/>
      <c r="AW53" s="1677" t="s">
        <v>2064</v>
      </c>
      <c r="AX53" s="1677"/>
      <c r="AY53" s="1677"/>
      <c r="AZ53" s="1677"/>
      <c r="BA53" s="1677"/>
      <c r="BB53" s="1677"/>
      <c r="BC53" s="1677"/>
      <c r="BD53" s="1677"/>
      <c r="BE53" s="1677"/>
      <c r="BF53" s="1677"/>
      <c r="BG53" s="1677"/>
      <c r="BH53" s="1677"/>
      <c r="BI53" s="1677"/>
      <c r="BJ53" s="1677"/>
      <c r="BK53" s="1677"/>
      <c r="BL53" s="1677"/>
      <c r="BM53" s="1677"/>
      <c r="BN53" s="1677"/>
      <c r="BO53" s="1677"/>
      <c r="BP53" s="1677"/>
      <c r="BQ53" s="1677"/>
      <c r="BR53" s="1677"/>
      <c r="BS53" s="1677"/>
      <c r="BT53" s="1677"/>
      <c r="BU53" s="1677"/>
      <c r="BV53" s="1677"/>
      <c r="BW53" s="1677"/>
      <c r="BX53" s="1677"/>
      <c r="BY53" s="1677"/>
      <c r="BZ53" s="1677"/>
      <c r="CA53" s="1677"/>
      <c r="CB53" s="1677"/>
      <c r="CC53" s="1677"/>
      <c r="CD53" s="1677"/>
      <c r="CE53" s="1677"/>
      <c r="CF53" s="1677"/>
      <c r="CG53" s="1677"/>
      <c r="CH53" s="1677"/>
      <c r="CI53" s="1677"/>
      <c r="CJ53" s="1677"/>
      <c r="CK53" s="1677"/>
      <c r="CL53" s="1677"/>
      <c r="CM53" s="1677"/>
      <c r="CN53" s="974"/>
      <c r="CO53" s="1001"/>
      <c r="CP53" s="1001"/>
      <c r="CQ53" s="885">
        <f t="shared" si="0"/>
        <v>0</v>
      </c>
    </row>
    <row r="54" spans="1:95" s="976" customFormat="1" ht="14.1" hidden="1" customHeight="1" x14ac:dyDescent="0.25">
      <c r="A54" s="973"/>
      <c r="B54" s="950"/>
      <c r="C54" s="939"/>
      <c r="D54" s="939"/>
      <c r="E54" s="939"/>
      <c r="F54" s="939"/>
      <c r="G54" s="939"/>
      <c r="H54" s="939"/>
      <c r="I54" s="939"/>
      <c r="J54" s="939"/>
      <c r="K54" s="939"/>
      <c r="L54" s="939"/>
      <c r="M54" s="939"/>
      <c r="N54" s="939"/>
      <c r="O54" s="939"/>
      <c r="P54" s="939"/>
      <c r="Q54" s="939"/>
      <c r="R54" s="939"/>
      <c r="S54" s="939"/>
      <c r="T54" s="939"/>
      <c r="U54" s="939"/>
      <c r="V54" s="939"/>
      <c r="W54" s="939"/>
      <c r="X54" s="939"/>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74"/>
      <c r="AU54" s="975"/>
      <c r="AV54" s="950"/>
      <c r="AW54" s="949"/>
      <c r="AX54" s="949"/>
      <c r="AY54" s="949"/>
      <c r="AZ54" s="949"/>
      <c r="BA54" s="949"/>
      <c r="BB54" s="949"/>
      <c r="BC54" s="949"/>
      <c r="BD54" s="949"/>
      <c r="BE54" s="949"/>
      <c r="BF54" s="949"/>
      <c r="BG54" s="949"/>
      <c r="BH54" s="949"/>
      <c r="BI54" s="949"/>
      <c r="BJ54" s="949"/>
      <c r="BK54" s="949"/>
      <c r="BL54" s="949"/>
      <c r="BM54" s="949"/>
      <c r="BN54" s="949"/>
      <c r="BO54" s="949"/>
      <c r="BP54" s="949"/>
      <c r="BQ54" s="949"/>
      <c r="BR54" s="949"/>
      <c r="BS54" s="949"/>
      <c r="BT54" s="949"/>
      <c r="BU54" s="949"/>
      <c r="BV54" s="949"/>
      <c r="BW54" s="949"/>
      <c r="BX54" s="949"/>
      <c r="BY54" s="949"/>
      <c r="BZ54" s="949"/>
      <c r="CA54" s="949"/>
      <c r="CB54" s="949"/>
      <c r="CC54" s="949"/>
      <c r="CD54" s="949"/>
      <c r="CE54" s="949"/>
      <c r="CF54" s="949"/>
      <c r="CG54" s="949"/>
      <c r="CH54" s="949"/>
      <c r="CI54" s="949"/>
      <c r="CJ54" s="949"/>
      <c r="CK54" s="949"/>
      <c r="CL54" s="949"/>
      <c r="CM54" s="949"/>
      <c r="CN54" s="974"/>
      <c r="CO54" s="1000"/>
      <c r="CP54" s="1000"/>
      <c r="CQ54" s="885">
        <f t="shared" si="0"/>
        <v>0</v>
      </c>
    </row>
    <row r="55" spans="1:95" s="976" customFormat="1" ht="14.1" hidden="1" customHeight="1" x14ac:dyDescent="0.25">
      <c r="A55" s="973"/>
      <c r="B55" s="950"/>
      <c r="C55" s="933" t="s">
        <v>1130</v>
      </c>
      <c r="D55" s="939"/>
      <c r="E55" s="939"/>
      <c r="F55" s="939"/>
      <c r="G55" s="939"/>
      <c r="H55" s="939"/>
      <c r="I55" s="939"/>
      <c r="J55" s="939"/>
      <c r="K55" s="939"/>
      <c r="L55" s="939"/>
      <c r="M55" s="939"/>
      <c r="N55" s="939"/>
      <c r="O55" s="939"/>
      <c r="P55" s="939"/>
      <c r="Q55" s="939"/>
      <c r="R55" s="939"/>
      <c r="S55" s="939"/>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74"/>
      <c r="AU55" s="975"/>
      <c r="AV55" s="950"/>
      <c r="AW55" s="933" t="s">
        <v>1131</v>
      </c>
      <c r="AX55" s="939"/>
      <c r="AY55" s="939"/>
      <c r="AZ55" s="939"/>
      <c r="BA55" s="939"/>
      <c r="BB55" s="939"/>
      <c r="BC55" s="939"/>
      <c r="BD55" s="939"/>
      <c r="BE55" s="939"/>
      <c r="BF55" s="939"/>
      <c r="BG55" s="939"/>
      <c r="BH55" s="939"/>
      <c r="BI55" s="939"/>
      <c r="BJ55" s="939"/>
      <c r="BK55" s="939"/>
      <c r="BL55" s="939"/>
      <c r="BM55" s="939"/>
      <c r="BN55" s="939"/>
      <c r="BO55" s="939"/>
      <c r="BP55" s="939"/>
      <c r="BQ55" s="939"/>
      <c r="BR55" s="939"/>
      <c r="BS55" s="939"/>
      <c r="BT55" s="939"/>
      <c r="BU55" s="939"/>
      <c r="BV55" s="939"/>
      <c r="BW55" s="939"/>
      <c r="BX55" s="939"/>
      <c r="BY55" s="939"/>
      <c r="BZ55" s="939"/>
      <c r="CA55" s="939"/>
      <c r="CB55" s="939"/>
      <c r="CC55" s="939"/>
      <c r="CD55" s="939"/>
      <c r="CE55" s="939"/>
      <c r="CF55" s="939"/>
      <c r="CG55" s="939"/>
      <c r="CH55" s="939"/>
      <c r="CI55" s="939"/>
      <c r="CJ55" s="939"/>
      <c r="CK55" s="939"/>
      <c r="CL55" s="939"/>
      <c r="CM55" s="939"/>
      <c r="CN55" s="974"/>
      <c r="CO55" s="1000"/>
      <c r="CP55" s="1000"/>
      <c r="CQ55" s="885">
        <f t="shared" si="0"/>
        <v>0</v>
      </c>
    </row>
    <row r="56" spans="1:95" s="976" customFormat="1" ht="27.95" hidden="1" customHeight="1" x14ac:dyDescent="0.25">
      <c r="A56" s="973"/>
      <c r="B56" s="950"/>
      <c r="C56" s="981"/>
      <c r="D56" s="981"/>
      <c r="E56" s="981"/>
      <c r="F56" s="981"/>
      <c r="G56" s="981"/>
      <c r="H56" s="981"/>
      <c r="I56" s="981"/>
      <c r="J56" s="981"/>
      <c r="K56" s="981"/>
      <c r="L56" s="981"/>
      <c r="M56" s="1674" t="s">
        <v>1110</v>
      </c>
      <c r="N56" s="1674"/>
      <c r="O56" s="1674"/>
      <c r="P56" s="1002"/>
      <c r="Q56" s="1674" t="s">
        <v>1111</v>
      </c>
      <c r="R56" s="1674"/>
      <c r="S56" s="1674"/>
      <c r="T56" s="1002"/>
      <c r="U56" s="1674" t="s">
        <v>1132</v>
      </c>
      <c r="V56" s="1674"/>
      <c r="W56" s="1674"/>
      <c r="X56" s="981"/>
      <c r="Y56" s="1675" t="s">
        <v>2052</v>
      </c>
      <c r="Z56" s="1675"/>
      <c r="AA56" s="1675"/>
      <c r="AB56" s="1675"/>
      <c r="AC56" s="1675"/>
      <c r="AD56" s="1675"/>
      <c r="AE56" s="1675"/>
      <c r="AF56" s="981"/>
      <c r="AG56" s="1676" t="str">
        <f>Ky_Nay1_V</f>
        <v>31/12/2017</v>
      </c>
      <c r="AH56" s="1676"/>
      <c r="AI56" s="1676"/>
      <c r="AJ56" s="1676"/>
      <c r="AK56" s="1676"/>
      <c r="AL56" s="1676"/>
      <c r="AM56" s="982"/>
      <c r="AN56" s="1676" t="str">
        <f>Ky_Truoc1_V</f>
        <v>01/01/2017</v>
      </c>
      <c r="AO56" s="1676"/>
      <c r="AP56" s="1676"/>
      <c r="AQ56" s="1676"/>
      <c r="AR56" s="1676"/>
      <c r="AS56" s="1676"/>
      <c r="AT56" s="974"/>
      <c r="AU56" s="975"/>
      <c r="AV56" s="950"/>
      <c r="AW56" s="981"/>
      <c r="AX56" s="981"/>
      <c r="AY56" s="981"/>
      <c r="AZ56" s="981"/>
      <c r="BA56" s="981"/>
      <c r="BB56" s="981"/>
      <c r="BC56" s="981"/>
      <c r="BD56" s="981"/>
      <c r="BE56" s="981"/>
      <c r="BF56" s="981"/>
      <c r="BG56" s="1674" t="s">
        <v>1113</v>
      </c>
      <c r="BH56" s="1674"/>
      <c r="BI56" s="1674"/>
      <c r="BJ56" s="1002"/>
      <c r="BK56" s="1674" t="s">
        <v>1114</v>
      </c>
      <c r="BL56" s="1674"/>
      <c r="BM56" s="1674"/>
      <c r="BN56" s="1002"/>
      <c r="BO56" s="1674" t="s">
        <v>1133</v>
      </c>
      <c r="BP56" s="1674"/>
      <c r="BQ56" s="1674"/>
      <c r="BR56" s="981"/>
      <c r="BS56" s="1675" t="s">
        <v>1115</v>
      </c>
      <c r="BT56" s="1675"/>
      <c r="BU56" s="1675"/>
      <c r="BV56" s="1675"/>
      <c r="BW56" s="1675"/>
      <c r="BX56" s="1675"/>
      <c r="BY56" s="1675"/>
      <c r="BZ56" s="981"/>
      <c r="CA56" s="1676" t="str">
        <f>Ky_Nay1_E</f>
        <v>31/12/2017</v>
      </c>
      <c r="CB56" s="1676"/>
      <c r="CC56" s="1676"/>
      <c r="CD56" s="1676"/>
      <c r="CE56" s="1676"/>
      <c r="CF56" s="1676"/>
      <c r="CG56" s="982"/>
      <c r="CH56" s="1676" t="str">
        <f>Ky_Truoc1_E</f>
        <v>01/01/2017</v>
      </c>
      <c r="CI56" s="1676"/>
      <c r="CJ56" s="1676"/>
      <c r="CK56" s="1676"/>
      <c r="CL56" s="1676"/>
      <c r="CM56" s="1676"/>
      <c r="CN56" s="974"/>
      <c r="CO56" s="1000"/>
      <c r="CP56" s="1000"/>
      <c r="CQ56" s="885">
        <f t="shared" si="0"/>
        <v>0</v>
      </c>
    </row>
    <row r="57" spans="1:95" s="976" customFormat="1" ht="14.1" hidden="1" customHeight="1" x14ac:dyDescent="0.25">
      <c r="A57" s="973"/>
      <c r="B57" s="950"/>
      <c r="C57" s="977"/>
      <c r="D57" s="977"/>
      <c r="E57" s="977"/>
      <c r="F57" s="977"/>
      <c r="G57" s="977"/>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1669" t="str">
        <f>Don_Vi_Tinh_V</f>
        <v>VND</v>
      </c>
      <c r="AH57" s="1669"/>
      <c r="AI57" s="1669"/>
      <c r="AJ57" s="1669"/>
      <c r="AK57" s="1669"/>
      <c r="AL57" s="1669"/>
      <c r="AM57" s="935"/>
      <c r="AN57" s="1669" t="str">
        <f>Don_Vi_Tinh_V</f>
        <v>VND</v>
      </c>
      <c r="AO57" s="1669"/>
      <c r="AP57" s="1669"/>
      <c r="AQ57" s="1669"/>
      <c r="AR57" s="1669"/>
      <c r="AS57" s="1669"/>
      <c r="AT57" s="974"/>
      <c r="AU57" s="975"/>
      <c r="AV57" s="950"/>
      <c r="AW57" s="977"/>
      <c r="AX57" s="977"/>
      <c r="AY57" s="977"/>
      <c r="AZ57" s="977"/>
      <c r="BA57" s="977"/>
      <c r="BB57" s="977"/>
      <c r="BC57" s="977"/>
      <c r="BD57" s="977"/>
      <c r="BE57" s="977"/>
      <c r="BF57" s="977"/>
      <c r="BG57" s="977"/>
      <c r="BH57" s="977"/>
      <c r="BI57" s="977"/>
      <c r="BJ57" s="977"/>
      <c r="BK57" s="977"/>
      <c r="BL57" s="977"/>
      <c r="BM57" s="977"/>
      <c r="BN57" s="977"/>
      <c r="BO57" s="977"/>
      <c r="BP57" s="977"/>
      <c r="BQ57" s="977"/>
      <c r="BR57" s="977"/>
      <c r="BS57" s="977"/>
      <c r="BT57" s="977"/>
      <c r="BU57" s="977"/>
      <c r="BV57" s="977"/>
      <c r="BW57" s="977"/>
      <c r="BX57" s="977"/>
      <c r="BY57" s="977"/>
      <c r="BZ57" s="977"/>
      <c r="CA57" s="1669" t="str">
        <f>Don_Vi_Tinh_E</f>
        <v>VND</v>
      </c>
      <c r="CB57" s="1669"/>
      <c r="CC57" s="1669"/>
      <c r="CD57" s="1669"/>
      <c r="CE57" s="1669"/>
      <c r="CF57" s="1669"/>
      <c r="CG57" s="935"/>
      <c r="CH57" s="1669" t="str">
        <f>Don_Vi_Tinh_E</f>
        <v>VND</v>
      </c>
      <c r="CI57" s="1669"/>
      <c r="CJ57" s="1669"/>
      <c r="CK57" s="1669"/>
      <c r="CL57" s="1669"/>
      <c r="CM57" s="1669"/>
      <c r="CN57" s="974"/>
      <c r="CO57" s="1000"/>
      <c r="CP57" s="1000"/>
      <c r="CQ57" s="885">
        <f t="shared" si="0"/>
        <v>0</v>
      </c>
    </row>
    <row r="58" spans="1:95" s="976" customFormat="1" ht="14.1" hidden="1" customHeight="1" x14ac:dyDescent="0.25">
      <c r="A58" s="973"/>
      <c r="B58" s="950"/>
      <c r="C58" s="977"/>
      <c r="D58" s="977"/>
      <c r="E58" s="977"/>
      <c r="F58" s="977"/>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1668"/>
      <c r="AH58" s="1668"/>
      <c r="AI58" s="1668"/>
      <c r="AJ58" s="1668"/>
      <c r="AK58" s="1668"/>
      <c r="AL58" s="1668"/>
      <c r="AM58" s="935"/>
      <c r="AN58" s="1669"/>
      <c r="AO58" s="1669"/>
      <c r="AP58" s="1669"/>
      <c r="AQ58" s="1669"/>
      <c r="AR58" s="1669"/>
      <c r="AS58" s="1669"/>
      <c r="AT58" s="974"/>
      <c r="AU58" s="975"/>
      <c r="AV58" s="950"/>
      <c r="AW58" s="977"/>
      <c r="AX58" s="977"/>
      <c r="AY58" s="977"/>
      <c r="AZ58" s="977"/>
      <c r="BA58" s="977"/>
      <c r="BB58" s="977"/>
      <c r="BC58" s="977"/>
      <c r="BD58" s="977"/>
      <c r="BE58" s="977"/>
      <c r="BF58" s="977"/>
      <c r="BG58" s="977"/>
      <c r="BH58" s="977"/>
      <c r="BI58" s="977"/>
      <c r="BJ58" s="977"/>
      <c r="BK58" s="977"/>
      <c r="BL58" s="977"/>
      <c r="BM58" s="977"/>
      <c r="BN58" s="977"/>
      <c r="BO58" s="977"/>
      <c r="BP58" s="977"/>
      <c r="BQ58" s="977"/>
      <c r="BR58" s="977"/>
      <c r="BS58" s="977"/>
      <c r="BT58" s="977"/>
      <c r="BU58" s="977"/>
      <c r="BV58" s="977"/>
      <c r="BW58" s="977"/>
      <c r="BX58" s="977"/>
      <c r="BY58" s="977"/>
      <c r="BZ58" s="977"/>
      <c r="CA58" s="1668"/>
      <c r="CB58" s="1668"/>
      <c r="CC58" s="1668"/>
      <c r="CD58" s="1668"/>
      <c r="CE58" s="1668"/>
      <c r="CF58" s="1668"/>
      <c r="CG58" s="935"/>
      <c r="CH58" s="1669"/>
      <c r="CI58" s="1669"/>
      <c r="CJ58" s="1669"/>
      <c r="CK58" s="1669"/>
      <c r="CL58" s="1669"/>
      <c r="CM58" s="1669"/>
      <c r="CN58" s="974"/>
      <c r="CO58" s="1000"/>
      <c r="CP58" s="1000"/>
      <c r="CQ58" s="885">
        <f t="shared" si="0"/>
        <v>0</v>
      </c>
    </row>
    <row r="59" spans="1:95" s="976" customFormat="1" ht="14.1" hidden="1" customHeight="1" x14ac:dyDescent="0.25">
      <c r="A59" s="973"/>
      <c r="B59" s="950"/>
      <c r="C59" s="989" t="s">
        <v>2056</v>
      </c>
      <c r="D59" s="989"/>
      <c r="E59" s="989"/>
      <c r="F59" s="989"/>
      <c r="G59" s="989"/>
      <c r="H59" s="989"/>
      <c r="I59" s="989"/>
      <c r="J59" s="989"/>
      <c r="K59" s="989"/>
      <c r="L59" s="989"/>
      <c r="M59" s="1670" t="s">
        <v>1118</v>
      </c>
      <c r="N59" s="1670"/>
      <c r="O59" s="1670"/>
      <c r="P59" s="939"/>
      <c r="Q59" s="1670">
        <v>0.1</v>
      </c>
      <c r="R59" s="1670"/>
      <c r="S59" s="1670"/>
      <c r="T59" s="1003"/>
      <c r="U59" s="1671">
        <v>2015</v>
      </c>
      <c r="V59" s="1671"/>
      <c r="W59" s="1671"/>
      <c r="X59" s="989"/>
      <c r="Y59" s="1672" t="s">
        <v>1119</v>
      </c>
      <c r="Z59" s="1672"/>
      <c r="AA59" s="1672"/>
      <c r="AB59" s="1672"/>
      <c r="AC59" s="1672"/>
      <c r="AD59" s="1672"/>
      <c r="AE59" s="1672"/>
      <c r="AF59" s="989"/>
      <c r="AG59" s="1673"/>
      <c r="AH59" s="1673"/>
      <c r="AI59" s="1673"/>
      <c r="AJ59" s="1673"/>
      <c r="AK59" s="1673"/>
      <c r="AL59" s="1673"/>
      <c r="AM59" s="935"/>
      <c r="AN59" s="1673"/>
      <c r="AO59" s="1673"/>
      <c r="AP59" s="1673"/>
      <c r="AQ59" s="1673"/>
      <c r="AR59" s="1673"/>
      <c r="AS59" s="1673"/>
      <c r="AT59" s="974"/>
      <c r="AU59" s="975"/>
      <c r="AV59" s="950"/>
      <c r="AW59" s="989" t="s">
        <v>2056</v>
      </c>
      <c r="AX59" s="989"/>
      <c r="AY59" s="989"/>
      <c r="AZ59" s="989"/>
      <c r="BA59" s="989"/>
      <c r="BB59" s="989"/>
      <c r="BC59" s="989"/>
      <c r="BD59" s="989"/>
      <c r="BE59" s="989"/>
      <c r="BF59" s="989"/>
      <c r="BG59" s="1670" t="s">
        <v>1118</v>
      </c>
      <c r="BH59" s="1670"/>
      <c r="BI59" s="1670"/>
      <c r="BJ59" s="939"/>
      <c r="BK59" s="1670">
        <v>0.1</v>
      </c>
      <c r="BL59" s="1670"/>
      <c r="BM59" s="1670"/>
      <c r="BN59" s="1003"/>
      <c r="BO59" s="1671">
        <v>2015</v>
      </c>
      <c r="BP59" s="1671"/>
      <c r="BQ59" s="1671"/>
      <c r="BR59" s="989"/>
      <c r="BS59" s="1672" t="s">
        <v>1121</v>
      </c>
      <c r="BT59" s="1672"/>
      <c r="BU59" s="1672"/>
      <c r="BV59" s="1672"/>
      <c r="BW59" s="1672"/>
      <c r="BX59" s="1672"/>
      <c r="BY59" s="1672"/>
      <c r="BZ59" s="989"/>
      <c r="CA59" s="1673">
        <f>AG59</f>
        <v>0</v>
      </c>
      <c r="CB59" s="1673"/>
      <c r="CC59" s="1673"/>
      <c r="CD59" s="1673"/>
      <c r="CE59" s="1673"/>
      <c r="CF59" s="1673"/>
      <c r="CG59" s="935"/>
      <c r="CH59" s="1673">
        <f>AN59</f>
        <v>0</v>
      </c>
      <c r="CI59" s="1673"/>
      <c r="CJ59" s="1673"/>
      <c r="CK59" s="1673"/>
      <c r="CL59" s="1673"/>
      <c r="CM59" s="1673"/>
      <c r="CN59" s="974"/>
      <c r="CO59" s="1000"/>
      <c r="CP59" s="1000"/>
      <c r="CQ59" s="885">
        <f t="shared" si="0"/>
        <v>0</v>
      </c>
    </row>
    <row r="60" spans="1:95" s="976" customFormat="1" ht="14.1" hidden="1" customHeight="1" x14ac:dyDescent="0.25">
      <c r="A60" s="973"/>
      <c r="B60" s="950"/>
      <c r="C60" s="989" t="s">
        <v>2058</v>
      </c>
      <c r="D60" s="989"/>
      <c r="E60" s="989"/>
      <c r="F60" s="989"/>
      <c r="G60" s="989"/>
      <c r="H60" s="989"/>
      <c r="I60" s="989"/>
      <c r="J60" s="989"/>
      <c r="K60" s="989"/>
      <c r="L60" s="989"/>
      <c r="M60" s="1670" t="s">
        <v>2054</v>
      </c>
      <c r="N60" s="1670"/>
      <c r="O60" s="1670"/>
      <c r="P60" s="939"/>
      <c r="Q60" s="1670">
        <v>0.1</v>
      </c>
      <c r="R60" s="1670"/>
      <c r="S60" s="1670"/>
      <c r="T60" s="1003"/>
      <c r="U60" s="1671">
        <v>2020</v>
      </c>
      <c r="V60" s="1671"/>
      <c r="W60" s="1671"/>
      <c r="X60" s="989"/>
      <c r="Y60" s="1672" t="s">
        <v>1119</v>
      </c>
      <c r="Z60" s="1672"/>
      <c r="AA60" s="1672"/>
      <c r="AB60" s="1672"/>
      <c r="AC60" s="1672"/>
      <c r="AD60" s="1672"/>
      <c r="AE60" s="1672"/>
      <c r="AF60" s="989"/>
      <c r="AG60" s="1673"/>
      <c r="AH60" s="1673"/>
      <c r="AI60" s="1673"/>
      <c r="AJ60" s="1673"/>
      <c r="AK60" s="1673"/>
      <c r="AL60" s="1673"/>
      <c r="AM60" s="935"/>
      <c r="AN60" s="1673"/>
      <c r="AO60" s="1673"/>
      <c r="AP60" s="1673"/>
      <c r="AQ60" s="1673"/>
      <c r="AR60" s="1673"/>
      <c r="AS60" s="1673"/>
      <c r="AT60" s="974"/>
      <c r="AU60" s="975"/>
      <c r="AV60" s="950"/>
      <c r="AW60" s="989" t="s">
        <v>2058</v>
      </c>
      <c r="AX60" s="989"/>
      <c r="AY60" s="989"/>
      <c r="AZ60" s="989"/>
      <c r="BA60" s="989"/>
      <c r="BB60" s="989"/>
      <c r="BC60" s="989"/>
      <c r="BD60" s="989"/>
      <c r="BE60" s="989"/>
      <c r="BF60" s="989"/>
      <c r="BG60" s="1670" t="s">
        <v>2054</v>
      </c>
      <c r="BH60" s="1670"/>
      <c r="BI60" s="1670"/>
      <c r="BJ60" s="939"/>
      <c r="BK60" s="1670">
        <v>0.1</v>
      </c>
      <c r="BL60" s="1670"/>
      <c r="BM60" s="1670"/>
      <c r="BN60" s="1003"/>
      <c r="BO60" s="1671">
        <v>2020</v>
      </c>
      <c r="BP60" s="1671"/>
      <c r="BQ60" s="1671"/>
      <c r="BR60" s="989"/>
      <c r="BS60" s="1672" t="s">
        <v>1121</v>
      </c>
      <c r="BT60" s="1672"/>
      <c r="BU60" s="1672"/>
      <c r="BV60" s="1672"/>
      <c r="BW60" s="1672"/>
      <c r="BX60" s="1672"/>
      <c r="BY60" s="1672"/>
      <c r="BZ60" s="989"/>
      <c r="CA60" s="1673">
        <f>AG60</f>
        <v>0</v>
      </c>
      <c r="CB60" s="1673"/>
      <c r="CC60" s="1673"/>
      <c r="CD60" s="1673"/>
      <c r="CE60" s="1673"/>
      <c r="CF60" s="1673"/>
      <c r="CG60" s="935"/>
      <c r="CH60" s="1673">
        <f>AN60</f>
        <v>0</v>
      </c>
      <c r="CI60" s="1673"/>
      <c r="CJ60" s="1673"/>
      <c r="CK60" s="1673"/>
      <c r="CL60" s="1673"/>
      <c r="CM60" s="1673"/>
      <c r="CN60" s="974"/>
      <c r="CO60" s="1000"/>
      <c r="CP60" s="1000"/>
      <c r="CQ60" s="885">
        <f t="shared" si="0"/>
        <v>0</v>
      </c>
    </row>
    <row r="61" spans="1:95" s="976" customFormat="1" ht="14.1" hidden="1" customHeight="1" x14ac:dyDescent="0.25">
      <c r="A61" s="973"/>
      <c r="B61" s="950"/>
      <c r="C61" s="989"/>
      <c r="D61" s="989"/>
      <c r="E61" s="989"/>
      <c r="F61" s="989"/>
      <c r="G61" s="989"/>
      <c r="H61" s="989"/>
      <c r="I61" s="989"/>
      <c r="J61" s="989"/>
      <c r="K61" s="989"/>
      <c r="L61" s="989"/>
      <c r="M61" s="989"/>
      <c r="N61" s="989"/>
      <c r="O61" s="989"/>
      <c r="P61" s="989"/>
      <c r="Q61" s="989"/>
      <c r="R61" s="989"/>
      <c r="S61" s="989"/>
      <c r="T61" s="989"/>
      <c r="U61" s="989"/>
      <c r="V61" s="989"/>
      <c r="W61" s="989"/>
      <c r="X61" s="989"/>
      <c r="Y61" s="989"/>
      <c r="Z61" s="989"/>
      <c r="AA61" s="989"/>
      <c r="AB61" s="989"/>
      <c r="AC61" s="989"/>
      <c r="AD61" s="989"/>
      <c r="AE61" s="989"/>
      <c r="AF61" s="989"/>
      <c r="AG61" s="989"/>
      <c r="AH61" s="989"/>
      <c r="AI61" s="989"/>
      <c r="AJ61" s="989"/>
      <c r="AK61" s="989"/>
      <c r="AL61" s="989"/>
      <c r="AM61" s="989"/>
      <c r="AN61" s="989"/>
      <c r="AO61" s="989"/>
      <c r="AP61" s="989"/>
      <c r="AQ61" s="989"/>
      <c r="AR61" s="989"/>
      <c r="AS61" s="989"/>
      <c r="AT61" s="974"/>
      <c r="AU61" s="975"/>
      <c r="AV61" s="950"/>
      <c r="AW61" s="989"/>
      <c r="AX61" s="989"/>
      <c r="AY61" s="989"/>
      <c r="AZ61" s="989"/>
      <c r="BA61" s="989"/>
      <c r="BB61" s="989"/>
      <c r="BC61" s="989"/>
      <c r="BD61" s="989"/>
      <c r="BE61" s="989"/>
      <c r="BF61" s="989"/>
      <c r="BG61" s="989"/>
      <c r="BH61" s="989"/>
      <c r="BI61" s="989"/>
      <c r="BJ61" s="989"/>
      <c r="BK61" s="989"/>
      <c r="BL61" s="989"/>
      <c r="BM61" s="989"/>
      <c r="BN61" s="989"/>
      <c r="BO61" s="989"/>
      <c r="BP61" s="989"/>
      <c r="BQ61" s="989"/>
      <c r="BR61" s="989"/>
      <c r="BS61" s="989"/>
      <c r="BT61" s="989"/>
      <c r="BU61" s="989"/>
      <c r="BV61" s="989"/>
      <c r="BW61" s="989"/>
      <c r="BX61" s="989"/>
      <c r="BY61" s="989"/>
      <c r="BZ61" s="989"/>
      <c r="CA61" s="989"/>
      <c r="CB61" s="989"/>
      <c r="CC61" s="989"/>
      <c r="CD61" s="989"/>
      <c r="CE61" s="989"/>
      <c r="CF61" s="989"/>
      <c r="CG61" s="989"/>
      <c r="CH61" s="989"/>
      <c r="CI61" s="989"/>
      <c r="CJ61" s="989"/>
      <c r="CK61" s="989"/>
      <c r="CL61" s="989"/>
      <c r="CM61" s="989"/>
      <c r="CN61" s="974"/>
      <c r="CO61" s="1000"/>
      <c r="CP61" s="1000"/>
      <c r="CQ61" s="885">
        <f t="shared" si="0"/>
        <v>0</v>
      </c>
    </row>
    <row r="62" spans="1:95" s="976" customFormat="1" ht="15" hidden="1" customHeight="1" x14ac:dyDescent="0.25">
      <c r="A62" s="973"/>
      <c r="B62" s="950"/>
      <c r="C62" s="989"/>
      <c r="D62" s="989"/>
      <c r="E62" s="989"/>
      <c r="F62" s="989"/>
      <c r="G62" s="989"/>
      <c r="H62" s="989"/>
      <c r="I62" s="989"/>
      <c r="J62" s="989"/>
      <c r="K62" s="989"/>
      <c r="L62" s="989"/>
      <c r="M62" s="989"/>
      <c r="N62" s="989"/>
      <c r="O62" s="989"/>
      <c r="P62" s="989"/>
      <c r="Q62" s="989"/>
      <c r="R62" s="989"/>
      <c r="S62" s="989"/>
      <c r="T62" s="989"/>
      <c r="U62" s="989"/>
      <c r="V62" s="989"/>
      <c r="W62" s="989"/>
      <c r="X62" s="989"/>
      <c r="Y62" s="989"/>
      <c r="Z62" s="989"/>
      <c r="AA62" s="989"/>
      <c r="AB62" s="989"/>
      <c r="AC62" s="989"/>
      <c r="AD62" s="989"/>
      <c r="AE62" s="989"/>
      <c r="AF62" s="989"/>
      <c r="AG62" s="1667">
        <f>SUBTOTAL(109,AG59:AL60)</f>
        <v>0</v>
      </c>
      <c r="AH62" s="1667"/>
      <c r="AI62" s="1667"/>
      <c r="AJ62" s="1667"/>
      <c r="AK62" s="1667"/>
      <c r="AL62" s="1667"/>
      <c r="AM62" s="994"/>
      <c r="AN62" s="1667">
        <f>SUBTOTAL(109,AN59:AS60)</f>
        <v>0</v>
      </c>
      <c r="AO62" s="1667"/>
      <c r="AP62" s="1667"/>
      <c r="AQ62" s="1667"/>
      <c r="AR62" s="1667"/>
      <c r="AS62" s="1667"/>
      <c r="AT62" s="974"/>
      <c r="AU62" s="975"/>
      <c r="AV62" s="950"/>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c r="BT62" s="989"/>
      <c r="BU62" s="989"/>
      <c r="BV62" s="989"/>
      <c r="BW62" s="989"/>
      <c r="BX62" s="989"/>
      <c r="BY62" s="989"/>
      <c r="BZ62" s="989"/>
      <c r="CA62" s="1667">
        <f>SUBTOTAL(109,CA59:CF60)</f>
        <v>0</v>
      </c>
      <c r="CB62" s="1667"/>
      <c r="CC62" s="1667"/>
      <c r="CD62" s="1667"/>
      <c r="CE62" s="1667"/>
      <c r="CF62" s="1667"/>
      <c r="CG62" s="994"/>
      <c r="CH62" s="1667">
        <f>SUBTOTAL(109,CH59:CM60)</f>
        <v>0</v>
      </c>
      <c r="CI62" s="1667"/>
      <c r="CJ62" s="1667"/>
      <c r="CK62" s="1667"/>
      <c r="CL62" s="1667"/>
      <c r="CM62" s="1667"/>
      <c r="CN62" s="974"/>
      <c r="CO62" s="1000">
        <f>AG24-AG62</f>
        <v>0</v>
      </c>
      <c r="CP62" s="1000">
        <f>E24-AN62</f>
        <v>0</v>
      </c>
      <c r="CQ62" s="885">
        <f t="shared" si="0"/>
        <v>0</v>
      </c>
    </row>
    <row r="63" spans="1:95" s="976" customFormat="1" ht="14.1" hidden="1" customHeight="1" x14ac:dyDescent="0.25">
      <c r="A63" s="973"/>
      <c r="B63" s="950"/>
      <c r="C63" s="939"/>
      <c r="D63" s="939"/>
      <c r="E63" s="939"/>
      <c r="F63" s="939"/>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74"/>
      <c r="AU63" s="975"/>
      <c r="AV63" s="950"/>
      <c r="AW63" s="939"/>
      <c r="AX63" s="939"/>
      <c r="AY63" s="939"/>
      <c r="AZ63" s="939"/>
      <c r="BA63" s="939"/>
      <c r="BB63" s="939"/>
      <c r="BC63" s="939"/>
      <c r="BD63" s="939"/>
      <c r="BE63" s="939"/>
      <c r="BF63" s="939"/>
      <c r="BG63" s="939"/>
      <c r="BH63" s="939"/>
      <c r="BI63" s="939"/>
      <c r="BJ63" s="939"/>
      <c r="BK63" s="939"/>
      <c r="BL63" s="939"/>
      <c r="BM63" s="939"/>
      <c r="BN63" s="939"/>
      <c r="BO63" s="939"/>
      <c r="BP63" s="939"/>
      <c r="BQ63" s="939"/>
      <c r="BR63" s="939"/>
      <c r="BS63" s="939"/>
      <c r="BT63" s="939"/>
      <c r="BU63" s="939"/>
      <c r="BV63" s="939"/>
      <c r="BW63" s="939"/>
      <c r="BX63" s="939"/>
      <c r="BY63" s="939"/>
      <c r="BZ63" s="939"/>
      <c r="CA63" s="939"/>
      <c r="CB63" s="939"/>
      <c r="CC63" s="939"/>
      <c r="CD63" s="939"/>
      <c r="CE63" s="939"/>
      <c r="CF63" s="939"/>
      <c r="CG63" s="939"/>
      <c r="CH63" s="939"/>
      <c r="CI63" s="939"/>
      <c r="CJ63" s="939"/>
      <c r="CK63" s="939"/>
      <c r="CL63" s="939"/>
      <c r="CM63" s="939"/>
      <c r="CN63" s="974"/>
      <c r="CO63" s="1000"/>
      <c r="CP63" s="1000"/>
      <c r="CQ63" s="885">
        <f t="shared" si="0"/>
        <v>0</v>
      </c>
    </row>
    <row r="64" spans="1:95" s="976" customFormat="1" ht="14.1" hidden="1" customHeight="1" x14ac:dyDescent="0.25">
      <c r="A64" s="973"/>
      <c r="B64" s="950"/>
      <c r="C64" s="933" t="s">
        <v>1134</v>
      </c>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1668"/>
      <c r="AH64" s="1668"/>
      <c r="AI64" s="1668"/>
      <c r="AJ64" s="1668"/>
      <c r="AK64" s="1668"/>
      <c r="AL64" s="1668"/>
      <c r="AM64" s="935"/>
      <c r="AN64" s="1669"/>
      <c r="AO64" s="1669"/>
      <c r="AP64" s="1669"/>
      <c r="AQ64" s="1669"/>
      <c r="AR64" s="1669"/>
      <c r="AS64" s="1669"/>
      <c r="AT64" s="974"/>
      <c r="AU64" s="975"/>
      <c r="AV64" s="950"/>
      <c r="AW64" s="933" t="s">
        <v>1135</v>
      </c>
      <c r="AX64" s="939"/>
      <c r="AY64" s="939"/>
      <c r="AZ64" s="939"/>
      <c r="BA64" s="939"/>
      <c r="BB64" s="939"/>
      <c r="BC64" s="939"/>
      <c r="BD64" s="939"/>
      <c r="BE64" s="939"/>
      <c r="BF64" s="939"/>
      <c r="BG64" s="939"/>
      <c r="BH64" s="939"/>
      <c r="BI64" s="939"/>
      <c r="BJ64" s="939"/>
      <c r="BK64" s="939"/>
      <c r="BL64" s="939"/>
      <c r="BM64" s="939"/>
      <c r="BN64" s="939"/>
      <c r="BO64" s="939"/>
      <c r="BP64" s="939"/>
      <c r="BQ64" s="939"/>
      <c r="BR64" s="939"/>
      <c r="BS64" s="939"/>
      <c r="BT64" s="939"/>
      <c r="BU64" s="939"/>
      <c r="BV64" s="939"/>
      <c r="BW64" s="939"/>
      <c r="BX64" s="939"/>
      <c r="BY64" s="939"/>
      <c r="BZ64" s="939"/>
      <c r="CA64" s="1668"/>
      <c r="CB64" s="1668"/>
      <c r="CC64" s="1668"/>
      <c r="CD64" s="1668"/>
      <c r="CE64" s="1668"/>
      <c r="CF64" s="1668"/>
      <c r="CG64" s="935"/>
      <c r="CH64" s="1669"/>
      <c r="CI64" s="1669"/>
      <c r="CJ64" s="1669"/>
      <c r="CK64" s="1669"/>
      <c r="CL64" s="1669"/>
      <c r="CM64" s="1669"/>
      <c r="CN64" s="974"/>
      <c r="CO64" s="1000"/>
      <c r="CP64" s="1000"/>
      <c r="CQ64" s="885">
        <f t="shared" si="0"/>
        <v>0</v>
      </c>
    </row>
    <row r="65" spans="1:95" s="976" customFormat="1" ht="14.1" hidden="1" customHeight="1" x14ac:dyDescent="0.25">
      <c r="A65" s="973"/>
      <c r="B65" s="950"/>
      <c r="C65" s="939"/>
      <c r="D65" s="939"/>
      <c r="E65" s="939"/>
      <c r="F65" s="939"/>
      <c r="G65" s="939"/>
      <c r="H65" s="939"/>
      <c r="I65" s="939"/>
      <c r="J65" s="939"/>
      <c r="K65" s="939"/>
      <c r="L65" s="939"/>
      <c r="M65" s="939"/>
      <c r="N65" s="939"/>
      <c r="O65" s="939"/>
      <c r="P65" s="939"/>
      <c r="Q65" s="939"/>
      <c r="R65" s="939"/>
      <c r="S65" s="939"/>
      <c r="T65" s="939"/>
      <c r="U65" s="939"/>
      <c r="V65" s="939"/>
      <c r="W65" s="939"/>
      <c r="X65" s="939"/>
      <c r="Y65" s="939"/>
      <c r="Z65" s="939"/>
      <c r="AA65" s="939"/>
      <c r="AB65" s="939"/>
      <c r="AC65" s="939"/>
      <c r="AD65" s="939"/>
      <c r="AE65" s="939"/>
      <c r="AF65" s="939"/>
      <c r="AG65" s="939"/>
      <c r="AH65" s="939"/>
      <c r="AI65" s="939"/>
      <c r="AJ65" s="939"/>
      <c r="AK65" s="939"/>
      <c r="AL65" s="939"/>
      <c r="AM65" s="939"/>
      <c r="AN65" s="939"/>
      <c r="AO65" s="939"/>
      <c r="AP65" s="939"/>
      <c r="AQ65" s="939"/>
      <c r="AR65" s="939"/>
      <c r="AS65" s="939"/>
      <c r="AT65" s="974"/>
      <c r="AU65" s="975"/>
      <c r="AV65" s="950"/>
      <c r="AW65" s="939"/>
      <c r="AX65" s="939"/>
      <c r="AY65" s="939"/>
      <c r="AZ65" s="939"/>
      <c r="BA65" s="939"/>
      <c r="BB65" s="939"/>
      <c r="BC65" s="939"/>
      <c r="BD65" s="939"/>
      <c r="BE65" s="939"/>
      <c r="BF65" s="939"/>
      <c r="BG65" s="939"/>
      <c r="BH65" s="939"/>
      <c r="BI65" s="939"/>
      <c r="BJ65" s="939"/>
      <c r="BK65" s="939"/>
      <c r="BL65" s="939"/>
      <c r="BM65" s="939"/>
      <c r="BN65" s="939"/>
      <c r="BO65" s="939"/>
      <c r="BP65" s="939"/>
      <c r="BQ65" s="939"/>
      <c r="BR65" s="939"/>
      <c r="BS65" s="939"/>
      <c r="BT65" s="939"/>
      <c r="BU65" s="939"/>
      <c r="BV65" s="939"/>
      <c r="BW65" s="939"/>
      <c r="BX65" s="939"/>
      <c r="BY65" s="939"/>
      <c r="BZ65" s="939"/>
      <c r="CA65" s="939"/>
      <c r="CB65" s="939"/>
      <c r="CC65" s="939"/>
      <c r="CD65" s="939"/>
      <c r="CE65" s="939"/>
      <c r="CF65" s="939"/>
      <c r="CG65" s="939"/>
      <c r="CH65" s="939"/>
      <c r="CI65" s="939"/>
      <c r="CJ65" s="939"/>
      <c r="CK65" s="939"/>
      <c r="CL65" s="939"/>
      <c r="CM65" s="939"/>
      <c r="CN65" s="974"/>
      <c r="CO65" s="1000"/>
      <c r="CP65" s="1000"/>
      <c r="CQ65" s="885">
        <f t="shared" si="0"/>
        <v>0</v>
      </c>
    </row>
    <row r="66" spans="1:95" s="972" customFormat="1" ht="15" hidden="1" customHeight="1" thickBot="1" x14ac:dyDescent="0.3">
      <c r="A66" s="962"/>
      <c r="B66" s="963"/>
      <c r="C66" s="964" t="s">
        <v>1136</v>
      </c>
      <c r="D66" s="942"/>
      <c r="E66" s="942"/>
      <c r="F66" s="94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1645">
        <f>SUM(AG62:AL64)</f>
        <v>0</v>
      </c>
      <c r="AH66" s="1645"/>
      <c r="AI66" s="1645"/>
      <c r="AJ66" s="1645"/>
      <c r="AK66" s="1645"/>
      <c r="AL66" s="1645"/>
      <c r="AM66" s="994"/>
      <c r="AN66" s="1645">
        <f>SUM(AN62:AS64)</f>
        <v>0</v>
      </c>
      <c r="AO66" s="1645"/>
      <c r="AP66" s="1645"/>
      <c r="AQ66" s="1645"/>
      <c r="AR66" s="1645"/>
      <c r="AS66" s="1645"/>
      <c r="AT66" s="968"/>
      <c r="AU66" s="969"/>
      <c r="AV66" s="963"/>
      <c r="AW66" s="964" t="s">
        <v>1137</v>
      </c>
      <c r="AX66" s="942"/>
      <c r="AY66" s="942"/>
      <c r="AZ66" s="942"/>
      <c r="BA66" s="942"/>
      <c r="BB66" s="942"/>
      <c r="BC66" s="942"/>
      <c r="BD66" s="942"/>
      <c r="BE66" s="942"/>
      <c r="BF66" s="942"/>
      <c r="BG66" s="942"/>
      <c r="BH66" s="942"/>
      <c r="BI66" s="942"/>
      <c r="BJ66" s="942"/>
      <c r="BK66" s="942"/>
      <c r="BL66" s="942"/>
      <c r="BM66" s="942"/>
      <c r="BN66" s="942"/>
      <c r="BO66" s="942"/>
      <c r="BP66" s="942"/>
      <c r="BQ66" s="942"/>
      <c r="BR66" s="942"/>
      <c r="BS66" s="942"/>
      <c r="BT66" s="942"/>
      <c r="BU66" s="942"/>
      <c r="BV66" s="942"/>
      <c r="BW66" s="942"/>
      <c r="BX66" s="942"/>
      <c r="BY66" s="942"/>
      <c r="BZ66" s="942"/>
      <c r="CA66" s="1645">
        <f>SUM(CA62:CF64)</f>
        <v>0</v>
      </c>
      <c r="CB66" s="1645"/>
      <c r="CC66" s="1645"/>
      <c r="CD66" s="1645"/>
      <c r="CE66" s="1645"/>
      <c r="CF66" s="1645"/>
      <c r="CG66" s="994"/>
      <c r="CH66" s="1645">
        <f>SUM(CH62:CM64)</f>
        <v>0</v>
      </c>
      <c r="CI66" s="1645"/>
      <c r="CJ66" s="1645"/>
      <c r="CK66" s="1645"/>
      <c r="CL66" s="1645"/>
      <c r="CM66" s="1645"/>
      <c r="CN66" s="968"/>
      <c r="CO66" s="1004">
        <f>AG66-KN_CT338</f>
        <v>0</v>
      </c>
      <c r="CP66" s="1004">
        <f>AN66-KT_CT338</f>
        <v>0</v>
      </c>
      <c r="CQ66" s="971">
        <f t="shared" si="0"/>
        <v>0</v>
      </c>
    </row>
    <row r="67" spans="1:95" s="976" customFormat="1" ht="14.1" hidden="1" customHeight="1" thickTop="1" x14ac:dyDescent="0.25">
      <c r="A67" s="973"/>
      <c r="B67" s="950"/>
      <c r="C67" s="939"/>
      <c r="D67" s="939"/>
      <c r="E67" s="939"/>
      <c r="F67" s="939"/>
      <c r="G67" s="939"/>
      <c r="H67" s="939"/>
      <c r="I67" s="939"/>
      <c r="J67" s="939"/>
      <c r="K67" s="939"/>
      <c r="L67" s="939"/>
      <c r="M67" s="939"/>
      <c r="N67" s="939"/>
      <c r="O67" s="939"/>
      <c r="P67" s="939"/>
      <c r="Q67" s="939"/>
      <c r="R67" s="939"/>
      <c r="S67" s="939"/>
      <c r="T67" s="939"/>
      <c r="U67" s="939"/>
      <c r="V67" s="939"/>
      <c r="W67" s="939"/>
      <c r="X67" s="939"/>
      <c r="Y67" s="939"/>
      <c r="Z67" s="939"/>
      <c r="AA67" s="939"/>
      <c r="AB67" s="939"/>
      <c r="AC67" s="939"/>
      <c r="AD67" s="939"/>
      <c r="AE67" s="939"/>
      <c r="AF67" s="939"/>
      <c r="AG67" s="939"/>
      <c r="AH67" s="939"/>
      <c r="AI67" s="939"/>
      <c r="AJ67" s="939"/>
      <c r="AK67" s="939"/>
      <c r="AL67" s="939"/>
      <c r="AM67" s="939"/>
      <c r="AN67" s="939"/>
      <c r="AO67" s="939"/>
      <c r="AP67" s="939"/>
      <c r="AQ67" s="939"/>
      <c r="AR67" s="939"/>
      <c r="AS67" s="939"/>
      <c r="AT67" s="974"/>
      <c r="AU67" s="975"/>
      <c r="AV67" s="950"/>
      <c r="AW67" s="939"/>
      <c r="AX67" s="939"/>
      <c r="AY67" s="939"/>
      <c r="AZ67" s="939"/>
      <c r="BA67" s="939"/>
      <c r="BB67" s="939"/>
      <c r="BC67" s="939"/>
      <c r="BD67" s="939"/>
      <c r="BE67" s="939"/>
      <c r="BF67" s="939"/>
      <c r="BG67" s="939"/>
      <c r="BH67" s="939"/>
      <c r="BI67" s="939"/>
      <c r="BJ67" s="939"/>
      <c r="BK67" s="939"/>
      <c r="BL67" s="939"/>
      <c r="BM67" s="939"/>
      <c r="BN67" s="939"/>
      <c r="BO67" s="939"/>
      <c r="BP67" s="939"/>
      <c r="BQ67" s="939"/>
      <c r="BR67" s="939"/>
      <c r="BS67" s="939"/>
      <c r="BT67" s="939"/>
      <c r="BU67" s="939"/>
      <c r="BV67" s="939"/>
      <c r="BW67" s="939"/>
      <c r="BX67" s="939"/>
      <c r="BY67" s="939"/>
      <c r="BZ67" s="939"/>
      <c r="CA67" s="939"/>
      <c r="CB67" s="939"/>
      <c r="CC67" s="939"/>
      <c r="CD67" s="939"/>
      <c r="CE67" s="939"/>
      <c r="CF67" s="939"/>
      <c r="CG67" s="939"/>
      <c r="CH67" s="939"/>
      <c r="CI67" s="939"/>
      <c r="CJ67" s="939"/>
      <c r="CK67" s="939"/>
      <c r="CL67" s="939"/>
      <c r="CM67" s="939"/>
      <c r="CN67" s="974"/>
      <c r="CO67" s="1000"/>
      <c r="CP67" s="1000"/>
      <c r="CQ67" s="885">
        <f t="shared" si="0"/>
        <v>0</v>
      </c>
    </row>
    <row r="68" spans="1:95" s="976" customFormat="1" ht="14.1" hidden="1" customHeight="1" x14ac:dyDescent="0.25">
      <c r="A68" s="973"/>
      <c r="B68" s="950"/>
      <c r="C68" s="1005" t="s">
        <v>2059</v>
      </c>
      <c r="D68" s="939"/>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74"/>
      <c r="AU68" s="975"/>
      <c r="AV68" s="950"/>
      <c r="AW68" s="1005" t="s">
        <v>2059</v>
      </c>
      <c r="AX68" s="939"/>
      <c r="AY68" s="939"/>
      <c r="AZ68" s="939"/>
      <c r="BA68" s="939"/>
      <c r="BB68" s="939"/>
      <c r="BC68" s="939"/>
      <c r="BD68" s="939"/>
      <c r="BE68" s="939"/>
      <c r="BF68" s="939"/>
      <c r="BG68" s="939"/>
      <c r="BH68" s="939"/>
      <c r="BI68" s="939"/>
      <c r="BJ68" s="939"/>
      <c r="BK68" s="939"/>
      <c r="BL68" s="939"/>
      <c r="BM68" s="939"/>
      <c r="BN68" s="939"/>
      <c r="BO68" s="939"/>
      <c r="BP68" s="939"/>
      <c r="BQ68" s="939"/>
      <c r="BR68" s="939"/>
      <c r="BS68" s="939"/>
      <c r="BT68" s="939"/>
      <c r="BU68" s="939"/>
      <c r="BV68" s="939"/>
      <c r="BW68" s="939"/>
      <c r="BX68" s="939"/>
      <c r="BY68" s="939"/>
      <c r="BZ68" s="939"/>
      <c r="CA68" s="939"/>
      <c r="CB68" s="939"/>
      <c r="CC68" s="939"/>
      <c r="CD68" s="939"/>
      <c r="CE68" s="939"/>
      <c r="CF68" s="939"/>
      <c r="CG68" s="939"/>
      <c r="CH68" s="939"/>
      <c r="CI68" s="939"/>
      <c r="CJ68" s="939"/>
      <c r="CK68" s="939"/>
      <c r="CL68" s="939"/>
      <c r="CM68" s="939"/>
      <c r="CN68" s="974"/>
      <c r="CO68" s="1000"/>
      <c r="CP68" s="1000"/>
      <c r="CQ68" s="885">
        <f t="shared" si="0"/>
        <v>0</v>
      </c>
    </row>
    <row r="69" spans="1:95" s="976" customFormat="1" ht="14.1" hidden="1" customHeight="1" x14ac:dyDescent="0.25">
      <c r="A69" s="973"/>
      <c r="B69" s="950"/>
      <c r="C69" s="939"/>
      <c r="D69" s="939"/>
      <c r="E69" s="939"/>
      <c r="F69" s="939"/>
      <c r="G69" s="939"/>
      <c r="H69" s="939"/>
      <c r="I69" s="939"/>
      <c r="J69" s="939"/>
      <c r="K69" s="939"/>
      <c r="L69" s="939"/>
      <c r="M69" s="939"/>
      <c r="N69" s="939"/>
      <c r="O69" s="939"/>
      <c r="P69" s="939"/>
      <c r="Q69" s="939"/>
      <c r="R69" s="939"/>
      <c r="S69" s="939"/>
      <c r="T69" s="939"/>
      <c r="U69" s="939"/>
      <c r="V69" s="939"/>
      <c r="W69" s="939"/>
      <c r="X69" s="939"/>
      <c r="Y69" s="939"/>
      <c r="Z69" s="939"/>
      <c r="AA69" s="939"/>
      <c r="AB69" s="939"/>
      <c r="AC69" s="939"/>
      <c r="AD69" s="939"/>
      <c r="AE69" s="939"/>
      <c r="AF69" s="939"/>
      <c r="AG69" s="939"/>
      <c r="AH69" s="939"/>
      <c r="AI69" s="939"/>
      <c r="AJ69" s="939"/>
      <c r="AK69" s="939"/>
      <c r="AL69" s="939"/>
      <c r="AM69" s="939"/>
      <c r="AN69" s="939"/>
      <c r="AO69" s="939"/>
      <c r="AP69" s="939"/>
      <c r="AQ69" s="939"/>
      <c r="AR69" s="939"/>
      <c r="AS69" s="939"/>
      <c r="AT69" s="974"/>
      <c r="AU69" s="975"/>
      <c r="AV69" s="950"/>
      <c r="AW69" s="939"/>
      <c r="AX69" s="939"/>
      <c r="AY69" s="939"/>
      <c r="AZ69" s="939"/>
      <c r="BA69" s="939"/>
      <c r="BB69" s="939"/>
      <c r="BC69" s="939"/>
      <c r="BD69" s="939"/>
      <c r="BE69" s="939"/>
      <c r="BF69" s="939"/>
      <c r="BG69" s="939"/>
      <c r="BH69" s="939"/>
      <c r="BI69" s="939"/>
      <c r="BJ69" s="939"/>
      <c r="BK69" s="939"/>
      <c r="BL69" s="939"/>
      <c r="BM69" s="939"/>
      <c r="BN69" s="939"/>
      <c r="BO69" s="939"/>
      <c r="BP69" s="939"/>
      <c r="BQ69" s="939"/>
      <c r="BR69" s="939"/>
      <c r="BS69" s="939"/>
      <c r="BT69" s="939"/>
      <c r="BU69" s="939"/>
      <c r="BV69" s="939"/>
      <c r="BW69" s="939"/>
      <c r="BX69" s="939"/>
      <c r="BY69" s="939"/>
      <c r="BZ69" s="939"/>
      <c r="CA69" s="939"/>
      <c r="CB69" s="939"/>
      <c r="CC69" s="939"/>
      <c r="CD69" s="939"/>
      <c r="CE69" s="939"/>
      <c r="CF69" s="939"/>
      <c r="CG69" s="939"/>
      <c r="CH69" s="939"/>
      <c r="CI69" s="939"/>
      <c r="CJ69" s="939"/>
      <c r="CK69" s="939"/>
      <c r="CL69" s="939"/>
      <c r="CM69" s="939"/>
      <c r="CN69" s="974"/>
      <c r="CO69" s="1000"/>
      <c r="CP69" s="1000"/>
      <c r="CQ69" s="885">
        <f t="shared" si="0"/>
        <v>0</v>
      </c>
    </row>
    <row r="70" spans="1:95" s="976" customFormat="1" ht="42.95" hidden="1" customHeight="1" x14ac:dyDescent="0.25">
      <c r="A70" s="973"/>
      <c r="B70" s="950"/>
      <c r="C70" s="1666" t="s">
        <v>2065</v>
      </c>
      <c r="D70" s="1666"/>
      <c r="E70" s="1666"/>
      <c r="F70" s="1666"/>
      <c r="G70" s="1666"/>
      <c r="H70" s="1666"/>
      <c r="I70" s="1666"/>
      <c r="J70" s="1666"/>
      <c r="K70" s="1666"/>
      <c r="L70" s="1666"/>
      <c r="M70" s="1666"/>
      <c r="N70" s="1666"/>
      <c r="O70" s="1666"/>
      <c r="P70" s="1666"/>
      <c r="Q70" s="1666"/>
      <c r="R70" s="1666"/>
      <c r="S70" s="1666"/>
      <c r="T70" s="1666"/>
      <c r="U70" s="1666"/>
      <c r="V70" s="1666"/>
      <c r="W70" s="1666"/>
      <c r="X70" s="1666"/>
      <c r="Y70" s="1666"/>
      <c r="Z70" s="1666"/>
      <c r="AA70" s="1666"/>
      <c r="AB70" s="1666"/>
      <c r="AC70" s="1666"/>
      <c r="AD70" s="1666"/>
      <c r="AE70" s="1666"/>
      <c r="AF70" s="1666"/>
      <c r="AG70" s="1666"/>
      <c r="AH70" s="1666"/>
      <c r="AI70" s="1666"/>
      <c r="AJ70" s="1666"/>
      <c r="AK70" s="1666"/>
      <c r="AL70" s="1666"/>
      <c r="AM70" s="1666"/>
      <c r="AN70" s="1666"/>
      <c r="AO70" s="1666"/>
      <c r="AP70" s="1666"/>
      <c r="AQ70" s="1666"/>
      <c r="AR70" s="1666"/>
      <c r="AS70" s="1666"/>
      <c r="AT70" s="974"/>
      <c r="AU70" s="975"/>
      <c r="AV70" s="950"/>
      <c r="AW70" s="1666" t="s">
        <v>2066</v>
      </c>
      <c r="AX70" s="1666"/>
      <c r="AY70" s="1666"/>
      <c r="AZ70" s="1666"/>
      <c r="BA70" s="1666"/>
      <c r="BB70" s="1666"/>
      <c r="BC70" s="1666"/>
      <c r="BD70" s="1666"/>
      <c r="BE70" s="1666"/>
      <c r="BF70" s="1666"/>
      <c r="BG70" s="1666"/>
      <c r="BH70" s="1666"/>
      <c r="BI70" s="1666"/>
      <c r="BJ70" s="1666"/>
      <c r="BK70" s="1666"/>
      <c r="BL70" s="1666"/>
      <c r="BM70" s="1666"/>
      <c r="BN70" s="1666"/>
      <c r="BO70" s="1666"/>
      <c r="BP70" s="1666"/>
      <c r="BQ70" s="1666"/>
      <c r="BR70" s="1666"/>
      <c r="BS70" s="1666"/>
      <c r="BT70" s="1666"/>
      <c r="BU70" s="1666"/>
      <c r="BV70" s="1666"/>
      <c r="BW70" s="1666"/>
      <c r="BX70" s="1666"/>
      <c r="BY70" s="1666"/>
      <c r="BZ70" s="1666"/>
      <c r="CA70" s="1666"/>
      <c r="CB70" s="1666"/>
      <c r="CC70" s="1666"/>
      <c r="CD70" s="1666"/>
      <c r="CE70" s="1666"/>
      <c r="CF70" s="1666"/>
      <c r="CG70" s="1666"/>
      <c r="CH70" s="1666"/>
      <c r="CI70" s="1666"/>
      <c r="CJ70" s="1666"/>
      <c r="CK70" s="1666"/>
      <c r="CL70" s="1666"/>
      <c r="CM70" s="1666"/>
      <c r="CN70" s="974"/>
      <c r="CO70" s="1000"/>
      <c r="CP70" s="1000"/>
      <c r="CQ70" s="885">
        <f t="shared" si="0"/>
        <v>0</v>
      </c>
    </row>
    <row r="71" spans="1:95" s="976" customFormat="1" ht="14.1" hidden="1" customHeight="1" x14ac:dyDescent="0.25">
      <c r="A71" s="973"/>
      <c r="B71" s="950"/>
      <c r="C71" s="939"/>
      <c r="D71" s="939"/>
      <c r="E71" s="939"/>
      <c r="F71" s="939"/>
      <c r="G71" s="939"/>
      <c r="H71" s="939"/>
      <c r="I71" s="939"/>
      <c r="J71" s="939"/>
      <c r="K71" s="939"/>
      <c r="L71" s="939"/>
      <c r="M71" s="939"/>
      <c r="N71" s="939"/>
      <c r="O71" s="939"/>
      <c r="P71" s="939"/>
      <c r="Q71" s="939"/>
      <c r="R71" s="939"/>
      <c r="S71" s="939"/>
      <c r="T71" s="939"/>
      <c r="U71" s="939"/>
      <c r="V71" s="939"/>
      <c r="W71" s="939"/>
      <c r="X71" s="939"/>
      <c r="Y71" s="939"/>
      <c r="Z71" s="939"/>
      <c r="AA71" s="939"/>
      <c r="AB71" s="939"/>
      <c r="AC71" s="939"/>
      <c r="AD71" s="939"/>
      <c r="AE71" s="939"/>
      <c r="AF71" s="939"/>
      <c r="AG71" s="939"/>
      <c r="AH71" s="939"/>
      <c r="AI71" s="939"/>
      <c r="AJ71" s="939"/>
      <c r="AK71" s="939"/>
      <c r="AL71" s="939"/>
      <c r="AM71" s="939"/>
      <c r="AN71" s="939"/>
      <c r="AO71" s="939"/>
      <c r="AP71" s="939"/>
      <c r="AQ71" s="939"/>
      <c r="AR71" s="939"/>
      <c r="AS71" s="939"/>
      <c r="AT71" s="974"/>
      <c r="AU71" s="975"/>
      <c r="AV71" s="950"/>
      <c r="AW71" s="939"/>
      <c r="AX71" s="939"/>
      <c r="AY71" s="939"/>
      <c r="AZ71" s="939"/>
      <c r="BA71" s="939"/>
      <c r="BB71" s="939"/>
      <c r="BC71" s="939"/>
      <c r="BD71" s="939"/>
      <c r="BE71" s="939"/>
      <c r="BF71" s="939"/>
      <c r="BG71" s="939"/>
      <c r="BH71" s="939"/>
      <c r="BI71" s="939"/>
      <c r="BJ71" s="939"/>
      <c r="BK71" s="939"/>
      <c r="BL71" s="939"/>
      <c r="BM71" s="939"/>
      <c r="BN71" s="939"/>
      <c r="BO71" s="939"/>
      <c r="BP71" s="939"/>
      <c r="BQ71" s="939"/>
      <c r="BR71" s="939"/>
      <c r="BS71" s="939"/>
      <c r="BT71" s="939"/>
      <c r="BU71" s="939"/>
      <c r="BV71" s="939"/>
      <c r="BW71" s="939"/>
      <c r="BX71" s="939"/>
      <c r="BY71" s="939"/>
      <c r="BZ71" s="939"/>
      <c r="CA71" s="939"/>
      <c r="CB71" s="939"/>
      <c r="CC71" s="939"/>
      <c r="CD71" s="939"/>
      <c r="CE71" s="939"/>
      <c r="CF71" s="939"/>
      <c r="CG71" s="939"/>
      <c r="CH71" s="939"/>
      <c r="CI71" s="939"/>
      <c r="CJ71" s="939"/>
      <c r="CK71" s="939"/>
      <c r="CL71" s="939"/>
      <c r="CM71" s="939"/>
      <c r="CN71" s="974"/>
      <c r="CO71" s="1000"/>
      <c r="CP71" s="1000"/>
      <c r="CQ71" s="885">
        <f t="shared" si="0"/>
        <v>0</v>
      </c>
    </row>
    <row r="72" spans="1:95" s="976" customFormat="1" ht="15" hidden="1" customHeight="1" x14ac:dyDescent="0.25">
      <c r="A72" s="973"/>
      <c r="B72" s="950"/>
      <c r="C72" s="964" t="s">
        <v>2067</v>
      </c>
      <c r="D72" s="964"/>
      <c r="E72" s="964"/>
      <c r="F72" s="964"/>
      <c r="G72" s="964"/>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c r="AL72" s="964"/>
      <c r="AM72" s="964"/>
      <c r="AN72" s="964"/>
      <c r="AO72" s="964"/>
      <c r="AP72" s="964"/>
      <c r="AQ72" s="964"/>
      <c r="AR72" s="964"/>
      <c r="AS72" s="964"/>
      <c r="AT72" s="974"/>
      <c r="AU72" s="975"/>
      <c r="AV72" s="950"/>
      <c r="AW72" s="964" t="s">
        <v>2068</v>
      </c>
      <c r="AX72" s="964"/>
      <c r="AY72" s="964"/>
      <c r="AZ72" s="964"/>
      <c r="BA72" s="964"/>
      <c r="BB72" s="964"/>
      <c r="BC72" s="964"/>
      <c r="BD72" s="964"/>
      <c r="BE72" s="964"/>
      <c r="BF72" s="964"/>
      <c r="BG72" s="964"/>
      <c r="BH72" s="964"/>
      <c r="BI72" s="964"/>
      <c r="BJ72" s="964"/>
      <c r="BK72" s="964"/>
      <c r="BL72" s="964"/>
      <c r="BM72" s="964"/>
      <c r="BN72" s="964"/>
      <c r="BO72" s="964"/>
      <c r="BP72" s="964"/>
      <c r="BQ72" s="964"/>
      <c r="BR72" s="964"/>
      <c r="BS72" s="964"/>
      <c r="BT72" s="964"/>
      <c r="BU72" s="964"/>
      <c r="BV72" s="964"/>
      <c r="BW72" s="964"/>
      <c r="BX72" s="964"/>
      <c r="BY72" s="964"/>
      <c r="BZ72" s="964"/>
      <c r="CA72" s="964"/>
      <c r="CB72" s="964"/>
      <c r="CC72" s="964"/>
      <c r="CD72" s="964"/>
      <c r="CE72" s="964"/>
      <c r="CF72" s="964"/>
      <c r="CG72" s="964"/>
      <c r="CH72" s="964"/>
      <c r="CI72" s="964"/>
      <c r="CJ72" s="964"/>
      <c r="CK72" s="964"/>
      <c r="CL72" s="964"/>
      <c r="CM72" s="964"/>
      <c r="CN72" s="974"/>
      <c r="CO72" s="914"/>
      <c r="CP72" s="914"/>
      <c r="CQ72" s="885">
        <f t="shared" si="0"/>
        <v>0</v>
      </c>
    </row>
    <row r="73" spans="1:95" s="976" customFormat="1" ht="27.95" hidden="1" customHeight="1" x14ac:dyDescent="0.25">
      <c r="A73" s="973"/>
      <c r="B73" s="950"/>
      <c r="C73" s="1665" t="s">
        <v>2069</v>
      </c>
      <c r="D73" s="1665"/>
      <c r="E73" s="1665"/>
      <c r="F73" s="1665"/>
      <c r="G73" s="1665"/>
      <c r="H73" s="1665"/>
      <c r="I73" s="1665"/>
      <c r="J73" s="1665"/>
      <c r="K73" s="1665"/>
      <c r="L73" s="1665"/>
      <c r="M73" s="1665"/>
      <c r="N73" s="1665"/>
      <c r="O73" s="1665"/>
      <c r="P73" s="1665"/>
      <c r="Q73" s="1665"/>
      <c r="R73" s="1665"/>
      <c r="S73" s="1665"/>
      <c r="T73" s="1665"/>
      <c r="U73" s="1665"/>
      <c r="V73" s="1665"/>
      <c r="W73" s="1665"/>
      <c r="X73" s="1665"/>
      <c r="Y73" s="1665"/>
      <c r="Z73" s="1665"/>
      <c r="AA73" s="1665"/>
      <c r="AB73" s="1665"/>
      <c r="AC73" s="1665"/>
      <c r="AD73" s="1665"/>
      <c r="AE73" s="1665"/>
      <c r="AF73" s="1665"/>
      <c r="AG73" s="1665"/>
      <c r="AH73" s="1665"/>
      <c r="AI73" s="1665"/>
      <c r="AJ73" s="1665"/>
      <c r="AK73" s="1665"/>
      <c r="AL73" s="1665"/>
      <c r="AM73" s="1665"/>
      <c r="AN73" s="1665"/>
      <c r="AO73" s="1665"/>
      <c r="AP73" s="1665"/>
      <c r="AQ73" s="1665"/>
      <c r="AR73" s="1665"/>
      <c r="AS73" s="1665"/>
      <c r="AT73" s="1006"/>
      <c r="AU73" s="1007"/>
      <c r="AV73" s="1008"/>
      <c r="AW73" s="1665" t="s">
        <v>2069</v>
      </c>
      <c r="AX73" s="1665"/>
      <c r="AY73" s="1665"/>
      <c r="AZ73" s="1665"/>
      <c r="BA73" s="1665"/>
      <c r="BB73" s="1665"/>
      <c r="BC73" s="1665"/>
      <c r="BD73" s="1665"/>
      <c r="BE73" s="1665"/>
      <c r="BF73" s="1665"/>
      <c r="BG73" s="1665"/>
      <c r="BH73" s="1665"/>
      <c r="BI73" s="1665"/>
      <c r="BJ73" s="1665"/>
      <c r="BK73" s="1665"/>
      <c r="BL73" s="1665"/>
      <c r="BM73" s="1665"/>
      <c r="BN73" s="1665"/>
      <c r="BO73" s="1665"/>
      <c r="BP73" s="1665"/>
      <c r="BQ73" s="1665"/>
      <c r="BR73" s="1665"/>
      <c r="BS73" s="1665"/>
      <c r="BT73" s="1665"/>
      <c r="BU73" s="1665"/>
      <c r="BV73" s="1665"/>
      <c r="BW73" s="1665"/>
      <c r="BX73" s="1665"/>
      <c r="BY73" s="1665"/>
      <c r="BZ73" s="1665"/>
      <c r="CA73" s="1665"/>
      <c r="CB73" s="1665"/>
      <c r="CC73" s="1665"/>
      <c r="CD73" s="1665"/>
      <c r="CE73" s="1665"/>
      <c r="CF73" s="1665"/>
      <c r="CG73" s="1665"/>
      <c r="CH73" s="1665"/>
      <c r="CI73" s="1665"/>
      <c r="CJ73" s="1665"/>
      <c r="CK73" s="1665"/>
      <c r="CL73" s="1665"/>
      <c r="CM73" s="1665"/>
      <c r="CN73" s="974"/>
      <c r="CO73" s="914"/>
      <c r="CP73" s="914"/>
      <c r="CQ73" s="885">
        <f>IF(ISNONTEXT($C73),0,SUM(E73:AS73)-SUM(AY73:CM73))</f>
        <v>0</v>
      </c>
    </row>
    <row r="74" spans="1:95" s="976" customFormat="1" ht="14.1" hidden="1" customHeight="1" x14ac:dyDescent="0.25">
      <c r="A74" s="973"/>
      <c r="B74" s="950"/>
      <c r="C74" s="1665"/>
      <c r="D74" s="1665"/>
      <c r="E74" s="1665"/>
      <c r="F74" s="1665"/>
      <c r="G74" s="1665"/>
      <c r="H74" s="1665"/>
      <c r="I74" s="1665"/>
      <c r="J74" s="1665"/>
      <c r="K74" s="1665"/>
      <c r="L74" s="1665"/>
      <c r="M74" s="1665"/>
      <c r="N74" s="1665"/>
      <c r="O74" s="1665"/>
      <c r="P74" s="1665"/>
      <c r="Q74" s="1665"/>
      <c r="R74" s="1665"/>
      <c r="S74" s="1665"/>
      <c r="T74" s="1665"/>
      <c r="U74" s="1665"/>
      <c r="V74" s="1665"/>
      <c r="W74" s="1665"/>
      <c r="X74" s="1665"/>
      <c r="Y74" s="1665"/>
      <c r="Z74" s="1665"/>
      <c r="AA74" s="1665"/>
      <c r="AB74" s="1665"/>
      <c r="AC74" s="1665"/>
      <c r="AD74" s="1665"/>
      <c r="AE74" s="1665"/>
      <c r="AF74" s="1665"/>
      <c r="AG74" s="1665"/>
      <c r="AH74" s="1665"/>
      <c r="AI74" s="1665"/>
      <c r="AJ74" s="1665"/>
      <c r="AK74" s="1665"/>
      <c r="AL74" s="1665"/>
      <c r="AM74" s="1665"/>
      <c r="AN74" s="1665"/>
      <c r="AO74" s="1665"/>
      <c r="AP74" s="1665"/>
      <c r="AQ74" s="1665"/>
      <c r="AR74" s="1665"/>
      <c r="AS74" s="1665"/>
      <c r="AT74" s="1006"/>
      <c r="AU74" s="1007"/>
      <c r="AV74" s="1008"/>
      <c r="AW74" s="1661"/>
      <c r="AX74" s="1661"/>
      <c r="AY74" s="1661"/>
      <c r="AZ74" s="1661"/>
      <c r="BA74" s="1661"/>
      <c r="BB74" s="1661"/>
      <c r="BC74" s="1661"/>
      <c r="BD74" s="1661"/>
      <c r="BE74" s="1661"/>
      <c r="BF74" s="1661"/>
      <c r="BG74" s="1661"/>
      <c r="BH74" s="1661"/>
      <c r="BI74" s="1661"/>
      <c r="BJ74" s="1661"/>
      <c r="BK74" s="1661"/>
      <c r="BL74" s="1661"/>
      <c r="BM74" s="1661"/>
      <c r="BN74" s="1661"/>
      <c r="BO74" s="1661"/>
      <c r="BP74" s="1661"/>
      <c r="BQ74" s="1661"/>
      <c r="BR74" s="1661"/>
      <c r="BS74" s="1661"/>
      <c r="BT74" s="1661"/>
      <c r="BU74" s="1661"/>
      <c r="BV74" s="1661"/>
      <c r="BW74" s="1661"/>
      <c r="BX74" s="1661"/>
      <c r="BY74" s="1661"/>
      <c r="BZ74" s="1661"/>
      <c r="CA74" s="1661"/>
      <c r="CB74" s="1661"/>
      <c r="CC74" s="1661"/>
      <c r="CD74" s="1661"/>
      <c r="CE74" s="1661"/>
      <c r="CF74" s="1661"/>
      <c r="CG74" s="1661"/>
      <c r="CH74" s="1661"/>
      <c r="CI74" s="1661"/>
      <c r="CJ74" s="1661"/>
      <c r="CK74" s="1661"/>
      <c r="CL74" s="1661"/>
      <c r="CM74" s="1661"/>
      <c r="CN74" s="974"/>
      <c r="CO74" s="914"/>
      <c r="CP74" s="914"/>
      <c r="CQ74" s="885">
        <f>IF(ISNONTEXT($C74),0,SUM(E74:AS74)-SUM(AY74:CM74))</f>
        <v>0</v>
      </c>
    </row>
    <row r="75" spans="1:95" s="976" customFormat="1" ht="14.1" hidden="1" customHeight="1" x14ac:dyDescent="0.25">
      <c r="A75" s="973"/>
      <c r="B75" s="950"/>
      <c r="C75" s="1665" t="s">
        <v>2070</v>
      </c>
      <c r="D75" s="1665"/>
      <c r="E75" s="1665"/>
      <c r="F75" s="1665"/>
      <c r="G75" s="1665"/>
      <c r="H75" s="1665"/>
      <c r="I75" s="1665"/>
      <c r="J75" s="1665"/>
      <c r="K75" s="1665"/>
      <c r="L75" s="1665"/>
      <c r="M75" s="1665"/>
      <c r="N75" s="1665"/>
      <c r="O75" s="1665"/>
      <c r="P75" s="1665"/>
      <c r="Q75" s="1665"/>
      <c r="R75" s="1665"/>
      <c r="S75" s="1665"/>
      <c r="T75" s="1665"/>
      <c r="U75" s="1665"/>
      <c r="V75" s="1665"/>
      <c r="W75" s="1665"/>
      <c r="X75" s="1665"/>
      <c r="Y75" s="1665"/>
      <c r="Z75" s="1665"/>
      <c r="AA75" s="1665"/>
      <c r="AB75" s="1665"/>
      <c r="AC75" s="1665"/>
      <c r="AD75" s="1665"/>
      <c r="AE75" s="1665"/>
      <c r="AF75" s="1665"/>
      <c r="AG75" s="1665"/>
      <c r="AH75" s="1665"/>
      <c r="AI75" s="1665"/>
      <c r="AJ75" s="1665"/>
      <c r="AK75" s="1665"/>
      <c r="AL75" s="1665"/>
      <c r="AM75" s="1665"/>
      <c r="AN75" s="1665"/>
      <c r="AO75" s="1665"/>
      <c r="AP75" s="1665"/>
      <c r="AQ75" s="1665"/>
      <c r="AR75" s="1665"/>
      <c r="AS75" s="1665"/>
      <c r="AT75" s="1006"/>
      <c r="AU75" s="1007"/>
      <c r="AV75" s="1008"/>
      <c r="AW75" s="1665" t="s">
        <v>2070</v>
      </c>
      <c r="AX75" s="1665"/>
      <c r="AY75" s="1665"/>
      <c r="AZ75" s="1665"/>
      <c r="BA75" s="1665"/>
      <c r="BB75" s="1665"/>
      <c r="BC75" s="1665"/>
      <c r="BD75" s="1665"/>
      <c r="BE75" s="1665"/>
      <c r="BF75" s="1665"/>
      <c r="BG75" s="1665"/>
      <c r="BH75" s="1665"/>
      <c r="BI75" s="1665"/>
      <c r="BJ75" s="1665"/>
      <c r="BK75" s="1665"/>
      <c r="BL75" s="1665"/>
      <c r="BM75" s="1665"/>
      <c r="BN75" s="1665"/>
      <c r="BO75" s="1665"/>
      <c r="BP75" s="1665"/>
      <c r="BQ75" s="1665"/>
      <c r="BR75" s="1665"/>
      <c r="BS75" s="1665"/>
      <c r="BT75" s="1665"/>
      <c r="BU75" s="1665"/>
      <c r="BV75" s="1665"/>
      <c r="BW75" s="1665"/>
      <c r="BX75" s="1665"/>
      <c r="BY75" s="1665"/>
      <c r="BZ75" s="1665"/>
      <c r="CA75" s="1665"/>
      <c r="CB75" s="1665"/>
      <c r="CC75" s="1665"/>
      <c r="CD75" s="1665"/>
      <c r="CE75" s="1665"/>
      <c r="CF75" s="1665"/>
      <c r="CG75" s="1665"/>
      <c r="CH75" s="1665"/>
      <c r="CI75" s="1665"/>
      <c r="CJ75" s="1665"/>
      <c r="CK75" s="1665"/>
      <c r="CL75" s="1665"/>
      <c r="CM75" s="1665"/>
      <c r="CN75" s="974"/>
      <c r="CO75" s="914"/>
      <c r="CP75" s="914"/>
      <c r="CQ75" s="885">
        <f>IF(ISNONTEXT($C75),0,SUM(E75:AS75)-SUM(AY75:CM75))</f>
        <v>0</v>
      </c>
    </row>
    <row r="76" spans="1:95" s="976" customFormat="1" ht="15" hidden="1" customHeight="1" x14ac:dyDescent="0.25">
      <c r="A76" s="973"/>
      <c r="B76" s="950"/>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3"/>
      <c r="AF76" s="933"/>
      <c r="AG76" s="933"/>
      <c r="AH76" s="933"/>
      <c r="AI76" s="933"/>
      <c r="AJ76" s="933"/>
      <c r="AK76" s="933"/>
      <c r="AL76" s="933"/>
      <c r="AM76" s="933"/>
      <c r="AN76" s="933"/>
      <c r="AO76" s="933"/>
      <c r="AP76" s="933"/>
      <c r="AQ76" s="933"/>
      <c r="AR76" s="933"/>
      <c r="AS76" s="933"/>
      <c r="AT76" s="1006"/>
      <c r="AU76" s="1007"/>
      <c r="AV76" s="1008"/>
      <c r="AW76" s="1661"/>
      <c r="AX76" s="1661"/>
      <c r="AY76" s="1661"/>
      <c r="AZ76" s="1661"/>
      <c r="BA76" s="1661"/>
      <c r="BB76" s="1661"/>
      <c r="BC76" s="1661"/>
      <c r="BD76" s="1661"/>
      <c r="BE76" s="1661"/>
      <c r="BF76" s="1661"/>
      <c r="BG76" s="1661"/>
      <c r="BH76" s="1661"/>
      <c r="BI76" s="1661"/>
      <c r="BJ76" s="1661"/>
      <c r="BK76" s="1661"/>
      <c r="BL76" s="1661"/>
      <c r="BM76" s="1661"/>
      <c r="BN76" s="1661"/>
      <c r="BO76" s="1661"/>
      <c r="BP76" s="1661"/>
      <c r="BQ76" s="1661"/>
      <c r="BR76" s="1661"/>
      <c r="BS76" s="1661"/>
      <c r="BT76" s="1661"/>
      <c r="BU76" s="1661"/>
      <c r="BV76" s="1661"/>
      <c r="BW76" s="1661"/>
      <c r="BX76" s="1661"/>
      <c r="BY76" s="1661"/>
      <c r="BZ76" s="1661"/>
      <c r="CA76" s="1661"/>
      <c r="CB76" s="1661"/>
      <c r="CC76" s="1661"/>
      <c r="CD76" s="1661"/>
      <c r="CE76" s="1661"/>
      <c r="CF76" s="1661"/>
      <c r="CG76" s="1661"/>
      <c r="CH76" s="1661"/>
      <c r="CI76" s="1661"/>
      <c r="CJ76" s="1661"/>
      <c r="CK76" s="1661"/>
      <c r="CL76" s="1661"/>
      <c r="CM76" s="1661"/>
      <c r="CN76" s="974"/>
      <c r="CO76" s="914"/>
      <c r="CP76" s="914"/>
      <c r="CQ76" s="885">
        <f>IF(ISNONTEXT($C76),0,SUM(E76:AS76)-SUM(AY76:CM76))</f>
        <v>0</v>
      </c>
    </row>
    <row r="77" spans="1:95" s="1015" customFormat="1" ht="15" hidden="1" customHeight="1" x14ac:dyDescent="0.25">
      <c r="A77" s="1009"/>
      <c r="B77" s="1010"/>
      <c r="C77" s="1011"/>
      <c r="D77" s="1010"/>
      <c r="E77" s="1662" t="str">
        <f>Ky_Nay2_V</f>
        <v>Năm 2017</v>
      </c>
      <c r="F77" s="1662"/>
      <c r="G77" s="1662"/>
      <c r="H77" s="1662"/>
      <c r="I77" s="1662"/>
      <c r="J77" s="1662"/>
      <c r="K77" s="1662"/>
      <c r="L77" s="1662"/>
      <c r="M77" s="1662"/>
      <c r="N77" s="1662"/>
      <c r="O77" s="1662"/>
      <c r="P77" s="1662"/>
      <c r="Q77" s="1662"/>
      <c r="R77" s="1662"/>
      <c r="S77" s="1662"/>
      <c r="T77" s="1662"/>
      <c r="U77" s="1662"/>
      <c r="V77" s="1662"/>
      <c r="W77" s="1662"/>
      <c r="X77" s="1662"/>
      <c r="Y77" s="935"/>
      <c r="Z77" s="1662" t="str">
        <f>Ky_Truoc2_V</f>
        <v>Năm 2016</v>
      </c>
      <c r="AA77" s="1662"/>
      <c r="AB77" s="1662"/>
      <c r="AC77" s="1662"/>
      <c r="AD77" s="1662"/>
      <c r="AE77" s="1662"/>
      <c r="AF77" s="1662"/>
      <c r="AG77" s="1662"/>
      <c r="AH77" s="1662"/>
      <c r="AI77" s="1662"/>
      <c r="AJ77" s="1662"/>
      <c r="AK77" s="1662"/>
      <c r="AL77" s="1662"/>
      <c r="AM77" s="1662"/>
      <c r="AN77" s="1662"/>
      <c r="AO77" s="1662"/>
      <c r="AP77" s="1662"/>
      <c r="AQ77" s="1662"/>
      <c r="AR77" s="1662"/>
      <c r="AS77" s="1662"/>
      <c r="AT77" s="1012"/>
      <c r="AU77" s="1013"/>
      <c r="AV77" s="1010"/>
      <c r="AW77" s="1011"/>
      <c r="AX77" s="1010"/>
      <c r="AY77" s="1662" t="str">
        <f>Ky_Nay2_E</f>
        <v>Year 2016</v>
      </c>
      <c r="AZ77" s="1662"/>
      <c r="BA77" s="1662"/>
      <c r="BB77" s="1662"/>
      <c r="BC77" s="1662"/>
      <c r="BD77" s="1662"/>
      <c r="BE77" s="1662"/>
      <c r="BF77" s="1662"/>
      <c r="BG77" s="1662"/>
      <c r="BH77" s="1662"/>
      <c r="BI77" s="1662"/>
      <c r="BJ77" s="1662"/>
      <c r="BK77" s="1662"/>
      <c r="BL77" s="1662"/>
      <c r="BM77" s="1662"/>
      <c r="BN77" s="1662"/>
      <c r="BO77" s="1662"/>
      <c r="BP77" s="1662"/>
      <c r="BQ77" s="1662"/>
      <c r="BR77" s="1662"/>
      <c r="BS77" s="935"/>
      <c r="BT77" s="1662" t="str">
        <f>Ky_Truoc2_E</f>
        <v>Year 2015</v>
      </c>
      <c r="BU77" s="1662"/>
      <c r="BV77" s="1662"/>
      <c r="BW77" s="1662"/>
      <c r="BX77" s="1662"/>
      <c r="BY77" s="1662"/>
      <c r="BZ77" s="1662"/>
      <c r="CA77" s="1662"/>
      <c r="CB77" s="1662"/>
      <c r="CC77" s="1662"/>
      <c r="CD77" s="1662"/>
      <c r="CE77" s="1662"/>
      <c r="CF77" s="1662"/>
      <c r="CG77" s="1662"/>
      <c r="CH77" s="1662"/>
      <c r="CI77" s="1662"/>
      <c r="CJ77" s="1662"/>
      <c r="CK77" s="1662"/>
      <c r="CL77" s="1662"/>
      <c r="CM77" s="1662"/>
      <c r="CN77" s="1012"/>
      <c r="CO77" s="1014"/>
      <c r="CP77" s="1014"/>
      <c r="CQ77" s="885">
        <f t="shared" si="0"/>
        <v>0</v>
      </c>
    </row>
    <row r="78" spans="1:95" s="1024" customFormat="1" ht="42" hidden="1" customHeight="1" x14ac:dyDescent="0.25">
      <c r="A78" s="1016"/>
      <c r="B78" s="1017"/>
      <c r="C78" s="1018" t="s">
        <v>2071</v>
      </c>
      <c r="D78" s="1017"/>
      <c r="E78" s="1663" t="s">
        <v>2072</v>
      </c>
      <c r="F78" s="1663"/>
      <c r="G78" s="1663"/>
      <c r="H78" s="1663"/>
      <c r="I78" s="1663"/>
      <c r="J78" s="1663"/>
      <c r="K78" s="1019"/>
      <c r="L78" s="1664" t="s">
        <v>2073</v>
      </c>
      <c r="M78" s="1664"/>
      <c r="N78" s="1664"/>
      <c r="O78" s="1664"/>
      <c r="P78" s="1664"/>
      <c r="Q78" s="1664"/>
      <c r="R78" s="1020"/>
      <c r="S78" s="1664" t="s">
        <v>2074</v>
      </c>
      <c r="T78" s="1664"/>
      <c r="U78" s="1664"/>
      <c r="V78" s="1664"/>
      <c r="W78" s="1664"/>
      <c r="X78" s="1664"/>
      <c r="Y78" s="1020"/>
      <c r="Z78" s="1664" t="s">
        <v>2072</v>
      </c>
      <c r="AA78" s="1664"/>
      <c r="AB78" s="1664"/>
      <c r="AC78" s="1664"/>
      <c r="AD78" s="1664"/>
      <c r="AE78" s="1664"/>
      <c r="AF78" s="1020"/>
      <c r="AG78" s="1664" t="s">
        <v>2073</v>
      </c>
      <c r="AH78" s="1664"/>
      <c r="AI78" s="1664"/>
      <c r="AJ78" s="1664"/>
      <c r="AK78" s="1664"/>
      <c r="AL78" s="1664"/>
      <c r="AM78" s="1020"/>
      <c r="AN78" s="1664" t="s">
        <v>2074</v>
      </c>
      <c r="AO78" s="1664"/>
      <c r="AP78" s="1664"/>
      <c r="AQ78" s="1664"/>
      <c r="AR78" s="1664"/>
      <c r="AS78" s="1664"/>
      <c r="AT78" s="1021"/>
      <c r="AU78" s="1022"/>
      <c r="AV78" s="1017"/>
      <c r="AW78" s="1023"/>
      <c r="AX78" s="1017"/>
      <c r="AY78" s="1663" t="s">
        <v>2075</v>
      </c>
      <c r="AZ78" s="1663"/>
      <c r="BA78" s="1663"/>
      <c r="BB78" s="1663"/>
      <c r="BC78" s="1663"/>
      <c r="BD78" s="1663"/>
      <c r="BE78" s="1019"/>
      <c r="BF78" s="1664" t="s">
        <v>2076</v>
      </c>
      <c r="BG78" s="1664"/>
      <c r="BH78" s="1664"/>
      <c r="BI78" s="1664"/>
      <c r="BJ78" s="1664"/>
      <c r="BK78" s="1664"/>
      <c r="BL78" s="1020"/>
      <c r="BM78" s="1664" t="s">
        <v>2077</v>
      </c>
      <c r="BN78" s="1664"/>
      <c r="BO78" s="1664"/>
      <c r="BP78" s="1664"/>
      <c r="BQ78" s="1664"/>
      <c r="BR78" s="1664"/>
      <c r="BS78" s="1020"/>
      <c r="BT78" s="1663" t="s">
        <v>2075</v>
      </c>
      <c r="BU78" s="1663"/>
      <c r="BV78" s="1663"/>
      <c r="BW78" s="1663"/>
      <c r="BX78" s="1663"/>
      <c r="BY78" s="1663"/>
      <c r="BZ78" s="1019"/>
      <c r="CA78" s="1664" t="s">
        <v>2076</v>
      </c>
      <c r="CB78" s="1664"/>
      <c r="CC78" s="1664"/>
      <c r="CD78" s="1664"/>
      <c r="CE78" s="1664"/>
      <c r="CF78" s="1664"/>
      <c r="CG78" s="1020"/>
      <c r="CH78" s="1664" t="s">
        <v>2077</v>
      </c>
      <c r="CI78" s="1664"/>
      <c r="CJ78" s="1664"/>
      <c r="CK78" s="1664"/>
      <c r="CL78" s="1664"/>
      <c r="CM78" s="1664"/>
      <c r="CN78" s="1021"/>
      <c r="CO78" s="1014"/>
      <c r="CP78" s="1014"/>
      <c r="CQ78" s="885">
        <f t="shared" si="0"/>
        <v>0</v>
      </c>
    </row>
    <row r="79" spans="1:95" s="1030" customFormat="1" ht="15" hidden="1" customHeight="1" x14ac:dyDescent="0.25">
      <c r="A79" s="416"/>
      <c r="B79" s="1025"/>
      <c r="C79" s="1026"/>
      <c r="D79" s="1025"/>
      <c r="E79" s="1659" t="str">
        <f>Don_Vi_Tinh_V</f>
        <v>VND</v>
      </c>
      <c r="F79" s="1659"/>
      <c r="G79" s="1659"/>
      <c r="H79" s="1659"/>
      <c r="I79" s="1659"/>
      <c r="J79" s="1659"/>
      <c r="K79" s="1027"/>
      <c r="L79" s="1659" t="str">
        <f>Don_Vi_Tinh_V</f>
        <v>VND</v>
      </c>
      <c r="M79" s="1659"/>
      <c r="N79" s="1659"/>
      <c r="O79" s="1659"/>
      <c r="P79" s="1659"/>
      <c r="Q79" s="1659"/>
      <c r="R79" s="1027"/>
      <c r="S79" s="1659" t="str">
        <f>Don_Vi_Tinh_V</f>
        <v>VND</v>
      </c>
      <c r="T79" s="1659"/>
      <c r="U79" s="1659"/>
      <c r="V79" s="1659"/>
      <c r="W79" s="1659"/>
      <c r="X79" s="1659"/>
      <c r="Y79" s="1027"/>
      <c r="Z79" s="1659" t="str">
        <f>Don_Vi_Tinh_V</f>
        <v>VND</v>
      </c>
      <c r="AA79" s="1659"/>
      <c r="AB79" s="1659"/>
      <c r="AC79" s="1659"/>
      <c r="AD79" s="1659"/>
      <c r="AE79" s="1659"/>
      <c r="AF79" s="1027"/>
      <c r="AG79" s="1659" t="str">
        <f>Don_Vi_Tinh_V</f>
        <v>VND</v>
      </c>
      <c r="AH79" s="1659"/>
      <c r="AI79" s="1659"/>
      <c r="AJ79" s="1659"/>
      <c r="AK79" s="1659"/>
      <c r="AL79" s="1659"/>
      <c r="AM79" s="1027"/>
      <c r="AN79" s="1659" t="str">
        <f>Don_Vi_Tinh_V</f>
        <v>VND</v>
      </c>
      <c r="AO79" s="1659"/>
      <c r="AP79" s="1659"/>
      <c r="AQ79" s="1659"/>
      <c r="AR79" s="1659"/>
      <c r="AS79" s="1659"/>
      <c r="AT79" s="1028"/>
      <c r="AU79" s="1029"/>
      <c r="AV79" s="1025"/>
      <c r="AW79" s="1026"/>
      <c r="AX79" s="1025"/>
      <c r="AY79" s="1659" t="str">
        <f>Don_Vi_Tinh_E</f>
        <v>VND</v>
      </c>
      <c r="AZ79" s="1659"/>
      <c r="BA79" s="1659"/>
      <c r="BB79" s="1659"/>
      <c r="BC79" s="1659"/>
      <c r="BD79" s="1659"/>
      <c r="BE79" s="1027"/>
      <c r="BF79" s="1659" t="str">
        <f>Don_Vi_Tinh_E</f>
        <v>VND</v>
      </c>
      <c r="BG79" s="1659"/>
      <c r="BH79" s="1659"/>
      <c r="BI79" s="1659"/>
      <c r="BJ79" s="1659"/>
      <c r="BK79" s="1659"/>
      <c r="BL79" s="1027"/>
      <c r="BM79" s="1659" t="str">
        <f>Don_Vi_Tinh_E</f>
        <v>VND</v>
      </c>
      <c r="BN79" s="1659"/>
      <c r="BO79" s="1659"/>
      <c r="BP79" s="1659"/>
      <c r="BQ79" s="1659"/>
      <c r="BR79" s="1659"/>
      <c r="BS79" s="1027"/>
      <c r="BT79" s="1659" t="str">
        <f>Don_Vi_Tinh_E</f>
        <v>VND</v>
      </c>
      <c r="BU79" s="1659"/>
      <c r="BV79" s="1659"/>
      <c r="BW79" s="1659"/>
      <c r="BX79" s="1659"/>
      <c r="BY79" s="1659"/>
      <c r="BZ79" s="1027"/>
      <c r="CA79" s="1659" t="str">
        <f>Don_Vi_Tinh_E</f>
        <v>VND</v>
      </c>
      <c r="CB79" s="1659"/>
      <c r="CC79" s="1659"/>
      <c r="CD79" s="1659"/>
      <c r="CE79" s="1659"/>
      <c r="CF79" s="1659"/>
      <c r="CG79" s="1027"/>
      <c r="CH79" s="1659" t="str">
        <f>Don_Vi_Tinh_E</f>
        <v>VND</v>
      </c>
      <c r="CI79" s="1659"/>
      <c r="CJ79" s="1659"/>
      <c r="CK79" s="1659"/>
      <c r="CL79" s="1659"/>
      <c r="CM79" s="1659"/>
      <c r="CN79" s="1028"/>
      <c r="CO79" s="1014"/>
      <c r="CP79" s="1014"/>
      <c r="CQ79" s="885">
        <f t="shared" si="0"/>
        <v>0</v>
      </c>
    </row>
    <row r="80" spans="1:95" s="1030" customFormat="1" ht="15" hidden="1" customHeight="1" x14ac:dyDescent="0.25">
      <c r="A80" s="416"/>
      <c r="B80" s="1025"/>
      <c r="C80" s="1026"/>
      <c r="D80" s="1025"/>
      <c r="E80" s="1660"/>
      <c r="F80" s="1660"/>
      <c r="G80" s="1660"/>
      <c r="H80" s="1660"/>
      <c r="I80" s="1660"/>
      <c r="J80" s="1660"/>
      <c r="K80" s="1027"/>
      <c r="L80" s="1660"/>
      <c r="M80" s="1660"/>
      <c r="N80" s="1660"/>
      <c r="O80" s="1660"/>
      <c r="P80" s="1660"/>
      <c r="Q80" s="1660"/>
      <c r="R80" s="1027"/>
      <c r="S80" s="1660"/>
      <c r="T80" s="1660"/>
      <c r="U80" s="1660"/>
      <c r="V80" s="1660"/>
      <c r="W80" s="1660"/>
      <c r="X80" s="1660"/>
      <c r="Y80" s="1027"/>
      <c r="Z80" s="1660"/>
      <c r="AA80" s="1660"/>
      <c r="AB80" s="1660"/>
      <c r="AC80" s="1660"/>
      <c r="AD80" s="1660"/>
      <c r="AE80" s="1660"/>
      <c r="AF80" s="1027"/>
      <c r="AG80" s="1660"/>
      <c r="AH80" s="1660"/>
      <c r="AI80" s="1660"/>
      <c r="AJ80" s="1660"/>
      <c r="AK80" s="1660"/>
      <c r="AL80" s="1660"/>
      <c r="AM80" s="1027"/>
      <c r="AN80" s="1660"/>
      <c r="AO80" s="1660"/>
      <c r="AP80" s="1660"/>
      <c r="AQ80" s="1660"/>
      <c r="AR80" s="1660"/>
      <c r="AS80" s="1660"/>
      <c r="AT80" s="1028"/>
      <c r="AU80" s="1029"/>
      <c r="AV80" s="1025"/>
      <c r="AW80" s="1026"/>
      <c r="AX80" s="1025"/>
      <c r="AY80" s="1660"/>
      <c r="AZ80" s="1660"/>
      <c r="BA80" s="1660"/>
      <c r="BB80" s="1660"/>
      <c r="BC80" s="1660"/>
      <c r="BD80" s="1660"/>
      <c r="BE80" s="1027"/>
      <c r="BF80" s="1660"/>
      <c r="BG80" s="1660"/>
      <c r="BH80" s="1660"/>
      <c r="BI80" s="1660"/>
      <c r="BJ80" s="1660"/>
      <c r="BK80" s="1660"/>
      <c r="BL80" s="1027"/>
      <c r="BM80" s="1660"/>
      <c r="BN80" s="1660"/>
      <c r="BO80" s="1660"/>
      <c r="BP80" s="1660"/>
      <c r="BQ80" s="1660"/>
      <c r="BR80" s="1660"/>
      <c r="BS80" s="1027"/>
      <c r="BT80" s="1660"/>
      <c r="BU80" s="1660"/>
      <c r="BV80" s="1660"/>
      <c r="BW80" s="1660"/>
      <c r="BX80" s="1660"/>
      <c r="BY80" s="1660"/>
      <c r="BZ80" s="1027"/>
      <c r="CA80" s="1660"/>
      <c r="CB80" s="1660"/>
      <c r="CC80" s="1660"/>
      <c r="CD80" s="1660"/>
      <c r="CE80" s="1660"/>
      <c r="CF80" s="1660"/>
      <c r="CG80" s="1027"/>
      <c r="CH80" s="1660"/>
      <c r="CI80" s="1660"/>
      <c r="CJ80" s="1660"/>
      <c r="CK80" s="1660"/>
      <c r="CL80" s="1660"/>
      <c r="CM80" s="1660"/>
      <c r="CN80" s="1028"/>
      <c r="CO80" s="1014"/>
      <c r="CP80" s="1014"/>
      <c r="CQ80" s="885">
        <f t="shared" si="0"/>
        <v>0</v>
      </c>
    </row>
    <row r="81" spans="1:95" s="1030" customFormat="1" ht="15" hidden="1" customHeight="1" x14ac:dyDescent="0.25">
      <c r="A81" s="416"/>
      <c r="B81" s="1025"/>
      <c r="C81" s="416" t="s">
        <v>2078</v>
      </c>
      <c r="D81" s="1025"/>
      <c r="E81" s="1646">
        <v>0</v>
      </c>
      <c r="F81" s="1646"/>
      <c r="G81" s="1646"/>
      <c r="H81" s="1646"/>
      <c r="I81" s="1646"/>
      <c r="J81" s="1646"/>
      <c r="K81" s="1027"/>
      <c r="L81" s="1646">
        <v>0</v>
      </c>
      <c r="M81" s="1646"/>
      <c r="N81" s="1646"/>
      <c r="O81" s="1646"/>
      <c r="P81" s="1646"/>
      <c r="Q81" s="1646"/>
      <c r="R81" s="1027"/>
      <c r="S81" s="1646">
        <v>0</v>
      </c>
      <c r="T81" s="1646"/>
      <c r="U81" s="1646"/>
      <c r="V81" s="1646"/>
      <c r="W81" s="1646"/>
      <c r="X81" s="1646"/>
      <c r="Y81" s="1027"/>
      <c r="Z81" s="1646">
        <v>0</v>
      </c>
      <c r="AA81" s="1646"/>
      <c r="AB81" s="1646"/>
      <c r="AC81" s="1646"/>
      <c r="AD81" s="1646"/>
      <c r="AE81" s="1646"/>
      <c r="AF81" s="1027"/>
      <c r="AG81" s="1646">
        <v>0</v>
      </c>
      <c r="AH81" s="1646"/>
      <c r="AI81" s="1646"/>
      <c r="AJ81" s="1646"/>
      <c r="AK81" s="1646"/>
      <c r="AL81" s="1646"/>
      <c r="AM81" s="1027"/>
      <c r="AN81" s="1646">
        <v>0</v>
      </c>
      <c r="AO81" s="1646"/>
      <c r="AP81" s="1646"/>
      <c r="AQ81" s="1646"/>
      <c r="AR81" s="1646"/>
      <c r="AS81" s="1646"/>
      <c r="AT81" s="1028"/>
      <c r="AU81" s="1029"/>
      <c r="AV81" s="1025"/>
      <c r="AW81" s="416" t="s">
        <v>2079</v>
      </c>
      <c r="AX81" s="1025"/>
      <c r="AY81" s="1646">
        <f>E81</f>
        <v>0</v>
      </c>
      <c r="AZ81" s="1646"/>
      <c r="BA81" s="1646"/>
      <c r="BB81" s="1646"/>
      <c r="BC81" s="1646"/>
      <c r="BD81" s="1646"/>
      <c r="BE81" s="1027"/>
      <c r="BF81" s="1646">
        <f>L81</f>
        <v>0</v>
      </c>
      <c r="BG81" s="1646"/>
      <c r="BH81" s="1646"/>
      <c r="BI81" s="1646"/>
      <c r="BJ81" s="1646"/>
      <c r="BK81" s="1646"/>
      <c r="BL81" s="1027"/>
      <c r="BM81" s="1646">
        <f>S81</f>
        <v>0</v>
      </c>
      <c r="BN81" s="1646"/>
      <c r="BO81" s="1646"/>
      <c r="BP81" s="1646"/>
      <c r="BQ81" s="1646"/>
      <c r="BR81" s="1646"/>
      <c r="BS81" s="1027"/>
      <c r="BT81" s="1646">
        <f>Z81</f>
        <v>0</v>
      </c>
      <c r="BU81" s="1646"/>
      <c r="BV81" s="1646"/>
      <c r="BW81" s="1646"/>
      <c r="BX81" s="1646"/>
      <c r="BY81" s="1646"/>
      <c r="BZ81" s="1027"/>
      <c r="CA81" s="1646">
        <f>AG81</f>
        <v>0</v>
      </c>
      <c r="CB81" s="1646"/>
      <c r="CC81" s="1646"/>
      <c r="CD81" s="1646"/>
      <c r="CE81" s="1646"/>
      <c r="CF81" s="1646"/>
      <c r="CG81" s="1027"/>
      <c r="CH81" s="1646">
        <f>AN81</f>
        <v>0</v>
      </c>
      <c r="CI81" s="1646"/>
      <c r="CJ81" s="1646"/>
      <c r="CK81" s="1646"/>
      <c r="CL81" s="1646"/>
      <c r="CM81" s="1646"/>
      <c r="CN81" s="1028"/>
      <c r="CO81" s="1014"/>
      <c r="CP81" s="1014"/>
      <c r="CQ81" s="885">
        <f t="shared" si="0"/>
        <v>0</v>
      </c>
    </row>
    <row r="82" spans="1:95" s="1030" customFormat="1" ht="15" hidden="1" customHeight="1" x14ac:dyDescent="0.25">
      <c r="A82" s="416"/>
      <c r="B82" s="1025"/>
      <c r="C82" s="416" t="s">
        <v>2080</v>
      </c>
      <c r="D82" s="1025"/>
      <c r="E82" s="1646">
        <v>0</v>
      </c>
      <c r="F82" s="1646"/>
      <c r="G82" s="1646"/>
      <c r="H82" s="1646"/>
      <c r="I82" s="1646"/>
      <c r="J82" s="1646"/>
      <c r="K82" s="1027"/>
      <c r="L82" s="1646">
        <v>0</v>
      </c>
      <c r="M82" s="1646"/>
      <c r="N82" s="1646"/>
      <c r="O82" s="1646"/>
      <c r="P82" s="1646"/>
      <c r="Q82" s="1646"/>
      <c r="R82" s="1027"/>
      <c r="S82" s="1646">
        <v>0</v>
      </c>
      <c r="T82" s="1646"/>
      <c r="U82" s="1646"/>
      <c r="V82" s="1646"/>
      <c r="W82" s="1646"/>
      <c r="X82" s="1646"/>
      <c r="Y82" s="1027"/>
      <c r="Z82" s="1646">
        <v>0</v>
      </c>
      <c r="AA82" s="1646"/>
      <c r="AB82" s="1646"/>
      <c r="AC82" s="1646"/>
      <c r="AD82" s="1646"/>
      <c r="AE82" s="1646"/>
      <c r="AF82" s="1027"/>
      <c r="AG82" s="1646">
        <v>0</v>
      </c>
      <c r="AH82" s="1646"/>
      <c r="AI82" s="1646"/>
      <c r="AJ82" s="1646"/>
      <c r="AK82" s="1646"/>
      <c r="AL82" s="1646"/>
      <c r="AM82" s="1027"/>
      <c r="AN82" s="1646">
        <v>0</v>
      </c>
      <c r="AO82" s="1646"/>
      <c r="AP82" s="1646"/>
      <c r="AQ82" s="1646"/>
      <c r="AR82" s="1646"/>
      <c r="AS82" s="1646"/>
      <c r="AT82" s="1028"/>
      <c r="AU82" s="1029"/>
      <c r="AV82" s="1025"/>
      <c r="AW82" s="416" t="s">
        <v>2081</v>
      </c>
      <c r="AX82" s="1025"/>
      <c r="AY82" s="1646">
        <f>E82</f>
        <v>0</v>
      </c>
      <c r="AZ82" s="1646"/>
      <c r="BA82" s="1646"/>
      <c r="BB82" s="1646"/>
      <c r="BC82" s="1646"/>
      <c r="BD82" s="1646"/>
      <c r="BE82" s="1027"/>
      <c r="BF82" s="1646">
        <f>L82</f>
        <v>0</v>
      </c>
      <c r="BG82" s="1646"/>
      <c r="BH82" s="1646"/>
      <c r="BI82" s="1646"/>
      <c r="BJ82" s="1646"/>
      <c r="BK82" s="1646"/>
      <c r="BL82" s="1027"/>
      <c r="BM82" s="1646">
        <f>S82</f>
        <v>0</v>
      </c>
      <c r="BN82" s="1646"/>
      <c r="BO82" s="1646"/>
      <c r="BP82" s="1646"/>
      <c r="BQ82" s="1646"/>
      <c r="BR82" s="1646"/>
      <c r="BS82" s="1027"/>
      <c r="BT82" s="1646">
        <f>Z82</f>
        <v>0</v>
      </c>
      <c r="BU82" s="1646"/>
      <c r="BV82" s="1646"/>
      <c r="BW82" s="1646"/>
      <c r="BX82" s="1646"/>
      <c r="BY82" s="1646"/>
      <c r="BZ82" s="1027"/>
      <c r="CA82" s="1646">
        <f>AG82</f>
        <v>0</v>
      </c>
      <c r="CB82" s="1646"/>
      <c r="CC82" s="1646"/>
      <c r="CD82" s="1646"/>
      <c r="CE82" s="1646"/>
      <c r="CF82" s="1646"/>
      <c r="CG82" s="1027"/>
      <c r="CH82" s="1646">
        <f>AN82</f>
        <v>0</v>
      </c>
      <c r="CI82" s="1646"/>
      <c r="CJ82" s="1646"/>
      <c r="CK82" s="1646"/>
      <c r="CL82" s="1646"/>
      <c r="CM82" s="1646"/>
      <c r="CN82" s="1028"/>
      <c r="CO82" s="1014"/>
      <c r="CP82" s="1014"/>
      <c r="CQ82" s="885">
        <f t="shared" si="0"/>
        <v>0</v>
      </c>
    </row>
    <row r="83" spans="1:95" s="1030" customFormat="1" ht="15" hidden="1" customHeight="1" x14ac:dyDescent="0.25">
      <c r="A83" s="416"/>
      <c r="B83" s="1025"/>
      <c r="C83" s="416" t="s">
        <v>2082</v>
      </c>
      <c r="D83" s="1025"/>
      <c r="E83" s="1646">
        <v>0</v>
      </c>
      <c r="F83" s="1646"/>
      <c r="G83" s="1646"/>
      <c r="H83" s="1646"/>
      <c r="I83" s="1646"/>
      <c r="J83" s="1646"/>
      <c r="K83" s="1027"/>
      <c r="L83" s="1646">
        <v>0</v>
      </c>
      <c r="M83" s="1646"/>
      <c r="N83" s="1646"/>
      <c r="O83" s="1646"/>
      <c r="P83" s="1646"/>
      <c r="Q83" s="1646"/>
      <c r="R83" s="1027"/>
      <c r="S83" s="1646">
        <v>0</v>
      </c>
      <c r="T83" s="1646"/>
      <c r="U83" s="1646"/>
      <c r="V83" s="1646"/>
      <c r="W83" s="1646"/>
      <c r="X83" s="1646"/>
      <c r="Y83" s="1027"/>
      <c r="Z83" s="1646">
        <v>0</v>
      </c>
      <c r="AA83" s="1646"/>
      <c r="AB83" s="1646"/>
      <c r="AC83" s="1646"/>
      <c r="AD83" s="1646"/>
      <c r="AE83" s="1646"/>
      <c r="AF83" s="1027"/>
      <c r="AG83" s="1646">
        <v>0</v>
      </c>
      <c r="AH83" s="1646"/>
      <c r="AI83" s="1646"/>
      <c r="AJ83" s="1646"/>
      <c r="AK83" s="1646"/>
      <c r="AL83" s="1646"/>
      <c r="AM83" s="1027"/>
      <c r="AN83" s="1646">
        <v>0</v>
      </c>
      <c r="AO83" s="1646"/>
      <c r="AP83" s="1646"/>
      <c r="AQ83" s="1646"/>
      <c r="AR83" s="1646"/>
      <c r="AS83" s="1646"/>
      <c r="AT83" s="1028"/>
      <c r="AU83" s="1029"/>
      <c r="AV83" s="1025"/>
      <c r="AW83" s="416" t="s">
        <v>2083</v>
      </c>
      <c r="AX83" s="1025"/>
      <c r="AY83" s="1646">
        <f>E83</f>
        <v>0</v>
      </c>
      <c r="AZ83" s="1646"/>
      <c r="BA83" s="1646"/>
      <c r="BB83" s="1646"/>
      <c r="BC83" s="1646"/>
      <c r="BD83" s="1646"/>
      <c r="BE83" s="1027"/>
      <c r="BF83" s="1646">
        <f>L83</f>
        <v>0</v>
      </c>
      <c r="BG83" s="1646"/>
      <c r="BH83" s="1646"/>
      <c r="BI83" s="1646"/>
      <c r="BJ83" s="1646"/>
      <c r="BK83" s="1646"/>
      <c r="BL83" s="1027"/>
      <c r="BM83" s="1646">
        <f>S83</f>
        <v>0</v>
      </c>
      <c r="BN83" s="1646"/>
      <c r="BO83" s="1646"/>
      <c r="BP83" s="1646"/>
      <c r="BQ83" s="1646"/>
      <c r="BR83" s="1646"/>
      <c r="BS83" s="1027"/>
      <c r="BT83" s="1646">
        <f>Z83</f>
        <v>0</v>
      </c>
      <c r="BU83" s="1646"/>
      <c r="BV83" s="1646"/>
      <c r="BW83" s="1646"/>
      <c r="BX83" s="1646"/>
      <c r="BY83" s="1646"/>
      <c r="BZ83" s="1027"/>
      <c r="CA83" s="1646">
        <f>AG83</f>
        <v>0</v>
      </c>
      <c r="CB83" s="1646"/>
      <c r="CC83" s="1646"/>
      <c r="CD83" s="1646"/>
      <c r="CE83" s="1646"/>
      <c r="CF83" s="1646"/>
      <c r="CG83" s="1027"/>
      <c r="CH83" s="1646">
        <f>AN83</f>
        <v>0</v>
      </c>
      <c r="CI83" s="1646"/>
      <c r="CJ83" s="1646"/>
      <c r="CK83" s="1646"/>
      <c r="CL83" s="1646"/>
      <c r="CM83" s="1646"/>
      <c r="CN83" s="1028"/>
      <c r="CO83" s="1014"/>
      <c r="CP83" s="1014"/>
      <c r="CQ83" s="885">
        <f t="shared" si="0"/>
        <v>0</v>
      </c>
    </row>
    <row r="84" spans="1:95" ht="15" hidden="1" customHeight="1" x14ac:dyDescent="0.25">
      <c r="B84" s="823"/>
      <c r="C84" s="853"/>
      <c r="D84" s="823"/>
      <c r="E84" s="1657"/>
      <c r="F84" s="1657"/>
      <c r="G84" s="1657"/>
      <c r="H84" s="1657"/>
      <c r="I84" s="1657"/>
      <c r="J84" s="1657"/>
      <c r="K84" s="850"/>
      <c r="L84" s="1656"/>
      <c r="M84" s="1656"/>
      <c r="N84" s="1656"/>
      <c r="O84" s="1656"/>
      <c r="P84" s="1656"/>
      <c r="Q84" s="1656"/>
      <c r="R84" s="850"/>
      <c r="S84" s="1656"/>
      <c r="T84" s="1656"/>
      <c r="U84" s="1656"/>
      <c r="V84" s="1656"/>
      <c r="W84" s="1656"/>
      <c r="X84" s="1656"/>
      <c r="Y84" s="850"/>
      <c r="Z84" s="1656"/>
      <c r="AA84" s="1656"/>
      <c r="AB84" s="1656"/>
      <c r="AC84" s="1656"/>
      <c r="AD84" s="1656"/>
      <c r="AE84" s="1656"/>
      <c r="AF84" s="850"/>
      <c r="AG84" s="1658"/>
      <c r="AH84" s="1658"/>
      <c r="AI84" s="1658"/>
      <c r="AJ84" s="1658"/>
      <c r="AK84" s="1658"/>
      <c r="AL84" s="1658"/>
      <c r="AM84" s="850"/>
      <c r="AN84" s="1656"/>
      <c r="AO84" s="1656"/>
      <c r="AP84" s="1656"/>
      <c r="AQ84" s="1656"/>
      <c r="AR84" s="1656"/>
      <c r="AS84" s="1656"/>
      <c r="AT84" s="855"/>
      <c r="AU84" s="866"/>
      <c r="AV84" s="823"/>
      <c r="AW84" s="853"/>
      <c r="AX84" s="823"/>
      <c r="AY84" s="1657"/>
      <c r="AZ84" s="1657"/>
      <c r="BA84" s="1657"/>
      <c r="BB84" s="1657"/>
      <c r="BC84" s="1657"/>
      <c r="BD84" s="1657"/>
      <c r="BE84" s="850"/>
      <c r="BF84" s="1656"/>
      <c r="BG84" s="1656"/>
      <c r="BH84" s="1656"/>
      <c r="BI84" s="1656"/>
      <c r="BJ84" s="1656"/>
      <c r="BK84" s="1656"/>
      <c r="BL84" s="850"/>
      <c r="BM84" s="1656"/>
      <c r="BN84" s="1656"/>
      <c r="BO84" s="1656"/>
      <c r="BP84" s="1656"/>
      <c r="BQ84" s="1656"/>
      <c r="BR84" s="1656"/>
      <c r="BS84" s="850"/>
      <c r="BT84" s="1656"/>
      <c r="BU84" s="1656"/>
      <c r="BV84" s="1656"/>
      <c r="BW84" s="1656"/>
      <c r="BX84" s="1656"/>
      <c r="BY84" s="1656"/>
      <c r="BZ84" s="850"/>
      <c r="CA84" s="1658"/>
      <c r="CB84" s="1658"/>
      <c r="CC84" s="1658"/>
      <c r="CD84" s="1658"/>
      <c r="CE84" s="1658"/>
      <c r="CF84" s="1658"/>
      <c r="CG84" s="850"/>
      <c r="CH84" s="1656"/>
      <c r="CI84" s="1656"/>
      <c r="CJ84" s="1656"/>
      <c r="CK84" s="1656"/>
      <c r="CL84" s="1656"/>
      <c r="CM84" s="1656"/>
      <c r="CN84" s="855"/>
      <c r="CO84" s="1014"/>
      <c r="CP84" s="1014"/>
      <c r="CQ84" s="885">
        <f t="shared" si="0"/>
        <v>0</v>
      </c>
    </row>
    <row r="85" spans="1:95" s="1037" customFormat="1" ht="15" hidden="1" customHeight="1" thickBot="1" x14ac:dyDescent="0.3">
      <c r="A85" s="1031"/>
      <c r="B85" s="1032"/>
      <c r="C85" s="1033" t="s">
        <v>752</v>
      </c>
      <c r="D85" s="1032"/>
      <c r="E85" s="1645">
        <f>SUBTOTAL(109,E81:J83)</f>
        <v>0</v>
      </c>
      <c r="F85" s="1645"/>
      <c r="G85" s="1645"/>
      <c r="H85" s="1645"/>
      <c r="I85" s="1645"/>
      <c r="J85" s="1645">
        <f>SUBTOTAL(109,J12:J83)</f>
        <v>0.24000000000000002</v>
      </c>
      <c r="K85" s="1034"/>
      <c r="L85" s="1645">
        <f>SUBTOTAL(109,L81:Q83)</f>
        <v>0</v>
      </c>
      <c r="M85" s="1645"/>
      <c r="N85" s="1645"/>
      <c r="O85" s="1645"/>
      <c r="P85" s="1645"/>
      <c r="Q85" s="1645">
        <f>SUBTOTAL(109,Q12:Q83)</f>
        <v>0</v>
      </c>
      <c r="R85" s="1034"/>
      <c r="S85" s="1645">
        <f>SUBTOTAL(109,S81:X83)</f>
        <v>0</v>
      </c>
      <c r="T85" s="1645"/>
      <c r="U85" s="1645"/>
      <c r="V85" s="1645"/>
      <c r="W85" s="1645"/>
      <c r="X85" s="1645">
        <f>SUBTOTAL(109,X12:X83)</f>
        <v>0</v>
      </c>
      <c r="Y85" s="1034"/>
      <c r="Z85" s="1645">
        <f>SUBTOTAL(109,Z81:AE83)</f>
        <v>0</v>
      </c>
      <c r="AA85" s="1645"/>
      <c r="AB85" s="1645"/>
      <c r="AC85" s="1645"/>
      <c r="AD85" s="1645"/>
      <c r="AE85" s="1645">
        <f>SUBTOTAL(109,AE12:AE83)</f>
        <v>0</v>
      </c>
      <c r="AF85" s="1034"/>
      <c r="AG85" s="1645">
        <f>SUBTOTAL(109,AG81:AL83)</f>
        <v>0</v>
      </c>
      <c r="AH85" s="1645"/>
      <c r="AI85" s="1645"/>
      <c r="AJ85" s="1645"/>
      <c r="AK85" s="1645"/>
      <c r="AL85" s="1645">
        <f>SUBTOTAL(109,AL12:AL83)</f>
        <v>0</v>
      </c>
      <c r="AM85" s="1034"/>
      <c r="AN85" s="1645">
        <f>SUBTOTAL(109,AN81:AS83)</f>
        <v>0</v>
      </c>
      <c r="AO85" s="1645"/>
      <c r="AP85" s="1645"/>
      <c r="AQ85" s="1645"/>
      <c r="AR85" s="1645"/>
      <c r="AS85" s="1645">
        <f>SUBTOTAL(109,AS12:AS83)</f>
        <v>0</v>
      </c>
      <c r="AT85" s="1035"/>
      <c r="AU85" s="1036"/>
      <c r="AV85" s="1032"/>
      <c r="AW85" s="1033" t="s">
        <v>752</v>
      </c>
      <c r="AX85" s="1032"/>
      <c r="AY85" s="1645">
        <f>SUBTOTAL(109,AY81:BD83)</f>
        <v>0</v>
      </c>
      <c r="AZ85" s="1645"/>
      <c r="BA85" s="1645"/>
      <c r="BB85" s="1645"/>
      <c r="BC85" s="1645"/>
      <c r="BD85" s="1645">
        <f>SUBTOTAL(109,BD12:BD83)</f>
        <v>0</v>
      </c>
      <c r="BE85" s="1034"/>
      <c r="BF85" s="1645">
        <f>SUBTOTAL(109,BF81:BK83)</f>
        <v>0</v>
      </c>
      <c r="BG85" s="1645"/>
      <c r="BH85" s="1645"/>
      <c r="BI85" s="1645"/>
      <c r="BJ85" s="1645"/>
      <c r="BK85" s="1645">
        <f>SUBTOTAL(109,BK12:BK83)</f>
        <v>0</v>
      </c>
      <c r="BL85" s="1034"/>
      <c r="BM85" s="1645">
        <f>SUBTOTAL(109,BM81:BR83)</f>
        <v>0</v>
      </c>
      <c r="BN85" s="1645"/>
      <c r="BO85" s="1645"/>
      <c r="BP85" s="1645"/>
      <c r="BQ85" s="1645"/>
      <c r="BR85" s="1645">
        <f>SUBTOTAL(109,BR12:BR83)</f>
        <v>0</v>
      </c>
      <c r="BS85" s="1034"/>
      <c r="BT85" s="1645">
        <f>SUBTOTAL(109,BT81:BY83)</f>
        <v>0</v>
      </c>
      <c r="BU85" s="1645"/>
      <c r="BV85" s="1645"/>
      <c r="BW85" s="1645"/>
      <c r="BX85" s="1645"/>
      <c r="BY85" s="1645">
        <f>SUBTOTAL(109,BY12:BY83)</f>
        <v>0</v>
      </c>
      <c r="BZ85" s="1034"/>
      <c r="CA85" s="1645">
        <f>SUBTOTAL(109,CA81:CF83)</f>
        <v>0</v>
      </c>
      <c r="CB85" s="1645"/>
      <c r="CC85" s="1645"/>
      <c r="CD85" s="1645"/>
      <c r="CE85" s="1645"/>
      <c r="CF85" s="1645">
        <f>SUBTOTAL(109,CF12:CF83)</f>
        <v>0</v>
      </c>
      <c r="CG85" s="1034"/>
      <c r="CH85" s="1645">
        <f>SUBTOTAL(109,CH81:CM83)</f>
        <v>0</v>
      </c>
      <c r="CI85" s="1645"/>
      <c r="CJ85" s="1645"/>
      <c r="CK85" s="1645"/>
      <c r="CL85" s="1645"/>
      <c r="CM85" s="1645">
        <f>SUBTOTAL(109,CM12:CM83)</f>
        <v>0</v>
      </c>
      <c r="CN85" s="1035"/>
      <c r="CO85" s="1014"/>
      <c r="CP85" s="1014"/>
      <c r="CQ85" s="885">
        <f t="shared" si="0"/>
        <v>0.24000000000000002</v>
      </c>
    </row>
    <row r="86" spans="1:95" ht="15" hidden="1" customHeight="1" thickTop="1" x14ac:dyDescent="0.25">
      <c r="B86" s="823"/>
      <c r="C86" s="853"/>
      <c r="D86" s="823"/>
      <c r="E86" s="823"/>
      <c r="F86" s="823"/>
      <c r="G86" s="823"/>
      <c r="H86" s="823"/>
      <c r="I86" s="823"/>
      <c r="J86" s="854"/>
      <c r="K86" s="850"/>
      <c r="L86" s="850"/>
      <c r="M86" s="850"/>
      <c r="N86" s="850"/>
      <c r="O86" s="850"/>
      <c r="P86" s="850"/>
      <c r="Q86" s="854"/>
      <c r="R86" s="850"/>
      <c r="S86" s="850"/>
      <c r="T86" s="850"/>
      <c r="U86" s="850"/>
      <c r="V86" s="850"/>
      <c r="W86" s="850"/>
      <c r="X86" s="854"/>
      <c r="Y86" s="850"/>
      <c r="Z86" s="850"/>
      <c r="AA86" s="850"/>
      <c r="AB86" s="850"/>
      <c r="AC86" s="850"/>
      <c r="AD86" s="850"/>
      <c r="AE86" s="854"/>
      <c r="AF86" s="850"/>
      <c r="AG86" s="850"/>
      <c r="AH86" s="850"/>
      <c r="AI86" s="850"/>
      <c r="AJ86" s="850"/>
      <c r="AK86" s="850"/>
      <c r="AL86" s="854"/>
      <c r="AM86" s="850"/>
      <c r="AN86" s="850"/>
      <c r="AO86" s="850"/>
      <c r="AP86" s="850"/>
      <c r="AQ86" s="850"/>
      <c r="AR86" s="850"/>
      <c r="AS86" s="854"/>
      <c r="AT86" s="855"/>
      <c r="AU86" s="866"/>
      <c r="AV86" s="823"/>
      <c r="AW86" s="853"/>
      <c r="AX86" s="823"/>
      <c r="AY86" s="823"/>
      <c r="AZ86" s="823"/>
      <c r="BA86" s="823"/>
      <c r="BB86" s="823"/>
      <c r="BC86" s="823"/>
      <c r="BD86" s="854"/>
      <c r="BE86" s="850"/>
      <c r="BF86" s="850"/>
      <c r="BG86" s="850"/>
      <c r="BH86" s="850"/>
      <c r="BI86" s="850"/>
      <c r="BJ86" s="850"/>
      <c r="BK86" s="854"/>
      <c r="BL86" s="850"/>
      <c r="BM86" s="850"/>
      <c r="BN86" s="850"/>
      <c r="BO86" s="850"/>
      <c r="BP86" s="850"/>
      <c r="BQ86" s="850"/>
      <c r="BR86" s="854"/>
      <c r="BS86" s="850"/>
      <c r="BT86" s="850"/>
      <c r="BU86" s="850"/>
      <c r="BV86" s="850"/>
      <c r="BW86" s="850"/>
      <c r="BX86" s="850"/>
      <c r="BY86" s="854"/>
      <c r="BZ86" s="850"/>
      <c r="CA86" s="850"/>
      <c r="CB86" s="850"/>
      <c r="CC86" s="850"/>
      <c r="CD86" s="850"/>
      <c r="CE86" s="850"/>
      <c r="CF86" s="854"/>
      <c r="CG86" s="850"/>
      <c r="CH86" s="850"/>
      <c r="CI86" s="850"/>
      <c r="CJ86" s="850"/>
      <c r="CK86" s="850"/>
      <c r="CL86" s="850"/>
      <c r="CM86" s="854"/>
      <c r="CN86" s="855"/>
      <c r="CO86" s="1014"/>
      <c r="CP86" s="1014"/>
      <c r="CQ86" s="885">
        <f t="shared" si="0"/>
        <v>0</v>
      </c>
    </row>
    <row r="87" spans="1:95" s="816" customFormat="1" ht="15" hidden="1" customHeight="1" x14ac:dyDescent="0.25">
      <c r="A87" s="313"/>
      <c r="B87" s="823"/>
      <c r="C87" s="879" t="s">
        <v>1145</v>
      </c>
      <c r="D87" s="823"/>
      <c r="E87" s="823"/>
      <c r="F87" s="823"/>
      <c r="G87" s="823"/>
      <c r="H87" s="823"/>
      <c r="I87" s="823"/>
      <c r="J87" s="854"/>
      <c r="K87" s="850"/>
      <c r="L87" s="850"/>
      <c r="M87" s="850"/>
      <c r="N87" s="850"/>
      <c r="O87" s="850"/>
      <c r="P87" s="850"/>
      <c r="Q87" s="854"/>
      <c r="R87" s="850"/>
      <c r="S87" s="850"/>
      <c r="T87" s="850"/>
      <c r="U87" s="850"/>
      <c r="V87" s="850"/>
      <c r="W87" s="850"/>
      <c r="X87" s="854"/>
      <c r="Y87" s="850"/>
      <c r="Z87" s="850"/>
      <c r="AA87" s="850"/>
      <c r="AB87" s="850"/>
      <c r="AC87" s="850"/>
      <c r="AD87" s="850"/>
      <c r="AE87" s="854"/>
      <c r="AF87" s="850"/>
      <c r="AG87" s="850"/>
      <c r="AH87" s="850"/>
      <c r="AI87" s="850"/>
      <c r="AJ87" s="850"/>
      <c r="AK87" s="850"/>
      <c r="AL87" s="854"/>
      <c r="AM87" s="850"/>
      <c r="AN87" s="850"/>
      <c r="AO87" s="850"/>
      <c r="AP87" s="850"/>
      <c r="AQ87" s="850"/>
      <c r="AR87" s="850"/>
      <c r="AS87" s="854"/>
      <c r="AT87" s="852"/>
      <c r="AU87" s="866"/>
      <c r="AV87" s="823"/>
      <c r="AW87" s="879" t="s">
        <v>2084</v>
      </c>
      <c r="AX87" s="823"/>
      <c r="AY87" s="823"/>
      <c r="AZ87" s="823"/>
      <c r="BA87" s="823"/>
      <c r="BB87" s="823"/>
      <c r="BC87" s="823"/>
      <c r="BD87" s="854"/>
      <c r="BE87" s="850"/>
      <c r="BF87" s="850"/>
      <c r="BG87" s="850"/>
      <c r="BH87" s="850"/>
      <c r="BI87" s="850"/>
      <c r="BJ87" s="850"/>
      <c r="BK87" s="854"/>
      <c r="BL87" s="850"/>
      <c r="BM87" s="850"/>
      <c r="BN87" s="850"/>
      <c r="BO87" s="850"/>
      <c r="BP87" s="850"/>
      <c r="BQ87" s="850"/>
      <c r="BR87" s="854"/>
      <c r="BS87" s="850"/>
      <c r="BT87" s="850"/>
      <c r="BU87" s="850"/>
      <c r="BV87" s="850"/>
      <c r="BW87" s="850"/>
      <c r="BX87" s="850"/>
      <c r="BY87" s="854"/>
      <c r="BZ87" s="850"/>
      <c r="CA87" s="850"/>
      <c r="CB87" s="850"/>
      <c r="CC87" s="850"/>
      <c r="CD87" s="850"/>
      <c r="CE87" s="850"/>
      <c r="CF87" s="854"/>
      <c r="CG87" s="850"/>
      <c r="CH87" s="850"/>
      <c r="CI87" s="850"/>
      <c r="CJ87" s="850"/>
      <c r="CK87" s="850"/>
      <c r="CL87" s="850"/>
      <c r="CM87" s="854"/>
      <c r="CN87" s="852"/>
      <c r="CO87" s="914"/>
      <c r="CP87" s="914"/>
      <c r="CQ87" s="881">
        <f t="shared" si="0"/>
        <v>0</v>
      </c>
    </row>
    <row r="88" spans="1:95" s="1042" customFormat="1" ht="15" hidden="1" customHeight="1" x14ac:dyDescent="0.25">
      <c r="A88" s="1038"/>
      <c r="B88" s="1039"/>
      <c r="C88" s="1039"/>
      <c r="D88" s="1039"/>
      <c r="E88" s="1039"/>
      <c r="F88" s="1039"/>
      <c r="G88" s="1039"/>
      <c r="H88" s="1039"/>
      <c r="I88" s="1039"/>
      <c r="J88" s="909"/>
      <c r="K88" s="909"/>
      <c r="L88" s="909"/>
      <c r="M88" s="909"/>
      <c r="N88" s="909"/>
      <c r="O88" s="909"/>
      <c r="P88" s="909"/>
      <c r="Q88" s="909"/>
      <c r="R88" s="909"/>
      <c r="S88" s="1655" t="str">
        <f>Ky_Nay1_V</f>
        <v>31/12/2017</v>
      </c>
      <c r="T88" s="1655"/>
      <c r="U88" s="1655"/>
      <c r="V88" s="1655"/>
      <c r="W88" s="1655"/>
      <c r="X88" s="1655"/>
      <c r="Y88" s="1655"/>
      <c r="Z88" s="1655"/>
      <c r="AA88" s="1655"/>
      <c r="AB88" s="1655"/>
      <c r="AC88" s="1655"/>
      <c r="AD88" s="1655"/>
      <c r="AE88" s="1655"/>
      <c r="AF88" s="913"/>
      <c r="AG88" s="1655" t="str">
        <f>Ky_Truoc1_V</f>
        <v>01/01/2017</v>
      </c>
      <c r="AH88" s="1655"/>
      <c r="AI88" s="1655"/>
      <c r="AJ88" s="1655"/>
      <c r="AK88" s="1655"/>
      <c r="AL88" s="1655" t="str">
        <f>Ky_Truoc1_V</f>
        <v>01/01/2017</v>
      </c>
      <c r="AM88" s="1655"/>
      <c r="AN88" s="1655"/>
      <c r="AO88" s="1655"/>
      <c r="AP88" s="1655"/>
      <c r="AQ88" s="1655"/>
      <c r="AR88" s="1655"/>
      <c r="AS88" s="1655"/>
      <c r="AT88" s="1040"/>
      <c r="AU88" s="1038"/>
      <c r="AV88" s="1039"/>
      <c r="AW88" s="1039"/>
      <c r="AX88" s="1039"/>
      <c r="AY88" s="1039"/>
      <c r="AZ88" s="1039"/>
      <c r="BA88" s="1039"/>
      <c r="BB88" s="1039"/>
      <c r="BC88" s="1039"/>
      <c r="BD88" s="909"/>
      <c r="BE88" s="909"/>
      <c r="BF88" s="909"/>
      <c r="BG88" s="909"/>
      <c r="BH88" s="909"/>
      <c r="BI88" s="909"/>
      <c r="BJ88" s="909"/>
      <c r="BK88" s="909"/>
      <c r="BL88" s="909"/>
      <c r="BM88" s="1655" t="str">
        <f>Ky_Nay1_E</f>
        <v>31/12/2017</v>
      </c>
      <c r="BN88" s="1655"/>
      <c r="BO88" s="1655"/>
      <c r="BP88" s="1655"/>
      <c r="BQ88" s="1655"/>
      <c r="BR88" s="1655"/>
      <c r="BS88" s="1655"/>
      <c r="BT88" s="1655"/>
      <c r="BU88" s="1655"/>
      <c r="BV88" s="1655"/>
      <c r="BW88" s="1655"/>
      <c r="BX88" s="1655"/>
      <c r="BY88" s="1655"/>
      <c r="BZ88" s="913"/>
      <c r="CA88" s="1655" t="str">
        <f>Ky_Truoc1_E</f>
        <v>01/01/2017</v>
      </c>
      <c r="CB88" s="1655"/>
      <c r="CC88" s="1655"/>
      <c r="CD88" s="1655"/>
      <c r="CE88" s="1655"/>
      <c r="CF88" s="1655" t="str">
        <f>Ky_Truoc1_V</f>
        <v>01/01/2017</v>
      </c>
      <c r="CG88" s="1655"/>
      <c r="CH88" s="1655"/>
      <c r="CI88" s="1655"/>
      <c r="CJ88" s="1655"/>
      <c r="CK88" s="1655"/>
      <c r="CL88" s="1655"/>
      <c r="CM88" s="1655"/>
      <c r="CN88" s="1040"/>
      <c r="CO88" s="1041"/>
      <c r="CP88" s="1041"/>
      <c r="CQ88" s="885">
        <f t="shared" si="0"/>
        <v>0</v>
      </c>
    </row>
    <row r="89" spans="1:95" s="1042" customFormat="1" ht="15" hidden="1" customHeight="1" x14ac:dyDescent="0.25">
      <c r="A89" s="1038"/>
      <c r="B89" s="1039"/>
      <c r="C89" s="1039"/>
      <c r="D89" s="1039"/>
      <c r="E89" s="1039"/>
      <c r="F89" s="1039"/>
      <c r="G89" s="1039"/>
      <c r="H89" s="1039"/>
      <c r="I89" s="1039"/>
      <c r="J89" s="836"/>
      <c r="K89" s="836"/>
      <c r="L89" s="836"/>
      <c r="M89" s="836"/>
      <c r="N89" s="836"/>
      <c r="O89" s="836"/>
      <c r="P89" s="836"/>
      <c r="Q89" s="1043"/>
      <c r="R89" s="1043"/>
      <c r="S89" s="1649" t="s">
        <v>1147</v>
      </c>
      <c r="T89" s="1649"/>
      <c r="U89" s="1649"/>
      <c r="V89" s="1649"/>
      <c r="W89" s="1649"/>
      <c r="X89" s="1649"/>
      <c r="Y89" s="836"/>
      <c r="Z89" s="1649" t="s">
        <v>1148</v>
      </c>
      <c r="AA89" s="1649"/>
      <c r="AB89" s="1649"/>
      <c r="AC89" s="1649"/>
      <c r="AD89" s="1649"/>
      <c r="AE89" s="1649"/>
      <c r="AF89" s="836"/>
      <c r="AG89" s="1649" t="s">
        <v>1147</v>
      </c>
      <c r="AH89" s="1649"/>
      <c r="AI89" s="1649"/>
      <c r="AJ89" s="1649"/>
      <c r="AK89" s="1649"/>
      <c r="AL89" s="1649"/>
      <c r="AM89" s="836"/>
      <c r="AN89" s="1651" t="s">
        <v>1148</v>
      </c>
      <c r="AO89" s="1651"/>
      <c r="AP89" s="1651"/>
      <c r="AQ89" s="1651"/>
      <c r="AR89" s="1651"/>
      <c r="AS89" s="1651"/>
      <c r="AT89" s="1044"/>
      <c r="AU89" s="1038"/>
      <c r="AV89" s="1039"/>
      <c r="AW89" s="1039"/>
      <c r="AX89" s="1039"/>
      <c r="AY89" s="1039"/>
      <c r="AZ89" s="1039"/>
      <c r="BA89" s="1039"/>
      <c r="BB89" s="1039"/>
      <c r="BC89" s="1039"/>
      <c r="BD89" s="836"/>
      <c r="BE89" s="836"/>
      <c r="BF89" s="836"/>
      <c r="BG89" s="836"/>
      <c r="BH89" s="836"/>
      <c r="BI89" s="836"/>
      <c r="BJ89" s="836"/>
      <c r="BK89" s="1043"/>
      <c r="BL89" s="1043"/>
      <c r="BM89" s="1649" t="s">
        <v>1149</v>
      </c>
      <c r="BN89" s="1649"/>
      <c r="BO89" s="1649"/>
      <c r="BP89" s="1649"/>
      <c r="BQ89" s="1649"/>
      <c r="BR89" s="1649"/>
      <c r="BS89" s="836"/>
      <c r="BT89" s="1649" t="s">
        <v>1150</v>
      </c>
      <c r="BU89" s="1649"/>
      <c r="BV89" s="1649"/>
      <c r="BW89" s="1649"/>
      <c r="BX89" s="1649"/>
      <c r="BY89" s="1649"/>
      <c r="BZ89" s="836"/>
      <c r="CA89" s="1649" t="s">
        <v>1149</v>
      </c>
      <c r="CB89" s="1649"/>
      <c r="CC89" s="1649"/>
      <c r="CD89" s="1649"/>
      <c r="CE89" s="1649"/>
      <c r="CF89" s="1649"/>
      <c r="CG89" s="836"/>
      <c r="CH89" s="1649" t="s">
        <v>1150</v>
      </c>
      <c r="CI89" s="1649"/>
      <c r="CJ89" s="1649"/>
      <c r="CK89" s="1649"/>
      <c r="CL89" s="1649"/>
      <c r="CM89" s="1649"/>
      <c r="CN89" s="1044"/>
      <c r="CO89" s="1041"/>
      <c r="CP89" s="1041"/>
      <c r="CQ89" s="885">
        <f t="shared" si="0"/>
        <v>0</v>
      </c>
    </row>
    <row r="90" spans="1:95" ht="15" hidden="1" customHeight="1" x14ac:dyDescent="0.25">
      <c r="A90" s="1045"/>
      <c r="B90" s="848"/>
      <c r="C90" s="848"/>
      <c r="D90" s="848"/>
      <c r="E90" s="848"/>
      <c r="F90" s="848"/>
      <c r="G90" s="848"/>
      <c r="H90" s="848"/>
      <c r="I90" s="848"/>
      <c r="J90" s="904"/>
      <c r="K90" s="904"/>
      <c r="L90" s="904"/>
      <c r="M90" s="904"/>
      <c r="N90" s="904"/>
      <c r="O90" s="904"/>
      <c r="P90" s="904"/>
      <c r="Q90" s="848"/>
      <c r="S90" s="1650" t="str">
        <f>Don_Vi_Tinh_V</f>
        <v>VND</v>
      </c>
      <c r="T90" s="1650"/>
      <c r="U90" s="1650"/>
      <c r="V90" s="1650"/>
      <c r="W90" s="1650"/>
      <c r="X90" s="1650"/>
      <c r="Y90" s="904"/>
      <c r="Z90" s="1650" t="str">
        <f>Don_Vi_Tinh_V</f>
        <v>VND</v>
      </c>
      <c r="AA90" s="1650"/>
      <c r="AB90" s="1650"/>
      <c r="AC90" s="1650"/>
      <c r="AD90" s="1650"/>
      <c r="AE90" s="1650"/>
      <c r="AF90" s="904"/>
      <c r="AG90" s="1650" t="str">
        <f>Don_Vi_Tinh_V</f>
        <v>VND</v>
      </c>
      <c r="AH90" s="1650"/>
      <c r="AI90" s="1650"/>
      <c r="AJ90" s="1650"/>
      <c r="AK90" s="1650"/>
      <c r="AL90" s="1650"/>
      <c r="AM90" s="904"/>
      <c r="AN90" s="1650" t="str">
        <f>Don_Vi_Tinh_V</f>
        <v>VND</v>
      </c>
      <c r="AO90" s="1650"/>
      <c r="AP90" s="1650"/>
      <c r="AQ90" s="1650"/>
      <c r="AR90" s="1650"/>
      <c r="AS90" s="1650"/>
      <c r="AT90" s="1046"/>
      <c r="AU90" s="1045"/>
      <c r="AV90" s="848"/>
      <c r="AW90" s="848"/>
      <c r="AX90" s="848"/>
      <c r="AY90" s="848"/>
      <c r="AZ90" s="848"/>
      <c r="BA90" s="848"/>
      <c r="BB90" s="848"/>
      <c r="BC90" s="848"/>
      <c r="BD90" s="904"/>
      <c r="BE90" s="904"/>
      <c r="BF90" s="904"/>
      <c r="BG90" s="904"/>
      <c r="BH90" s="904"/>
      <c r="BI90" s="904"/>
      <c r="BJ90" s="904"/>
      <c r="BK90" s="848"/>
      <c r="BL90" s="715"/>
      <c r="BM90" s="1650" t="str">
        <f>Don_Vi_Tinh_E</f>
        <v>VND</v>
      </c>
      <c r="BN90" s="1650"/>
      <c r="BO90" s="1650"/>
      <c r="BP90" s="1650"/>
      <c r="BQ90" s="1650"/>
      <c r="BR90" s="1650"/>
      <c r="BS90" s="904"/>
      <c r="BT90" s="1650" t="str">
        <f>Don_Vi_Tinh_E</f>
        <v>VND</v>
      </c>
      <c r="BU90" s="1650"/>
      <c r="BV90" s="1650"/>
      <c r="BW90" s="1650"/>
      <c r="BX90" s="1650"/>
      <c r="BY90" s="1650"/>
      <c r="BZ90" s="904"/>
      <c r="CA90" s="1650" t="str">
        <f>Don_Vi_Tinh_E</f>
        <v>VND</v>
      </c>
      <c r="CB90" s="1650"/>
      <c r="CC90" s="1650"/>
      <c r="CD90" s="1650"/>
      <c r="CE90" s="1650"/>
      <c r="CF90" s="1650"/>
      <c r="CG90" s="904"/>
      <c r="CH90" s="1650" t="str">
        <f>Don_Vi_Tinh_E</f>
        <v>VND</v>
      </c>
      <c r="CI90" s="1650"/>
      <c r="CJ90" s="1650"/>
      <c r="CK90" s="1650"/>
      <c r="CL90" s="1650"/>
      <c r="CM90" s="1650"/>
      <c r="CN90" s="1046"/>
      <c r="CO90" s="1041"/>
      <c r="CP90" s="1041"/>
      <c r="CQ90" s="885">
        <f t="shared" si="0"/>
        <v>0</v>
      </c>
    </row>
    <row r="91" spans="1:95" ht="15" hidden="1" customHeight="1" x14ac:dyDescent="0.25">
      <c r="B91" s="848"/>
      <c r="D91" s="848"/>
      <c r="E91" s="848"/>
      <c r="F91" s="848"/>
      <c r="G91" s="848"/>
      <c r="H91" s="848"/>
      <c r="I91" s="848"/>
      <c r="J91" s="850"/>
      <c r="K91" s="850"/>
      <c r="L91" s="850"/>
      <c r="M91" s="850"/>
      <c r="N91" s="850"/>
      <c r="O91" s="850"/>
      <c r="P91" s="850"/>
      <c r="Q91" s="848"/>
      <c r="X91" s="850"/>
      <c r="Y91" s="850"/>
      <c r="Z91" s="850"/>
      <c r="AA91" s="850"/>
      <c r="AB91" s="850"/>
      <c r="AC91" s="850"/>
      <c r="AD91" s="850"/>
      <c r="AE91" s="854"/>
      <c r="AF91" s="850"/>
      <c r="AG91" s="850"/>
      <c r="AH91" s="850"/>
      <c r="AI91" s="850"/>
      <c r="AJ91" s="850"/>
      <c r="AK91" s="850"/>
      <c r="AL91" s="854"/>
      <c r="AM91" s="850"/>
      <c r="AN91" s="850"/>
      <c r="AO91" s="850"/>
      <c r="AP91" s="850"/>
      <c r="AQ91" s="850"/>
      <c r="AR91" s="850"/>
      <c r="AS91" s="854"/>
      <c r="AT91" s="855"/>
      <c r="AU91" s="865"/>
      <c r="AV91" s="848"/>
      <c r="AW91" s="715"/>
      <c r="AX91" s="848"/>
      <c r="AY91" s="848"/>
      <c r="AZ91" s="848"/>
      <c r="BA91" s="848"/>
      <c r="BB91" s="848"/>
      <c r="BC91" s="848"/>
      <c r="BD91" s="850"/>
      <c r="BE91" s="850"/>
      <c r="BF91" s="850"/>
      <c r="BG91" s="850"/>
      <c r="BH91" s="850"/>
      <c r="BI91" s="850"/>
      <c r="BJ91" s="850"/>
      <c r="BK91" s="848"/>
      <c r="BL91" s="715"/>
      <c r="BM91" s="715"/>
      <c r="BN91" s="715"/>
      <c r="BO91" s="715"/>
      <c r="BP91" s="715"/>
      <c r="BQ91" s="715"/>
      <c r="BR91" s="850"/>
      <c r="BS91" s="850"/>
      <c r="BT91" s="850"/>
      <c r="BU91" s="850"/>
      <c r="BV91" s="850"/>
      <c r="BW91" s="850"/>
      <c r="BX91" s="850"/>
      <c r="BY91" s="854"/>
      <c r="BZ91" s="850"/>
      <c r="CA91" s="850"/>
      <c r="CB91" s="850"/>
      <c r="CC91" s="850"/>
      <c r="CD91" s="850"/>
      <c r="CE91" s="850"/>
      <c r="CF91" s="854"/>
      <c r="CG91" s="850"/>
      <c r="CH91" s="850"/>
      <c r="CI91" s="850"/>
      <c r="CJ91" s="850"/>
      <c r="CK91" s="850"/>
      <c r="CL91" s="850"/>
      <c r="CM91" s="854"/>
      <c r="CN91" s="855"/>
      <c r="CO91" s="1041"/>
      <c r="CP91" s="1041"/>
      <c r="CQ91" s="885">
        <f t="shared" si="0"/>
        <v>0</v>
      </c>
    </row>
    <row r="92" spans="1:95" s="1030" customFormat="1" ht="15" hidden="1" customHeight="1" x14ac:dyDescent="0.25">
      <c r="A92" s="416"/>
      <c r="B92" s="1047"/>
      <c r="C92" s="1048" t="s">
        <v>561</v>
      </c>
      <c r="D92" s="1047"/>
      <c r="E92" s="848"/>
      <c r="F92" s="848"/>
      <c r="G92" s="848"/>
      <c r="H92" s="848"/>
      <c r="I92" s="848"/>
      <c r="J92" s="1049"/>
      <c r="K92" s="1050"/>
      <c r="L92" s="1050"/>
      <c r="M92" s="1050"/>
      <c r="N92" s="1050"/>
      <c r="O92" s="1050"/>
      <c r="P92" s="1050"/>
      <c r="Q92" s="848"/>
      <c r="S92" s="1646">
        <v>0</v>
      </c>
      <c r="T92" s="1646"/>
      <c r="U92" s="1646"/>
      <c r="V92" s="1646"/>
      <c r="W92" s="1646"/>
      <c r="X92" s="1646"/>
      <c r="Y92" s="1050"/>
      <c r="Z92" s="1646">
        <v>0</v>
      </c>
      <c r="AA92" s="1646"/>
      <c r="AB92" s="1646"/>
      <c r="AC92" s="1646"/>
      <c r="AD92" s="1646"/>
      <c r="AE92" s="1646"/>
      <c r="AF92" s="1050"/>
      <c r="AG92" s="1646">
        <v>0</v>
      </c>
      <c r="AH92" s="1646"/>
      <c r="AI92" s="1646"/>
      <c r="AJ92" s="1646"/>
      <c r="AK92" s="1646"/>
      <c r="AL92" s="1646"/>
      <c r="AM92" s="1050"/>
      <c r="AN92" s="1646">
        <v>0</v>
      </c>
      <c r="AO92" s="1646"/>
      <c r="AP92" s="1646"/>
      <c r="AQ92" s="1646"/>
      <c r="AR92" s="1646"/>
      <c r="AS92" s="1646"/>
      <c r="AT92" s="1028"/>
      <c r="AU92" s="1029"/>
      <c r="AV92" s="1047"/>
      <c r="AW92" s="1048" t="s">
        <v>1151</v>
      </c>
      <c r="AX92" s="1047"/>
      <c r="AY92" s="848"/>
      <c r="AZ92" s="848"/>
      <c r="BA92" s="848"/>
      <c r="BB92" s="848"/>
      <c r="BC92" s="848"/>
      <c r="BD92" s="1049"/>
      <c r="BE92" s="1050"/>
      <c r="BF92" s="1050"/>
      <c r="BG92" s="1050"/>
      <c r="BH92" s="1050"/>
      <c r="BI92" s="1050"/>
      <c r="BJ92" s="1050"/>
      <c r="BK92" s="848"/>
      <c r="BM92" s="1646">
        <f>S92</f>
        <v>0</v>
      </c>
      <c r="BN92" s="1646"/>
      <c r="BO92" s="1646"/>
      <c r="BP92" s="1646"/>
      <c r="BQ92" s="1646"/>
      <c r="BR92" s="1646"/>
      <c r="BS92" s="1050"/>
      <c r="BT92" s="1646">
        <f>Z92</f>
        <v>0</v>
      </c>
      <c r="BU92" s="1646"/>
      <c r="BV92" s="1646"/>
      <c r="BW92" s="1646"/>
      <c r="BX92" s="1646"/>
      <c r="BY92" s="1646"/>
      <c r="BZ92" s="1050"/>
      <c r="CA92" s="1646">
        <f>AG92</f>
        <v>0</v>
      </c>
      <c r="CB92" s="1646"/>
      <c r="CC92" s="1646"/>
      <c r="CD92" s="1646"/>
      <c r="CE92" s="1646"/>
      <c r="CF92" s="1646"/>
      <c r="CG92" s="1050"/>
      <c r="CH92" s="1646">
        <f>AN92</f>
        <v>0</v>
      </c>
      <c r="CI92" s="1646"/>
      <c r="CJ92" s="1646"/>
      <c r="CK92" s="1646"/>
      <c r="CL92" s="1646"/>
      <c r="CM92" s="1646"/>
      <c r="CN92" s="1028"/>
      <c r="CO92" s="1041"/>
      <c r="CP92" s="1041"/>
      <c r="CQ92" s="885">
        <f t="shared" si="0"/>
        <v>0</v>
      </c>
    </row>
    <row r="93" spans="1:95" s="1051" customFormat="1" ht="15" hidden="1" customHeight="1" x14ac:dyDescent="0.25">
      <c r="B93" s="1052"/>
      <c r="C93" s="1048" t="s">
        <v>1152</v>
      </c>
      <c r="D93" s="1052"/>
      <c r="E93" s="848"/>
      <c r="F93" s="848"/>
      <c r="G93" s="848"/>
      <c r="H93" s="848"/>
      <c r="I93" s="848"/>
      <c r="J93" s="1049"/>
      <c r="K93" s="1053"/>
      <c r="L93" s="1053"/>
      <c r="M93" s="1053"/>
      <c r="N93" s="1053"/>
      <c r="O93" s="1053"/>
      <c r="P93" s="1053"/>
      <c r="Q93" s="848"/>
      <c r="S93" s="1646">
        <v>0</v>
      </c>
      <c r="T93" s="1646"/>
      <c r="U93" s="1646"/>
      <c r="V93" s="1646"/>
      <c r="W93" s="1646"/>
      <c r="X93" s="1646"/>
      <c r="Y93" s="1053"/>
      <c r="Z93" s="1646">
        <v>0</v>
      </c>
      <c r="AA93" s="1646"/>
      <c r="AB93" s="1646"/>
      <c r="AC93" s="1646"/>
      <c r="AD93" s="1646"/>
      <c r="AE93" s="1646"/>
      <c r="AF93" s="1053"/>
      <c r="AG93" s="1646">
        <v>0</v>
      </c>
      <c r="AH93" s="1646"/>
      <c r="AI93" s="1646"/>
      <c r="AJ93" s="1646"/>
      <c r="AK93" s="1646"/>
      <c r="AL93" s="1646"/>
      <c r="AM93" s="1053"/>
      <c r="AN93" s="1646">
        <v>0</v>
      </c>
      <c r="AO93" s="1646"/>
      <c r="AP93" s="1646"/>
      <c r="AQ93" s="1646"/>
      <c r="AR93" s="1646"/>
      <c r="AS93" s="1646"/>
      <c r="AT93" s="1052"/>
      <c r="AU93" s="1054"/>
      <c r="AV93" s="1052"/>
      <c r="AW93" s="1048" t="s">
        <v>1153</v>
      </c>
      <c r="AX93" s="1052"/>
      <c r="AY93" s="848"/>
      <c r="AZ93" s="848"/>
      <c r="BA93" s="848"/>
      <c r="BB93" s="848"/>
      <c r="BC93" s="848"/>
      <c r="BD93" s="1049"/>
      <c r="BE93" s="1053"/>
      <c r="BF93" s="1053"/>
      <c r="BG93" s="1053"/>
      <c r="BH93" s="1053"/>
      <c r="BI93" s="1053"/>
      <c r="BJ93" s="1053"/>
      <c r="BK93" s="848"/>
      <c r="BM93" s="1646">
        <f>S93</f>
        <v>0</v>
      </c>
      <c r="BN93" s="1646"/>
      <c r="BO93" s="1646"/>
      <c r="BP93" s="1646"/>
      <c r="BQ93" s="1646"/>
      <c r="BR93" s="1646"/>
      <c r="BS93" s="1053"/>
      <c r="BT93" s="1646">
        <f>Z93</f>
        <v>0</v>
      </c>
      <c r="BU93" s="1646"/>
      <c r="BV93" s="1646"/>
      <c r="BW93" s="1646"/>
      <c r="BX93" s="1646"/>
      <c r="BY93" s="1646"/>
      <c r="BZ93" s="1053"/>
      <c r="CA93" s="1646">
        <f>AG93</f>
        <v>0</v>
      </c>
      <c r="CB93" s="1646"/>
      <c r="CC93" s="1646"/>
      <c r="CD93" s="1646"/>
      <c r="CE93" s="1646"/>
      <c r="CF93" s="1646"/>
      <c r="CG93" s="1053"/>
      <c r="CH93" s="1646">
        <f>AN93</f>
        <v>0</v>
      </c>
      <c r="CI93" s="1646"/>
      <c r="CJ93" s="1646"/>
      <c r="CK93" s="1646"/>
      <c r="CL93" s="1646"/>
      <c r="CM93" s="1646"/>
      <c r="CN93" s="1052"/>
      <c r="CO93" s="1014"/>
      <c r="CP93" s="1014"/>
      <c r="CQ93" s="885">
        <f t="shared" si="0"/>
        <v>0</v>
      </c>
    </row>
    <row r="94" spans="1:95" ht="15" hidden="1" customHeight="1" x14ac:dyDescent="0.25">
      <c r="C94" s="1055"/>
      <c r="J94" s="819"/>
      <c r="Q94" s="848"/>
      <c r="S94" s="1647"/>
      <c r="T94" s="1647"/>
      <c r="U94" s="1647"/>
      <c r="V94" s="1647"/>
      <c r="W94" s="1647"/>
      <c r="X94" s="1647"/>
      <c r="Y94" s="1056"/>
      <c r="Z94" s="1647"/>
      <c r="AA94" s="1647"/>
      <c r="AB94" s="1647"/>
      <c r="AC94" s="1647"/>
      <c r="AD94" s="1647"/>
      <c r="AE94" s="1647"/>
      <c r="AF94" s="1056"/>
      <c r="AG94" s="1647"/>
      <c r="AH94" s="1647"/>
      <c r="AI94" s="1647"/>
      <c r="AJ94" s="1647"/>
      <c r="AK94" s="1647"/>
      <c r="AL94" s="1647"/>
      <c r="AM94" s="1056"/>
      <c r="AN94" s="1647"/>
      <c r="AO94" s="1647"/>
      <c r="AP94" s="1647"/>
      <c r="AQ94" s="1647"/>
      <c r="AR94" s="1647"/>
      <c r="AS94" s="1647"/>
      <c r="AV94" s="715"/>
      <c r="AW94" s="1055"/>
      <c r="AX94" s="715"/>
      <c r="AY94" s="715"/>
      <c r="AZ94" s="715"/>
      <c r="BA94" s="715"/>
      <c r="BB94" s="715"/>
      <c r="BC94" s="715"/>
      <c r="BE94" s="715"/>
      <c r="BF94" s="715"/>
      <c r="BG94" s="715"/>
      <c r="BH94" s="715"/>
      <c r="BI94" s="715"/>
      <c r="BJ94" s="715"/>
      <c r="BK94" s="848"/>
      <c r="BL94" s="715"/>
      <c r="BM94" s="1647"/>
      <c r="BN94" s="1647"/>
      <c r="BO94" s="1647"/>
      <c r="BP94" s="1647"/>
      <c r="BQ94" s="1647"/>
      <c r="BR94" s="1647"/>
      <c r="BS94" s="1056"/>
      <c r="BT94" s="1647"/>
      <c r="BU94" s="1647"/>
      <c r="BV94" s="1647"/>
      <c r="BW94" s="1647"/>
      <c r="BX94" s="1647"/>
      <c r="BY94" s="1647"/>
      <c r="BZ94" s="1056"/>
      <c r="CA94" s="1647"/>
      <c r="CB94" s="1647"/>
      <c r="CC94" s="1647"/>
      <c r="CD94" s="1647"/>
      <c r="CE94" s="1647"/>
      <c r="CF94" s="1647"/>
      <c r="CG94" s="1056"/>
      <c r="CH94" s="1647"/>
      <c r="CI94" s="1647"/>
      <c r="CJ94" s="1647"/>
      <c r="CK94" s="1647"/>
      <c r="CL94" s="1647"/>
      <c r="CM94" s="1647"/>
      <c r="CO94" s="1014"/>
      <c r="CP94" s="1014"/>
      <c r="CQ94" s="885">
        <f t="shared" si="0"/>
        <v>0</v>
      </c>
    </row>
    <row r="95" spans="1:95" s="1037" customFormat="1" ht="15" hidden="1" customHeight="1" thickBot="1" x14ac:dyDescent="0.3">
      <c r="A95" s="1031"/>
      <c r="B95" s="1031"/>
      <c r="C95" s="1033" t="s">
        <v>752</v>
      </c>
      <c r="D95" s="1031"/>
      <c r="E95" s="1031"/>
      <c r="F95" s="1031"/>
      <c r="G95" s="1031"/>
      <c r="H95" s="1031"/>
      <c r="I95" s="1031"/>
      <c r="J95" s="1057"/>
      <c r="K95" s="1031"/>
      <c r="L95" s="1031"/>
      <c r="M95" s="1031"/>
      <c r="N95" s="1031"/>
      <c r="O95" s="1031"/>
      <c r="P95" s="1031"/>
      <c r="Q95" s="1058"/>
      <c r="R95" s="1031"/>
      <c r="S95" s="1645">
        <f>SUBTOTAL(109,S92:X93)</f>
        <v>0</v>
      </c>
      <c r="T95" s="1645"/>
      <c r="U95" s="1645"/>
      <c r="V95" s="1645"/>
      <c r="W95" s="1645"/>
      <c r="X95" s="1645"/>
      <c r="Y95" s="1059"/>
      <c r="Z95" s="1645">
        <f>SUBTOTAL(109,Z92:AE93)</f>
        <v>0</v>
      </c>
      <c r="AA95" s="1645"/>
      <c r="AB95" s="1645"/>
      <c r="AC95" s="1645"/>
      <c r="AD95" s="1645"/>
      <c r="AE95" s="1645"/>
      <c r="AF95" s="1059"/>
      <c r="AG95" s="1645">
        <f>SUBTOTAL(109,AG92:AL93)</f>
        <v>0</v>
      </c>
      <c r="AH95" s="1645"/>
      <c r="AI95" s="1645"/>
      <c r="AJ95" s="1645"/>
      <c r="AK95" s="1645"/>
      <c r="AL95" s="1645"/>
      <c r="AM95" s="1059"/>
      <c r="AN95" s="1645">
        <f>SUBTOTAL(109,AN92:AS93)</f>
        <v>0</v>
      </c>
      <c r="AO95" s="1645"/>
      <c r="AP95" s="1645"/>
      <c r="AQ95" s="1645"/>
      <c r="AR95" s="1645"/>
      <c r="AS95" s="1645"/>
      <c r="AT95" s="1031"/>
      <c r="AU95" s="1060"/>
      <c r="AV95" s="1031"/>
      <c r="AW95" s="1061" t="s">
        <v>752</v>
      </c>
      <c r="AX95" s="1031"/>
      <c r="AY95" s="1031"/>
      <c r="AZ95" s="1031"/>
      <c r="BA95" s="1031"/>
      <c r="BB95" s="1031"/>
      <c r="BC95" s="1031"/>
      <c r="BD95" s="1057"/>
      <c r="BE95" s="1031"/>
      <c r="BF95" s="1031"/>
      <c r="BG95" s="1031"/>
      <c r="BH95" s="1031"/>
      <c r="BI95" s="1031"/>
      <c r="BJ95" s="1031"/>
      <c r="BK95" s="1058"/>
      <c r="BL95" s="1031"/>
      <c r="BM95" s="1645">
        <f>SUBTOTAL(109,BM92:BR93)</f>
        <v>0</v>
      </c>
      <c r="BN95" s="1645"/>
      <c r="BO95" s="1645"/>
      <c r="BP95" s="1645"/>
      <c r="BQ95" s="1645"/>
      <c r="BR95" s="1645"/>
      <c r="BS95" s="1059"/>
      <c r="BT95" s="1645">
        <f>SUBTOTAL(109,BT92:BY93)</f>
        <v>0</v>
      </c>
      <c r="BU95" s="1645"/>
      <c r="BV95" s="1645"/>
      <c r="BW95" s="1645"/>
      <c r="BX95" s="1645"/>
      <c r="BY95" s="1645"/>
      <c r="BZ95" s="1059"/>
      <c r="CA95" s="1645">
        <f>SUBTOTAL(109,CA92:CF93)</f>
        <v>0</v>
      </c>
      <c r="CB95" s="1645"/>
      <c r="CC95" s="1645"/>
      <c r="CD95" s="1645"/>
      <c r="CE95" s="1645"/>
      <c r="CF95" s="1645"/>
      <c r="CG95" s="1059"/>
      <c r="CH95" s="1645">
        <f>SUBTOTAL(109,CH92:CM93)</f>
        <v>0</v>
      </c>
      <c r="CI95" s="1645"/>
      <c r="CJ95" s="1645"/>
      <c r="CK95" s="1645"/>
      <c r="CL95" s="1645"/>
      <c r="CM95" s="1645"/>
      <c r="CN95" s="1031"/>
      <c r="CO95" s="1014"/>
      <c r="CP95" s="1014"/>
      <c r="CQ95" s="885">
        <f t="shared" si="0"/>
        <v>0</v>
      </c>
    </row>
    <row r="96" spans="1:95" ht="15" hidden="1" customHeight="1" thickTop="1" x14ac:dyDescent="0.25">
      <c r="C96" s="1055"/>
      <c r="J96" s="819"/>
      <c r="AE96" s="1050"/>
      <c r="AV96" s="715"/>
      <c r="AW96" s="1055"/>
      <c r="AX96" s="715"/>
      <c r="AY96" s="715"/>
      <c r="AZ96" s="715"/>
      <c r="BA96" s="715"/>
      <c r="BB96" s="715"/>
      <c r="BC96" s="715"/>
      <c r="BE96" s="715"/>
      <c r="BF96" s="715"/>
      <c r="BG96" s="715"/>
      <c r="BH96" s="715"/>
      <c r="BI96" s="715"/>
      <c r="BJ96" s="715"/>
      <c r="BK96" s="715"/>
      <c r="BL96" s="715"/>
      <c r="BM96" s="715"/>
      <c r="BN96" s="715"/>
      <c r="BO96" s="715"/>
      <c r="BP96" s="715"/>
      <c r="BQ96" s="715"/>
      <c r="BR96" s="715"/>
      <c r="BS96" s="715"/>
      <c r="BT96" s="715"/>
      <c r="BU96" s="715"/>
      <c r="BV96" s="715"/>
      <c r="BW96" s="715"/>
      <c r="BX96" s="715"/>
      <c r="BY96" s="1050"/>
      <c r="BZ96" s="715"/>
      <c r="CA96" s="715"/>
      <c r="CB96" s="715"/>
      <c r="CC96" s="715"/>
      <c r="CD96" s="715"/>
      <c r="CE96" s="715"/>
      <c r="CF96" s="715"/>
      <c r="CG96" s="715"/>
      <c r="CH96" s="715"/>
      <c r="CI96" s="715"/>
      <c r="CJ96" s="715"/>
      <c r="CK96" s="715"/>
      <c r="CL96" s="715"/>
      <c r="CM96" s="715"/>
      <c r="CO96" s="1014"/>
      <c r="CP96" s="1014"/>
      <c r="CQ96" s="885">
        <f t="shared" si="0"/>
        <v>0</v>
      </c>
    </row>
    <row r="97" spans="1:182" s="1063" customFormat="1" ht="15" hidden="1" customHeight="1" x14ac:dyDescent="0.25">
      <c r="A97" s="602"/>
      <c r="B97" s="925"/>
      <c r="C97" s="1062" t="s">
        <v>1154</v>
      </c>
      <c r="D97" s="925"/>
      <c r="E97" s="925"/>
      <c r="F97" s="925"/>
      <c r="G97" s="925"/>
      <c r="H97" s="925"/>
      <c r="I97" s="925"/>
      <c r="J97" s="925"/>
      <c r="K97" s="925"/>
      <c r="L97" s="925"/>
      <c r="M97" s="925"/>
      <c r="N97" s="925"/>
      <c r="O97" s="925"/>
      <c r="P97" s="925"/>
      <c r="Q97" s="925"/>
      <c r="R97" s="925"/>
      <c r="S97" s="925"/>
      <c r="T97" s="925"/>
      <c r="U97" s="925"/>
      <c r="V97" s="925"/>
      <c r="W97" s="925"/>
      <c r="X97" s="925"/>
      <c r="Y97" s="925"/>
      <c r="Z97" s="925"/>
      <c r="AA97" s="925"/>
      <c r="AB97" s="925"/>
      <c r="AC97" s="925"/>
      <c r="AD97" s="925"/>
      <c r="AE97" s="1050"/>
      <c r="AF97" s="925"/>
      <c r="AG97" s="925"/>
      <c r="AH97" s="925"/>
      <c r="AI97" s="925"/>
      <c r="AJ97" s="925"/>
      <c r="AK97" s="925"/>
      <c r="AL97" s="925"/>
      <c r="AM97" s="925"/>
      <c r="AN97" s="925"/>
      <c r="AO97" s="925"/>
      <c r="AP97" s="925"/>
      <c r="AQ97" s="925"/>
      <c r="AR97" s="925"/>
      <c r="AS97" s="925"/>
      <c r="AT97" s="925"/>
      <c r="AU97" s="925"/>
      <c r="AV97" s="925"/>
      <c r="AW97" s="1062" t="s">
        <v>1154</v>
      </c>
      <c r="AX97" s="925"/>
      <c r="AY97" s="925"/>
      <c r="AZ97" s="925"/>
      <c r="BA97" s="925"/>
      <c r="BB97" s="925"/>
      <c r="BC97" s="925"/>
      <c r="BD97" s="925"/>
      <c r="BE97" s="925"/>
      <c r="BF97" s="925"/>
      <c r="BG97" s="925"/>
      <c r="BH97" s="925"/>
      <c r="BI97" s="925"/>
      <c r="BJ97" s="925"/>
      <c r="BK97" s="925"/>
      <c r="BL97" s="925"/>
      <c r="BM97" s="925"/>
      <c r="BN97" s="925"/>
      <c r="BO97" s="925"/>
      <c r="BP97" s="925"/>
      <c r="BQ97" s="925"/>
      <c r="BR97" s="925"/>
      <c r="BS97" s="925"/>
      <c r="BT97" s="925"/>
      <c r="BU97" s="925"/>
      <c r="BV97" s="925"/>
      <c r="BW97" s="925"/>
      <c r="BX97" s="925"/>
      <c r="BY97" s="1050"/>
      <c r="BZ97" s="925"/>
      <c r="CA97" s="925"/>
      <c r="CB97" s="925"/>
      <c r="CC97" s="925"/>
      <c r="CD97" s="925"/>
      <c r="CE97" s="925"/>
      <c r="CF97" s="925"/>
      <c r="CG97" s="925"/>
      <c r="CH97" s="925"/>
      <c r="CI97" s="925"/>
      <c r="CJ97" s="925"/>
      <c r="CK97" s="925"/>
      <c r="CL97" s="925"/>
      <c r="CM97" s="925"/>
      <c r="CN97" s="925"/>
      <c r="CO97" s="1014"/>
      <c r="CP97" s="1014"/>
      <c r="CQ97" s="885">
        <f t="shared" si="0"/>
        <v>0</v>
      </c>
    </row>
    <row r="98" spans="1:182" s="1066" customFormat="1" ht="15" hidden="1" customHeight="1" x14ac:dyDescent="0.25">
      <c r="A98" s="819"/>
      <c r="B98" s="819"/>
      <c r="C98" s="715"/>
      <c r="D98" s="819"/>
      <c r="E98" s="1064"/>
      <c r="F98" s="1064"/>
      <c r="G98" s="1064"/>
      <c r="H98" s="1064"/>
      <c r="I98" s="1064"/>
      <c r="J98" s="1064"/>
      <c r="K98" s="1064"/>
      <c r="L98" s="1064"/>
      <c r="M98" s="1064"/>
      <c r="N98" s="1064"/>
      <c r="O98" s="1064"/>
      <c r="P98" s="1064"/>
      <c r="Q98" s="1064"/>
      <c r="R98" s="1064"/>
      <c r="S98" s="1064"/>
      <c r="T98" s="1064"/>
      <c r="U98" s="1064"/>
      <c r="V98" s="1064"/>
      <c r="W98" s="1064"/>
      <c r="X98" s="1064"/>
      <c r="Y98" s="1065"/>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819"/>
      <c r="AU98" s="819"/>
      <c r="AV98" s="819"/>
      <c r="AW98" s="715"/>
      <c r="AX98" s="819"/>
      <c r="AY98" s="1064"/>
      <c r="AZ98" s="1064"/>
      <c r="BA98" s="1064"/>
      <c r="BB98" s="1064"/>
      <c r="BC98" s="1064"/>
      <c r="BD98" s="1064"/>
      <c r="BE98" s="1064"/>
      <c r="BF98" s="1064"/>
      <c r="BG98" s="1064"/>
      <c r="BH98" s="1064"/>
      <c r="BI98" s="1064"/>
      <c r="BJ98" s="1064"/>
      <c r="BK98" s="1064"/>
      <c r="BL98" s="1064"/>
      <c r="BM98" s="1064"/>
      <c r="BN98" s="1064"/>
      <c r="BO98" s="1064"/>
      <c r="BP98" s="1064"/>
      <c r="BQ98" s="1064"/>
      <c r="BR98" s="1064"/>
      <c r="BS98" s="1065"/>
      <c r="BT98" s="1064"/>
      <c r="BU98" s="1064"/>
      <c r="BV98" s="1064"/>
      <c r="BW98" s="1064"/>
      <c r="BX98" s="1064"/>
      <c r="BY98" s="1064"/>
      <c r="BZ98" s="1064"/>
      <c r="CA98" s="1064"/>
      <c r="CB98" s="1064"/>
      <c r="CC98" s="1064"/>
      <c r="CD98" s="1064"/>
      <c r="CE98" s="1064"/>
      <c r="CF98" s="1064"/>
      <c r="CG98" s="1064"/>
      <c r="CH98" s="1064"/>
      <c r="CI98" s="1064"/>
      <c r="CJ98" s="1064"/>
      <c r="CK98" s="1064"/>
      <c r="CL98" s="1064"/>
      <c r="CM98" s="1064"/>
      <c r="CN98" s="819"/>
      <c r="CO98" s="1014"/>
      <c r="CP98" s="1014"/>
      <c r="CQ98" s="885">
        <f t="shared" si="0"/>
        <v>0</v>
      </c>
    </row>
    <row r="99" spans="1:182" s="819" customFormat="1" ht="15" hidden="1" customHeight="1" x14ac:dyDescent="0.25">
      <c r="C99" s="532" t="s">
        <v>2085</v>
      </c>
      <c r="D99" s="1067"/>
      <c r="E99" s="1067"/>
      <c r="F99" s="1067"/>
      <c r="G99" s="1067"/>
      <c r="H99" s="1067"/>
      <c r="I99" s="1067"/>
      <c r="J99" s="1067"/>
      <c r="L99" s="1067"/>
      <c r="M99" s="1067"/>
      <c r="N99" s="1067"/>
      <c r="O99" s="1067"/>
      <c r="P99" s="1067"/>
      <c r="Q99" s="1067"/>
      <c r="S99" s="1067"/>
      <c r="T99" s="1067"/>
      <c r="U99" s="1067"/>
      <c r="V99" s="1067"/>
      <c r="W99" s="1067"/>
      <c r="X99" s="1067"/>
      <c r="Z99" s="1068"/>
      <c r="AA99" s="1068"/>
      <c r="AB99" s="1068"/>
      <c r="AC99" s="1068"/>
      <c r="AE99" s="1068"/>
      <c r="AF99" s="1068"/>
      <c r="AG99" s="1068"/>
      <c r="AH99" s="1068"/>
      <c r="AI99" s="1068"/>
      <c r="AK99" s="1067"/>
      <c r="AL99" s="1067"/>
      <c r="AM99" s="1067"/>
      <c r="AN99" s="1067"/>
      <c r="AO99" s="1067"/>
      <c r="AP99" s="1067"/>
      <c r="AQ99" s="1067"/>
      <c r="AR99" s="1067"/>
      <c r="AS99" s="1067"/>
      <c r="AW99" s="879" t="s">
        <v>1156</v>
      </c>
      <c r="AX99" s="1067"/>
      <c r="AY99" s="1067"/>
      <c r="AZ99" s="1067"/>
      <c r="BA99" s="1067"/>
      <c r="BB99" s="1067"/>
      <c r="BC99" s="1067"/>
      <c r="BD99" s="1067"/>
      <c r="BF99" s="1067"/>
      <c r="BG99" s="1067"/>
      <c r="BH99" s="1067"/>
      <c r="BI99" s="1067"/>
      <c r="BJ99" s="1067"/>
      <c r="BK99" s="1067"/>
      <c r="BM99" s="1067"/>
      <c r="BN99" s="1067"/>
      <c r="BO99" s="1067"/>
      <c r="BP99" s="1067"/>
      <c r="BQ99" s="1067"/>
      <c r="BR99" s="1067"/>
      <c r="BT99" s="1068"/>
      <c r="BU99" s="1068"/>
      <c r="BV99" s="1068"/>
      <c r="BW99" s="1068"/>
      <c r="BY99" s="1068"/>
      <c r="BZ99" s="1068"/>
      <c r="CA99" s="1068"/>
      <c r="CB99" s="1068"/>
      <c r="CC99" s="1068"/>
      <c r="CE99" s="1067"/>
      <c r="CF99" s="1067"/>
      <c r="CG99" s="1067"/>
      <c r="CH99" s="1067"/>
      <c r="CI99" s="1067"/>
      <c r="CJ99" s="1067"/>
      <c r="CK99" s="1067"/>
      <c r="CL99" s="1067"/>
      <c r="CM99" s="1067"/>
      <c r="CO99" s="1014"/>
      <c r="CP99" s="1014"/>
      <c r="CQ99" s="885">
        <f t="shared" si="0"/>
        <v>0</v>
      </c>
      <c r="CR99" s="1066"/>
      <c r="CS99" s="1066"/>
      <c r="CT99" s="1066"/>
      <c r="CU99" s="1066"/>
      <c r="CV99" s="1066"/>
      <c r="CW99" s="1066"/>
      <c r="CX99" s="1066"/>
      <c r="CY99" s="1066"/>
      <c r="CZ99" s="1066"/>
      <c r="DA99" s="1066"/>
      <c r="DB99" s="1066"/>
      <c r="DC99" s="1066"/>
      <c r="DD99" s="1066"/>
      <c r="DE99" s="1066"/>
      <c r="DF99" s="1066"/>
      <c r="DG99" s="1066"/>
      <c r="DH99" s="1066"/>
      <c r="DI99" s="1066"/>
      <c r="DJ99" s="1066"/>
      <c r="DK99" s="1066"/>
      <c r="DL99" s="1066"/>
      <c r="DM99" s="1066"/>
      <c r="DN99" s="1066"/>
      <c r="DO99" s="1066"/>
      <c r="DP99" s="1066"/>
      <c r="DQ99" s="1066"/>
      <c r="DR99" s="1066"/>
      <c r="DS99" s="1066"/>
      <c r="DT99" s="1066"/>
      <c r="DU99" s="1066"/>
      <c r="DV99" s="1066"/>
      <c r="DW99" s="1066"/>
      <c r="DX99" s="1066"/>
      <c r="DY99" s="1066"/>
      <c r="DZ99" s="1066"/>
      <c r="EA99" s="1066"/>
      <c r="EB99" s="1066"/>
      <c r="EC99" s="1066"/>
      <c r="ED99" s="1066"/>
      <c r="EE99" s="1066"/>
      <c r="EF99" s="1066"/>
      <c r="EG99" s="1066"/>
      <c r="EH99" s="1066"/>
      <c r="EI99" s="1066"/>
      <c r="EJ99" s="1066"/>
      <c r="EK99" s="1066"/>
      <c r="EL99" s="1066"/>
      <c r="EM99" s="1066"/>
      <c r="EN99" s="1066"/>
      <c r="EO99" s="1066"/>
      <c r="EP99" s="1066"/>
      <c r="EQ99" s="1066"/>
      <c r="ER99" s="1066"/>
      <c r="ES99" s="1066"/>
      <c r="ET99" s="1066"/>
      <c r="EU99" s="1066"/>
      <c r="EV99" s="1066"/>
      <c r="EW99" s="1066"/>
      <c r="EX99" s="1066"/>
      <c r="EY99" s="1066"/>
      <c r="EZ99" s="1066"/>
      <c r="FA99" s="1066"/>
      <c r="FB99" s="1066"/>
      <c r="FC99" s="1066"/>
      <c r="FD99" s="1066"/>
      <c r="FE99" s="1066"/>
      <c r="FF99" s="1066"/>
      <c r="FG99" s="1066"/>
      <c r="FH99" s="1066"/>
      <c r="FI99" s="1066"/>
      <c r="FJ99" s="1066"/>
      <c r="FK99" s="1066"/>
      <c r="FL99" s="1066"/>
      <c r="FM99" s="1066"/>
      <c r="FN99" s="1066"/>
      <c r="FO99" s="1066"/>
      <c r="FP99" s="1066"/>
      <c r="FQ99" s="1066"/>
      <c r="FR99" s="1066"/>
      <c r="FS99" s="1066"/>
      <c r="FT99" s="1066"/>
      <c r="FU99" s="1066"/>
      <c r="FV99" s="1066"/>
      <c r="FW99" s="1066"/>
      <c r="FX99" s="1066"/>
      <c r="FY99" s="1066"/>
      <c r="FZ99" s="1066"/>
    </row>
    <row r="100" spans="1:182" s="1069" customFormat="1" ht="15" hidden="1" customHeight="1" x14ac:dyDescent="0.25">
      <c r="K100" s="1652" t="s">
        <v>1914</v>
      </c>
      <c r="L100" s="1652"/>
      <c r="M100" s="1652"/>
      <c r="N100" s="1652"/>
      <c r="O100" s="1652"/>
      <c r="P100" s="1652"/>
      <c r="Q100" s="1652"/>
      <c r="S100" s="1653" t="str">
        <f>Ky_Nay1_V</f>
        <v>31/12/2017</v>
      </c>
      <c r="T100" s="1653"/>
      <c r="U100" s="1653"/>
      <c r="V100" s="1653"/>
      <c r="W100" s="1653"/>
      <c r="X100" s="1653"/>
      <c r="Y100" s="1653"/>
      <c r="Z100" s="1653"/>
      <c r="AA100" s="1653"/>
      <c r="AB100" s="1653"/>
      <c r="AC100" s="1653"/>
      <c r="AD100" s="1653"/>
      <c r="AE100" s="1653"/>
      <c r="AF100" s="1070"/>
      <c r="AG100" s="1653" t="str">
        <f>Ky_Truoc1_V</f>
        <v>01/01/2017</v>
      </c>
      <c r="AH100" s="1653"/>
      <c r="AI100" s="1653"/>
      <c r="AJ100" s="1653"/>
      <c r="AK100" s="1653"/>
      <c r="AL100" s="1653" t="str">
        <f>Ky_Truoc1_V</f>
        <v>01/01/2017</v>
      </c>
      <c r="AM100" s="1653"/>
      <c r="AN100" s="1653"/>
      <c r="AO100" s="1653"/>
      <c r="AP100" s="1653"/>
      <c r="AQ100" s="1653"/>
      <c r="AR100" s="1653"/>
      <c r="AS100" s="1653"/>
      <c r="BE100" s="1654" t="s">
        <v>2086</v>
      </c>
      <c r="BF100" s="1654"/>
      <c r="BG100" s="1654"/>
      <c r="BH100" s="1654"/>
      <c r="BI100" s="1654"/>
      <c r="BJ100" s="1654"/>
      <c r="BK100" s="1654"/>
      <c r="BM100" s="1653" t="str">
        <f>Ky_Nay1_E</f>
        <v>31/12/2017</v>
      </c>
      <c r="BN100" s="1653"/>
      <c r="BO100" s="1653"/>
      <c r="BP100" s="1653"/>
      <c r="BQ100" s="1653"/>
      <c r="BR100" s="1653"/>
      <c r="BS100" s="1653"/>
      <c r="BT100" s="1653"/>
      <c r="BU100" s="1653"/>
      <c r="BV100" s="1653"/>
      <c r="BW100" s="1653"/>
      <c r="BX100" s="1653"/>
      <c r="BY100" s="1653"/>
      <c r="BZ100" s="1070"/>
      <c r="CA100" s="1653" t="str">
        <f>Ky_Truoc1_E</f>
        <v>01/01/2017</v>
      </c>
      <c r="CB100" s="1653"/>
      <c r="CC100" s="1653"/>
      <c r="CD100" s="1653"/>
      <c r="CE100" s="1653"/>
      <c r="CF100" s="1653" t="str">
        <f>Ky_Truoc1_V</f>
        <v>01/01/2017</v>
      </c>
      <c r="CG100" s="1653"/>
      <c r="CH100" s="1653"/>
      <c r="CI100" s="1653"/>
      <c r="CJ100" s="1653"/>
      <c r="CK100" s="1653"/>
      <c r="CL100" s="1653"/>
      <c r="CM100" s="1653"/>
      <c r="CO100" s="1014"/>
      <c r="CP100" s="1014"/>
      <c r="CQ100" s="885">
        <f t="shared" si="0"/>
        <v>0</v>
      </c>
      <c r="CR100" s="1071"/>
      <c r="CS100" s="1071"/>
      <c r="CT100" s="1071"/>
      <c r="CU100" s="1071"/>
      <c r="CV100" s="1071"/>
      <c r="CW100" s="1071"/>
      <c r="CX100" s="1071"/>
      <c r="CY100" s="1071"/>
      <c r="CZ100" s="1071"/>
      <c r="DA100" s="1071"/>
      <c r="DB100" s="1071"/>
      <c r="DC100" s="1071"/>
      <c r="DD100" s="1071"/>
      <c r="DE100" s="1071"/>
      <c r="DF100" s="1071"/>
      <c r="DG100" s="1071"/>
      <c r="DH100" s="1071"/>
      <c r="DI100" s="1071"/>
      <c r="DJ100" s="1071"/>
      <c r="DK100" s="1071"/>
      <c r="DL100" s="1071"/>
      <c r="DM100" s="1071"/>
      <c r="DN100" s="1071"/>
      <c r="DO100" s="1071"/>
      <c r="DP100" s="1071"/>
      <c r="DQ100" s="1071"/>
      <c r="DR100" s="1071"/>
      <c r="DS100" s="1071"/>
      <c r="DT100" s="1071"/>
      <c r="DU100" s="1071"/>
      <c r="DV100" s="1071"/>
      <c r="DW100" s="1071"/>
      <c r="DX100" s="1071"/>
      <c r="DY100" s="1071"/>
      <c r="DZ100" s="1071"/>
      <c r="EA100" s="1071"/>
      <c r="EB100" s="1071"/>
      <c r="EC100" s="1071"/>
      <c r="ED100" s="1071"/>
      <c r="EE100" s="1071"/>
      <c r="EF100" s="1071"/>
      <c r="EG100" s="1071"/>
      <c r="EH100" s="1071"/>
      <c r="EI100" s="1071"/>
      <c r="EJ100" s="1071"/>
      <c r="EK100" s="1071"/>
      <c r="EL100" s="1071"/>
      <c r="EM100" s="1071"/>
      <c r="EN100" s="1071"/>
      <c r="EO100" s="1071"/>
      <c r="EP100" s="1071"/>
      <c r="EQ100" s="1071"/>
      <c r="ER100" s="1071"/>
      <c r="ES100" s="1071"/>
      <c r="ET100" s="1071"/>
      <c r="EU100" s="1071"/>
      <c r="EV100" s="1071"/>
      <c r="EW100" s="1071"/>
      <c r="EX100" s="1071"/>
      <c r="EY100" s="1071"/>
      <c r="EZ100" s="1071"/>
      <c r="FA100" s="1071"/>
      <c r="FB100" s="1071"/>
      <c r="FC100" s="1071"/>
      <c r="FD100" s="1071"/>
      <c r="FE100" s="1071"/>
      <c r="FF100" s="1071"/>
      <c r="FG100" s="1071"/>
      <c r="FH100" s="1071"/>
      <c r="FI100" s="1071"/>
      <c r="FJ100" s="1071"/>
      <c r="FK100" s="1071"/>
      <c r="FL100" s="1071"/>
      <c r="FM100" s="1071"/>
      <c r="FN100" s="1071"/>
      <c r="FO100" s="1071"/>
      <c r="FP100" s="1071"/>
      <c r="FQ100" s="1071"/>
      <c r="FR100" s="1071"/>
      <c r="FS100" s="1071"/>
      <c r="FT100" s="1071"/>
      <c r="FU100" s="1071"/>
      <c r="FV100" s="1071"/>
      <c r="FW100" s="1071"/>
      <c r="FX100" s="1071"/>
      <c r="FY100" s="1071"/>
      <c r="FZ100" s="1071"/>
    </row>
    <row r="101" spans="1:182" s="819" customFormat="1" ht="15" hidden="1" customHeight="1" x14ac:dyDescent="0.25">
      <c r="C101" s="1068"/>
      <c r="D101" s="1068"/>
      <c r="E101" s="1068"/>
      <c r="F101" s="1068"/>
      <c r="G101" s="1068"/>
      <c r="H101" s="1068"/>
      <c r="I101" s="1068"/>
      <c r="J101" s="1068"/>
      <c r="L101" s="1068"/>
      <c r="M101" s="1068"/>
      <c r="N101" s="1068"/>
      <c r="O101" s="1068"/>
      <c r="P101" s="1068"/>
      <c r="Q101" s="1068"/>
      <c r="S101" s="1649" t="s">
        <v>1147</v>
      </c>
      <c r="T101" s="1649"/>
      <c r="U101" s="1649"/>
      <c r="V101" s="1649"/>
      <c r="W101" s="1649"/>
      <c r="X101" s="1649"/>
      <c r="Y101" s="836"/>
      <c r="Z101" s="1649" t="s">
        <v>1148</v>
      </c>
      <c r="AA101" s="1649"/>
      <c r="AB101" s="1649"/>
      <c r="AC101" s="1649"/>
      <c r="AD101" s="1649"/>
      <c r="AE101" s="1649"/>
      <c r="AF101" s="836"/>
      <c r="AG101" s="1649" t="s">
        <v>1147</v>
      </c>
      <c r="AH101" s="1649"/>
      <c r="AI101" s="1649"/>
      <c r="AJ101" s="1649"/>
      <c r="AK101" s="1649"/>
      <c r="AL101" s="1649"/>
      <c r="AM101" s="836"/>
      <c r="AN101" s="1651" t="s">
        <v>1148</v>
      </c>
      <c r="AO101" s="1651"/>
      <c r="AP101" s="1651"/>
      <c r="AQ101" s="1651"/>
      <c r="AR101" s="1651"/>
      <c r="AS101" s="1651"/>
      <c r="AW101" s="1068"/>
      <c r="AX101" s="1068"/>
      <c r="AY101" s="1068"/>
      <c r="AZ101" s="1068"/>
      <c r="BA101" s="1068"/>
      <c r="BB101" s="1068"/>
      <c r="BC101" s="1068"/>
      <c r="BD101" s="1068"/>
      <c r="BF101" s="1068"/>
      <c r="BG101" s="1068"/>
      <c r="BH101" s="1068"/>
      <c r="BI101" s="1068"/>
      <c r="BJ101" s="1068"/>
      <c r="BK101" s="1068"/>
      <c r="BM101" s="1649" t="s">
        <v>1149</v>
      </c>
      <c r="BN101" s="1649"/>
      <c r="BO101" s="1649"/>
      <c r="BP101" s="1649"/>
      <c r="BQ101" s="1649"/>
      <c r="BR101" s="1649"/>
      <c r="BS101" s="836"/>
      <c r="BT101" s="1649" t="s">
        <v>1150</v>
      </c>
      <c r="BU101" s="1649"/>
      <c r="BV101" s="1649"/>
      <c r="BW101" s="1649"/>
      <c r="BX101" s="1649"/>
      <c r="BY101" s="1649"/>
      <c r="BZ101" s="836"/>
      <c r="CA101" s="1649" t="s">
        <v>1149</v>
      </c>
      <c r="CB101" s="1649"/>
      <c r="CC101" s="1649"/>
      <c r="CD101" s="1649"/>
      <c r="CE101" s="1649"/>
      <c r="CF101" s="1649"/>
      <c r="CG101" s="836"/>
      <c r="CH101" s="1649" t="s">
        <v>1150</v>
      </c>
      <c r="CI101" s="1649"/>
      <c r="CJ101" s="1649"/>
      <c r="CK101" s="1649"/>
      <c r="CL101" s="1649"/>
      <c r="CM101" s="1649"/>
      <c r="CO101" s="1014"/>
      <c r="CP101" s="1014"/>
      <c r="CQ101" s="885">
        <f t="shared" si="0"/>
        <v>0</v>
      </c>
      <c r="CR101" s="1066"/>
      <c r="CS101" s="1066"/>
      <c r="CT101" s="1066"/>
      <c r="CU101" s="1066"/>
      <c r="CV101" s="1066"/>
      <c r="CW101" s="1066"/>
      <c r="CX101" s="1066"/>
      <c r="CY101" s="1066"/>
      <c r="CZ101" s="1066"/>
      <c r="DA101" s="1066"/>
      <c r="DB101" s="1066"/>
      <c r="DC101" s="1066"/>
      <c r="DD101" s="1066"/>
      <c r="DE101" s="1066"/>
      <c r="DF101" s="1066"/>
      <c r="DG101" s="1066"/>
      <c r="DH101" s="1066"/>
      <c r="DI101" s="1066"/>
      <c r="DJ101" s="1066"/>
      <c r="DK101" s="1066"/>
      <c r="DL101" s="1066"/>
      <c r="DM101" s="1066"/>
      <c r="DN101" s="1066"/>
      <c r="DO101" s="1066"/>
      <c r="DP101" s="1066"/>
      <c r="DQ101" s="1066"/>
      <c r="DR101" s="1066"/>
      <c r="DS101" s="1066"/>
      <c r="DT101" s="1066"/>
      <c r="DU101" s="1066"/>
      <c r="DV101" s="1066"/>
      <c r="DW101" s="1066"/>
      <c r="DX101" s="1066"/>
      <c r="DY101" s="1066"/>
      <c r="DZ101" s="1066"/>
      <c r="EA101" s="1066"/>
      <c r="EB101" s="1066"/>
      <c r="EC101" s="1066"/>
      <c r="ED101" s="1066"/>
      <c r="EE101" s="1066"/>
      <c r="EF101" s="1066"/>
      <c r="EG101" s="1066"/>
      <c r="EH101" s="1066"/>
      <c r="EI101" s="1066"/>
      <c r="EJ101" s="1066"/>
      <c r="EK101" s="1066"/>
      <c r="EL101" s="1066"/>
      <c r="EM101" s="1066"/>
      <c r="EN101" s="1066"/>
      <c r="EO101" s="1066"/>
      <c r="EP101" s="1066"/>
      <c r="EQ101" s="1066"/>
      <c r="ER101" s="1066"/>
      <c r="ES101" s="1066"/>
      <c r="ET101" s="1066"/>
      <c r="EU101" s="1066"/>
      <c r="EV101" s="1066"/>
      <c r="EW101" s="1066"/>
      <c r="EX101" s="1066"/>
      <c r="EY101" s="1066"/>
      <c r="EZ101" s="1066"/>
      <c r="FA101" s="1066"/>
      <c r="FB101" s="1066"/>
      <c r="FC101" s="1066"/>
      <c r="FD101" s="1066"/>
      <c r="FE101" s="1066"/>
      <c r="FF101" s="1066"/>
      <c r="FG101" s="1066"/>
      <c r="FH101" s="1066"/>
      <c r="FI101" s="1066"/>
      <c r="FJ101" s="1066"/>
      <c r="FK101" s="1066"/>
      <c r="FL101" s="1066"/>
      <c r="FM101" s="1066"/>
      <c r="FN101" s="1066"/>
      <c r="FO101" s="1066"/>
      <c r="FP101" s="1066"/>
      <c r="FQ101" s="1066"/>
      <c r="FR101" s="1066"/>
      <c r="FS101" s="1066"/>
      <c r="FT101" s="1066"/>
      <c r="FU101" s="1066"/>
      <c r="FV101" s="1066"/>
      <c r="FW101" s="1066"/>
      <c r="FX101" s="1066"/>
      <c r="FY101" s="1066"/>
      <c r="FZ101" s="1066"/>
    </row>
    <row r="102" spans="1:182" s="819" customFormat="1" ht="15" hidden="1" customHeight="1" x14ac:dyDescent="0.25">
      <c r="C102" s="1068"/>
      <c r="D102" s="1068"/>
      <c r="E102" s="1068"/>
      <c r="F102" s="1068"/>
      <c r="G102" s="1068"/>
      <c r="H102" s="1068"/>
      <c r="I102" s="1068"/>
      <c r="J102" s="1068"/>
      <c r="L102" s="1068"/>
      <c r="M102" s="1068"/>
      <c r="N102" s="1068"/>
      <c r="O102" s="1068"/>
      <c r="P102" s="1068"/>
      <c r="Q102" s="1068"/>
      <c r="S102" s="1650" t="str">
        <f>Don_Vi_Tinh_V</f>
        <v>VND</v>
      </c>
      <c r="T102" s="1650"/>
      <c r="U102" s="1650"/>
      <c r="V102" s="1650"/>
      <c r="W102" s="1650"/>
      <c r="X102" s="1650"/>
      <c r="Y102" s="904"/>
      <c r="Z102" s="1650" t="str">
        <f>Don_Vi_Tinh_V</f>
        <v>VND</v>
      </c>
      <c r="AA102" s="1650"/>
      <c r="AB102" s="1650"/>
      <c r="AC102" s="1650"/>
      <c r="AD102" s="1650"/>
      <c r="AE102" s="1650"/>
      <c r="AF102" s="904"/>
      <c r="AG102" s="1650" t="str">
        <f>Don_Vi_Tinh_V</f>
        <v>VND</v>
      </c>
      <c r="AH102" s="1650"/>
      <c r="AI102" s="1650"/>
      <c r="AJ102" s="1650"/>
      <c r="AK102" s="1650"/>
      <c r="AL102" s="1650"/>
      <c r="AM102" s="904"/>
      <c r="AN102" s="1650" t="str">
        <f>Don_Vi_Tinh_V</f>
        <v>VND</v>
      </c>
      <c r="AO102" s="1650"/>
      <c r="AP102" s="1650"/>
      <c r="AQ102" s="1650"/>
      <c r="AR102" s="1650"/>
      <c r="AS102" s="1650"/>
      <c r="AW102" s="1068"/>
      <c r="AX102" s="1068"/>
      <c r="AY102" s="1068"/>
      <c r="AZ102" s="1068"/>
      <c r="BA102" s="1068"/>
      <c r="BB102" s="1068"/>
      <c r="BC102" s="1068"/>
      <c r="BD102" s="1068"/>
      <c r="BF102" s="1068"/>
      <c r="BG102" s="1068"/>
      <c r="BH102" s="1068"/>
      <c r="BI102" s="1068"/>
      <c r="BJ102" s="1068"/>
      <c r="BK102" s="1068"/>
      <c r="BM102" s="1650" t="str">
        <f>Don_Vi_Tinh_E</f>
        <v>VND</v>
      </c>
      <c r="BN102" s="1650"/>
      <c r="BO102" s="1650"/>
      <c r="BP102" s="1650"/>
      <c r="BQ102" s="1650"/>
      <c r="BR102" s="1650"/>
      <c r="BS102" s="904"/>
      <c r="BT102" s="1650" t="str">
        <f>Don_Vi_Tinh_E</f>
        <v>VND</v>
      </c>
      <c r="BU102" s="1650"/>
      <c r="BV102" s="1650"/>
      <c r="BW102" s="1650"/>
      <c r="BX102" s="1650"/>
      <c r="BY102" s="1650"/>
      <c r="BZ102" s="904"/>
      <c r="CA102" s="1650" t="str">
        <f>Don_Vi_Tinh_E</f>
        <v>VND</v>
      </c>
      <c r="CB102" s="1650"/>
      <c r="CC102" s="1650"/>
      <c r="CD102" s="1650"/>
      <c r="CE102" s="1650"/>
      <c r="CF102" s="1650"/>
      <c r="CG102" s="904"/>
      <c r="CH102" s="1650" t="str">
        <f>Don_Vi_Tinh_E</f>
        <v>VND</v>
      </c>
      <c r="CI102" s="1650"/>
      <c r="CJ102" s="1650"/>
      <c r="CK102" s="1650"/>
      <c r="CL102" s="1650"/>
      <c r="CM102" s="1650"/>
      <c r="CO102" s="1014"/>
      <c r="CP102" s="1014"/>
      <c r="CQ102" s="885">
        <f t="shared" si="0"/>
        <v>0</v>
      </c>
      <c r="CR102" s="1066"/>
      <c r="CS102" s="1066"/>
      <c r="CT102" s="1066"/>
      <c r="CU102" s="1066"/>
      <c r="CV102" s="1066"/>
      <c r="CW102" s="1066"/>
      <c r="CX102" s="1066"/>
      <c r="CY102" s="1066"/>
      <c r="CZ102" s="1066"/>
      <c r="DA102" s="1066"/>
      <c r="DB102" s="1066"/>
      <c r="DC102" s="1066"/>
      <c r="DD102" s="1066"/>
      <c r="DE102" s="1066"/>
      <c r="DF102" s="1066"/>
      <c r="DG102" s="1066"/>
      <c r="DH102" s="1066"/>
      <c r="DI102" s="1066"/>
      <c r="DJ102" s="1066"/>
      <c r="DK102" s="1066"/>
      <c r="DL102" s="1066"/>
      <c r="DM102" s="1066"/>
      <c r="DN102" s="1066"/>
      <c r="DO102" s="1066"/>
      <c r="DP102" s="1066"/>
      <c r="DQ102" s="1066"/>
      <c r="DR102" s="1066"/>
      <c r="DS102" s="1066"/>
      <c r="DT102" s="1066"/>
      <c r="DU102" s="1066"/>
      <c r="DV102" s="1066"/>
      <c r="DW102" s="1066"/>
      <c r="DX102" s="1066"/>
      <c r="DY102" s="1066"/>
      <c r="DZ102" s="1066"/>
      <c r="EA102" s="1066"/>
      <c r="EB102" s="1066"/>
      <c r="EC102" s="1066"/>
      <c r="ED102" s="1066"/>
      <c r="EE102" s="1066"/>
      <c r="EF102" s="1066"/>
      <c r="EG102" s="1066"/>
      <c r="EH102" s="1066"/>
      <c r="EI102" s="1066"/>
      <c r="EJ102" s="1066"/>
      <c r="EK102" s="1066"/>
      <c r="EL102" s="1066"/>
      <c r="EM102" s="1066"/>
      <c r="EN102" s="1066"/>
      <c r="EO102" s="1066"/>
      <c r="EP102" s="1066"/>
      <c r="EQ102" s="1066"/>
      <c r="ER102" s="1066"/>
      <c r="ES102" s="1066"/>
      <c r="ET102" s="1066"/>
      <c r="EU102" s="1066"/>
      <c r="EV102" s="1066"/>
      <c r="EW102" s="1066"/>
      <c r="EX102" s="1066"/>
      <c r="EY102" s="1066"/>
      <c r="EZ102" s="1066"/>
      <c r="FA102" s="1066"/>
      <c r="FB102" s="1066"/>
      <c r="FC102" s="1066"/>
      <c r="FD102" s="1066"/>
      <c r="FE102" s="1066"/>
      <c r="FF102" s="1066"/>
      <c r="FG102" s="1066"/>
      <c r="FH102" s="1066"/>
      <c r="FI102" s="1066"/>
      <c r="FJ102" s="1066"/>
      <c r="FK102" s="1066"/>
      <c r="FL102" s="1066"/>
      <c r="FM102" s="1066"/>
      <c r="FN102" s="1066"/>
      <c r="FO102" s="1066"/>
      <c r="FP102" s="1066"/>
      <c r="FQ102" s="1066"/>
      <c r="FR102" s="1066"/>
      <c r="FS102" s="1066"/>
      <c r="FT102" s="1066"/>
      <c r="FU102" s="1066"/>
      <c r="FV102" s="1066"/>
      <c r="FW102" s="1066"/>
      <c r="FX102" s="1066"/>
      <c r="FY102" s="1066"/>
      <c r="FZ102" s="1066"/>
    </row>
    <row r="103" spans="1:182" s="819" customFormat="1" ht="15" hidden="1" customHeight="1" x14ac:dyDescent="0.25">
      <c r="C103" s="1068"/>
      <c r="D103" s="1068"/>
      <c r="E103" s="1068"/>
      <c r="F103" s="1068"/>
      <c r="G103" s="1068"/>
      <c r="H103" s="1068"/>
      <c r="I103" s="1068"/>
      <c r="J103" s="1068"/>
      <c r="L103" s="1068"/>
      <c r="M103" s="1068"/>
      <c r="N103" s="1068"/>
      <c r="O103" s="1068"/>
      <c r="P103" s="1068"/>
      <c r="Q103" s="1068"/>
      <c r="S103" s="715"/>
      <c r="T103" s="715"/>
      <c r="U103" s="715"/>
      <c r="V103" s="715"/>
      <c r="W103" s="715"/>
      <c r="X103" s="850"/>
      <c r="Y103" s="850"/>
      <c r="Z103" s="850"/>
      <c r="AA103" s="850"/>
      <c r="AB103" s="850"/>
      <c r="AC103" s="850"/>
      <c r="AD103" s="850"/>
      <c r="AE103" s="854"/>
      <c r="AF103" s="850"/>
      <c r="AG103" s="850"/>
      <c r="AH103" s="850"/>
      <c r="AI103" s="850"/>
      <c r="AJ103" s="850"/>
      <c r="AK103" s="850"/>
      <c r="AL103" s="854"/>
      <c r="AM103" s="850"/>
      <c r="AN103" s="850"/>
      <c r="AO103" s="850"/>
      <c r="AP103" s="850"/>
      <c r="AQ103" s="850"/>
      <c r="AR103" s="850"/>
      <c r="AS103" s="854"/>
      <c r="AW103" s="1068"/>
      <c r="AX103" s="1068"/>
      <c r="AY103" s="1068"/>
      <c r="AZ103" s="1068"/>
      <c r="BA103" s="1068"/>
      <c r="BB103" s="1068"/>
      <c r="BC103" s="1068"/>
      <c r="BD103" s="1068"/>
      <c r="BF103" s="1068"/>
      <c r="BG103" s="1068"/>
      <c r="BH103" s="1068"/>
      <c r="BI103" s="1068"/>
      <c r="BJ103" s="1068"/>
      <c r="BK103" s="1068"/>
      <c r="BM103" s="715"/>
      <c r="BN103" s="715"/>
      <c r="BO103" s="715"/>
      <c r="BP103" s="715"/>
      <c r="BQ103" s="715"/>
      <c r="BR103" s="850"/>
      <c r="BS103" s="850"/>
      <c r="BT103" s="850"/>
      <c r="BU103" s="850"/>
      <c r="BV103" s="850"/>
      <c r="BW103" s="850"/>
      <c r="BX103" s="850"/>
      <c r="BY103" s="854"/>
      <c r="BZ103" s="850"/>
      <c r="CA103" s="850"/>
      <c r="CB103" s="850"/>
      <c r="CC103" s="850"/>
      <c r="CD103" s="850"/>
      <c r="CE103" s="850"/>
      <c r="CF103" s="854"/>
      <c r="CG103" s="850"/>
      <c r="CH103" s="850"/>
      <c r="CI103" s="850"/>
      <c r="CJ103" s="850"/>
      <c r="CK103" s="850"/>
      <c r="CL103" s="850"/>
      <c r="CM103" s="854"/>
      <c r="CO103" s="1014"/>
      <c r="CP103" s="1014"/>
      <c r="CQ103" s="885">
        <f t="shared" si="0"/>
        <v>0</v>
      </c>
      <c r="CR103" s="1066"/>
      <c r="CS103" s="1066"/>
      <c r="CT103" s="1066"/>
      <c r="CU103" s="1066"/>
      <c r="CV103" s="1066"/>
      <c r="CW103" s="1066"/>
      <c r="CX103" s="1066"/>
      <c r="CY103" s="1066"/>
      <c r="CZ103" s="1066"/>
      <c r="DA103" s="1066"/>
      <c r="DB103" s="1066"/>
      <c r="DC103" s="1066"/>
      <c r="DD103" s="1066"/>
      <c r="DE103" s="1066"/>
      <c r="DF103" s="1066"/>
      <c r="DG103" s="1066"/>
      <c r="DH103" s="1066"/>
      <c r="DI103" s="1066"/>
      <c r="DJ103" s="1066"/>
      <c r="DK103" s="1066"/>
      <c r="DL103" s="1066"/>
      <c r="DM103" s="1066"/>
      <c r="DN103" s="1066"/>
      <c r="DO103" s="1066"/>
      <c r="DP103" s="1066"/>
      <c r="DQ103" s="1066"/>
      <c r="DR103" s="1066"/>
      <c r="DS103" s="1066"/>
      <c r="DT103" s="1066"/>
      <c r="DU103" s="1066"/>
      <c r="DV103" s="1066"/>
      <c r="DW103" s="1066"/>
      <c r="DX103" s="1066"/>
      <c r="DY103" s="1066"/>
      <c r="DZ103" s="1066"/>
      <c r="EA103" s="1066"/>
      <c r="EB103" s="1066"/>
      <c r="EC103" s="1066"/>
      <c r="ED103" s="1066"/>
      <c r="EE103" s="1066"/>
      <c r="EF103" s="1066"/>
      <c r="EG103" s="1066"/>
      <c r="EH103" s="1066"/>
      <c r="EI103" s="1066"/>
      <c r="EJ103" s="1066"/>
      <c r="EK103" s="1066"/>
      <c r="EL103" s="1066"/>
      <c r="EM103" s="1066"/>
      <c r="EN103" s="1066"/>
      <c r="EO103" s="1066"/>
      <c r="EP103" s="1066"/>
      <c r="EQ103" s="1066"/>
      <c r="ER103" s="1066"/>
      <c r="ES103" s="1066"/>
      <c r="ET103" s="1066"/>
      <c r="EU103" s="1066"/>
      <c r="EV103" s="1066"/>
      <c r="EW103" s="1066"/>
      <c r="EX103" s="1066"/>
      <c r="EY103" s="1066"/>
      <c r="EZ103" s="1066"/>
      <c r="FA103" s="1066"/>
      <c r="FB103" s="1066"/>
      <c r="FC103" s="1066"/>
      <c r="FD103" s="1066"/>
      <c r="FE103" s="1066"/>
      <c r="FF103" s="1066"/>
      <c r="FG103" s="1066"/>
      <c r="FH103" s="1066"/>
      <c r="FI103" s="1066"/>
      <c r="FJ103" s="1066"/>
      <c r="FK103" s="1066"/>
      <c r="FL103" s="1066"/>
      <c r="FM103" s="1066"/>
      <c r="FN103" s="1066"/>
      <c r="FO103" s="1066"/>
      <c r="FP103" s="1066"/>
      <c r="FQ103" s="1066"/>
      <c r="FR103" s="1066"/>
      <c r="FS103" s="1066"/>
      <c r="FT103" s="1066"/>
      <c r="FU103" s="1066"/>
      <c r="FV103" s="1066"/>
      <c r="FW103" s="1066"/>
      <c r="FX103" s="1066"/>
      <c r="FY103" s="1066"/>
      <c r="FZ103" s="1066"/>
    </row>
    <row r="104" spans="1:182" hidden="1" x14ac:dyDescent="0.25">
      <c r="C104" s="879" t="s">
        <v>561</v>
      </c>
      <c r="S104" s="1646"/>
      <c r="T104" s="1646"/>
      <c r="U104" s="1646"/>
      <c r="V104" s="1646"/>
      <c r="W104" s="1646"/>
      <c r="X104" s="1646"/>
      <c r="Y104" s="1050"/>
      <c r="Z104" s="1646"/>
      <c r="AA104" s="1646"/>
      <c r="AB104" s="1646"/>
      <c r="AC104" s="1646"/>
      <c r="AD104" s="1646"/>
      <c r="AE104" s="1646"/>
      <c r="AF104" s="1050"/>
      <c r="AG104" s="1646"/>
      <c r="AH104" s="1646"/>
      <c r="AI104" s="1646"/>
      <c r="AJ104" s="1646"/>
      <c r="AK104" s="1646"/>
      <c r="AL104" s="1646"/>
      <c r="AM104" s="1050"/>
      <c r="AN104" s="1646"/>
      <c r="AO104" s="1646"/>
      <c r="AP104" s="1646"/>
      <c r="AQ104" s="1646"/>
      <c r="AR104" s="1646"/>
      <c r="AS104" s="1646"/>
      <c r="AV104" s="715"/>
      <c r="AW104" s="879" t="s">
        <v>1151</v>
      </c>
      <c r="AX104" s="715"/>
      <c r="AY104" s="715"/>
      <c r="AZ104" s="715"/>
      <c r="BA104" s="715"/>
      <c r="BB104" s="715"/>
      <c r="BC104" s="715"/>
      <c r="BD104" s="715"/>
      <c r="BE104" s="715"/>
      <c r="BF104" s="715"/>
      <c r="BG104" s="715"/>
      <c r="BH104" s="715"/>
      <c r="BI104" s="715"/>
      <c r="BJ104" s="715"/>
      <c r="BK104" s="715"/>
      <c r="BL104" s="715"/>
      <c r="BM104" s="1646"/>
      <c r="BN104" s="1646"/>
      <c r="BO104" s="1646"/>
      <c r="BP104" s="1646"/>
      <c r="BQ104" s="1646"/>
      <c r="BR104" s="1646"/>
      <c r="BS104" s="1050"/>
      <c r="BT104" s="1646"/>
      <c r="BU104" s="1646"/>
      <c r="BV104" s="1646"/>
      <c r="BW104" s="1646"/>
      <c r="BX104" s="1646"/>
      <c r="BY104" s="1646"/>
      <c r="BZ104" s="1050"/>
      <c r="CA104" s="1646"/>
      <c r="CB104" s="1646"/>
      <c r="CC104" s="1646"/>
      <c r="CD104" s="1646"/>
      <c r="CE104" s="1646"/>
      <c r="CF104" s="1646"/>
      <c r="CG104" s="1050"/>
      <c r="CH104" s="1646"/>
      <c r="CI104" s="1646"/>
      <c r="CJ104" s="1646"/>
      <c r="CK104" s="1646"/>
      <c r="CL104" s="1646"/>
      <c r="CM104" s="1646"/>
      <c r="CO104" s="1014"/>
      <c r="CP104" s="1014"/>
      <c r="CQ104" s="885">
        <f t="shared" si="0"/>
        <v>0</v>
      </c>
    </row>
    <row r="105" spans="1:182" hidden="1" x14ac:dyDescent="0.25">
      <c r="C105" s="715" t="s">
        <v>823</v>
      </c>
      <c r="K105" s="1648" t="s">
        <v>2087</v>
      </c>
      <c r="L105" s="1648"/>
      <c r="M105" s="1648"/>
      <c r="N105" s="1648"/>
      <c r="O105" s="1648"/>
      <c r="P105" s="1648"/>
      <c r="Q105" s="1648"/>
      <c r="S105" s="1646">
        <v>0</v>
      </c>
      <c r="T105" s="1646"/>
      <c r="U105" s="1646"/>
      <c r="V105" s="1646"/>
      <c r="W105" s="1646"/>
      <c r="X105" s="1646"/>
      <c r="Y105" s="1053"/>
      <c r="Z105" s="1646">
        <v>0</v>
      </c>
      <c r="AA105" s="1646"/>
      <c r="AB105" s="1646"/>
      <c r="AC105" s="1646"/>
      <c r="AD105" s="1646"/>
      <c r="AE105" s="1646"/>
      <c r="AF105" s="1053"/>
      <c r="AG105" s="1646">
        <v>0</v>
      </c>
      <c r="AH105" s="1646"/>
      <c r="AI105" s="1646"/>
      <c r="AJ105" s="1646"/>
      <c r="AK105" s="1646"/>
      <c r="AL105" s="1646"/>
      <c r="AM105" s="1053"/>
      <c r="AN105" s="1646">
        <v>0</v>
      </c>
      <c r="AO105" s="1646"/>
      <c r="AP105" s="1646"/>
      <c r="AQ105" s="1646"/>
      <c r="AR105" s="1646"/>
      <c r="AS105" s="1646"/>
      <c r="AV105" s="715"/>
      <c r="AW105" s="715" t="s">
        <v>823</v>
      </c>
      <c r="AX105" s="715"/>
      <c r="AY105" s="715"/>
      <c r="AZ105" s="715"/>
      <c r="BA105" s="715"/>
      <c r="BB105" s="715"/>
      <c r="BC105" s="715"/>
      <c r="BD105" s="715"/>
      <c r="BE105" s="1648" t="s">
        <v>1926</v>
      </c>
      <c r="BF105" s="1648"/>
      <c r="BG105" s="1648"/>
      <c r="BH105" s="1648"/>
      <c r="BI105" s="1648"/>
      <c r="BJ105" s="1648"/>
      <c r="BK105" s="1648"/>
      <c r="BL105" s="715"/>
      <c r="BM105" s="1646">
        <f>S105</f>
        <v>0</v>
      </c>
      <c r="BN105" s="1646"/>
      <c r="BO105" s="1646"/>
      <c r="BP105" s="1646"/>
      <c r="BQ105" s="1646"/>
      <c r="BR105" s="1646"/>
      <c r="BS105" s="1053"/>
      <c r="BT105" s="1646">
        <f>Z105</f>
        <v>0</v>
      </c>
      <c r="BU105" s="1646"/>
      <c r="BV105" s="1646"/>
      <c r="BW105" s="1646"/>
      <c r="BX105" s="1646"/>
      <c r="BY105" s="1646"/>
      <c r="BZ105" s="1053"/>
      <c r="CA105" s="1646">
        <f>AG105</f>
        <v>0</v>
      </c>
      <c r="CB105" s="1646"/>
      <c r="CC105" s="1646"/>
      <c r="CD105" s="1646"/>
      <c r="CE105" s="1646"/>
      <c r="CF105" s="1646"/>
      <c r="CG105" s="1053"/>
      <c r="CH105" s="1646">
        <f>AN105</f>
        <v>0</v>
      </c>
      <c r="CI105" s="1646"/>
      <c r="CJ105" s="1646"/>
      <c r="CK105" s="1646"/>
      <c r="CL105" s="1646"/>
      <c r="CM105" s="1646"/>
      <c r="CO105" s="1014"/>
      <c r="CP105" s="1014"/>
      <c r="CQ105" s="885">
        <f t="shared" si="0"/>
        <v>0</v>
      </c>
    </row>
    <row r="106" spans="1:182" hidden="1" x14ac:dyDescent="0.25">
      <c r="C106" s="715" t="s">
        <v>825</v>
      </c>
      <c r="K106" s="1648" t="s">
        <v>2087</v>
      </c>
      <c r="L106" s="1648"/>
      <c r="M106" s="1648"/>
      <c r="N106" s="1648"/>
      <c r="O106" s="1648"/>
      <c r="P106" s="1648"/>
      <c r="Q106" s="1648"/>
      <c r="S106" s="1646">
        <v>0</v>
      </c>
      <c r="T106" s="1646"/>
      <c r="U106" s="1646"/>
      <c r="V106" s="1646"/>
      <c r="W106" s="1646"/>
      <c r="X106" s="1646"/>
      <c r="Y106" s="1053"/>
      <c r="Z106" s="1646">
        <v>0</v>
      </c>
      <c r="AA106" s="1646"/>
      <c r="AB106" s="1646"/>
      <c r="AC106" s="1646"/>
      <c r="AD106" s="1646"/>
      <c r="AE106" s="1646"/>
      <c r="AF106" s="1053"/>
      <c r="AG106" s="1646">
        <v>0</v>
      </c>
      <c r="AH106" s="1646"/>
      <c r="AI106" s="1646"/>
      <c r="AJ106" s="1646"/>
      <c r="AK106" s="1646"/>
      <c r="AL106" s="1646"/>
      <c r="AM106" s="1053"/>
      <c r="AN106" s="1646">
        <v>0</v>
      </c>
      <c r="AO106" s="1646"/>
      <c r="AP106" s="1646"/>
      <c r="AQ106" s="1646"/>
      <c r="AR106" s="1646"/>
      <c r="AS106" s="1646"/>
      <c r="AV106" s="715"/>
      <c r="AW106" s="715" t="s">
        <v>825</v>
      </c>
      <c r="AX106" s="715"/>
      <c r="AY106" s="715"/>
      <c r="AZ106" s="715"/>
      <c r="BA106" s="715"/>
      <c r="BB106" s="715"/>
      <c r="BC106" s="715"/>
      <c r="BD106" s="715"/>
      <c r="BE106" s="1648" t="s">
        <v>1926</v>
      </c>
      <c r="BF106" s="1648"/>
      <c r="BG106" s="1648"/>
      <c r="BH106" s="1648"/>
      <c r="BI106" s="1648"/>
      <c r="BJ106" s="1648"/>
      <c r="BK106" s="1648"/>
      <c r="BL106" s="715"/>
      <c r="BM106" s="1646">
        <f>S106</f>
        <v>0</v>
      </c>
      <c r="BN106" s="1646"/>
      <c r="BO106" s="1646"/>
      <c r="BP106" s="1646"/>
      <c r="BQ106" s="1646"/>
      <c r="BR106" s="1646"/>
      <c r="BS106" s="1053"/>
      <c r="BT106" s="1646">
        <f>Z106</f>
        <v>0</v>
      </c>
      <c r="BU106" s="1646"/>
      <c r="BV106" s="1646"/>
      <c r="BW106" s="1646"/>
      <c r="BX106" s="1646"/>
      <c r="BY106" s="1646"/>
      <c r="BZ106" s="1053"/>
      <c r="CA106" s="1646">
        <f>AG106</f>
        <v>0</v>
      </c>
      <c r="CB106" s="1646"/>
      <c r="CC106" s="1646"/>
      <c r="CD106" s="1646"/>
      <c r="CE106" s="1646"/>
      <c r="CF106" s="1646"/>
      <c r="CG106" s="1053"/>
      <c r="CH106" s="1646">
        <f>AN106</f>
        <v>0</v>
      </c>
      <c r="CI106" s="1646"/>
      <c r="CJ106" s="1646"/>
      <c r="CK106" s="1646"/>
      <c r="CL106" s="1646"/>
      <c r="CM106" s="1646"/>
      <c r="CO106" s="1014"/>
      <c r="CP106" s="1014"/>
      <c r="CQ106" s="885">
        <f t="shared" si="0"/>
        <v>0</v>
      </c>
    </row>
    <row r="107" spans="1:182" hidden="1" x14ac:dyDescent="0.25">
      <c r="K107" s="1648"/>
      <c r="L107" s="1648"/>
      <c r="M107" s="1648"/>
      <c r="N107" s="1648"/>
      <c r="O107" s="1648"/>
      <c r="P107" s="1648"/>
      <c r="Q107" s="1648"/>
      <c r="S107" s="1646"/>
      <c r="T107" s="1646"/>
      <c r="U107" s="1646"/>
      <c r="V107" s="1646"/>
      <c r="W107" s="1646"/>
      <c r="X107" s="1646"/>
      <c r="Y107" s="1053"/>
      <c r="Z107" s="1646"/>
      <c r="AA107" s="1646"/>
      <c r="AB107" s="1646"/>
      <c r="AC107" s="1646"/>
      <c r="AD107" s="1646"/>
      <c r="AE107" s="1646"/>
      <c r="AF107" s="1053"/>
      <c r="AG107" s="1646"/>
      <c r="AH107" s="1646"/>
      <c r="AI107" s="1646"/>
      <c r="AJ107" s="1646"/>
      <c r="AK107" s="1646"/>
      <c r="AL107" s="1646"/>
      <c r="AM107" s="1053"/>
      <c r="AN107" s="1646"/>
      <c r="AO107" s="1646"/>
      <c r="AP107" s="1646"/>
      <c r="AQ107" s="1646"/>
      <c r="AR107" s="1646"/>
      <c r="AS107" s="1646"/>
      <c r="AV107" s="715"/>
      <c r="AW107" s="715"/>
      <c r="AX107" s="715"/>
      <c r="AY107" s="715"/>
      <c r="AZ107" s="715"/>
      <c r="BA107" s="715"/>
      <c r="BB107" s="715"/>
      <c r="BC107" s="715"/>
      <c r="BD107" s="715"/>
      <c r="BE107" s="1648"/>
      <c r="BF107" s="1648"/>
      <c r="BG107" s="1648"/>
      <c r="BH107" s="1648"/>
      <c r="BI107" s="1648"/>
      <c r="BJ107" s="1648"/>
      <c r="BK107" s="1648"/>
      <c r="BL107" s="715"/>
      <c r="BM107" s="1646"/>
      <c r="BN107" s="1646"/>
      <c r="BO107" s="1646"/>
      <c r="BP107" s="1646"/>
      <c r="BQ107" s="1646"/>
      <c r="BR107" s="1646"/>
      <c r="BS107" s="1053"/>
      <c r="BT107" s="1646"/>
      <c r="BU107" s="1646"/>
      <c r="BV107" s="1646"/>
      <c r="BW107" s="1646"/>
      <c r="BX107" s="1646"/>
      <c r="BY107" s="1646"/>
      <c r="BZ107" s="1053"/>
      <c r="CA107" s="1646"/>
      <c r="CB107" s="1646"/>
      <c r="CC107" s="1646"/>
      <c r="CD107" s="1646"/>
      <c r="CE107" s="1646"/>
      <c r="CF107" s="1646"/>
      <c r="CG107" s="1053"/>
      <c r="CH107" s="1646"/>
      <c r="CI107" s="1646"/>
      <c r="CJ107" s="1646"/>
      <c r="CK107" s="1646"/>
      <c r="CL107" s="1646"/>
      <c r="CM107" s="1646"/>
      <c r="CO107" s="1014"/>
      <c r="CP107" s="1014"/>
      <c r="CQ107" s="885">
        <f>IF(ISNONTEXT($C107),0,SUM(E107:AS107)-SUM(AY107:CM107))</f>
        <v>0</v>
      </c>
    </row>
    <row r="108" spans="1:182" hidden="1" x14ac:dyDescent="0.25">
      <c r="C108" s="879" t="s">
        <v>1152</v>
      </c>
      <c r="S108" s="1646"/>
      <c r="T108" s="1646"/>
      <c r="U108" s="1646"/>
      <c r="V108" s="1646"/>
      <c r="W108" s="1646"/>
      <c r="X108" s="1646"/>
      <c r="Y108" s="1053"/>
      <c r="Z108" s="1646"/>
      <c r="AA108" s="1646"/>
      <c r="AB108" s="1646"/>
      <c r="AC108" s="1646"/>
      <c r="AD108" s="1646"/>
      <c r="AE108" s="1646"/>
      <c r="AF108" s="1053"/>
      <c r="AG108" s="1646"/>
      <c r="AH108" s="1646"/>
      <c r="AI108" s="1646"/>
      <c r="AJ108" s="1646"/>
      <c r="AK108" s="1646"/>
      <c r="AL108" s="1646"/>
      <c r="AM108" s="1053"/>
      <c r="AN108" s="1646"/>
      <c r="AO108" s="1646"/>
      <c r="AP108" s="1646"/>
      <c r="AQ108" s="1646"/>
      <c r="AR108" s="1646"/>
      <c r="AS108" s="1646"/>
      <c r="AV108" s="715"/>
      <c r="AW108" s="879" t="s">
        <v>1153</v>
      </c>
      <c r="AX108" s="715"/>
      <c r="AY108" s="715"/>
      <c r="AZ108" s="715"/>
      <c r="BA108" s="715"/>
      <c r="BB108" s="715"/>
      <c r="BC108" s="715"/>
      <c r="BD108" s="715"/>
      <c r="BE108" s="715"/>
      <c r="BF108" s="715"/>
      <c r="BG108" s="715"/>
      <c r="BH108" s="715"/>
      <c r="BI108" s="715"/>
      <c r="BJ108" s="715"/>
      <c r="BK108" s="715"/>
      <c r="BL108" s="715"/>
      <c r="BM108" s="1646"/>
      <c r="BN108" s="1646"/>
      <c r="BO108" s="1646"/>
      <c r="BP108" s="1646"/>
      <c r="BQ108" s="1646"/>
      <c r="BR108" s="1646"/>
      <c r="BS108" s="1053"/>
      <c r="BT108" s="1646"/>
      <c r="BU108" s="1646"/>
      <c r="BV108" s="1646"/>
      <c r="BW108" s="1646"/>
      <c r="BX108" s="1646"/>
      <c r="BY108" s="1646"/>
      <c r="BZ108" s="1053"/>
      <c r="CA108" s="1646"/>
      <c r="CB108" s="1646"/>
      <c r="CC108" s="1646"/>
      <c r="CD108" s="1646"/>
      <c r="CE108" s="1646"/>
      <c r="CF108" s="1646"/>
      <c r="CG108" s="1053"/>
      <c r="CH108" s="1646"/>
      <c r="CI108" s="1646"/>
      <c r="CJ108" s="1646"/>
      <c r="CK108" s="1646"/>
      <c r="CL108" s="1646"/>
      <c r="CM108" s="1646"/>
      <c r="CO108" s="1041"/>
      <c r="CP108" s="1041"/>
      <c r="CQ108" s="885">
        <f t="shared" si="0"/>
        <v>0</v>
      </c>
    </row>
    <row r="109" spans="1:182" hidden="1" x14ac:dyDescent="0.25">
      <c r="C109" s="715" t="s">
        <v>2088</v>
      </c>
      <c r="K109" s="1648" t="s">
        <v>2089</v>
      </c>
      <c r="L109" s="1648"/>
      <c r="M109" s="1648"/>
      <c r="N109" s="1648"/>
      <c r="O109" s="1648"/>
      <c r="P109" s="1648"/>
      <c r="Q109" s="1648"/>
      <c r="S109" s="1646">
        <v>0</v>
      </c>
      <c r="T109" s="1646"/>
      <c r="U109" s="1646"/>
      <c r="V109" s="1646"/>
      <c r="W109" s="1646"/>
      <c r="X109" s="1646"/>
      <c r="Y109" s="1053"/>
      <c r="Z109" s="1646">
        <v>0</v>
      </c>
      <c r="AA109" s="1646"/>
      <c r="AB109" s="1646"/>
      <c r="AC109" s="1646"/>
      <c r="AD109" s="1646"/>
      <c r="AE109" s="1646"/>
      <c r="AF109" s="1053"/>
      <c r="AG109" s="1646">
        <v>0</v>
      </c>
      <c r="AH109" s="1646"/>
      <c r="AI109" s="1646"/>
      <c r="AJ109" s="1646"/>
      <c r="AK109" s="1646"/>
      <c r="AL109" s="1646"/>
      <c r="AM109" s="1053"/>
      <c r="AN109" s="1646">
        <v>0</v>
      </c>
      <c r="AO109" s="1646"/>
      <c r="AP109" s="1646"/>
      <c r="AQ109" s="1646"/>
      <c r="AR109" s="1646"/>
      <c r="AS109" s="1646"/>
      <c r="AV109" s="715"/>
      <c r="AW109" s="715" t="s">
        <v>2088</v>
      </c>
      <c r="AX109" s="715"/>
      <c r="AY109" s="715"/>
      <c r="AZ109" s="715"/>
      <c r="BA109" s="715"/>
      <c r="BB109" s="715"/>
      <c r="BC109" s="715"/>
      <c r="BD109" s="715"/>
      <c r="BE109" s="1648" t="s">
        <v>2090</v>
      </c>
      <c r="BF109" s="1648"/>
      <c r="BG109" s="1648"/>
      <c r="BH109" s="1648"/>
      <c r="BI109" s="1648"/>
      <c r="BJ109" s="1648"/>
      <c r="BK109" s="1648"/>
      <c r="BL109" s="715"/>
      <c r="BM109" s="1646">
        <f>S109</f>
        <v>0</v>
      </c>
      <c r="BN109" s="1646"/>
      <c r="BO109" s="1646"/>
      <c r="BP109" s="1646"/>
      <c r="BQ109" s="1646"/>
      <c r="BR109" s="1646"/>
      <c r="BS109" s="1053"/>
      <c r="BT109" s="1646">
        <f>Z109</f>
        <v>0</v>
      </c>
      <c r="BU109" s="1646"/>
      <c r="BV109" s="1646"/>
      <c r="BW109" s="1646"/>
      <c r="BX109" s="1646"/>
      <c r="BY109" s="1646"/>
      <c r="BZ109" s="1053"/>
      <c r="CA109" s="1646">
        <f>AG109</f>
        <v>0</v>
      </c>
      <c r="CB109" s="1646"/>
      <c r="CC109" s="1646"/>
      <c r="CD109" s="1646"/>
      <c r="CE109" s="1646"/>
      <c r="CF109" s="1646"/>
      <c r="CG109" s="1053"/>
      <c r="CH109" s="1646">
        <f>AN109</f>
        <v>0</v>
      </c>
      <c r="CI109" s="1646"/>
      <c r="CJ109" s="1646"/>
      <c r="CK109" s="1646"/>
      <c r="CL109" s="1646"/>
      <c r="CM109" s="1646"/>
      <c r="CO109" s="1041"/>
      <c r="CP109" s="1041"/>
      <c r="CQ109" s="885">
        <f t="shared" si="0"/>
        <v>0</v>
      </c>
    </row>
    <row r="110" spans="1:182" hidden="1" x14ac:dyDescent="0.25">
      <c r="C110" s="715" t="s">
        <v>2091</v>
      </c>
      <c r="K110" s="1648" t="s">
        <v>2089</v>
      </c>
      <c r="L110" s="1648"/>
      <c r="M110" s="1648"/>
      <c r="N110" s="1648"/>
      <c r="O110" s="1648"/>
      <c r="P110" s="1648"/>
      <c r="Q110" s="1648"/>
      <c r="S110" s="1646">
        <v>0</v>
      </c>
      <c r="T110" s="1646"/>
      <c r="U110" s="1646"/>
      <c r="V110" s="1646"/>
      <c r="W110" s="1646"/>
      <c r="X110" s="1646"/>
      <c r="Y110" s="1053"/>
      <c r="Z110" s="1646">
        <v>0</v>
      </c>
      <c r="AA110" s="1646"/>
      <c r="AB110" s="1646"/>
      <c r="AC110" s="1646"/>
      <c r="AD110" s="1646"/>
      <c r="AE110" s="1646"/>
      <c r="AF110" s="1053"/>
      <c r="AG110" s="1646">
        <v>0</v>
      </c>
      <c r="AH110" s="1646"/>
      <c r="AI110" s="1646"/>
      <c r="AJ110" s="1646"/>
      <c r="AK110" s="1646"/>
      <c r="AL110" s="1646"/>
      <c r="AM110" s="1053"/>
      <c r="AN110" s="1646">
        <v>0</v>
      </c>
      <c r="AO110" s="1646"/>
      <c r="AP110" s="1646"/>
      <c r="AQ110" s="1646"/>
      <c r="AR110" s="1646"/>
      <c r="AS110" s="1646"/>
      <c r="AV110" s="715"/>
      <c r="AW110" s="715" t="s">
        <v>2091</v>
      </c>
      <c r="AX110" s="715"/>
      <c r="AY110" s="715"/>
      <c r="AZ110" s="715"/>
      <c r="BA110" s="715"/>
      <c r="BB110" s="715"/>
      <c r="BC110" s="715"/>
      <c r="BD110" s="715"/>
      <c r="BE110" s="1648" t="s">
        <v>2090</v>
      </c>
      <c r="BF110" s="1648"/>
      <c r="BG110" s="1648"/>
      <c r="BH110" s="1648"/>
      <c r="BI110" s="1648"/>
      <c r="BJ110" s="1648"/>
      <c r="BK110" s="1648"/>
      <c r="BL110" s="715"/>
      <c r="BM110" s="1646">
        <f>S110</f>
        <v>0</v>
      </c>
      <c r="BN110" s="1646"/>
      <c r="BO110" s="1646"/>
      <c r="BP110" s="1646"/>
      <c r="BQ110" s="1646"/>
      <c r="BR110" s="1646"/>
      <c r="BS110" s="1053"/>
      <c r="BT110" s="1646">
        <f>Z110</f>
        <v>0</v>
      </c>
      <c r="BU110" s="1646"/>
      <c r="BV110" s="1646"/>
      <c r="BW110" s="1646"/>
      <c r="BX110" s="1646"/>
      <c r="BY110" s="1646"/>
      <c r="BZ110" s="1053"/>
      <c r="CA110" s="1646">
        <f>AG110</f>
        <v>0</v>
      </c>
      <c r="CB110" s="1646"/>
      <c r="CC110" s="1646"/>
      <c r="CD110" s="1646"/>
      <c r="CE110" s="1646"/>
      <c r="CF110" s="1646"/>
      <c r="CG110" s="1053"/>
      <c r="CH110" s="1646">
        <f>AN110</f>
        <v>0</v>
      </c>
      <c r="CI110" s="1646"/>
      <c r="CJ110" s="1646"/>
      <c r="CK110" s="1646"/>
      <c r="CL110" s="1646"/>
      <c r="CM110" s="1646"/>
      <c r="CO110" s="1041"/>
      <c r="CP110" s="1041"/>
      <c r="CQ110" s="885">
        <f t="shared" si="0"/>
        <v>0</v>
      </c>
    </row>
    <row r="111" spans="1:182" hidden="1" x14ac:dyDescent="0.25">
      <c r="S111" s="1647"/>
      <c r="T111" s="1647"/>
      <c r="U111" s="1647"/>
      <c r="V111" s="1647"/>
      <c r="W111" s="1647"/>
      <c r="X111" s="1647"/>
      <c r="Y111" s="1056"/>
      <c r="Z111" s="1647"/>
      <c r="AA111" s="1647"/>
      <c r="AB111" s="1647"/>
      <c r="AC111" s="1647"/>
      <c r="AD111" s="1647"/>
      <c r="AE111" s="1647"/>
      <c r="AF111" s="1056"/>
      <c r="AG111" s="1647"/>
      <c r="AH111" s="1647"/>
      <c r="AI111" s="1647"/>
      <c r="AJ111" s="1647"/>
      <c r="AK111" s="1647"/>
      <c r="AL111" s="1647"/>
      <c r="AM111" s="1056"/>
      <c r="AN111" s="1647"/>
      <c r="AO111" s="1647"/>
      <c r="AP111" s="1647"/>
      <c r="AQ111" s="1647"/>
      <c r="AR111" s="1647"/>
      <c r="AS111" s="1647"/>
      <c r="AV111" s="715"/>
      <c r="AW111" s="715"/>
      <c r="AX111" s="715"/>
      <c r="AY111" s="715"/>
      <c r="AZ111" s="715"/>
      <c r="BA111" s="715"/>
      <c r="BB111" s="715"/>
      <c r="BC111" s="715"/>
      <c r="BD111" s="715"/>
      <c r="BE111" s="715"/>
      <c r="BF111" s="715"/>
      <c r="BG111" s="715"/>
      <c r="BH111" s="715"/>
      <c r="BI111" s="715"/>
      <c r="BJ111" s="715"/>
      <c r="BK111" s="715"/>
      <c r="BL111" s="715"/>
      <c r="BM111" s="1647"/>
      <c r="BN111" s="1647"/>
      <c r="BO111" s="1647"/>
      <c r="BP111" s="1647"/>
      <c r="BQ111" s="1647"/>
      <c r="BR111" s="1647"/>
      <c r="BS111" s="1056"/>
      <c r="BT111" s="1647"/>
      <c r="BU111" s="1647"/>
      <c r="BV111" s="1647"/>
      <c r="BW111" s="1647"/>
      <c r="BX111" s="1647"/>
      <c r="BY111" s="1647"/>
      <c r="BZ111" s="1056"/>
      <c r="CA111" s="1647"/>
      <c r="CB111" s="1647"/>
      <c r="CC111" s="1647"/>
      <c r="CD111" s="1647"/>
      <c r="CE111" s="1647"/>
      <c r="CF111" s="1647"/>
      <c r="CG111" s="1056"/>
      <c r="CH111" s="1647"/>
      <c r="CI111" s="1647"/>
      <c r="CJ111" s="1647"/>
      <c r="CK111" s="1647"/>
      <c r="CL111" s="1647"/>
      <c r="CM111" s="1647"/>
      <c r="CO111" s="1041"/>
      <c r="CP111" s="1041"/>
      <c r="CQ111" s="885">
        <f>IF(ISNONTEXT($C111),0,SUM(E111:AS111)-SUM(AY111:CM111))</f>
        <v>0</v>
      </c>
    </row>
    <row r="112" spans="1:182" ht="15.75" hidden="1" thickBot="1" x14ac:dyDescent="0.3">
      <c r="C112" s="1033" t="s">
        <v>752</v>
      </c>
      <c r="S112" s="1645">
        <f>SUBTOTAL(109,S104:X110)</f>
        <v>0</v>
      </c>
      <c r="T112" s="1645"/>
      <c r="U112" s="1645"/>
      <c r="V112" s="1645"/>
      <c r="W112" s="1645"/>
      <c r="X112" s="1645"/>
      <c r="Y112" s="1059"/>
      <c r="Z112" s="1645">
        <f>SUBTOTAL(109,Z104:AE110)</f>
        <v>0</v>
      </c>
      <c r="AA112" s="1645"/>
      <c r="AB112" s="1645"/>
      <c r="AC112" s="1645"/>
      <c r="AD112" s="1645"/>
      <c r="AE112" s="1645"/>
      <c r="AF112" s="1059"/>
      <c r="AG112" s="1645">
        <f>SUBTOTAL(109,AG104:AL110)</f>
        <v>0</v>
      </c>
      <c r="AH112" s="1645"/>
      <c r="AI112" s="1645"/>
      <c r="AJ112" s="1645"/>
      <c r="AK112" s="1645"/>
      <c r="AL112" s="1645"/>
      <c r="AM112" s="1059"/>
      <c r="AN112" s="1645">
        <f>SUBTOTAL(109,AN104:AS110)</f>
        <v>0</v>
      </c>
      <c r="AO112" s="1645"/>
      <c r="AP112" s="1645"/>
      <c r="AQ112" s="1645"/>
      <c r="AR112" s="1645"/>
      <c r="AS112" s="1645"/>
      <c r="AV112" s="715"/>
      <c r="AW112" s="1072" t="s">
        <v>752</v>
      </c>
      <c r="AX112" s="715"/>
      <c r="AY112" s="715"/>
      <c r="AZ112" s="715"/>
      <c r="BA112" s="715"/>
      <c r="BB112" s="715"/>
      <c r="BC112" s="715"/>
      <c r="BD112" s="715"/>
      <c r="BE112" s="715"/>
      <c r="BF112" s="715"/>
      <c r="BG112" s="715"/>
      <c r="BH112" s="715"/>
      <c r="BI112" s="715"/>
      <c r="BJ112" s="715"/>
      <c r="BK112" s="715"/>
      <c r="BL112" s="715"/>
      <c r="BM112" s="1645">
        <f>SUBTOTAL(109,BM104:BR110)</f>
        <v>0</v>
      </c>
      <c r="BN112" s="1645"/>
      <c r="BO112" s="1645"/>
      <c r="BP112" s="1645"/>
      <c r="BQ112" s="1645"/>
      <c r="BR112" s="1645"/>
      <c r="BS112" s="1059"/>
      <c r="BT112" s="1645">
        <f>SUBTOTAL(109,BT104:BY110)</f>
        <v>0</v>
      </c>
      <c r="BU112" s="1645"/>
      <c r="BV112" s="1645"/>
      <c r="BW112" s="1645"/>
      <c r="BX112" s="1645"/>
      <c r="BY112" s="1645"/>
      <c r="BZ112" s="1059"/>
      <c r="CA112" s="1645">
        <f>SUBTOTAL(109,CA104:CF110)</f>
        <v>0</v>
      </c>
      <c r="CB112" s="1645"/>
      <c r="CC112" s="1645"/>
      <c r="CD112" s="1645"/>
      <c r="CE112" s="1645"/>
      <c r="CF112" s="1645"/>
      <c r="CG112" s="1059"/>
      <c r="CH112" s="1645">
        <f>SUBTOTAL(109,CH104:CM110)</f>
        <v>0</v>
      </c>
      <c r="CI112" s="1645"/>
      <c r="CJ112" s="1645"/>
      <c r="CK112" s="1645"/>
      <c r="CL112" s="1645"/>
      <c r="CM112" s="1645"/>
      <c r="CO112" s="1041"/>
      <c r="CP112" s="1041"/>
      <c r="CQ112" s="885">
        <f>IF(ISNONTEXT($C112),0,SUM(E112:AS112)-SUM(AY112:CM112))</f>
        <v>0</v>
      </c>
    </row>
    <row r="113" spans="48:95" hidden="1" x14ac:dyDescent="0.25">
      <c r="AV113" s="715"/>
      <c r="AW113" s="715"/>
      <c r="AX113" s="715"/>
      <c r="AY113" s="715"/>
      <c r="AZ113" s="715"/>
      <c r="BA113" s="715"/>
      <c r="BB113" s="715"/>
      <c r="BC113" s="715"/>
      <c r="BD113" s="715"/>
      <c r="BE113" s="715"/>
      <c r="BF113" s="715"/>
      <c r="BG113" s="715"/>
      <c r="BH113" s="715"/>
      <c r="BI113" s="715"/>
      <c r="BJ113" s="715"/>
      <c r="BK113" s="715"/>
      <c r="BL113" s="715"/>
      <c r="BM113" s="715"/>
      <c r="BN113" s="715"/>
      <c r="BO113" s="715"/>
      <c r="BP113" s="715"/>
      <c r="BQ113" s="715"/>
      <c r="BR113" s="715"/>
      <c r="BS113" s="715"/>
      <c r="BT113" s="715"/>
      <c r="BU113" s="715"/>
      <c r="BV113" s="715"/>
      <c r="BW113" s="715"/>
      <c r="BX113" s="715"/>
      <c r="BY113" s="715"/>
      <c r="BZ113" s="715"/>
      <c r="CA113" s="715"/>
      <c r="CB113" s="715"/>
      <c r="CC113" s="715"/>
      <c r="CD113" s="715"/>
      <c r="CE113" s="715"/>
      <c r="CF113" s="715"/>
      <c r="CG113" s="715"/>
      <c r="CH113" s="715"/>
      <c r="CI113" s="715"/>
      <c r="CJ113" s="715"/>
      <c r="CK113" s="715"/>
      <c r="CL113" s="715"/>
      <c r="CM113" s="715"/>
      <c r="CO113" s="1041"/>
      <c r="CP113" s="1041"/>
      <c r="CQ113" s="885">
        <f>IF(ISNONTEXT($C113),0,SUM(E113:AS113)-SUM(AY113:CM113))</f>
        <v>0</v>
      </c>
    </row>
    <row r="114" spans="48:95" x14ac:dyDescent="0.25">
      <c r="AV114" s="715"/>
      <c r="AW114" s="715"/>
      <c r="AX114" s="715"/>
      <c r="AY114" s="715"/>
      <c r="AZ114" s="715"/>
      <c r="BA114" s="715"/>
      <c r="BB114" s="715"/>
      <c r="BC114" s="715"/>
      <c r="BD114" s="715"/>
      <c r="BE114" s="715"/>
      <c r="BF114" s="715"/>
      <c r="BG114" s="715"/>
      <c r="BH114" s="715"/>
      <c r="BI114" s="715"/>
      <c r="BJ114" s="715"/>
      <c r="BK114" s="715"/>
      <c r="BL114" s="715"/>
      <c r="BM114" s="715"/>
      <c r="BN114" s="715"/>
      <c r="BO114" s="715"/>
      <c r="BP114" s="715"/>
      <c r="BQ114" s="715"/>
      <c r="BR114" s="715"/>
      <c r="BS114" s="715"/>
      <c r="BT114" s="715"/>
      <c r="BU114" s="715"/>
      <c r="BV114" s="715"/>
      <c r="BW114" s="715"/>
      <c r="BX114" s="715"/>
      <c r="BY114" s="715"/>
      <c r="BZ114" s="715"/>
      <c r="CA114" s="715"/>
      <c r="CB114" s="715"/>
      <c r="CC114" s="715"/>
      <c r="CD114" s="715"/>
      <c r="CE114" s="715"/>
      <c r="CF114" s="715"/>
      <c r="CG114" s="715"/>
      <c r="CH114" s="715"/>
      <c r="CI114" s="715"/>
      <c r="CJ114" s="715"/>
      <c r="CK114" s="715"/>
      <c r="CL114" s="715"/>
      <c r="CM114" s="715"/>
      <c r="CO114" s="1073"/>
      <c r="CP114" s="1073"/>
      <c r="CQ114" s="885">
        <f>IF(ISNONTEXT($C114),0,SUM(E114:AS114)-SUM(AY114:CM114))</f>
        <v>0</v>
      </c>
    </row>
    <row r="115" spans="48:95" x14ac:dyDescent="0.25">
      <c r="AV115" s="715"/>
      <c r="AW115" s="715"/>
      <c r="AX115" s="715"/>
      <c r="AY115" s="715"/>
      <c r="AZ115" s="715"/>
      <c r="BA115" s="715"/>
      <c r="BB115" s="715"/>
      <c r="BC115" s="715"/>
      <c r="BD115" s="715"/>
      <c r="BE115" s="715"/>
      <c r="BF115" s="715"/>
      <c r="BG115" s="715"/>
      <c r="BH115" s="715"/>
      <c r="BI115" s="715"/>
      <c r="BJ115" s="715"/>
      <c r="BK115" s="715"/>
      <c r="BL115" s="715"/>
      <c r="BM115" s="715"/>
      <c r="BN115" s="715"/>
      <c r="BO115" s="715"/>
      <c r="BP115" s="715"/>
      <c r="BQ115" s="715"/>
      <c r="BR115" s="715"/>
      <c r="BS115" s="715"/>
      <c r="BT115" s="715"/>
      <c r="BU115" s="715"/>
      <c r="BV115" s="715"/>
      <c r="BW115" s="715"/>
      <c r="BX115" s="715"/>
      <c r="BY115" s="715"/>
      <c r="BZ115" s="715"/>
      <c r="CA115" s="715"/>
      <c r="CB115" s="715"/>
      <c r="CC115" s="715"/>
      <c r="CD115" s="715"/>
      <c r="CE115" s="715"/>
      <c r="CF115" s="715"/>
      <c r="CG115" s="715"/>
      <c r="CH115" s="715"/>
      <c r="CI115" s="715"/>
      <c r="CJ115" s="715"/>
      <c r="CK115" s="715"/>
      <c r="CL115" s="715"/>
      <c r="CM115" s="715"/>
      <c r="CO115" s="1014"/>
      <c r="CP115" s="1014"/>
      <c r="CQ115" s="885">
        <f>IF(ISNONTEXT($C115),0,SUM(E115:AS115)-SUM(AY115:CM115))</f>
        <v>0</v>
      </c>
    </row>
    <row r="116" spans="48:95" x14ac:dyDescent="0.25">
      <c r="CO116" s="1014"/>
      <c r="CP116" s="1014"/>
    </row>
    <row r="117" spans="48:95" x14ac:dyDescent="0.25">
      <c r="CO117" s="1014"/>
      <c r="CP117" s="1014"/>
    </row>
    <row r="118" spans="48:95" x14ac:dyDescent="0.25">
      <c r="CO118" s="1014"/>
      <c r="CP118" s="1014"/>
    </row>
    <row r="119" spans="48:95" x14ac:dyDescent="0.25">
      <c r="CO119" s="1014"/>
      <c r="CP119" s="1014"/>
    </row>
    <row r="120" spans="48:95" x14ac:dyDescent="0.25">
      <c r="CO120" s="1014"/>
      <c r="CP120" s="1014"/>
    </row>
    <row r="121" spans="48:95" x14ac:dyDescent="0.25">
      <c r="CO121" s="1041"/>
      <c r="CP121" s="1041"/>
    </row>
    <row r="122" spans="48:95" x14ac:dyDescent="0.25">
      <c r="CO122" s="1041"/>
      <c r="CP122" s="1041"/>
    </row>
    <row r="123" spans="48:95" x14ac:dyDescent="0.25">
      <c r="CO123" s="914"/>
      <c r="CP123" s="914"/>
    </row>
    <row r="124" spans="48:95" x14ac:dyDescent="0.25">
      <c r="CO124" s="914"/>
      <c r="CP124" s="914"/>
    </row>
    <row r="125" spans="48:95" x14ac:dyDescent="0.25">
      <c r="CO125" s="1041"/>
      <c r="CP125" s="1041"/>
    </row>
    <row r="126" spans="48:95" x14ac:dyDescent="0.25">
      <c r="CO126" s="1041"/>
      <c r="CP126" s="1041"/>
    </row>
    <row r="127" spans="48:95" x14ac:dyDescent="0.25">
      <c r="CO127" s="1041"/>
      <c r="CP127" s="1041"/>
    </row>
    <row r="128" spans="48:95" x14ac:dyDescent="0.25">
      <c r="CO128" s="1041"/>
      <c r="CP128" s="1041"/>
    </row>
    <row r="129" spans="93:94" x14ac:dyDescent="0.25">
      <c r="CO129" s="1041"/>
      <c r="CP129" s="1041"/>
    </row>
    <row r="130" spans="93:94" x14ac:dyDescent="0.25">
      <c r="CO130" s="1014"/>
      <c r="CP130" s="1014"/>
    </row>
    <row r="131" spans="93:94" x14ac:dyDescent="0.25">
      <c r="CO131" s="1014"/>
      <c r="CP131" s="1014"/>
    </row>
    <row r="132" spans="93:94" x14ac:dyDescent="0.25">
      <c r="CO132" s="1014"/>
      <c r="CP132" s="1014"/>
    </row>
    <row r="133" spans="93:94" x14ac:dyDescent="0.25">
      <c r="CO133" s="1014"/>
      <c r="CP133" s="1014"/>
    </row>
    <row r="134" spans="93:94" x14ac:dyDescent="0.25">
      <c r="CO134" s="1014"/>
      <c r="CP134" s="1014"/>
    </row>
    <row r="135" spans="93:94" x14ac:dyDescent="0.25">
      <c r="CO135" s="1014"/>
      <c r="CP135" s="1014"/>
    </row>
    <row r="136" spans="93:94" x14ac:dyDescent="0.25">
      <c r="CO136" s="1041"/>
      <c r="CP136" s="1041"/>
    </row>
    <row r="137" spans="93:94" x14ac:dyDescent="0.25">
      <c r="CO137" s="1041"/>
      <c r="CP137" s="1041"/>
    </row>
    <row r="138" spans="93:94" x14ac:dyDescent="0.25">
      <c r="CO138" s="914"/>
      <c r="CP138" s="914"/>
    </row>
    <row r="139" spans="93:94" x14ac:dyDescent="0.25">
      <c r="CO139" s="914"/>
      <c r="CP139" s="914"/>
    </row>
    <row r="140" spans="93:94" x14ac:dyDescent="0.25">
      <c r="CO140" s="1041"/>
      <c r="CP140" s="1041"/>
    </row>
    <row r="141" spans="93:94" x14ac:dyDescent="0.25">
      <c r="CO141" s="1041"/>
      <c r="CP141" s="1041"/>
    </row>
    <row r="142" spans="93:94" x14ac:dyDescent="0.25">
      <c r="CO142" s="1041"/>
      <c r="CP142" s="1041"/>
    </row>
    <row r="143" spans="93:94" x14ac:dyDescent="0.25">
      <c r="CO143" s="1041"/>
      <c r="CP143" s="1041"/>
    </row>
    <row r="144" spans="93:94" x14ac:dyDescent="0.25">
      <c r="CO144" s="1041"/>
      <c r="CP144" s="1041"/>
    </row>
    <row r="145" spans="93:94" x14ac:dyDescent="0.25">
      <c r="CO145" s="1041"/>
      <c r="CP145" s="1041"/>
    </row>
    <row r="146" spans="93:94" x14ac:dyDescent="0.25">
      <c r="CO146" s="1041"/>
      <c r="CP146" s="1041"/>
    </row>
    <row r="147" spans="93:94" x14ac:dyDescent="0.25">
      <c r="CO147" s="1014"/>
      <c r="CP147" s="1014"/>
    </row>
    <row r="148" spans="93:94" x14ac:dyDescent="0.25">
      <c r="CO148" s="1014"/>
      <c r="CP148" s="1014"/>
    </row>
    <row r="149" spans="93:94" x14ac:dyDescent="0.25">
      <c r="CO149" s="1014"/>
      <c r="CP149" s="1014"/>
    </row>
    <row r="150" spans="93:94" x14ac:dyDescent="0.25">
      <c r="CO150" s="1014"/>
      <c r="CP150" s="1014"/>
    </row>
    <row r="151" spans="93:94" x14ac:dyDescent="0.25">
      <c r="CO151" s="1014"/>
      <c r="CP151" s="1014"/>
    </row>
    <row r="152" spans="93:94" x14ac:dyDescent="0.25">
      <c r="CO152" s="1014"/>
      <c r="CP152" s="1014"/>
    </row>
    <row r="153" spans="93:94" x14ac:dyDescent="0.25">
      <c r="CO153" s="1041"/>
      <c r="CP153" s="1041"/>
    </row>
    <row r="154" spans="93:94" x14ac:dyDescent="0.25">
      <c r="CO154" s="1041"/>
      <c r="CP154" s="1041"/>
    </row>
    <row r="155" spans="93:94" x14ac:dyDescent="0.25">
      <c r="CO155" s="914"/>
      <c r="CP155" s="914"/>
    </row>
    <row r="156" spans="93:94" x14ac:dyDescent="0.25">
      <c r="CO156" s="914"/>
      <c r="CP156" s="914"/>
    </row>
    <row r="157" spans="93:94" x14ac:dyDescent="0.25">
      <c r="CO157" s="1041"/>
      <c r="CP157" s="1041"/>
    </row>
    <row r="158" spans="93:94" x14ac:dyDescent="0.25">
      <c r="CO158" s="1041"/>
      <c r="CP158" s="1041"/>
    </row>
    <row r="159" spans="93:94" x14ac:dyDescent="0.25">
      <c r="CO159" s="1041"/>
      <c r="CP159" s="1041"/>
    </row>
    <row r="160" spans="93:94" x14ac:dyDescent="0.25">
      <c r="CO160" s="1041"/>
      <c r="CP160" s="1041"/>
    </row>
    <row r="161" spans="93:94" x14ac:dyDescent="0.25">
      <c r="CO161" s="1041"/>
      <c r="CP161" s="1041"/>
    </row>
    <row r="162" spans="93:94" x14ac:dyDescent="0.25">
      <c r="CO162" s="1041"/>
      <c r="CP162" s="1041"/>
    </row>
  </sheetData>
  <mergeCells count="615">
    <mergeCell ref="E8:Q8"/>
    <mergeCell ref="S8:AE8"/>
    <mergeCell ref="AG8:AS8"/>
    <mergeCell ref="AY8:BK8"/>
    <mergeCell ref="BM8:BY8"/>
    <mergeCell ref="CA8:CM8"/>
    <mergeCell ref="AY9:BD9"/>
    <mergeCell ref="BF9:BK9"/>
    <mergeCell ref="BM9:BR9"/>
    <mergeCell ref="BT9:BY9"/>
    <mergeCell ref="CA9:CF9"/>
    <mergeCell ref="CH9:CM9"/>
    <mergeCell ref="E9:J9"/>
    <mergeCell ref="L9:Q9"/>
    <mergeCell ref="S9:X9"/>
    <mergeCell ref="Z9:AE9"/>
    <mergeCell ref="AG9:AL9"/>
    <mergeCell ref="AN9:AS9"/>
    <mergeCell ref="AY10:BD10"/>
    <mergeCell ref="BF10:BK10"/>
    <mergeCell ref="BM10:BR10"/>
    <mergeCell ref="BT10:BY10"/>
    <mergeCell ref="CA10:CF10"/>
    <mergeCell ref="CH10:CM10"/>
    <mergeCell ref="E10:J10"/>
    <mergeCell ref="L10:Q10"/>
    <mergeCell ref="S10:X10"/>
    <mergeCell ref="Z10:AE10"/>
    <mergeCell ref="AG10:AL10"/>
    <mergeCell ref="AN10:AS10"/>
    <mergeCell ref="S11:X11"/>
    <mergeCell ref="BM11:BR11"/>
    <mergeCell ref="C12:D12"/>
    <mergeCell ref="E12:J12"/>
    <mergeCell ref="L12:Q12"/>
    <mergeCell ref="S12:X12"/>
    <mergeCell ref="Z12:AE12"/>
    <mergeCell ref="AG12:AL12"/>
    <mergeCell ref="AN12:AS12"/>
    <mergeCell ref="AY12:BD12"/>
    <mergeCell ref="BF12:BK12"/>
    <mergeCell ref="BM12:BR12"/>
    <mergeCell ref="BT12:BY12"/>
    <mergeCell ref="CA12:CF12"/>
    <mergeCell ref="CH12:CM12"/>
    <mergeCell ref="E13:J13"/>
    <mergeCell ref="L13:Q13"/>
    <mergeCell ref="S13:X13"/>
    <mergeCell ref="Z13:AE13"/>
    <mergeCell ref="AG13:AL13"/>
    <mergeCell ref="CH13:CM13"/>
    <mergeCell ref="BM13:BR13"/>
    <mergeCell ref="BT13:BY13"/>
    <mergeCell ref="CA13:CF13"/>
    <mergeCell ref="E14:J14"/>
    <mergeCell ref="L14:Q14"/>
    <mergeCell ref="S14:X14"/>
    <mergeCell ref="Z14:AE14"/>
    <mergeCell ref="AG14:AL14"/>
    <mergeCell ref="AN14:AS14"/>
    <mergeCell ref="AN13:AS13"/>
    <mergeCell ref="AY13:BD13"/>
    <mergeCell ref="BF13:BK13"/>
    <mergeCell ref="AY15:BD15"/>
    <mergeCell ref="BF15:BK15"/>
    <mergeCell ref="BM15:BR15"/>
    <mergeCell ref="BT15:BY15"/>
    <mergeCell ref="CA15:CF15"/>
    <mergeCell ref="CH15:CM15"/>
    <mergeCell ref="E15:J15"/>
    <mergeCell ref="L15:Q15"/>
    <mergeCell ref="S15:X15"/>
    <mergeCell ref="Z15:AE15"/>
    <mergeCell ref="AG15:AL15"/>
    <mergeCell ref="AN15:AS15"/>
    <mergeCell ref="AY16:BD16"/>
    <mergeCell ref="BF16:BK16"/>
    <mergeCell ref="BM16:BR16"/>
    <mergeCell ref="BT16:BY16"/>
    <mergeCell ref="CA16:CF16"/>
    <mergeCell ref="CH16:CM16"/>
    <mergeCell ref="E16:J16"/>
    <mergeCell ref="L16:Q16"/>
    <mergeCell ref="S16:X16"/>
    <mergeCell ref="Z16:AE16"/>
    <mergeCell ref="AG16:AL16"/>
    <mergeCell ref="AN16:AS16"/>
    <mergeCell ref="AY17:BD17"/>
    <mergeCell ref="BF17:BK17"/>
    <mergeCell ref="BM17:BR17"/>
    <mergeCell ref="BT17:BY17"/>
    <mergeCell ref="CA17:CF17"/>
    <mergeCell ref="CH17:CM17"/>
    <mergeCell ref="E17:J17"/>
    <mergeCell ref="L17:Q17"/>
    <mergeCell ref="S17:X17"/>
    <mergeCell ref="Z17:AE17"/>
    <mergeCell ref="AG17:AL17"/>
    <mergeCell ref="AN17:AS17"/>
    <mergeCell ref="AY18:BD18"/>
    <mergeCell ref="BF18:BK18"/>
    <mergeCell ref="BM18:BR18"/>
    <mergeCell ref="BT18:BY18"/>
    <mergeCell ref="CA18:CF18"/>
    <mergeCell ref="CH18:CM18"/>
    <mergeCell ref="E18:J18"/>
    <mergeCell ref="L18:Q18"/>
    <mergeCell ref="S18:X18"/>
    <mergeCell ref="Z18:AE18"/>
    <mergeCell ref="AG18:AL18"/>
    <mergeCell ref="AN18:AS18"/>
    <mergeCell ref="AY19:BD19"/>
    <mergeCell ref="BF19:BK19"/>
    <mergeCell ref="BM19:BR19"/>
    <mergeCell ref="BT19:BY19"/>
    <mergeCell ref="CA19:CF19"/>
    <mergeCell ref="CH19:CM19"/>
    <mergeCell ref="E19:J19"/>
    <mergeCell ref="L19:Q19"/>
    <mergeCell ref="S19:X19"/>
    <mergeCell ref="Z19:AE19"/>
    <mergeCell ref="AG19:AL19"/>
    <mergeCell ref="AN19:AS19"/>
    <mergeCell ref="AY20:BD20"/>
    <mergeCell ref="BF20:BK20"/>
    <mergeCell ref="BM20:BR20"/>
    <mergeCell ref="BT20:BY20"/>
    <mergeCell ref="CA20:CF20"/>
    <mergeCell ref="CH20:CM20"/>
    <mergeCell ref="E20:J20"/>
    <mergeCell ref="L20:Q20"/>
    <mergeCell ref="S20:X20"/>
    <mergeCell ref="Z20:AE20"/>
    <mergeCell ref="AG20:AL20"/>
    <mergeCell ref="AN20:AS20"/>
    <mergeCell ref="AY21:BD21"/>
    <mergeCell ref="BF21:BK21"/>
    <mergeCell ref="BM21:BR21"/>
    <mergeCell ref="BT21:BY21"/>
    <mergeCell ref="CA21:CF21"/>
    <mergeCell ref="CH21:CM21"/>
    <mergeCell ref="E21:J21"/>
    <mergeCell ref="L21:Q21"/>
    <mergeCell ref="S21:X21"/>
    <mergeCell ref="Z21:AE21"/>
    <mergeCell ref="AG21:AL21"/>
    <mergeCell ref="AN21:AS21"/>
    <mergeCell ref="AY22:BD22"/>
    <mergeCell ref="BF22:BK22"/>
    <mergeCell ref="BM22:BR22"/>
    <mergeCell ref="BT22:BY22"/>
    <mergeCell ref="CA22:CF22"/>
    <mergeCell ref="CH22:CM22"/>
    <mergeCell ref="E22:J22"/>
    <mergeCell ref="L22:Q22"/>
    <mergeCell ref="S22:X22"/>
    <mergeCell ref="Z22:AE22"/>
    <mergeCell ref="AG22:AL22"/>
    <mergeCell ref="AN22:AS22"/>
    <mergeCell ref="AY23:BD23"/>
    <mergeCell ref="BF23:BK23"/>
    <mergeCell ref="BM23:BR23"/>
    <mergeCell ref="BT23:BY23"/>
    <mergeCell ref="CA23:CF23"/>
    <mergeCell ref="CH23:CM23"/>
    <mergeCell ref="E23:J23"/>
    <mergeCell ref="L23:Q23"/>
    <mergeCell ref="S23:X23"/>
    <mergeCell ref="Z23:AE23"/>
    <mergeCell ref="AG23:AL23"/>
    <mergeCell ref="AN23:AS23"/>
    <mergeCell ref="AY24:BD24"/>
    <mergeCell ref="BF24:BK24"/>
    <mergeCell ref="BM24:BR24"/>
    <mergeCell ref="BT24:BY24"/>
    <mergeCell ref="CA24:CF24"/>
    <mergeCell ref="CH24:CM24"/>
    <mergeCell ref="E24:J24"/>
    <mergeCell ref="L24:Q24"/>
    <mergeCell ref="S24:X24"/>
    <mergeCell ref="Z24:AE24"/>
    <mergeCell ref="AG24:AL24"/>
    <mergeCell ref="AN24:AS24"/>
    <mergeCell ref="AY25:BD25"/>
    <mergeCell ref="BF25:BK25"/>
    <mergeCell ref="BM25:BR25"/>
    <mergeCell ref="BT25:BY25"/>
    <mergeCell ref="CA25:CF25"/>
    <mergeCell ref="CH25:CM25"/>
    <mergeCell ref="E25:J25"/>
    <mergeCell ref="L25:Q25"/>
    <mergeCell ref="S25:X25"/>
    <mergeCell ref="Z25:AE25"/>
    <mergeCell ref="AG25:AL25"/>
    <mergeCell ref="AN25:AS25"/>
    <mergeCell ref="AY26:BD26"/>
    <mergeCell ref="BF26:BK26"/>
    <mergeCell ref="BM26:BR26"/>
    <mergeCell ref="BT26:BY26"/>
    <mergeCell ref="CA26:CF26"/>
    <mergeCell ref="CH26:CM26"/>
    <mergeCell ref="E26:J26"/>
    <mergeCell ref="L26:Q26"/>
    <mergeCell ref="S26:X26"/>
    <mergeCell ref="Z26:AE26"/>
    <mergeCell ref="AG26:AL26"/>
    <mergeCell ref="AN26:AS26"/>
    <mergeCell ref="AY27:BD27"/>
    <mergeCell ref="BF27:BK27"/>
    <mergeCell ref="BM27:BR27"/>
    <mergeCell ref="BT27:BY27"/>
    <mergeCell ref="CA27:CF27"/>
    <mergeCell ref="CH27:CM27"/>
    <mergeCell ref="E27:J27"/>
    <mergeCell ref="L27:Q27"/>
    <mergeCell ref="S27:X27"/>
    <mergeCell ref="Z27:AE27"/>
    <mergeCell ref="AG27:AL27"/>
    <mergeCell ref="AN27:AS27"/>
    <mergeCell ref="C30:AS30"/>
    <mergeCell ref="AW30:CM30"/>
    <mergeCell ref="C32:AS32"/>
    <mergeCell ref="AW32:CM32"/>
    <mergeCell ref="C33:AS33"/>
    <mergeCell ref="C36:AS36"/>
    <mergeCell ref="AW36:CM36"/>
    <mergeCell ref="AY28:BD28"/>
    <mergeCell ref="BF28:BK28"/>
    <mergeCell ref="BM28:BR28"/>
    <mergeCell ref="BT28:BY28"/>
    <mergeCell ref="CA28:CF28"/>
    <mergeCell ref="CH28:CM28"/>
    <mergeCell ref="E28:J28"/>
    <mergeCell ref="L28:Q28"/>
    <mergeCell ref="S28:X28"/>
    <mergeCell ref="Z28:AE28"/>
    <mergeCell ref="AG28:AL28"/>
    <mergeCell ref="AN28:AS28"/>
    <mergeCell ref="BN39:BQ39"/>
    <mergeCell ref="BS39:BY39"/>
    <mergeCell ref="CA39:CF39"/>
    <mergeCell ref="CH39:CM39"/>
    <mergeCell ref="AG40:AL40"/>
    <mergeCell ref="AN40:AS40"/>
    <mergeCell ref="CA40:CF40"/>
    <mergeCell ref="CH40:CM40"/>
    <mergeCell ref="E39:H39"/>
    <mergeCell ref="J39:M39"/>
    <mergeCell ref="O39:AE39"/>
    <mergeCell ref="AG39:AL39"/>
    <mergeCell ref="AN39:AS39"/>
    <mergeCell ref="BI39:BL39"/>
    <mergeCell ref="CH42:CM42"/>
    <mergeCell ref="E43:H43"/>
    <mergeCell ref="J43:M43"/>
    <mergeCell ref="O43:AE43"/>
    <mergeCell ref="AG43:AL43"/>
    <mergeCell ref="AN43:AS43"/>
    <mergeCell ref="BI43:BL43"/>
    <mergeCell ref="AG41:AL41"/>
    <mergeCell ref="AN41:AS41"/>
    <mergeCell ref="CA41:CF41"/>
    <mergeCell ref="CH41:CM41"/>
    <mergeCell ref="E42:H42"/>
    <mergeCell ref="J42:M42"/>
    <mergeCell ref="O42:AE42"/>
    <mergeCell ref="AG42:AL42"/>
    <mergeCell ref="AN42:AS42"/>
    <mergeCell ref="BI42:BL42"/>
    <mergeCell ref="E44:H44"/>
    <mergeCell ref="J44:M44"/>
    <mergeCell ref="O44:AE44"/>
    <mergeCell ref="AG44:AL44"/>
    <mergeCell ref="AN44:AS44"/>
    <mergeCell ref="BI44:BL44"/>
    <mergeCell ref="BN42:BQ42"/>
    <mergeCell ref="BS42:BY42"/>
    <mergeCell ref="CA42:CF42"/>
    <mergeCell ref="BN44:BQ44"/>
    <mergeCell ref="BS44:BY44"/>
    <mergeCell ref="CA44:CF44"/>
    <mergeCell ref="CH44:CM44"/>
    <mergeCell ref="AG46:AL46"/>
    <mergeCell ref="AN46:AS46"/>
    <mergeCell ref="CA46:CF46"/>
    <mergeCell ref="CH46:CM46"/>
    <mergeCell ref="BN43:BQ43"/>
    <mergeCell ref="BS43:BY43"/>
    <mergeCell ref="CA43:CF43"/>
    <mergeCell ref="CH43:CM43"/>
    <mergeCell ref="C49:AS49"/>
    <mergeCell ref="AW49:CM49"/>
    <mergeCell ref="C53:AS53"/>
    <mergeCell ref="AW53:CM53"/>
    <mergeCell ref="M56:O56"/>
    <mergeCell ref="Q56:S56"/>
    <mergeCell ref="U56:W56"/>
    <mergeCell ref="Y56:AE56"/>
    <mergeCell ref="AG56:AL56"/>
    <mergeCell ref="AN56:AS56"/>
    <mergeCell ref="AG57:AL57"/>
    <mergeCell ref="AN57:AS57"/>
    <mergeCell ref="CA57:CF57"/>
    <mergeCell ref="CH57:CM57"/>
    <mergeCell ref="AG58:AL58"/>
    <mergeCell ref="AN58:AS58"/>
    <mergeCell ref="CA58:CF58"/>
    <mergeCell ref="CH58:CM58"/>
    <mergeCell ref="BG56:BI56"/>
    <mergeCell ref="BK56:BM56"/>
    <mergeCell ref="BO56:BQ56"/>
    <mergeCell ref="BS56:BY56"/>
    <mergeCell ref="CA56:CF56"/>
    <mergeCell ref="CH56:CM56"/>
    <mergeCell ref="BS59:BY59"/>
    <mergeCell ref="CA59:CF59"/>
    <mergeCell ref="CH59:CM59"/>
    <mergeCell ref="M59:O59"/>
    <mergeCell ref="Q59:S59"/>
    <mergeCell ref="U59:W59"/>
    <mergeCell ref="Y59:AE59"/>
    <mergeCell ref="AG59:AL59"/>
    <mergeCell ref="AN59:AS59"/>
    <mergeCell ref="M60:O60"/>
    <mergeCell ref="Q60:S60"/>
    <mergeCell ref="U60:W60"/>
    <mergeCell ref="Y60:AE60"/>
    <mergeCell ref="AG60:AL60"/>
    <mergeCell ref="AN60:AS60"/>
    <mergeCell ref="BG59:BI59"/>
    <mergeCell ref="BK59:BM59"/>
    <mergeCell ref="BO59:BQ59"/>
    <mergeCell ref="AG62:AL62"/>
    <mergeCell ref="AN62:AS62"/>
    <mergeCell ref="CA62:CF62"/>
    <mergeCell ref="CH62:CM62"/>
    <mergeCell ref="AG64:AL64"/>
    <mergeCell ref="AN64:AS64"/>
    <mergeCell ref="CA64:CF64"/>
    <mergeCell ref="CH64:CM64"/>
    <mergeCell ref="BG60:BI60"/>
    <mergeCell ref="BK60:BM60"/>
    <mergeCell ref="BO60:BQ60"/>
    <mergeCell ref="BS60:BY60"/>
    <mergeCell ref="CA60:CF60"/>
    <mergeCell ref="CH60:CM60"/>
    <mergeCell ref="C73:AS73"/>
    <mergeCell ref="AW73:CM73"/>
    <mergeCell ref="C74:AS74"/>
    <mergeCell ref="AW74:CM74"/>
    <mergeCell ref="C75:AS75"/>
    <mergeCell ref="AW75:CM75"/>
    <mergeCell ref="AG66:AL66"/>
    <mergeCell ref="AN66:AS66"/>
    <mergeCell ref="CA66:CF66"/>
    <mergeCell ref="CH66:CM66"/>
    <mergeCell ref="C70:AS70"/>
    <mergeCell ref="AW70:CM70"/>
    <mergeCell ref="AW76:CM76"/>
    <mergeCell ref="E77:X77"/>
    <mergeCell ref="Z77:AS77"/>
    <mergeCell ref="AY77:BR77"/>
    <mergeCell ref="BT77:CM77"/>
    <mergeCell ref="E78:J78"/>
    <mergeCell ref="L78:Q78"/>
    <mergeCell ref="S78:X78"/>
    <mergeCell ref="Z78:AE78"/>
    <mergeCell ref="AG78:AL78"/>
    <mergeCell ref="CH78:CM78"/>
    <mergeCell ref="AN78:AS78"/>
    <mergeCell ref="AY78:BD78"/>
    <mergeCell ref="BF78:BK78"/>
    <mergeCell ref="BM78:BR78"/>
    <mergeCell ref="BT78:BY78"/>
    <mergeCell ref="CA78:CF78"/>
    <mergeCell ref="BT79:BY79"/>
    <mergeCell ref="CA79:CF79"/>
    <mergeCell ref="CH79:CM79"/>
    <mergeCell ref="E80:J80"/>
    <mergeCell ref="L80:Q80"/>
    <mergeCell ref="S80:X80"/>
    <mergeCell ref="Z80:AE80"/>
    <mergeCell ref="AG80:AL80"/>
    <mergeCell ref="AN80:AS80"/>
    <mergeCell ref="AY80:BD80"/>
    <mergeCell ref="BF80:BK80"/>
    <mergeCell ref="BM80:BR80"/>
    <mergeCell ref="BT80:BY80"/>
    <mergeCell ref="CA80:CF80"/>
    <mergeCell ref="CH80:CM80"/>
    <mergeCell ref="E79:J79"/>
    <mergeCell ref="L79:Q79"/>
    <mergeCell ref="S79:X79"/>
    <mergeCell ref="Z79:AE79"/>
    <mergeCell ref="AG79:AL79"/>
    <mergeCell ref="AN79:AS79"/>
    <mergeCell ref="AY79:BD79"/>
    <mergeCell ref="BF79:BK79"/>
    <mergeCell ref="BM79:BR79"/>
    <mergeCell ref="E81:J81"/>
    <mergeCell ref="L81:Q81"/>
    <mergeCell ref="S81:X81"/>
    <mergeCell ref="Z81:AE81"/>
    <mergeCell ref="AG81:AL81"/>
    <mergeCell ref="CH81:CM81"/>
    <mergeCell ref="E82:J82"/>
    <mergeCell ref="L82:Q82"/>
    <mergeCell ref="S82:X82"/>
    <mergeCell ref="Z82:AE82"/>
    <mergeCell ref="AG82:AL82"/>
    <mergeCell ref="AN82:AS82"/>
    <mergeCell ref="AY82:BD82"/>
    <mergeCell ref="BF82:BK82"/>
    <mergeCell ref="BM82:BR82"/>
    <mergeCell ref="AN81:AS81"/>
    <mergeCell ref="AY81:BD81"/>
    <mergeCell ref="BF81:BK81"/>
    <mergeCell ref="BM81:BR81"/>
    <mergeCell ref="BT81:BY81"/>
    <mergeCell ref="CA81:CF81"/>
    <mergeCell ref="BT82:BY82"/>
    <mergeCell ref="CA82:CF82"/>
    <mergeCell ref="CH82:CM82"/>
    <mergeCell ref="BT83:BY83"/>
    <mergeCell ref="CA83:CF83"/>
    <mergeCell ref="CH83:CM83"/>
    <mergeCell ref="E84:J84"/>
    <mergeCell ref="L84:Q84"/>
    <mergeCell ref="S84:X84"/>
    <mergeCell ref="Z84:AE84"/>
    <mergeCell ref="AG84:AL84"/>
    <mergeCell ref="BT85:BY85"/>
    <mergeCell ref="CA85:CF85"/>
    <mergeCell ref="CH85:CM85"/>
    <mergeCell ref="E83:J83"/>
    <mergeCell ref="L83:Q83"/>
    <mergeCell ref="S83:X83"/>
    <mergeCell ref="Z83:AE83"/>
    <mergeCell ref="AG83:AL83"/>
    <mergeCell ref="AN83:AS83"/>
    <mergeCell ref="AY83:BD83"/>
    <mergeCell ref="BF83:BK83"/>
    <mergeCell ref="BM83:BR83"/>
    <mergeCell ref="S88:AE88"/>
    <mergeCell ref="AG88:AS88"/>
    <mergeCell ref="BM88:BY88"/>
    <mergeCell ref="CA88:CM88"/>
    <mergeCell ref="CH84:CM84"/>
    <mergeCell ref="E85:J85"/>
    <mergeCell ref="L85:Q85"/>
    <mergeCell ref="S85:X85"/>
    <mergeCell ref="Z85:AE85"/>
    <mergeCell ref="AG85:AL85"/>
    <mergeCell ref="AN85:AS85"/>
    <mergeCell ref="AY85:BD85"/>
    <mergeCell ref="BF85:BK85"/>
    <mergeCell ref="BM85:BR85"/>
    <mergeCell ref="AN84:AS84"/>
    <mergeCell ref="AY84:BD84"/>
    <mergeCell ref="BF84:BK84"/>
    <mergeCell ref="BM84:BR84"/>
    <mergeCell ref="BT84:BY84"/>
    <mergeCell ref="CA84:CF84"/>
    <mergeCell ref="CA89:CF89"/>
    <mergeCell ref="CH89:CM89"/>
    <mergeCell ref="S90:X90"/>
    <mergeCell ref="Z90:AE90"/>
    <mergeCell ref="AG90:AL90"/>
    <mergeCell ref="AN90:AS90"/>
    <mergeCell ref="BM90:BR90"/>
    <mergeCell ref="BT90:BY90"/>
    <mergeCell ref="CA90:CF90"/>
    <mergeCell ref="CH90:CM90"/>
    <mergeCell ref="S89:X89"/>
    <mergeCell ref="Z89:AE89"/>
    <mergeCell ref="AG89:AL89"/>
    <mergeCell ref="AN89:AS89"/>
    <mergeCell ref="BM89:BR89"/>
    <mergeCell ref="BT89:BY89"/>
    <mergeCell ref="CA92:CF92"/>
    <mergeCell ref="CH92:CM92"/>
    <mergeCell ref="S93:X93"/>
    <mergeCell ref="Z93:AE93"/>
    <mergeCell ref="AG93:AL93"/>
    <mergeCell ref="AN93:AS93"/>
    <mergeCell ref="BM93:BR93"/>
    <mergeCell ref="BT93:BY93"/>
    <mergeCell ref="CA93:CF93"/>
    <mergeCell ref="CH93:CM93"/>
    <mergeCell ref="S92:X92"/>
    <mergeCell ref="Z92:AE92"/>
    <mergeCell ref="AG92:AL92"/>
    <mergeCell ref="AN92:AS92"/>
    <mergeCell ref="BM92:BR92"/>
    <mergeCell ref="BT92:BY92"/>
    <mergeCell ref="K100:Q100"/>
    <mergeCell ref="S100:AE100"/>
    <mergeCell ref="AG100:AS100"/>
    <mergeCell ref="BE100:BK100"/>
    <mergeCell ref="BM100:BY100"/>
    <mergeCell ref="CA100:CM100"/>
    <mergeCell ref="CA94:CF94"/>
    <mergeCell ref="CH94:CM94"/>
    <mergeCell ref="S95:X95"/>
    <mergeCell ref="Z95:AE95"/>
    <mergeCell ref="AG95:AL95"/>
    <mergeCell ref="AN95:AS95"/>
    <mergeCell ref="BM95:BR95"/>
    <mergeCell ref="BT95:BY95"/>
    <mergeCell ref="CA95:CF95"/>
    <mergeCell ref="CH95:CM95"/>
    <mergeCell ref="S94:X94"/>
    <mergeCell ref="Z94:AE94"/>
    <mergeCell ref="AG94:AL94"/>
    <mergeCell ref="AN94:AS94"/>
    <mergeCell ref="BM94:BR94"/>
    <mergeCell ref="BT94:BY94"/>
    <mergeCell ref="CA101:CF101"/>
    <mergeCell ref="CH101:CM101"/>
    <mergeCell ref="S102:X102"/>
    <mergeCell ref="Z102:AE102"/>
    <mergeCell ref="AG102:AL102"/>
    <mergeCell ref="AN102:AS102"/>
    <mergeCell ref="BM102:BR102"/>
    <mergeCell ref="BT102:BY102"/>
    <mergeCell ref="CA102:CF102"/>
    <mergeCell ref="CH102:CM102"/>
    <mergeCell ref="S101:X101"/>
    <mergeCell ref="Z101:AE101"/>
    <mergeCell ref="AG101:AL101"/>
    <mergeCell ref="AN101:AS101"/>
    <mergeCell ref="BM101:BR101"/>
    <mergeCell ref="BT101:BY101"/>
    <mergeCell ref="CA104:CF104"/>
    <mergeCell ref="CH104:CM104"/>
    <mergeCell ref="K105:Q105"/>
    <mergeCell ref="S105:X105"/>
    <mergeCell ref="Z105:AE105"/>
    <mergeCell ref="AG105:AL105"/>
    <mergeCell ref="AN105:AS105"/>
    <mergeCell ref="BE105:BK105"/>
    <mergeCell ref="BM105:BR105"/>
    <mergeCell ref="BT105:BY105"/>
    <mergeCell ref="S104:X104"/>
    <mergeCell ref="Z104:AE104"/>
    <mergeCell ref="AG104:AL104"/>
    <mergeCell ref="AN104:AS104"/>
    <mergeCell ref="BM104:BR104"/>
    <mergeCell ref="BT104:BY104"/>
    <mergeCell ref="CA105:CF105"/>
    <mergeCell ref="CH105:CM105"/>
    <mergeCell ref="CH106:CM106"/>
    <mergeCell ref="K107:Q107"/>
    <mergeCell ref="S107:X107"/>
    <mergeCell ref="Z107:AE107"/>
    <mergeCell ref="AG107:AL107"/>
    <mergeCell ref="AN107:AS107"/>
    <mergeCell ref="BE107:BK107"/>
    <mergeCell ref="BM107:BR107"/>
    <mergeCell ref="BT107:BY107"/>
    <mergeCell ref="CA107:CF107"/>
    <mergeCell ref="CH107:CM107"/>
    <mergeCell ref="K106:Q106"/>
    <mergeCell ref="S106:X106"/>
    <mergeCell ref="Z106:AE106"/>
    <mergeCell ref="AG106:AL106"/>
    <mergeCell ref="AN106:AS106"/>
    <mergeCell ref="BE106:BK106"/>
    <mergeCell ref="BM106:BR106"/>
    <mergeCell ref="BT106:BY106"/>
    <mergeCell ref="CA106:CF106"/>
    <mergeCell ref="S108:X108"/>
    <mergeCell ref="Z108:AE108"/>
    <mergeCell ref="AG108:AL108"/>
    <mergeCell ref="AN108:AS108"/>
    <mergeCell ref="BM108:BR108"/>
    <mergeCell ref="BT108:BY108"/>
    <mergeCell ref="CA108:CF108"/>
    <mergeCell ref="CH108:CM108"/>
    <mergeCell ref="BM109:BR109"/>
    <mergeCell ref="BT109:BY109"/>
    <mergeCell ref="CA109:CF109"/>
    <mergeCell ref="CH109:CM109"/>
    <mergeCell ref="K110:Q110"/>
    <mergeCell ref="S110:X110"/>
    <mergeCell ref="Z110:AE110"/>
    <mergeCell ref="AG110:AL110"/>
    <mergeCell ref="AN110:AS110"/>
    <mergeCell ref="BE110:BK110"/>
    <mergeCell ref="K109:Q109"/>
    <mergeCell ref="S109:X109"/>
    <mergeCell ref="Z109:AE109"/>
    <mergeCell ref="AG109:AL109"/>
    <mergeCell ref="AN109:AS109"/>
    <mergeCell ref="BE109:BK109"/>
    <mergeCell ref="S112:X112"/>
    <mergeCell ref="Z112:AE112"/>
    <mergeCell ref="AG112:AL112"/>
    <mergeCell ref="AN112:AS112"/>
    <mergeCell ref="BM112:BR112"/>
    <mergeCell ref="BT112:BY112"/>
    <mergeCell ref="CA112:CF112"/>
    <mergeCell ref="CH112:CM112"/>
    <mergeCell ref="BM110:BR110"/>
    <mergeCell ref="BT110:BY110"/>
    <mergeCell ref="CA110:CF110"/>
    <mergeCell ref="CH110:CM110"/>
    <mergeCell ref="S111:X111"/>
    <mergeCell ref="Z111:AE111"/>
    <mergeCell ref="AG111:AL111"/>
    <mergeCell ref="AN111:AS111"/>
    <mergeCell ref="BM111:BR111"/>
    <mergeCell ref="BT111:BY111"/>
    <mergeCell ref="CA111:CF111"/>
    <mergeCell ref="CH111:CM111"/>
  </mergeCells>
  <conditionalFormatting sqref="J91:P91 K78:K84 Y92:Y93 AF92 AM92 K92:P93 R79:R84 Y79:Y84 X91:AS91 AF79:AF84 AM79:AM84 J86:AS87">
    <cfRule type="cellIs" dxfId="87" priority="82" operator="greaterThan">
      <formula>0</formula>
    </cfRule>
  </conditionalFormatting>
  <conditionalFormatting sqref="AF93 AM93">
    <cfRule type="cellIs" dxfId="86" priority="81" operator="greaterThan">
      <formula>0</formula>
    </cfRule>
  </conditionalFormatting>
  <conditionalFormatting sqref="J95">
    <cfRule type="cellIs" dxfId="85" priority="80" operator="greaterThan">
      <formula>0</formula>
    </cfRule>
  </conditionalFormatting>
  <conditionalFormatting sqref="AE96:AE97">
    <cfRule type="cellIs" dxfId="84" priority="79" operator="greaterThan">
      <formula>0</formula>
    </cfRule>
  </conditionalFormatting>
  <conditionalFormatting sqref="AF78">
    <cfRule type="cellIs" dxfId="83" priority="78" operator="greaterThan">
      <formula>0</formula>
    </cfRule>
  </conditionalFormatting>
  <conditionalFormatting sqref="Y104:Y105 AF104 AM104 X103:AS103">
    <cfRule type="cellIs" dxfId="82" priority="77" operator="greaterThan">
      <formula>0</formula>
    </cfRule>
  </conditionalFormatting>
  <conditionalFormatting sqref="AF105 AM105">
    <cfRule type="cellIs" dxfId="81" priority="76" operator="greaterThan">
      <formula>0</formula>
    </cfRule>
  </conditionalFormatting>
  <conditionalFormatting sqref="Y106">
    <cfRule type="cellIs" dxfId="80" priority="75" operator="greaterThan">
      <formula>0</formula>
    </cfRule>
  </conditionalFormatting>
  <conditionalFormatting sqref="AF106 AM106">
    <cfRule type="cellIs" dxfId="79" priority="74" operator="greaterThan">
      <formula>0</formula>
    </cfRule>
  </conditionalFormatting>
  <conditionalFormatting sqref="Y108">
    <cfRule type="cellIs" dxfId="78" priority="73" operator="greaterThan">
      <formula>0</formula>
    </cfRule>
  </conditionalFormatting>
  <conditionalFormatting sqref="AF108 AM108">
    <cfRule type="cellIs" dxfId="77" priority="72" operator="greaterThan">
      <formula>0</formula>
    </cfRule>
  </conditionalFormatting>
  <conditionalFormatting sqref="Y109">
    <cfRule type="cellIs" dxfId="76" priority="71" operator="greaterThan">
      <formula>0</formula>
    </cfRule>
  </conditionalFormatting>
  <conditionalFormatting sqref="AF109 AM109">
    <cfRule type="cellIs" dxfId="75" priority="70" operator="greaterThan">
      <formula>0</formula>
    </cfRule>
  </conditionalFormatting>
  <conditionalFormatting sqref="Y110">
    <cfRule type="cellIs" dxfId="74" priority="69" operator="greaterThan">
      <formula>0</formula>
    </cfRule>
  </conditionalFormatting>
  <conditionalFormatting sqref="AF110 AM110">
    <cfRule type="cellIs" dxfId="73" priority="68" operator="greaterThan">
      <formula>0</formula>
    </cfRule>
  </conditionalFormatting>
  <conditionalFormatting sqref="BD91:BJ91 BE78:BE84 BS92:BS93 BZ92 CG92 BE92:BJ93 BL79:BL84 BS79:BS84 BR91:CM91 BZ79:BZ84 CG79:CG84 BD86:CM87">
    <cfRule type="cellIs" dxfId="72" priority="67" operator="greaterThan">
      <formula>0</formula>
    </cfRule>
  </conditionalFormatting>
  <conditionalFormatting sqref="BZ93 CG93">
    <cfRule type="cellIs" dxfId="71" priority="66" operator="greaterThan">
      <formula>0</formula>
    </cfRule>
  </conditionalFormatting>
  <conditionalFormatting sqref="BD95">
    <cfRule type="cellIs" dxfId="70" priority="65" operator="greaterThan">
      <formula>0</formula>
    </cfRule>
  </conditionalFormatting>
  <conditionalFormatting sqref="BY96:BY97">
    <cfRule type="cellIs" dxfId="69" priority="64" operator="greaterThan">
      <formula>0</formula>
    </cfRule>
  </conditionalFormatting>
  <conditionalFormatting sqref="BS104:BS105 BZ104 CG104 BR103:CM103">
    <cfRule type="cellIs" dxfId="68" priority="63" operator="greaterThan">
      <formula>0</formula>
    </cfRule>
  </conditionalFormatting>
  <conditionalFormatting sqref="BZ105 CG105">
    <cfRule type="cellIs" dxfId="67" priority="62" operator="greaterThan">
      <formula>0</formula>
    </cfRule>
  </conditionalFormatting>
  <conditionalFormatting sqref="BS106">
    <cfRule type="cellIs" dxfId="66" priority="61" operator="greaterThan">
      <formula>0</formula>
    </cfRule>
  </conditionalFormatting>
  <conditionalFormatting sqref="BZ106 CG106">
    <cfRule type="cellIs" dxfId="65" priority="60" operator="greaterThan">
      <formula>0</formula>
    </cfRule>
  </conditionalFormatting>
  <conditionalFormatting sqref="BS108">
    <cfRule type="cellIs" dxfId="64" priority="59" operator="greaterThan">
      <formula>0</formula>
    </cfRule>
  </conditionalFormatting>
  <conditionalFormatting sqref="BZ108 CG108">
    <cfRule type="cellIs" dxfId="63" priority="58" operator="greaterThan">
      <formula>0</formula>
    </cfRule>
  </conditionalFormatting>
  <conditionalFormatting sqref="BS109">
    <cfRule type="cellIs" dxfId="62" priority="57" operator="greaterThan">
      <formula>0</formula>
    </cfRule>
  </conditionalFormatting>
  <conditionalFormatting sqref="BZ109 CG109">
    <cfRule type="cellIs" dxfId="61" priority="56" operator="greaterThan">
      <formula>0</formula>
    </cfRule>
  </conditionalFormatting>
  <conditionalFormatting sqref="BS110">
    <cfRule type="cellIs" dxfId="60" priority="55" operator="greaterThan">
      <formula>0</formula>
    </cfRule>
  </conditionalFormatting>
  <conditionalFormatting sqref="BZ110 CG110">
    <cfRule type="cellIs" dxfId="59" priority="54" operator="greaterThan">
      <formula>0</formula>
    </cfRule>
  </conditionalFormatting>
  <conditionalFormatting sqref="CO1:CP15 CO19:CP19 CO22:CP25 CO29:CP30 CO35:CP37 CO72:CP72 CO77:CP106 CO108:CP162 CO51:CP54">
    <cfRule type="cellIs" dxfId="58" priority="53" stopIfTrue="1" operator="notEqual">
      <formula>0</formula>
    </cfRule>
  </conditionalFormatting>
  <conditionalFormatting sqref="CO20:CP21">
    <cfRule type="cellIs" dxfId="57" priority="52" stopIfTrue="1" operator="notEqual">
      <formula>0</formula>
    </cfRule>
  </conditionalFormatting>
  <conditionalFormatting sqref="CQ2">
    <cfRule type="cellIs" dxfId="56" priority="51" stopIfTrue="1" operator="notEqual">
      <formula>0</formula>
    </cfRule>
  </conditionalFormatting>
  <conditionalFormatting sqref="CO16:CP16">
    <cfRule type="cellIs" dxfId="55" priority="50" stopIfTrue="1" operator="notEqual">
      <formula>0</formula>
    </cfRule>
  </conditionalFormatting>
  <conditionalFormatting sqref="CO26:CP26">
    <cfRule type="cellIs" dxfId="54" priority="49" stopIfTrue="1" operator="notEqual">
      <formula>0</formula>
    </cfRule>
  </conditionalFormatting>
  <conditionalFormatting sqref="CO27:CP27">
    <cfRule type="cellIs" dxfId="53" priority="48" stopIfTrue="1" operator="notEqual">
      <formula>0</formula>
    </cfRule>
  </conditionalFormatting>
  <conditionalFormatting sqref="CO18:CP18">
    <cfRule type="cellIs" dxfId="52" priority="47" stopIfTrue="1" operator="notEqual">
      <formula>0</formula>
    </cfRule>
  </conditionalFormatting>
  <conditionalFormatting sqref="CO31:CP31">
    <cfRule type="cellIs" dxfId="51" priority="46" stopIfTrue="1" operator="notEqual">
      <formula>0</formula>
    </cfRule>
  </conditionalFormatting>
  <conditionalFormatting sqref="CO33:CP34">
    <cfRule type="cellIs" dxfId="50" priority="45" stopIfTrue="1" operator="notEqual">
      <formula>0</formula>
    </cfRule>
  </conditionalFormatting>
  <conditionalFormatting sqref="CO32:CP32">
    <cfRule type="cellIs" dxfId="49" priority="44" stopIfTrue="1" operator="notEqual">
      <formula>0</formula>
    </cfRule>
  </conditionalFormatting>
  <conditionalFormatting sqref="CO38:CP38">
    <cfRule type="cellIs" dxfId="48" priority="43" stopIfTrue="1" operator="notEqual">
      <formula>0</formula>
    </cfRule>
  </conditionalFormatting>
  <conditionalFormatting sqref="CO39:CP39">
    <cfRule type="cellIs" dxfId="47" priority="42" stopIfTrue="1" operator="notEqual">
      <formula>0</formula>
    </cfRule>
  </conditionalFormatting>
  <conditionalFormatting sqref="CO40:CP40">
    <cfRule type="cellIs" dxfId="46" priority="41" stopIfTrue="1" operator="notEqual">
      <formula>0</formula>
    </cfRule>
  </conditionalFormatting>
  <conditionalFormatting sqref="CO42:CP42">
    <cfRule type="cellIs" dxfId="45" priority="40" stopIfTrue="1" operator="notEqual">
      <formula>0</formula>
    </cfRule>
  </conditionalFormatting>
  <conditionalFormatting sqref="CO44:CP44">
    <cfRule type="cellIs" dxfId="44" priority="39" stopIfTrue="1" operator="notEqual">
      <formula>0</formula>
    </cfRule>
  </conditionalFormatting>
  <conditionalFormatting sqref="CO45:CP45">
    <cfRule type="cellIs" dxfId="43" priority="38" stopIfTrue="1" operator="notEqual">
      <formula>0</formula>
    </cfRule>
  </conditionalFormatting>
  <conditionalFormatting sqref="CO47:CP47">
    <cfRule type="cellIs" dxfId="42" priority="37" stopIfTrue="1" operator="notEqual">
      <formula>0</formula>
    </cfRule>
  </conditionalFormatting>
  <conditionalFormatting sqref="CO46:CP46">
    <cfRule type="cellIs" dxfId="41" priority="36" stopIfTrue="1" operator="notEqual">
      <formula>0</formula>
    </cfRule>
  </conditionalFormatting>
  <conditionalFormatting sqref="CO41:CP41">
    <cfRule type="cellIs" dxfId="40" priority="35" stopIfTrue="1" operator="notEqual">
      <formula>0</formula>
    </cfRule>
  </conditionalFormatting>
  <conditionalFormatting sqref="CO49:CP49">
    <cfRule type="cellIs" dxfId="39" priority="34" stopIfTrue="1" operator="notEqual">
      <formula>0</formula>
    </cfRule>
  </conditionalFormatting>
  <conditionalFormatting sqref="CO50:CP50">
    <cfRule type="cellIs" dxfId="38" priority="33" stopIfTrue="1" operator="notEqual">
      <formula>0</formula>
    </cfRule>
  </conditionalFormatting>
  <conditionalFormatting sqref="CO48:CP48">
    <cfRule type="cellIs" dxfId="37" priority="32" stopIfTrue="1" operator="notEqual">
      <formula>0</formula>
    </cfRule>
  </conditionalFormatting>
  <conditionalFormatting sqref="CO56:CP56">
    <cfRule type="cellIs" dxfId="36" priority="31" stopIfTrue="1" operator="notEqual">
      <formula>0</formula>
    </cfRule>
  </conditionalFormatting>
  <conditionalFormatting sqref="CO67:CP67">
    <cfRule type="cellIs" dxfId="35" priority="30" stopIfTrue="1" operator="notEqual">
      <formula>0</formula>
    </cfRule>
  </conditionalFormatting>
  <conditionalFormatting sqref="CO64:CP64">
    <cfRule type="cellIs" dxfId="34" priority="29" stopIfTrue="1" operator="notEqual">
      <formula>0</formula>
    </cfRule>
  </conditionalFormatting>
  <conditionalFormatting sqref="CO57:CP57">
    <cfRule type="cellIs" dxfId="33" priority="28" stopIfTrue="1" operator="notEqual">
      <formula>0</formula>
    </cfRule>
  </conditionalFormatting>
  <conditionalFormatting sqref="CO58:CP58">
    <cfRule type="cellIs" dxfId="32" priority="27" stopIfTrue="1" operator="notEqual">
      <formula>0</formula>
    </cfRule>
  </conditionalFormatting>
  <conditionalFormatting sqref="CO59:CP59">
    <cfRule type="cellIs" dxfId="31" priority="26" stopIfTrue="1" operator="notEqual">
      <formula>0</formula>
    </cfRule>
  </conditionalFormatting>
  <conditionalFormatting sqref="CO60:CP60">
    <cfRule type="cellIs" dxfId="30" priority="25" stopIfTrue="1" operator="notEqual">
      <formula>0</formula>
    </cfRule>
  </conditionalFormatting>
  <conditionalFormatting sqref="CO61:CP61">
    <cfRule type="cellIs" dxfId="29" priority="24" stopIfTrue="1" operator="notEqual">
      <formula>0</formula>
    </cfRule>
  </conditionalFormatting>
  <conditionalFormatting sqref="CO62:CP62">
    <cfRule type="cellIs" dxfId="28" priority="23" stopIfTrue="1" operator="notEqual">
      <formula>0</formula>
    </cfRule>
  </conditionalFormatting>
  <conditionalFormatting sqref="CO63:CP63">
    <cfRule type="cellIs" dxfId="27" priority="22" stopIfTrue="1" operator="notEqual">
      <formula>0</formula>
    </cfRule>
  </conditionalFormatting>
  <conditionalFormatting sqref="CO55:CP55">
    <cfRule type="cellIs" dxfId="26" priority="21" stopIfTrue="1" operator="notEqual">
      <formula>0</formula>
    </cfRule>
  </conditionalFormatting>
  <conditionalFormatting sqref="CO65:CP65">
    <cfRule type="cellIs" dxfId="25" priority="20" stopIfTrue="1" operator="notEqual">
      <formula>0</formula>
    </cfRule>
  </conditionalFormatting>
  <conditionalFormatting sqref="CO66:CP66">
    <cfRule type="cellIs" dxfId="24" priority="19" stopIfTrue="1" operator="notEqual">
      <formula>0</formula>
    </cfRule>
  </conditionalFormatting>
  <conditionalFormatting sqref="CO68:CP68">
    <cfRule type="cellIs" dxfId="23" priority="18" stopIfTrue="1" operator="notEqual">
      <formula>0</formula>
    </cfRule>
  </conditionalFormatting>
  <conditionalFormatting sqref="CO69:CP69">
    <cfRule type="cellIs" dxfId="22" priority="17" stopIfTrue="1" operator="notEqual">
      <formula>0</formula>
    </cfRule>
  </conditionalFormatting>
  <conditionalFormatting sqref="CO71:CP71">
    <cfRule type="cellIs" dxfId="21" priority="16" stopIfTrue="1" operator="notEqual">
      <formula>0</formula>
    </cfRule>
  </conditionalFormatting>
  <conditionalFormatting sqref="CO70:CP70">
    <cfRule type="cellIs" dxfId="20" priority="15" stopIfTrue="1" operator="notEqual">
      <formula>0</formula>
    </cfRule>
  </conditionalFormatting>
  <conditionalFormatting sqref="CO73:CP73">
    <cfRule type="cellIs" dxfId="19" priority="14" stopIfTrue="1" operator="notEqual">
      <formula>0</formula>
    </cfRule>
  </conditionalFormatting>
  <conditionalFormatting sqref="CO76:CP76">
    <cfRule type="cellIs" dxfId="18" priority="13" stopIfTrue="1" operator="notEqual">
      <formula>0</formula>
    </cfRule>
  </conditionalFormatting>
  <conditionalFormatting sqref="CO74:CP74">
    <cfRule type="cellIs" dxfId="17" priority="12" stopIfTrue="1" operator="notEqual">
      <formula>0</formula>
    </cfRule>
  </conditionalFormatting>
  <conditionalFormatting sqref="CO75:CP75">
    <cfRule type="cellIs" dxfId="16" priority="11" stopIfTrue="1" operator="notEqual">
      <formula>0</formula>
    </cfRule>
  </conditionalFormatting>
  <conditionalFormatting sqref="Y107">
    <cfRule type="cellIs" dxfId="15" priority="10" operator="greaterThan">
      <formula>0</formula>
    </cfRule>
  </conditionalFormatting>
  <conditionalFormatting sqref="AF107 AM107">
    <cfRule type="cellIs" dxfId="14" priority="9" operator="greaterThan">
      <formula>0</formula>
    </cfRule>
  </conditionalFormatting>
  <conditionalFormatting sqref="BS107">
    <cfRule type="cellIs" dxfId="13" priority="8" operator="greaterThan">
      <formula>0</formula>
    </cfRule>
  </conditionalFormatting>
  <conditionalFormatting sqref="BZ107 CG107">
    <cfRule type="cellIs" dxfId="12" priority="7" operator="greaterThan">
      <formula>0</formula>
    </cfRule>
  </conditionalFormatting>
  <conditionalFormatting sqref="CO107:CP107">
    <cfRule type="cellIs" dxfId="11" priority="6" stopIfTrue="1" operator="notEqual">
      <formula>0</formula>
    </cfRule>
  </conditionalFormatting>
  <conditionalFormatting sqref="CO17:CP17">
    <cfRule type="cellIs" dxfId="10" priority="5" stopIfTrue="1" operator="notEqual">
      <formula>0</formula>
    </cfRule>
  </conditionalFormatting>
  <conditionalFormatting sqref="CO28">
    <cfRule type="cellIs" dxfId="9" priority="4" stopIfTrue="1" operator="notEqual">
      <formula>0</formula>
    </cfRule>
  </conditionalFormatting>
  <conditionalFormatting sqref="CP28">
    <cfRule type="cellIs" dxfId="8" priority="3" stopIfTrue="1" operator="notEqual">
      <formula>0</formula>
    </cfRule>
  </conditionalFormatting>
  <conditionalFormatting sqref="BZ78">
    <cfRule type="cellIs" dxfId="7" priority="2" operator="greaterThan">
      <formula>0</formula>
    </cfRule>
  </conditionalFormatting>
  <conditionalFormatting sqref="CO43:CP43">
    <cfRule type="cellIs" dxfId="6" priority="1" stopIfTrue="1" operator="notEqual">
      <formula>0</formula>
    </cfRule>
  </conditionalFormatting>
  <pageMargins left="0.5" right="0.59055118110236204" top="0.39370078740157499" bottom="0.78740157480314998" header="0.196850393700787" footer="0.39370078740157499"/>
  <pageSetup paperSize="9" firstPageNumber="13" orientation="landscape" useFirstPageNumber="1" r:id="rId1"/>
  <headerFooter>
    <oddFooter>&amp;R&amp;10&amp;P</oddFooter>
  </headerFooter>
  <rowBreaks count="1" manualBreakCount="1">
    <brk id="51" max="82"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00FF00"/>
  </sheetPr>
  <dimension ref="A1:BJ52"/>
  <sheetViews>
    <sheetView view="pageBreakPreview" zoomScaleNormal="100" zoomScaleSheetLayoutView="100" workbookViewId="0">
      <pane xSplit="3" ySplit="11" topLeftCell="D30" activePane="bottomRight" state="frozen"/>
      <selection pane="topRight" activeCell="D1" sqref="D1"/>
      <selection pane="bottomLeft" activeCell="A8" sqref="A8"/>
      <selection pane="bottomRight" activeCell="F30" sqref="F30"/>
    </sheetView>
  </sheetViews>
  <sheetFormatPr defaultRowHeight="15" outlineLevelRow="1" outlineLevelCol="2" x14ac:dyDescent="0.25"/>
  <cols>
    <col min="1" max="1" width="3.7109375" style="1074" customWidth="1" outlineLevel="1"/>
    <col min="2" max="2" width="0.85546875" style="1074" customWidth="1" outlineLevel="1"/>
    <col min="3" max="3" width="20" style="1074" bestFit="1" customWidth="1" outlineLevel="1"/>
    <col min="4" max="4" width="14.28515625" style="1075" customWidth="1" outlineLevel="2"/>
    <col min="5" max="5" width="0.42578125" style="1075" customWidth="1" outlineLevel="1"/>
    <col min="6" max="6" width="14.28515625" style="1075" customWidth="1" outlineLevel="2"/>
    <col min="7" max="7" width="0.42578125" style="1075" customWidth="1" outlineLevel="1"/>
    <col min="8" max="8" width="14.28515625" style="1075" hidden="1" customWidth="1" outlineLevel="2"/>
    <col min="9" max="9" width="0.42578125" style="1075" customWidth="1" outlineLevel="1" collapsed="1"/>
    <col min="10" max="10" width="14.28515625" style="1075" customWidth="1" outlineLevel="2"/>
    <col min="11" max="11" width="0.42578125" style="1075" customWidth="1" outlineLevel="1"/>
    <col min="12" max="12" width="14.28515625" style="1075" customWidth="1" outlineLevel="2"/>
    <col min="13" max="13" width="0.42578125" style="1075" hidden="1" customWidth="1" outlineLevel="1"/>
    <col min="14" max="14" width="14.28515625" style="1075" hidden="1" customWidth="1" outlineLevel="2"/>
    <col min="15" max="15" width="0.42578125" style="1075" customWidth="1" outlineLevel="1" collapsed="1"/>
    <col min="16" max="16" width="14.28515625" style="1075" hidden="1" customWidth="1" outlineLevel="2"/>
    <col min="17" max="17" width="0.42578125" style="1075" customWidth="1" outlineLevel="1" collapsed="1"/>
    <col min="18" max="18" width="14.28515625" style="1075" customWidth="1" outlineLevel="2"/>
    <col min="19" max="19" width="0.42578125" style="1075" customWidth="1" outlineLevel="1"/>
    <col min="20" max="20" width="14.28515625" style="1075" hidden="1" customWidth="1" outlineLevel="2"/>
    <col min="21" max="21" width="0.42578125" style="1075" customWidth="1" outlineLevel="1" collapsed="1"/>
    <col min="22" max="22" width="14.28515625" style="1075" hidden="1" customWidth="1" outlineLevel="2"/>
    <col min="23" max="23" width="0.42578125" style="1075" customWidth="1" outlineLevel="1" collapsed="1"/>
    <col min="24" max="24" width="14.28515625" style="1075" customWidth="1" outlineLevel="2"/>
    <col min="25" max="25" width="0.42578125" style="1075" customWidth="1" outlineLevel="1"/>
    <col min="26" max="26" width="14.28515625" style="1075" hidden="1" customWidth="1" outlineLevel="2"/>
    <col min="27" max="27" width="0.42578125" style="1075" customWidth="1" outlineLevel="1" collapsed="1"/>
    <col min="28" max="28" width="14.28515625" style="1075" customWidth="1" outlineLevel="2"/>
    <col min="29" max="29" width="0.42578125" style="1075" customWidth="1" outlineLevel="1"/>
    <col min="30" max="30" width="0.85546875" style="1075" customWidth="1"/>
    <col min="31" max="31" width="3.7109375" style="1075" hidden="1" customWidth="1" outlineLevel="1"/>
    <col min="32" max="32" width="1.140625" style="1075" hidden="1" customWidth="1" outlineLevel="1"/>
    <col min="33" max="33" width="19.7109375" style="1075" hidden="1" customWidth="1" outlineLevel="1"/>
    <col min="34" max="34" width="14.28515625" style="1075" hidden="1" customWidth="1" outlineLevel="2"/>
    <col min="35" max="35" width="0.42578125" style="1075" hidden="1" customWidth="1" outlineLevel="1"/>
    <col min="36" max="36" width="14.28515625" style="1075" hidden="1" customWidth="1" outlineLevel="2"/>
    <col min="37" max="37" width="0.42578125" style="1075" hidden="1" customWidth="1" outlineLevel="1"/>
    <col min="38" max="38" width="14.28515625" style="1075" hidden="1" customWidth="1" outlineLevel="2"/>
    <col min="39" max="39" width="0.42578125" style="1075" hidden="1" customWidth="1" outlineLevel="1"/>
    <col min="40" max="40" width="14.28515625" style="1075" hidden="1" customWidth="1" outlineLevel="2"/>
    <col min="41" max="41" width="0.42578125" style="1075" hidden="1" customWidth="1" outlineLevel="1"/>
    <col min="42" max="42" width="14.28515625" style="1075" hidden="1" customWidth="1" outlineLevel="2"/>
    <col min="43" max="43" width="0.42578125" style="1075" hidden="1" customWidth="1" outlineLevel="1"/>
    <col min="44" max="44" width="14.28515625" style="1075" hidden="1" customWidth="1" outlineLevel="2"/>
    <col min="45" max="45" width="0.42578125" style="1075" hidden="1" customWidth="1" outlineLevel="1"/>
    <col min="46" max="46" width="14.28515625" style="1075" hidden="1" customWidth="1" outlineLevel="2"/>
    <col min="47" max="47" width="0.42578125" style="1075" hidden="1" customWidth="1" outlineLevel="1"/>
    <col min="48" max="48" width="14.28515625" style="1075" hidden="1" customWidth="1" outlineLevel="2"/>
    <col min="49" max="49" width="0.42578125" style="1075" hidden="1" customWidth="1" outlineLevel="1"/>
    <col min="50" max="50" width="16.140625" style="1075" hidden="1" customWidth="1" outlineLevel="1"/>
    <col min="51" max="51" width="0.42578125" style="1075" hidden="1" customWidth="1" outlineLevel="1"/>
    <col min="52" max="52" width="14.28515625" style="1075" hidden="1" customWidth="1" outlineLevel="2"/>
    <col min="53" max="53" width="0.42578125" style="1075" hidden="1" customWidth="1" outlineLevel="1"/>
    <col min="54" max="54" width="14.28515625" style="1075" hidden="1" customWidth="1" outlineLevel="2"/>
    <col min="55" max="55" width="0.42578125" style="1075" hidden="1" customWidth="1" outlineLevel="1"/>
    <col min="56" max="56" width="14.28515625" style="1075" hidden="1" customWidth="1" outlineLevel="2"/>
    <col min="57" max="57" width="0.42578125" style="1075" hidden="1" customWidth="1" outlineLevel="1"/>
    <col min="58" max="58" width="14.28515625" style="1075" hidden="1" customWidth="1" outlineLevel="2"/>
    <col min="59" max="59" width="0.42578125" style="1074" hidden="1" customWidth="1" outlineLevel="1"/>
    <col min="60" max="60" width="0.85546875" style="1074" customWidth="1" collapsed="1"/>
    <col min="61" max="62" width="9.140625" style="1079"/>
    <col min="63" max="16384" width="9.140625" style="1074"/>
  </cols>
  <sheetData>
    <row r="1" spans="1:62" s="1076" customFormat="1" ht="15" hidden="1" customHeight="1" outlineLevel="1" x14ac:dyDescent="0.25">
      <c r="A1" s="81" t="str">
        <f>Ten_DVCQ_V</f>
        <v>TỔNG CÔNG TY XYZ</v>
      </c>
      <c r="B1" s="1074"/>
      <c r="C1" s="1074"/>
      <c r="D1" s="1075"/>
      <c r="E1" s="1075"/>
      <c r="F1" s="1075"/>
      <c r="G1" s="1075"/>
      <c r="H1" s="1075"/>
      <c r="I1" s="1075"/>
      <c r="J1" s="1075"/>
      <c r="K1" s="1075"/>
      <c r="L1" s="1075"/>
      <c r="M1" s="1075"/>
      <c r="N1" s="1075"/>
      <c r="O1" s="1075"/>
      <c r="P1" s="1075"/>
      <c r="Q1" s="1075"/>
      <c r="R1" s="1075"/>
      <c r="S1" s="1075"/>
      <c r="T1" s="1075"/>
      <c r="U1" s="1075"/>
      <c r="V1" s="1075"/>
      <c r="W1" s="1075"/>
      <c r="X1" s="1075"/>
      <c r="Y1" s="1075"/>
      <c r="Z1" s="54"/>
      <c r="AA1" s="54"/>
      <c r="AB1" s="54"/>
      <c r="AC1" s="54"/>
      <c r="AD1" s="54"/>
      <c r="AE1" s="148" t="str">
        <f>Ten_DVCQ_E</f>
        <v>XYZ CORPORATION</v>
      </c>
      <c r="AF1" s="1075"/>
      <c r="AG1" s="1075"/>
      <c r="AH1" s="1075"/>
      <c r="AI1" s="1075"/>
      <c r="AJ1" s="1075"/>
      <c r="AK1" s="1075"/>
      <c r="AL1" s="1075"/>
      <c r="AM1" s="1075"/>
      <c r="AN1" s="1075"/>
      <c r="AO1" s="1075"/>
      <c r="AP1" s="1075"/>
      <c r="AQ1" s="1075"/>
      <c r="AR1" s="1075"/>
      <c r="AS1" s="1075"/>
      <c r="AT1" s="1075"/>
      <c r="AU1" s="1075"/>
      <c r="AV1" s="1075"/>
      <c r="AW1" s="1075"/>
      <c r="AX1" s="1075"/>
      <c r="AY1" s="1075"/>
      <c r="AZ1" s="1075"/>
      <c r="BA1" s="1075"/>
      <c r="BB1" s="1075"/>
      <c r="BC1" s="1075"/>
      <c r="BD1" s="54"/>
      <c r="BE1" s="54"/>
      <c r="BF1" s="54"/>
      <c r="BG1" s="147"/>
      <c r="BH1" s="147"/>
      <c r="BI1" s="1077"/>
      <c r="BJ1" s="1077"/>
    </row>
    <row r="2" spans="1:62" s="1078" customFormat="1" ht="15" customHeight="1" collapsed="1" x14ac:dyDescent="0.25">
      <c r="A2" s="61" t="str">
        <f>Ten_CongTy_TieuDe_V</f>
        <v>Công ty Cổ phần Viglacera Từ Sơn</v>
      </c>
      <c r="B2" s="1074"/>
      <c r="C2" s="1074"/>
      <c r="D2" s="1075"/>
      <c r="E2" s="1075"/>
      <c r="F2" s="1075"/>
      <c r="G2" s="1075"/>
      <c r="H2" s="1075"/>
      <c r="I2" s="1075"/>
      <c r="J2" s="1075"/>
      <c r="K2" s="1075"/>
      <c r="L2" s="1075"/>
      <c r="M2" s="1075"/>
      <c r="N2" s="1075"/>
      <c r="O2" s="1075"/>
      <c r="P2" s="1075"/>
      <c r="Q2" s="1075"/>
      <c r="R2" s="1075"/>
      <c r="S2" s="1075"/>
      <c r="T2" s="1075"/>
      <c r="U2" s="1075"/>
      <c r="V2" s="1075"/>
      <c r="W2" s="1075"/>
      <c r="X2" s="1075"/>
      <c r="Y2" s="1075"/>
      <c r="Z2" s="145"/>
      <c r="AA2" s="145"/>
      <c r="AB2" s="145" t="str">
        <f>CONCATENATE(Loai_BC_V)</f>
        <v>Báo cáo tài chính</v>
      </c>
      <c r="AC2" s="145"/>
      <c r="AD2" s="145"/>
      <c r="AE2" s="149" t="str">
        <f>Ten_CongTy_TieuDe_E</f>
        <v>ABC Joint Stock Company</v>
      </c>
      <c r="AF2" s="1075"/>
      <c r="AG2" s="1075"/>
      <c r="AH2" s="1075"/>
      <c r="AI2" s="1075"/>
      <c r="AJ2" s="1075"/>
      <c r="AK2" s="1075"/>
      <c r="AL2" s="1075"/>
      <c r="AM2" s="1075"/>
      <c r="AN2" s="1075"/>
      <c r="AO2" s="1075"/>
      <c r="AP2" s="1075"/>
      <c r="AQ2" s="1075"/>
      <c r="AR2" s="1075"/>
      <c r="AS2" s="1075"/>
      <c r="AT2" s="1075"/>
      <c r="AU2" s="1075"/>
      <c r="AV2" s="1075"/>
      <c r="AW2" s="1075"/>
      <c r="AX2" s="1075"/>
      <c r="AY2" s="1075"/>
      <c r="AZ2" s="1075"/>
      <c r="BA2" s="1075"/>
      <c r="BB2" s="1075"/>
      <c r="BC2" s="1075"/>
      <c r="BD2" s="145"/>
      <c r="BE2" s="145"/>
      <c r="BF2" s="145" t="str">
        <f>CONCATENATE(Loai_BC_E)</f>
        <v>Separate Financial Statements</v>
      </c>
      <c r="BG2" s="146"/>
      <c r="BH2" s="146"/>
      <c r="BI2" s="1079"/>
      <c r="BJ2" s="1079"/>
    </row>
    <row r="3" spans="1:62" s="1078" customFormat="1" ht="15" customHeight="1" x14ac:dyDescent="0.25">
      <c r="A3" s="81" t="str">
        <f>Dia_Chi_Congty_V</f>
        <v>Phường Đình Bảng - Thị xã Từ Sơn - Tỉnh Bắc Ninh</v>
      </c>
      <c r="B3" s="1074"/>
      <c r="C3" s="1074"/>
      <c r="D3" s="1075"/>
      <c r="E3" s="1075"/>
      <c r="F3" s="1075"/>
      <c r="G3" s="1075"/>
      <c r="H3" s="1075"/>
      <c r="I3" s="1075"/>
      <c r="J3" s="1075"/>
      <c r="K3" s="1075"/>
      <c r="L3" s="1075"/>
      <c r="M3" s="1075"/>
      <c r="N3" s="1075"/>
      <c r="O3" s="1075"/>
      <c r="P3" s="1075"/>
      <c r="Q3" s="1075"/>
      <c r="R3" s="1075"/>
      <c r="S3" s="1075"/>
      <c r="T3" s="1075"/>
      <c r="U3" s="1075"/>
      <c r="V3" s="1075"/>
      <c r="W3" s="1075"/>
      <c r="X3" s="1075"/>
      <c r="Y3" s="1075"/>
      <c r="Z3" s="54"/>
      <c r="AA3" s="54"/>
      <c r="AB3" s="54" t="str">
        <f>Ky_ke_toan_V</f>
        <v>năm tài chính kết thúc ngày 31/12/2017</v>
      </c>
      <c r="AC3" s="54"/>
      <c r="AD3" s="54"/>
      <c r="AE3" s="148" t="str">
        <f>Dia_Chi_Congty_E</f>
        <v>Sai Dong - Long Bien - Hanoi</v>
      </c>
      <c r="AF3" s="1075"/>
      <c r="AG3" s="1075"/>
      <c r="AH3" s="1075"/>
      <c r="AI3" s="1075"/>
      <c r="AJ3" s="1075"/>
      <c r="AK3" s="1075"/>
      <c r="AL3" s="1075"/>
      <c r="AM3" s="1075"/>
      <c r="AN3" s="1075"/>
      <c r="AO3" s="1075"/>
      <c r="AP3" s="1075"/>
      <c r="AQ3" s="1075"/>
      <c r="AR3" s="1075"/>
      <c r="AS3" s="1075"/>
      <c r="AT3" s="1075"/>
      <c r="AU3" s="1075"/>
      <c r="AV3" s="1075"/>
      <c r="AW3" s="1075"/>
      <c r="AX3" s="1075"/>
      <c r="AY3" s="1075"/>
      <c r="AZ3" s="1075"/>
      <c r="BA3" s="1075"/>
      <c r="BB3" s="1075"/>
      <c r="BC3" s="1075"/>
      <c r="BD3" s="54"/>
      <c r="BE3" s="54"/>
      <c r="BF3" s="54" t="str">
        <f>Ky_ke_toan_E</f>
        <v>for the fiscal year ended as at 31 December 2015</v>
      </c>
      <c r="BG3" s="147"/>
      <c r="BH3" s="147"/>
      <c r="BI3" s="1079"/>
      <c r="BJ3" s="1079"/>
    </row>
    <row r="4" spans="1:62" s="1078" customFormat="1" ht="0.95" customHeight="1" x14ac:dyDescent="0.25">
      <c r="A4" s="1080"/>
      <c r="B4" s="1080"/>
      <c r="C4" s="1080"/>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2"/>
      <c r="AB4" s="1081"/>
      <c r="AC4" s="1082"/>
      <c r="AD4" s="1082"/>
      <c r="AE4" s="1081"/>
      <c r="AF4" s="1081"/>
      <c r="AG4" s="1081"/>
      <c r="AH4" s="1081"/>
      <c r="AI4" s="1081"/>
      <c r="AJ4" s="1081"/>
      <c r="AK4" s="1081"/>
      <c r="AL4" s="1081"/>
      <c r="AM4" s="1081"/>
      <c r="AN4" s="1081"/>
      <c r="AO4" s="1081"/>
      <c r="AP4" s="1081"/>
      <c r="AQ4" s="1081"/>
      <c r="AR4" s="1081"/>
      <c r="AS4" s="1081"/>
      <c r="AT4" s="1081"/>
      <c r="AU4" s="1081"/>
      <c r="AV4" s="1081"/>
      <c r="AW4" s="1081"/>
      <c r="AX4" s="1081"/>
      <c r="AY4" s="1081"/>
      <c r="AZ4" s="1081"/>
      <c r="BA4" s="1081"/>
      <c r="BB4" s="1081"/>
      <c r="BC4" s="1081"/>
      <c r="BD4" s="1081"/>
      <c r="BE4" s="1082"/>
      <c r="BF4" s="1081"/>
      <c r="BG4" s="1083"/>
      <c r="BH4" s="1083"/>
      <c r="BI4" s="1079"/>
      <c r="BJ4" s="1079"/>
    </row>
    <row r="5" spans="1:62" s="1078" customFormat="1" ht="9.9499999999999993" customHeight="1" x14ac:dyDescent="0.25">
      <c r="A5" s="1074"/>
      <c r="B5" s="1074"/>
      <c r="C5" s="1074"/>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c r="AR5" s="1075"/>
      <c r="AS5" s="1075"/>
      <c r="AT5" s="1075"/>
      <c r="AU5" s="1075"/>
      <c r="AV5" s="1075"/>
      <c r="AW5" s="1075"/>
      <c r="AX5" s="1075"/>
      <c r="AY5" s="1075"/>
      <c r="AZ5" s="1075"/>
      <c r="BA5" s="1075"/>
      <c r="BB5" s="1075"/>
      <c r="BC5" s="1075"/>
      <c r="BD5" s="1075"/>
      <c r="BE5" s="1075"/>
      <c r="BF5" s="1075"/>
      <c r="BG5" s="1074"/>
      <c r="BH5" s="1074"/>
      <c r="BI5" s="1079"/>
      <c r="BJ5" s="1079"/>
    </row>
    <row r="6" spans="1:62" s="1078" customFormat="1" ht="15" customHeight="1" x14ac:dyDescent="0.25">
      <c r="A6" s="820">
        <f>STT_VCSH</f>
        <v>20</v>
      </c>
      <c r="B6" s="821" t="s">
        <v>345</v>
      </c>
      <c r="C6" s="821" t="str">
        <f>[1]Thuyet_minh!C1261</f>
        <v xml:space="preserve">VỐN CHỦ SỞ HỮU </v>
      </c>
      <c r="D6" s="1075"/>
      <c r="E6" s="1075"/>
      <c r="F6" s="1075"/>
      <c r="G6" s="1075"/>
      <c r="H6" s="1075"/>
      <c r="I6" s="1075"/>
      <c r="J6" s="1075"/>
      <c r="K6" s="1075"/>
      <c r="L6" s="1075"/>
      <c r="M6" s="1075"/>
      <c r="N6" s="1075"/>
      <c r="O6" s="1075"/>
      <c r="P6" s="1075"/>
      <c r="Q6" s="1075"/>
      <c r="R6" s="1075"/>
      <c r="S6" s="1075"/>
      <c r="T6" s="1075"/>
      <c r="U6" s="1075"/>
      <c r="V6" s="1075"/>
      <c r="W6" s="1075"/>
      <c r="X6" s="1075"/>
      <c r="Y6" s="1075"/>
      <c r="Z6" s="1075"/>
      <c r="AA6" s="1075"/>
      <c r="AB6" s="1075"/>
      <c r="AC6" s="1075"/>
      <c r="AD6" s="1075"/>
      <c r="AE6" s="1084">
        <f>A6</f>
        <v>20</v>
      </c>
      <c r="AF6" s="1085" t="s">
        <v>345</v>
      </c>
      <c r="AG6" s="1085" t="s">
        <v>2092</v>
      </c>
      <c r="AH6" s="1075"/>
      <c r="AI6" s="1075"/>
      <c r="AJ6" s="1075"/>
      <c r="AK6" s="1075"/>
      <c r="AL6" s="1075"/>
      <c r="AM6" s="1075"/>
      <c r="AN6" s="1075"/>
      <c r="AO6" s="1075"/>
      <c r="AP6" s="1075"/>
      <c r="AQ6" s="1075"/>
      <c r="AR6" s="1075"/>
      <c r="AS6" s="1075"/>
      <c r="AT6" s="1075"/>
      <c r="AU6" s="1075"/>
      <c r="AV6" s="1075"/>
      <c r="AW6" s="1075"/>
      <c r="AX6" s="1075"/>
      <c r="AY6" s="1075"/>
      <c r="AZ6" s="1075"/>
      <c r="BA6" s="1075"/>
      <c r="BB6" s="1075"/>
      <c r="BC6" s="1075"/>
      <c r="BD6" s="1075"/>
      <c r="BE6" s="1075"/>
      <c r="BF6" s="1075"/>
      <c r="BG6" s="1074"/>
      <c r="BH6" s="1074"/>
      <c r="BI6" s="1079"/>
      <c r="BJ6" s="1079"/>
    </row>
    <row r="7" spans="1:62" s="1078" customFormat="1" ht="15" customHeight="1" x14ac:dyDescent="0.25">
      <c r="A7" s="821"/>
      <c r="B7" s="823"/>
      <c r="C7" s="823"/>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7"/>
      <c r="AE7" s="1085"/>
      <c r="AF7" s="1088"/>
      <c r="AG7" s="1088"/>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6"/>
      <c r="BF7" s="1086"/>
      <c r="BG7" s="1089"/>
      <c r="BH7" s="1090"/>
      <c r="BI7" s="1079"/>
      <c r="BJ7" s="1079"/>
    </row>
    <row r="8" spans="1:62" s="1078" customFormat="1" ht="15" customHeight="1" x14ac:dyDescent="0.25">
      <c r="A8" s="821"/>
      <c r="B8" s="823"/>
      <c r="C8" s="821" t="s">
        <v>1343</v>
      </c>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7"/>
      <c r="AE8" s="1085"/>
      <c r="AF8" s="1088"/>
      <c r="AG8" s="1088"/>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6"/>
      <c r="BF8" s="1086"/>
      <c r="BG8" s="1089"/>
      <c r="BH8" s="1090"/>
      <c r="BI8" s="1079"/>
      <c r="BJ8" s="1079"/>
    </row>
    <row r="9" spans="1:62" s="1078" customFormat="1" ht="15" customHeight="1" x14ac:dyDescent="0.25">
      <c r="A9" s="821"/>
      <c r="B9" s="823"/>
      <c r="C9" s="823"/>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7"/>
      <c r="AE9" s="1085"/>
      <c r="AF9" s="1088"/>
      <c r="AG9" s="1088"/>
      <c r="AH9" s="1086"/>
      <c r="AI9" s="1086"/>
      <c r="AJ9" s="1086"/>
      <c r="AK9" s="1086"/>
      <c r="AL9" s="1086"/>
      <c r="AM9" s="1086"/>
      <c r="AN9" s="1086"/>
      <c r="AO9" s="1086"/>
      <c r="AP9" s="1086"/>
      <c r="AQ9" s="1086"/>
      <c r="AR9" s="1086"/>
      <c r="AS9" s="1086"/>
      <c r="AT9" s="1086"/>
      <c r="AU9" s="1086"/>
      <c r="AV9" s="1086"/>
      <c r="AW9" s="1086"/>
      <c r="AX9" s="1086"/>
      <c r="AY9" s="1086"/>
      <c r="AZ9" s="1086"/>
      <c r="BA9" s="1086"/>
      <c r="BB9" s="1086"/>
      <c r="BC9" s="1086"/>
      <c r="BD9" s="1086"/>
      <c r="BE9" s="1086"/>
      <c r="BF9" s="1086"/>
      <c r="BG9" s="1089"/>
      <c r="BH9" s="1090"/>
      <c r="BI9" s="1079"/>
      <c r="BJ9" s="1079"/>
    </row>
    <row r="10" spans="1:62" s="1078" customFormat="1" hidden="1" outlineLevel="1" x14ac:dyDescent="0.25">
      <c r="A10" s="1091" t="s">
        <v>2093</v>
      </c>
      <c r="B10" s="1092"/>
      <c r="C10" s="1093"/>
      <c r="D10" s="1094" t="s">
        <v>1346</v>
      </c>
      <c r="E10" s="1094"/>
      <c r="F10" s="1094" t="s">
        <v>1347</v>
      </c>
      <c r="G10" s="1094"/>
      <c r="H10" s="1094" t="s">
        <v>1348</v>
      </c>
      <c r="I10" s="1094"/>
      <c r="J10" s="1094" t="s">
        <v>2094</v>
      </c>
      <c r="K10" s="1094"/>
      <c r="L10" s="1094" t="s">
        <v>168</v>
      </c>
      <c r="M10" s="1094"/>
      <c r="N10" s="1094" t="s">
        <v>161</v>
      </c>
      <c r="O10" s="1094"/>
      <c r="P10" s="1094" t="s">
        <v>162</v>
      </c>
      <c r="Q10" s="1094"/>
      <c r="R10" s="1094" t="s">
        <v>163</v>
      </c>
      <c r="S10" s="1094"/>
      <c r="T10" s="1094" t="s">
        <v>166</v>
      </c>
      <c r="U10" s="1094"/>
      <c r="V10" s="1094" t="s">
        <v>167</v>
      </c>
      <c r="W10" s="1094"/>
      <c r="X10" s="1094" t="s">
        <v>170</v>
      </c>
      <c r="Y10" s="1094"/>
      <c r="Z10" s="1095" t="s">
        <v>2095</v>
      </c>
      <c r="AA10" s="1095"/>
      <c r="AB10" s="1095" t="s">
        <v>983</v>
      </c>
      <c r="AC10" s="1096"/>
      <c r="AD10" s="1097"/>
      <c r="AE10" s="1098" t="s">
        <v>2096</v>
      </c>
      <c r="AF10" s="1099"/>
      <c r="AG10" s="1100"/>
      <c r="AH10" s="1094" t="str">
        <f>$D$10</f>
        <v>4111</v>
      </c>
      <c r="AI10" s="1094"/>
      <c r="AJ10" s="1094" t="str">
        <f>$F$10</f>
        <v>4112</v>
      </c>
      <c r="AK10" s="1094"/>
      <c r="AL10" s="1094" t="str">
        <f>$H$10</f>
        <v>4113</v>
      </c>
      <c r="AM10" s="1094"/>
      <c r="AN10" s="1094" t="str">
        <f>$J$10</f>
        <v>4118</v>
      </c>
      <c r="AO10" s="1094"/>
      <c r="AP10" s="1094" t="str">
        <f>$L$10</f>
        <v>419</v>
      </c>
      <c r="AQ10" s="1094"/>
      <c r="AR10" s="1094" t="str">
        <f>$N$10</f>
        <v>412</v>
      </c>
      <c r="AS10" s="1094"/>
      <c r="AT10" s="1094" t="str">
        <f>$P$10</f>
        <v>413</v>
      </c>
      <c r="AU10" s="1094"/>
      <c r="AV10" s="1094" t="str">
        <f>$R$10</f>
        <v>414</v>
      </c>
      <c r="AW10" s="1094"/>
      <c r="AX10" s="1094" t="str">
        <f>$T$10</f>
        <v>417</v>
      </c>
      <c r="AY10" s="1094"/>
      <c r="AZ10" s="1094" t="str">
        <f>$V$10</f>
        <v>418</v>
      </c>
      <c r="BA10" s="1094"/>
      <c r="BB10" s="1094" t="str">
        <f>$X$10</f>
        <v>421</v>
      </c>
      <c r="BC10" s="1094"/>
      <c r="BD10" s="1094" t="str">
        <f>$Z$10</f>
        <v>441</v>
      </c>
      <c r="BE10" s="1095"/>
      <c r="BF10" s="1094" t="str">
        <f>$AB$10</f>
        <v>Cong</v>
      </c>
      <c r="BG10" s="1101"/>
      <c r="BH10" s="838"/>
      <c r="BI10" s="1079"/>
      <c r="BJ10" s="1079"/>
    </row>
    <row r="11" spans="1:62" s="1110" customFormat="1" ht="45" customHeight="1" collapsed="1" x14ac:dyDescent="0.25">
      <c r="A11" s="1102"/>
      <c r="B11" s="834"/>
      <c r="C11" s="834"/>
      <c r="D11" s="1103" t="s">
        <v>2097</v>
      </c>
      <c r="E11" s="1104"/>
      <c r="F11" s="1103" t="s">
        <v>2098</v>
      </c>
      <c r="G11" s="1104"/>
      <c r="H11" s="1103" t="s">
        <v>2099</v>
      </c>
      <c r="I11" s="1104"/>
      <c r="J11" s="1103" t="s">
        <v>2100</v>
      </c>
      <c r="K11" s="1104"/>
      <c r="L11" s="1103" t="s">
        <v>2101</v>
      </c>
      <c r="M11" s="1104"/>
      <c r="N11" s="1103" t="s">
        <v>2102</v>
      </c>
      <c r="O11" s="1104"/>
      <c r="P11" s="1103" t="s">
        <v>2103</v>
      </c>
      <c r="Q11" s="1104"/>
      <c r="R11" s="1103" t="s">
        <v>2104</v>
      </c>
      <c r="S11" s="1104"/>
      <c r="T11" s="1103" t="s">
        <v>2105</v>
      </c>
      <c r="U11" s="1104"/>
      <c r="V11" s="1103" t="s">
        <v>2106</v>
      </c>
      <c r="W11" s="1104"/>
      <c r="X11" s="1103" t="s">
        <v>2107</v>
      </c>
      <c r="Y11" s="1104"/>
      <c r="Z11" s="1105" t="s">
        <v>2108</v>
      </c>
      <c r="AA11" s="1106"/>
      <c r="AB11" s="1107" t="s">
        <v>1068</v>
      </c>
      <c r="AC11" s="1106"/>
      <c r="AD11" s="1106"/>
      <c r="AE11" s="1108"/>
      <c r="AF11" s="1104"/>
      <c r="AG11" s="1104"/>
      <c r="AH11" s="1103" t="s">
        <v>2109</v>
      </c>
      <c r="AI11" s="1104"/>
      <c r="AJ11" s="1103" t="s">
        <v>2110</v>
      </c>
      <c r="AK11" s="1104"/>
      <c r="AL11" s="1103" t="s">
        <v>2111</v>
      </c>
      <c r="AM11" s="1104"/>
      <c r="AN11" s="1103" t="s">
        <v>2112</v>
      </c>
      <c r="AO11" s="1104"/>
      <c r="AP11" s="1103" t="s">
        <v>2113</v>
      </c>
      <c r="AQ11" s="1104"/>
      <c r="AR11" s="1103" t="s">
        <v>2114</v>
      </c>
      <c r="AS11" s="1104"/>
      <c r="AT11" s="1103" t="s">
        <v>2115</v>
      </c>
      <c r="AU11" s="1104"/>
      <c r="AV11" s="1103" t="s">
        <v>1382</v>
      </c>
      <c r="AW11" s="1104"/>
      <c r="AX11" s="1103" t="s">
        <v>2116</v>
      </c>
      <c r="AY11" s="1104"/>
      <c r="AZ11" s="1103" t="s">
        <v>2117</v>
      </c>
      <c r="BA11" s="1104"/>
      <c r="BB11" s="1103" t="s">
        <v>2118</v>
      </c>
      <c r="BC11" s="1104"/>
      <c r="BD11" s="1105" t="s">
        <v>2119</v>
      </c>
      <c r="BE11" s="1106"/>
      <c r="BF11" s="1107" t="s">
        <v>753</v>
      </c>
      <c r="BG11" s="1109"/>
      <c r="BH11" s="1109"/>
      <c r="BI11" s="1111"/>
      <c r="BJ11" s="1111"/>
    </row>
    <row r="12" spans="1:62" s="1110" customFormat="1" ht="15" customHeight="1" x14ac:dyDescent="0.25">
      <c r="A12" s="1102"/>
      <c r="B12" s="834"/>
      <c r="C12" s="834"/>
      <c r="D12" s="913" t="str">
        <f>Don_Vi_Tinh_V</f>
        <v>VND</v>
      </c>
      <c r="E12" s="1112"/>
      <c r="F12" s="913" t="str">
        <f>Don_Vi_Tinh_V</f>
        <v>VND</v>
      </c>
      <c r="G12" s="1112"/>
      <c r="H12" s="913" t="str">
        <f>Don_Vi_Tinh_V</f>
        <v>VND</v>
      </c>
      <c r="I12" s="1112"/>
      <c r="J12" s="913" t="str">
        <f>Don_Vi_Tinh_V</f>
        <v>VND</v>
      </c>
      <c r="K12" s="1112"/>
      <c r="L12" s="913" t="str">
        <f>Don_Vi_Tinh_V</f>
        <v>VND</v>
      </c>
      <c r="M12" s="1112"/>
      <c r="N12" s="913" t="str">
        <f>Don_Vi_Tinh_V</f>
        <v>VND</v>
      </c>
      <c r="O12" s="1112"/>
      <c r="P12" s="913" t="str">
        <f>Don_Vi_Tinh_V</f>
        <v>VND</v>
      </c>
      <c r="Q12" s="1112"/>
      <c r="R12" s="913" t="str">
        <f>Don_Vi_Tinh_V</f>
        <v>VND</v>
      </c>
      <c r="S12" s="1112"/>
      <c r="T12" s="913" t="str">
        <f>Don_Vi_Tinh_V</f>
        <v>VND</v>
      </c>
      <c r="U12" s="1112"/>
      <c r="V12" s="913" t="str">
        <f>Don_Vi_Tinh_V</f>
        <v>VND</v>
      </c>
      <c r="W12" s="1112"/>
      <c r="X12" s="913" t="str">
        <f>Don_Vi_Tinh_V</f>
        <v>VND</v>
      </c>
      <c r="Y12" s="1112"/>
      <c r="Z12" s="913" t="str">
        <f>Don_Vi_Tinh_V</f>
        <v>VND</v>
      </c>
      <c r="AA12" s="1113"/>
      <c r="AB12" s="909" t="str">
        <f>Don_Vi_Tinh_V</f>
        <v>VND</v>
      </c>
      <c r="AC12" s="1113"/>
      <c r="AD12" s="1113"/>
      <c r="AE12" s="850"/>
      <c r="AF12" s="1114"/>
      <c r="AG12" s="1114"/>
      <c r="AH12" s="913" t="str">
        <f>Don_Vi_Tinh_E</f>
        <v>VND</v>
      </c>
      <c r="AI12" s="1112"/>
      <c r="AJ12" s="913" t="str">
        <f>Don_Vi_Tinh_E</f>
        <v>VND</v>
      </c>
      <c r="AK12" s="1112"/>
      <c r="AL12" s="913" t="str">
        <f>Don_Vi_Tinh_E</f>
        <v>VND</v>
      </c>
      <c r="AM12" s="1112"/>
      <c r="AN12" s="913" t="str">
        <f>Don_Vi_Tinh_E</f>
        <v>VND</v>
      </c>
      <c r="AO12" s="1112"/>
      <c r="AP12" s="913" t="str">
        <f>Don_Vi_Tinh_E</f>
        <v>VND</v>
      </c>
      <c r="AQ12" s="1112"/>
      <c r="AR12" s="913" t="str">
        <f>Don_Vi_Tinh_E</f>
        <v>VND</v>
      </c>
      <c r="AS12" s="1112"/>
      <c r="AT12" s="913" t="str">
        <f>Don_Vi_Tinh_E</f>
        <v>VND</v>
      </c>
      <c r="AU12" s="1112"/>
      <c r="AV12" s="913" t="str">
        <f>Don_Vi_Tinh_E</f>
        <v>VND</v>
      </c>
      <c r="AW12" s="1112"/>
      <c r="AX12" s="1112"/>
      <c r="AY12" s="1112"/>
      <c r="AZ12" s="913" t="str">
        <f>Don_Vi_Tinh_E</f>
        <v>VND</v>
      </c>
      <c r="BA12" s="1112"/>
      <c r="BB12" s="913" t="str">
        <f>Don_Vi_Tinh_E</f>
        <v>VND</v>
      </c>
      <c r="BC12" s="1112"/>
      <c r="BD12" s="913" t="str">
        <f>Don_Vi_Tinh_E</f>
        <v>VND</v>
      </c>
      <c r="BE12" s="1113"/>
      <c r="BF12" s="909" t="str">
        <f>Don_Vi_Tinh_E</f>
        <v>VND</v>
      </c>
      <c r="BG12" s="1109"/>
      <c r="BH12" s="1109"/>
      <c r="BI12" s="1111"/>
      <c r="BJ12" s="1111"/>
    </row>
    <row r="13" spans="1:62" s="1078" customFormat="1" ht="12.95" customHeight="1" x14ac:dyDescent="0.25">
      <c r="A13" s="1115"/>
      <c r="B13" s="834"/>
      <c r="C13" s="834"/>
      <c r="D13" s="1116"/>
      <c r="E13" s="1116"/>
      <c r="F13" s="1116"/>
      <c r="G13" s="1116"/>
      <c r="H13" s="1116"/>
      <c r="I13" s="1116"/>
      <c r="J13" s="1116"/>
      <c r="K13" s="1116"/>
      <c r="L13" s="1116"/>
      <c r="M13" s="1116"/>
      <c r="N13" s="1116"/>
      <c r="O13" s="1116"/>
      <c r="P13" s="1116"/>
      <c r="Q13" s="1116"/>
      <c r="R13" s="1116"/>
      <c r="S13" s="1116"/>
      <c r="T13" s="1116"/>
      <c r="U13" s="1116"/>
      <c r="V13" s="1116"/>
      <c r="W13" s="1116"/>
      <c r="X13" s="1116"/>
      <c r="Y13" s="1116"/>
      <c r="Z13" s="1097"/>
      <c r="AA13" s="1097"/>
      <c r="AB13" s="1097"/>
      <c r="AC13" s="1097"/>
      <c r="AD13" s="1097"/>
      <c r="AE13" s="858"/>
      <c r="AF13" s="1114"/>
      <c r="AG13" s="1114"/>
      <c r="AH13" s="1116"/>
      <c r="AI13" s="1116"/>
      <c r="AJ13" s="1116"/>
      <c r="AK13" s="1116"/>
      <c r="AL13" s="1116"/>
      <c r="AM13" s="1116"/>
      <c r="AN13" s="1116"/>
      <c r="AO13" s="1116"/>
      <c r="AP13" s="1116"/>
      <c r="AQ13" s="1116"/>
      <c r="AR13" s="1116"/>
      <c r="AS13" s="1116"/>
      <c r="AT13" s="1116"/>
      <c r="AU13" s="1116"/>
      <c r="AV13" s="1116"/>
      <c r="AW13" s="1116"/>
      <c r="AX13" s="1116"/>
      <c r="AY13" s="1116"/>
      <c r="AZ13" s="1116"/>
      <c r="BA13" s="1116"/>
      <c r="BB13" s="1116"/>
      <c r="BC13" s="1116"/>
      <c r="BD13" s="1097"/>
      <c r="BE13" s="1097"/>
      <c r="BF13" s="1097"/>
      <c r="BG13" s="838"/>
      <c r="BH13" s="838"/>
      <c r="BI13" s="1079"/>
      <c r="BJ13" s="1079"/>
    </row>
    <row r="14" spans="1:62" s="1078" customFormat="1" ht="15" customHeight="1" x14ac:dyDescent="0.25">
      <c r="B14" s="821"/>
      <c r="C14" s="856" t="s">
        <v>1349</v>
      </c>
      <c r="D14" s="1117">
        <v>20002050000</v>
      </c>
      <c r="E14" s="1117"/>
      <c r="F14" s="1117">
        <v>1593954840</v>
      </c>
      <c r="G14" s="1117"/>
      <c r="H14" s="1117">
        <v>0</v>
      </c>
      <c r="I14" s="1117"/>
      <c r="J14" s="1117">
        <v>17380958861</v>
      </c>
      <c r="K14" s="1117"/>
      <c r="L14" s="1117">
        <v>-2050000</v>
      </c>
      <c r="M14" s="1117"/>
      <c r="N14" s="1117">
        <v>0</v>
      </c>
      <c r="O14" s="1117"/>
      <c r="P14" s="1117">
        <v>0</v>
      </c>
      <c r="Q14" s="1117"/>
      <c r="R14" s="1117">
        <v>9212585483</v>
      </c>
      <c r="S14" s="1117"/>
      <c r="T14" s="1117">
        <v>0</v>
      </c>
      <c r="U14" s="1117"/>
      <c r="V14" s="1117">
        <v>0</v>
      </c>
      <c r="W14" s="1117"/>
      <c r="X14" s="1117">
        <v>-2672843766</v>
      </c>
      <c r="Y14" s="1117"/>
      <c r="Z14" s="1118">
        <v>0</v>
      </c>
      <c r="AA14" s="1118"/>
      <c r="AB14" s="1118">
        <v>45514655418</v>
      </c>
      <c r="AC14" s="1118"/>
      <c r="AD14" s="1119"/>
      <c r="AE14" s="1120" t="s">
        <v>1350</v>
      </c>
      <c r="AF14" s="1085"/>
      <c r="AG14" s="1085"/>
      <c r="AH14" s="1121">
        <f t="shared" ref="AH14:AW20" si="0">D14</f>
        <v>20002050000</v>
      </c>
      <c r="AI14" s="1121">
        <f t="shared" si="0"/>
        <v>0</v>
      </c>
      <c r="AJ14" s="1121">
        <f t="shared" si="0"/>
        <v>1593954840</v>
      </c>
      <c r="AK14" s="1121">
        <f t="shared" si="0"/>
        <v>0</v>
      </c>
      <c r="AL14" s="1121">
        <f t="shared" si="0"/>
        <v>0</v>
      </c>
      <c r="AM14" s="1121">
        <f t="shared" si="0"/>
        <v>0</v>
      </c>
      <c r="AN14" s="1121">
        <f t="shared" si="0"/>
        <v>17380958861</v>
      </c>
      <c r="AO14" s="1121">
        <f t="shared" si="0"/>
        <v>0</v>
      </c>
      <c r="AP14" s="1121">
        <f t="shared" si="0"/>
        <v>-2050000</v>
      </c>
      <c r="AQ14" s="1121">
        <f t="shared" si="0"/>
        <v>0</v>
      </c>
      <c r="AR14" s="1121">
        <f t="shared" si="0"/>
        <v>0</v>
      </c>
      <c r="AS14" s="1121">
        <f t="shared" si="0"/>
        <v>0</v>
      </c>
      <c r="AT14" s="1121">
        <f t="shared" si="0"/>
        <v>0</v>
      </c>
      <c r="AU14" s="1121">
        <f t="shared" si="0"/>
        <v>0</v>
      </c>
      <c r="AV14" s="1121">
        <f t="shared" si="0"/>
        <v>9212585483</v>
      </c>
      <c r="AW14" s="1121">
        <f t="shared" si="0"/>
        <v>0</v>
      </c>
      <c r="AX14" s="1121">
        <f t="shared" ref="AI14:AX20" si="1">T14</f>
        <v>0</v>
      </c>
      <c r="AY14" s="1121"/>
      <c r="AZ14" s="1121">
        <f t="shared" ref="AZ14:BD20" si="2">V14</f>
        <v>0</v>
      </c>
      <c r="BA14" s="1121">
        <f t="shared" si="2"/>
        <v>0</v>
      </c>
      <c r="BB14" s="1121">
        <f t="shared" si="2"/>
        <v>-2672843766</v>
      </c>
      <c r="BC14" s="1121">
        <f t="shared" si="2"/>
        <v>0</v>
      </c>
      <c r="BD14" s="1122">
        <f t="shared" si="2"/>
        <v>0</v>
      </c>
      <c r="BE14" s="1122"/>
      <c r="BF14" s="1122">
        <f>SUBTOTAL(109,AH14:BD14)</f>
        <v>45514655418</v>
      </c>
      <c r="BG14" s="1123"/>
      <c r="BH14" s="868"/>
      <c r="BI14" s="1079"/>
      <c r="BJ14" s="1079"/>
    </row>
    <row r="15" spans="1:62" s="1078" customFormat="1" ht="15" hidden="1" customHeight="1" x14ac:dyDescent="0.25">
      <c r="B15" s="823"/>
      <c r="C15" s="853" t="s">
        <v>1351</v>
      </c>
      <c r="D15" s="1124">
        <v>0</v>
      </c>
      <c r="E15" s="1125"/>
      <c r="F15" s="1124">
        <v>0</v>
      </c>
      <c r="G15" s="1125"/>
      <c r="H15" s="1124">
        <v>0</v>
      </c>
      <c r="I15" s="1125"/>
      <c r="J15" s="1124">
        <v>0</v>
      </c>
      <c r="K15" s="1125"/>
      <c r="L15" s="1124">
        <v>0</v>
      </c>
      <c r="M15" s="1125"/>
      <c r="N15" s="1124">
        <v>0</v>
      </c>
      <c r="O15" s="1125"/>
      <c r="P15" s="1124">
        <v>0</v>
      </c>
      <c r="Q15" s="1125"/>
      <c r="R15" s="1124">
        <v>0</v>
      </c>
      <c r="S15" s="1125"/>
      <c r="T15" s="1124">
        <v>0</v>
      </c>
      <c r="U15" s="1125"/>
      <c r="V15" s="1124">
        <v>0</v>
      </c>
      <c r="W15" s="1125"/>
      <c r="X15" s="1124">
        <v>0</v>
      </c>
      <c r="Y15" s="1125"/>
      <c r="Z15" s="1124">
        <v>0</v>
      </c>
      <c r="AA15" s="1125"/>
      <c r="AB15" s="1126">
        <v>0</v>
      </c>
      <c r="AC15" s="1124"/>
      <c r="AD15" s="850"/>
      <c r="AE15" s="1127" t="s">
        <v>2120</v>
      </c>
      <c r="AF15" s="1088"/>
      <c r="AG15" s="1088"/>
      <c r="AH15" s="1088">
        <f t="shared" si="0"/>
        <v>0</v>
      </c>
      <c r="AI15" s="1128">
        <f t="shared" si="0"/>
        <v>0</v>
      </c>
      <c r="AJ15" s="1088">
        <f t="shared" si="0"/>
        <v>0</v>
      </c>
      <c r="AK15" s="1128">
        <f t="shared" si="0"/>
        <v>0</v>
      </c>
      <c r="AL15" s="1088">
        <f t="shared" si="0"/>
        <v>0</v>
      </c>
      <c r="AM15" s="1128">
        <f t="shared" si="0"/>
        <v>0</v>
      </c>
      <c r="AN15" s="1088">
        <f t="shared" si="0"/>
        <v>0</v>
      </c>
      <c r="AO15" s="1128">
        <f t="shared" si="0"/>
        <v>0</v>
      </c>
      <c r="AP15" s="1088">
        <f t="shared" si="0"/>
        <v>0</v>
      </c>
      <c r="AQ15" s="1128">
        <f t="shared" si="0"/>
        <v>0</v>
      </c>
      <c r="AR15" s="1088">
        <f t="shared" si="0"/>
        <v>0</v>
      </c>
      <c r="AS15" s="1128">
        <f t="shared" si="0"/>
        <v>0</v>
      </c>
      <c r="AT15" s="1088">
        <f t="shared" si="0"/>
        <v>0</v>
      </c>
      <c r="AU15" s="1128">
        <f t="shared" si="0"/>
        <v>0</v>
      </c>
      <c r="AV15" s="1088">
        <f t="shared" si="0"/>
        <v>0</v>
      </c>
      <c r="AW15" s="1128">
        <f t="shared" si="0"/>
        <v>0</v>
      </c>
      <c r="AX15" s="1088">
        <f t="shared" si="1"/>
        <v>0</v>
      </c>
      <c r="AY15" s="1128"/>
      <c r="AZ15" s="1088">
        <f t="shared" si="2"/>
        <v>0</v>
      </c>
      <c r="BA15" s="1128">
        <f t="shared" si="2"/>
        <v>0</v>
      </c>
      <c r="BB15" s="1088">
        <f t="shared" si="2"/>
        <v>0</v>
      </c>
      <c r="BC15" s="1128">
        <f t="shared" si="2"/>
        <v>0</v>
      </c>
      <c r="BD15" s="1088">
        <f t="shared" si="2"/>
        <v>0</v>
      </c>
      <c r="BE15" s="1128"/>
      <c r="BF15" s="1129">
        <f t="shared" ref="BF15:BF20" si="3">SUBTOTAL(109,AH15:BD15)</f>
        <v>0</v>
      </c>
      <c r="BG15" s="1130"/>
      <c r="BH15" s="855"/>
      <c r="BI15" s="1079"/>
      <c r="BJ15" s="1079"/>
    </row>
    <row r="16" spans="1:62" s="1078" customFormat="1" ht="15" customHeight="1" x14ac:dyDescent="0.25">
      <c r="B16" s="823"/>
      <c r="C16" s="853" t="s">
        <v>2121</v>
      </c>
      <c r="D16" s="1124">
        <v>0</v>
      </c>
      <c r="E16" s="1125"/>
      <c r="F16" s="1124">
        <v>0</v>
      </c>
      <c r="G16" s="1125"/>
      <c r="H16" s="1124">
        <v>0</v>
      </c>
      <c r="I16" s="1125"/>
      <c r="J16" s="1124">
        <v>0</v>
      </c>
      <c r="K16" s="1125"/>
      <c r="L16" s="1124">
        <v>0</v>
      </c>
      <c r="M16" s="1125"/>
      <c r="N16" s="1124">
        <v>0</v>
      </c>
      <c r="O16" s="1125"/>
      <c r="P16" s="1124">
        <v>0</v>
      </c>
      <c r="Q16" s="1125"/>
      <c r="R16" s="1124">
        <v>0</v>
      </c>
      <c r="S16" s="1125"/>
      <c r="T16" s="1124">
        <v>0</v>
      </c>
      <c r="U16" s="1125"/>
      <c r="V16" s="1124">
        <v>0</v>
      </c>
      <c r="W16" s="1125"/>
      <c r="X16" s="1124">
        <v>723422867</v>
      </c>
      <c r="Y16" s="1125"/>
      <c r="Z16" s="1126">
        <v>0</v>
      </c>
      <c r="AA16" s="1126"/>
      <c r="AB16" s="1126">
        <v>723422867</v>
      </c>
      <c r="AC16" s="1126"/>
      <c r="AD16" s="851"/>
      <c r="AE16" s="1127" t="s">
        <v>2122</v>
      </c>
      <c r="AF16" s="1088"/>
      <c r="AG16" s="1088"/>
      <c r="AH16" s="1088">
        <f t="shared" si="0"/>
        <v>0</v>
      </c>
      <c r="AI16" s="1128">
        <f t="shared" si="1"/>
        <v>0</v>
      </c>
      <c r="AJ16" s="1088">
        <f t="shared" si="1"/>
        <v>0</v>
      </c>
      <c r="AK16" s="1128">
        <f t="shared" si="1"/>
        <v>0</v>
      </c>
      <c r="AL16" s="1088">
        <f t="shared" si="1"/>
        <v>0</v>
      </c>
      <c r="AM16" s="1128">
        <f t="shared" si="1"/>
        <v>0</v>
      </c>
      <c r="AN16" s="1088">
        <f t="shared" si="1"/>
        <v>0</v>
      </c>
      <c r="AO16" s="1128">
        <f t="shared" si="1"/>
        <v>0</v>
      </c>
      <c r="AP16" s="1088">
        <f t="shared" si="1"/>
        <v>0</v>
      </c>
      <c r="AQ16" s="1128">
        <f t="shared" si="1"/>
        <v>0</v>
      </c>
      <c r="AR16" s="1088">
        <f t="shared" si="1"/>
        <v>0</v>
      </c>
      <c r="AS16" s="1128">
        <f t="shared" si="1"/>
        <v>0</v>
      </c>
      <c r="AT16" s="1088">
        <f t="shared" si="1"/>
        <v>0</v>
      </c>
      <c r="AU16" s="1128">
        <f t="shared" si="1"/>
        <v>0</v>
      </c>
      <c r="AV16" s="1088">
        <f t="shared" si="1"/>
        <v>0</v>
      </c>
      <c r="AW16" s="1128">
        <f t="shared" si="1"/>
        <v>0</v>
      </c>
      <c r="AX16" s="1088">
        <f t="shared" si="1"/>
        <v>0</v>
      </c>
      <c r="AY16" s="1128"/>
      <c r="AZ16" s="1088">
        <f t="shared" si="2"/>
        <v>0</v>
      </c>
      <c r="BA16" s="1128">
        <f t="shared" si="2"/>
        <v>0</v>
      </c>
      <c r="BB16" s="1088">
        <f t="shared" si="2"/>
        <v>723422867</v>
      </c>
      <c r="BC16" s="1128">
        <f t="shared" si="2"/>
        <v>0</v>
      </c>
      <c r="BD16" s="1129">
        <f t="shared" si="2"/>
        <v>0</v>
      </c>
      <c r="BE16" s="1129"/>
      <c r="BF16" s="1129">
        <f t="shared" si="3"/>
        <v>723422867</v>
      </c>
      <c r="BG16" s="825"/>
      <c r="BH16" s="852"/>
      <c r="BI16" s="1079"/>
      <c r="BJ16" s="1079"/>
    </row>
    <row r="17" spans="2:62" s="1078" customFormat="1" ht="15" hidden="1" customHeight="1" x14ac:dyDescent="0.25">
      <c r="B17" s="823"/>
      <c r="C17" s="853" t="s">
        <v>1355</v>
      </c>
      <c r="D17" s="1124">
        <v>0</v>
      </c>
      <c r="E17" s="1125"/>
      <c r="F17" s="1124">
        <v>0</v>
      </c>
      <c r="G17" s="1125"/>
      <c r="H17" s="1124">
        <v>0</v>
      </c>
      <c r="I17" s="1125"/>
      <c r="J17" s="1124">
        <v>0</v>
      </c>
      <c r="K17" s="1125"/>
      <c r="L17" s="1124">
        <v>0</v>
      </c>
      <c r="M17" s="1125"/>
      <c r="N17" s="1124">
        <v>0</v>
      </c>
      <c r="O17" s="1125"/>
      <c r="P17" s="1124">
        <v>0</v>
      </c>
      <c r="Q17" s="1125"/>
      <c r="R17" s="1124">
        <v>0</v>
      </c>
      <c r="S17" s="1125"/>
      <c r="T17" s="1124">
        <v>0</v>
      </c>
      <c r="U17" s="1125"/>
      <c r="V17" s="1124">
        <v>0</v>
      </c>
      <c r="W17" s="1125"/>
      <c r="X17" s="1124">
        <v>0</v>
      </c>
      <c r="Y17" s="1125"/>
      <c r="Z17" s="1126">
        <v>0</v>
      </c>
      <c r="AA17" s="1126"/>
      <c r="AB17" s="1126">
        <v>0</v>
      </c>
      <c r="AC17" s="1126"/>
      <c r="AD17" s="851"/>
      <c r="AE17" s="1127" t="s">
        <v>1356</v>
      </c>
      <c r="AF17" s="1088"/>
      <c r="AG17" s="1088"/>
      <c r="AH17" s="1088">
        <f t="shared" si="0"/>
        <v>0</v>
      </c>
      <c r="AI17" s="1128">
        <f t="shared" si="1"/>
        <v>0</v>
      </c>
      <c r="AJ17" s="1088">
        <f t="shared" si="1"/>
        <v>0</v>
      </c>
      <c r="AK17" s="1128">
        <f t="shared" si="1"/>
        <v>0</v>
      </c>
      <c r="AL17" s="1088">
        <f t="shared" si="1"/>
        <v>0</v>
      </c>
      <c r="AM17" s="1128">
        <f t="shared" si="1"/>
        <v>0</v>
      </c>
      <c r="AN17" s="1088">
        <f t="shared" si="1"/>
        <v>0</v>
      </c>
      <c r="AO17" s="1128">
        <f t="shared" si="1"/>
        <v>0</v>
      </c>
      <c r="AP17" s="1088">
        <f t="shared" si="1"/>
        <v>0</v>
      </c>
      <c r="AQ17" s="1128">
        <f t="shared" si="1"/>
        <v>0</v>
      </c>
      <c r="AR17" s="1088">
        <f t="shared" si="1"/>
        <v>0</v>
      </c>
      <c r="AS17" s="1128">
        <f t="shared" si="1"/>
        <v>0</v>
      </c>
      <c r="AT17" s="1088">
        <f t="shared" si="1"/>
        <v>0</v>
      </c>
      <c r="AU17" s="1128">
        <f t="shared" si="1"/>
        <v>0</v>
      </c>
      <c r="AV17" s="1088">
        <f t="shared" si="1"/>
        <v>0</v>
      </c>
      <c r="AW17" s="1128">
        <f t="shared" si="1"/>
        <v>0</v>
      </c>
      <c r="AX17" s="1088">
        <f t="shared" si="1"/>
        <v>0</v>
      </c>
      <c r="AY17" s="1128"/>
      <c r="AZ17" s="1088">
        <f t="shared" si="2"/>
        <v>0</v>
      </c>
      <c r="BA17" s="1128">
        <f t="shared" si="2"/>
        <v>0</v>
      </c>
      <c r="BB17" s="1088">
        <f t="shared" si="2"/>
        <v>0</v>
      </c>
      <c r="BC17" s="1128">
        <f t="shared" si="2"/>
        <v>0</v>
      </c>
      <c r="BD17" s="1129">
        <f t="shared" si="2"/>
        <v>0</v>
      </c>
      <c r="BE17" s="1129"/>
      <c r="BF17" s="1129">
        <f t="shared" si="3"/>
        <v>0</v>
      </c>
      <c r="BG17" s="825"/>
      <c r="BH17" s="852"/>
      <c r="BI17" s="1079"/>
      <c r="BJ17" s="1079"/>
    </row>
    <row r="18" spans="2:62" s="1078" customFormat="1" ht="15" hidden="1" customHeight="1" x14ac:dyDescent="0.25">
      <c r="B18" s="823"/>
      <c r="C18" s="853" t="s">
        <v>1357</v>
      </c>
      <c r="D18" s="1124">
        <v>0</v>
      </c>
      <c r="E18" s="1125"/>
      <c r="F18" s="1124">
        <v>0</v>
      </c>
      <c r="G18" s="1125"/>
      <c r="H18" s="1124">
        <v>0</v>
      </c>
      <c r="I18" s="1125"/>
      <c r="J18" s="1124">
        <v>0</v>
      </c>
      <c r="K18" s="1125"/>
      <c r="L18" s="1124">
        <v>0</v>
      </c>
      <c r="M18" s="1125"/>
      <c r="N18" s="1124">
        <v>0</v>
      </c>
      <c r="O18" s="1125"/>
      <c r="P18" s="1124">
        <v>0</v>
      </c>
      <c r="Q18" s="1125"/>
      <c r="R18" s="1124">
        <v>0</v>
      </c>
      <c r="S18" s="1125"/>
      <c r="T18" s="1124">
        <v>0</v>
      </c>
      <c r="U18" s="1125"/>
      <c r="V18" s="1124">
        <v>0</v>
      </c>
      <c r="W18" s="1125"/>
      <c r="X18" s="1124">
        <v>0</v>
      </c>
      <c r="Y18" s="1125"/>
      <c r="Z18" s="1126">
        <v>0</v>
      </c>
      <c r="AA18" s="1126"/>
      <c r="AB18" s="1126">
        <v>0</v>
      </c>
      <c r="AC18" s="1126"/>
      <c r="AD18" s="851"/>
      <c r="AE18" s="1127" t="s">
        <v>2123</v>
      </c>
      <c r="AF18" s="1088"/>
      <c r="AG18" s="1088"/>
      <c r="AH18" s="1088">
        <f t="shared" si="0"/>
        <v>0</v>
      </c>
      <c r="AI18" s="1128">
        <f t="shared" si="1"/>
        <v>0</v>
      </c>
      <c r="AJ18" s="1088">
        <f t="shared" si="1"/>
        <v>0</v>
      </c>
      <c r="AK18" s="1128">
        <f t="shared" si="1"/>
        <v>0</v>
      </c>
      <c r="AL18" s="1088">
        <f t="shared" si="1"/>
        <v>0</v>
      </c>
      <c r="AM18" s="1128">
        <f t="shared" si="1"/>
        <v>0</v>
      </c>
      <c r="AN18" s="1088">
        <f t="shared" si="1"/>
        <v>0</v>
      </c>
      <c r="AO18" s="1128">
        <f t="shared" si="1"/>
        <v>0</v>
      </c>
      <c r="AP18" s="1088">
        <f t="shared" si="1"/>
        <v>0</v>
      </c>
      <c r="AQ18" s="1128">
        <f t="shared" si="1"/>
        <v>0</v>
      </c>
      <c r="AR18" s="1088">
        <f t="shared" si="1"/>
        <v>0</v>
      </c>
      <c r="AS18" s="1128">
        <f t="shared" si="1"/>
        <v>0</v>
      </c>
      <c r="AT18" s="1088">
        <f t="shared" si="1"/>
        <v>0</v>
      </c>
      <c r="AU18" s="1128">
        <f t="shared" si="1"/>
        <v>0</v>
      </c>
      <c r="AV18" s="1088">
        <f t="shared" si="1"/>
        <v>0</v>
      </c>
      <c r="AW18" s="1128">
        <f t="shared" si="1"/>
        <v>0</v>
      </c>
      <c r="AX18" s="1088">
        <f t="shared" si="1"/>
        <v>0</v>
      </c>
      <c r="AY18" s="1128"/>
      <c r="AZ18" s="1088">
        <f t="shared" si="2"/>
        <v>0</v>
      </c>
      <c r="BA18" s="1128">
        <f t="shared" si="2"/>
        <v>0</v>
      </c>
      <c r="BB18" s="1088">
        <f t="shared" si="2"/>
        <v>0</v>
      </c>
      <c r="BC18" s="1128">
        <f t="shared" si="2"/>
        <v>0</v>
      </c>
      <c r="BD18" s="1129">
        <f t="shared" si="2"/>
        <v>0</v>
      </c>
      <c r="BE18" s="1129"/>
      <c r="BF18" s="1129">
        <f t="shared" si="3"/>
        <v>0</v>
      </c>
      <c r="BG18" s="825"/>
      <c r="BH18" s="852"/>
      <c r="BI18" s="1079"/>
      <c r="BJ18" s="1079"/>
    </row>
    <row r="19" spans="2:62" s="1078" customFormat="1" ht="15" hidden="1" customHeight="1" x14ac:dyDescent="0.25">
      <c r="B19" s="823"/>
      <c r="C19" s="853" t="s">
        <v>1359</v>
      </c>
      <c r="D19" s="1124">
        <v>0</v>
      </c>
      <c r="E19" s="1125"/>
      <c r="F19" s="1124">
        <v>0</v>
      </c>
      <c r="G19" s="1125"/>
      <c r="H19" s="1124">
        <v>0</v>
      </c>
      <c r="I19" s="1125"/>
      <c r="J19" s="1124">
        <v>0</v>
      </c>
      <c r="K19" s="1125"/>
      <c r="L19" s="1124">
        <v>0</v>
      </c>
      <c r="M19" s="1125"/>
      <c r="N19" s="1124">
        <v>0</v>
      </c>
      <c r="O19" s="1125"/>
      <c r="P19" s="1124">
        <v>0</v>
      </c>
      <c r="Q19" s="1125"/>
      <c r="R19" s="1124">
        <v>0</v>
      </c>
      <c r="S19" s="1125"/>
      <c r="T19" s="1124">
        <v>0</v>
      </c>
      <c r="U19" s="1125"/>
      <c r="V19" s="1124">
        <v>0</v>
      </c>
      <c r="W19" s="1125"/>
      <c r="X19" s="1124">
        <v>0</v>
      </c>
      <c r="Y19" s="1125"/>
      <c r="Z19" s="1126">
        <v>0</v>
      </c>
      <c r="AA19" s="1126"/>
      <c r="AB19" s="1126">
        <v>0</v>
      </c>
      <c r="AC19" s="1126"/>
      <c r="AD19" s="851"/>
      <c r="AE19" s="1127" t="s">
        <v>1360</v>
      </c>
      <c r="AF19" s="1088"/>
      <c r="AG19" s="1088"/>
      <c r="AH19" s="1088">
        <f t="shared" si="0"/>
        <v>0</v>
      </c>
      <c r="AI19" s="1128">
        <f t="shared" si="1"/>
        <v>0</v>
      </c>
      <c r="AJ19" s="1088">
        <f t="shared" si="1"/>
        <v>0</v>
      </c>
      <c r="AK19" s="1128">
        <f t="shared" si="1"/>
        <v>0</v>
      </c>
      <c r="AL19" s="1088">
        <f t="shared" si="1"/>
        <v>0</v>
      </c>
      <c r="AM19" s="1128">
        <f t="shared" si="1"/>
        <v>0</v>
      </c>
      <c r="AN19" s="1088">
        <f t="shared" si="1"/>
        <v>0</v>
      </c>
      <c r="AO19" s="1128">
        <f t="shared" si="1"/>
        <v>0</v>
      </c>
      <c r="AP19" s="1088">
        <f t="shared" si="1"/>
        <v>0</v>
      </c>
      <c r="AQ19" s="1128">
        <f t="shared" si="1"/>
        <v>0</v>
      </c>
      <c r="AR19" s="1088">
        <f t="shared" si="1"/>
        <v>0</v>
      </c>
      <c r="AS19" s="1128">
        <f t="shared" si="1"/>
        <v>0</v>
      </c>
      <c r="AT19" s="1088">
        <f t="shared" si="1"/>
        <v>0</v>
      </c>
      <c r="AU19" s="1128">
        <f t="shared" si="1"/>
        <v>0</v>
      </c>
      <c r="AV19" s="1088">
        <f t="shared" si="1"/>
        <v>0</v>
      </c>
      <c r="AW19" s="1128">
        <f t="shared" si="1"/>
        <v>0</v>
      </c>
      <c r="AX19" s="1088">
        <f t="shared" si="1"/>
        <v>0</v>
      </c>
      <c r="AY19" s="1128"/>
      <c r="AZ19" s="1088">
        <f t="shared" si="2"/>
        <v>0</v>
      </c>
      <c r="BA19" s="1128">
        <f t="shared" si="2"/>
        <v>0</v>
      </c>
      <c r="BB19" s="1088">
        <f t="shared" si="2"/>
        <v>0</v>
      </c>
      <c r="BC19" s="1128">
        <f t="shared" si="2"/>
        <v>0</v>
      </c>
      <c r="BD19" s="1129">
        <f t="shared" si="2"/>
        <v>0</v>
      </c>
      <c r="BE19" s="1129"/>
      <c r="BF19" s="1129">
        <f t="shared" si="3"/>
        <v>0</v>
      </c>
      <c r="BG19" s="825"/>
      <c r="BH19" s="852"/>
      <c r="BI19" s="1079"/>
      <c r="BJ19" s="1079"/>
    </row>
    <row r="20" spans="2:62" s="1078" customFormat="1" ht="15" hidden="1" customHeight="1" x14ac:dyDescent="0.25">
      <c r="B20" s="823"/>
      <c r="C20" s="853" t="s">
        <v>1361</v>
      </c>
      <c r="D20" s="1124">
        <v>0</v>
      </c>
      <c r="E20" s="1125"/>
      <c r="F20" s="1124">
        <v>0</v>
      </c>
      <c r="G20" s="1125"/>
      <c r="H20" s="1124">
        <v>0</v>
      </c>
      <c r="I20" s="1125"/>
      <c r="J20" s="1124">
        <v>0</v>
      </c>
      <c r="K20" s="1125"/>
      <c r="L20" s="1124">
        <v>0</v>
      </c>
      <c r="M20" s="1125"/>
      <c r="N20" s="1124">
        <v>0</v>
      </c>
      <c r="O20" s="1125"/>
      <c r="P20" s="1124">
        <v>0</v>
      </c>
      <c r="Q20" s="1125"/>
      <c r="R20" s="1124">
        <v>0</v>
      </c>
      <c r="S20" s="1125"/>
      <c r="T20" s="1124">
        <v>0</v>
      </c>
      <c r="U20" s="1125"/>
      <c r="V20" s="1124">
        <v>0</v>
      </c>
      <c r="W20" s="1125"/>
      <c r="X20" s="1124">
        <v>0</v>
      </c>
      <c r="Y20" s="1125"/>
      <c r="Z20" s="1124">
        <v>0</v>
      </c>
      <c r="AA20" s="1125"/>
      <c r="AB20" s="1126">
        <v>0</v>
      </c>
      <c r="AC20" s="1124"/>
      <c r="AD20" s="850"/>
      <c r="AE20" s="1127" t="s">
        <v>1362</v>
      </c>
      <c r="AF20" s="1088"/>
      <c r="AG20" s="1088"/>
      <c r="AH20" s="1088">
        <f t="shared" si="0"/>
        <v>0</v>
      </c>
      <c r="AI20" s="1128">
        <f t="shared" si="1"/>
        <v>0</v>
      </c>
      <c r="AJ20" s="1088">
        <f t="shared" si="1"/>
        <v>0</v>
      </c>
      <c r="AK20" s="1128">
        <f t="shared" si="1"/>
        <v>0</v>
      </c>
      <c r="AL20" s="1088">
        <f t="shared" si="1"/>
        <v>0</v>
      </c>
      <c r="AM20" s="1128">
        <f t="shared" si="1"/>
        <v>0</v>
      </c>
      <c r="AN20" s="1088">
        <f t="shared" si="1"/>
        <v>0</v>
      </c>
      <c r="AO20" s="1128">
        <f t="shared" si="1"/>
        <v>0</v>
      </c>
      <c r="AP20" s="1088">
        <f t="shared" si="1"/>
        <v>0</v>
      </c>
      <c r="AQ20" s="1128">
        <f t="shared" si="1"/>
        <v>0</v>
      </c>
      <c r="AR20" s="1088">
        <f t="shared" si="1"/>
        <v>0</v>
      </c>
      <c r="AS20" s="1128">
        <f t="shared" si="1"/>
        <v>0</v>
      </c>
      <c r="AT20" s="1088">
        <f t="shared" si="1"/>
        <v>0</v>
      </c>
      <c r="AU20" s="1128">
        <f t="shared" si="1"/>
        <v>0</v>
      </c>
      <c r="AV20" s="1088">
        <f t="shared" si="1"/>
        <v>0</v>
      </c>
      <c r="AW20" s="1128">
        <f t="shared" si="1"/>
        <v>0</v>
      </c>
      <c r="AX20" s="1088">
        <f t="shared" si="1"/>
        <v>0</v>
      </c>
      <c r="AY20" s="1128"/>
      <c r="AZ20" s="1088">
        <f t="shared" si="2"/>
        <v>0</v>
      </c>
      <c r="BA20" s="1128">
        <f t="shared" si="2"/>
        <v>0</v>
      </c>
      <c r="BB20" s="1088">
        <f t="shared" si="2"/>
        <v>0</v>
      </c>
      <c r="BC20" s="1128">
        <f t="shared" si="2"/>
        <v>0</v>
      </c>
      <c r="BD20" s="1088">
        <f t="shared" si="2"/>
        <v>0</v>
      </c>
      <c r="BE20" s="1128"/>
      <c r="BF20" s="1129">
        <f t="shared" si="3"/>
        <v>0</v>
      </c>
      <c r="BG20" s="1130"/>
      <c r="BH20" s="855"/>
      <c r="BI20" s="1079"/>
      <c r="BJ20" s="1079"/>
    </row>
    <row r="21" spans="2:62" s="1078" customFormat="1" ht="12.95" customHeight="1" x14ac:dyDescent="0.25">
      <c r="B21" s="823"/>
      <c r="C21" s="853"/>
      <c r="D21" s="1124"/>
      <c r="E21" s="1125"/>
      <c r="F21" s="1124"/>
      <c r="G21" s="1125"/>
      <c r="H21" s="1124"/>
      <c r="I21" s="1125"/>
      <c r="J21" s="1124"/>
      <c r="K21" s="1125"/>
      <c r="L21" s="1124"/>
      <c r="M21" s="1125"/>
      <c r="N21" s="1124"/>
      <c r="O21" s="1125"/>
      <c r="P21" s="1124"/>
      <c r="Q21" s="1125"/>
      <c r="R21" s="1124"/>
      <c r="S21" s="1125"/>
      <c r="T21" s="1125"/>
      <c r="U21" s="1125"/>
      <c r="V21" s="1124"/>
      <c r="W21" s="1125"/>
      <c r="X21" s="1124"/>
      <c r="Y21" s="1125"/>
      <c r="Z21" s="1124"/>
      <c r="AA21" s="1125"/>
      <c r="AB21" s="1124"/>
      <c r="AC21" s="1124"/>
      <c r="AD21" s="850"/>
      <c r="AE21" s="1127"/>
      <c r="AF21" s="1088"/>
      <c r="AG21" s="1088"/>
      <c r="AH21" s="1088"/>
      <c r="AI21" s="1128"/>
      <c r="AJ21" s="1088"/>
      <c r="AK21" s="1128"/>
      <c r="AL21" s="1088"/>
      <c r="AM21" s="1128"/>
      <c r="AN21" s="1088"/>
      <c r="AO21" s="1128"/>
      <c r="AP21" s="1088"/>
      <c r="AQ21" s="1128"/>
      <c r="AR21" s="1088"/>
      <c r="AS21" s="1128"/>
      <c r="AT21" s="1088"/>
      <c r="AU21" s="1128"/>
      <c r="AV21" s="1088"/>
      <c r="AW21" s="1128"/>
      <c r="AX21" s="1088"/>
      <c r="AY21" s="1128"/>
      <c r="AZ21" s="1088"/>
      <c r="BA21" s="1128"/>
      <c r="BB21" s="1088"/>
      <c r="BC21" s="1128"/>
      <c r="BD21" s="1088"/>
      <c r="BE21" s="1128"/>
      <c r="BF21" s="1088"/>
      <c r="BG21" s="1130"/>
      <c r="BH21" s="855"/>
      <c r="BI21" s="1079"/>
      <c r="BJ21" s="1079"/>
    </row>
    <row r="22" spans="2:62" s="1078" customFormat="1" ht="15" customHeight="1" thickBot="1" x14ac:dyDescent="0.3">
      <c r="B22" s="821"/>
      <c r="C22" s="856" t="s">
        <v>1363</v>
      </c>
      <c r="D22" s="1131">
        <f>SUBTOTAL(109,D14:D21)</f>
        <v>20002050000</v>
      </c>
      <c r="E22" s="1117"/>
      <c r="F22" s="1131">
        <f>SUBTOTAL(109,F14:F21)</f>
        <v>1593954840</v>
      </c>
      <c r="G22" s="1117"/>
      <c r="H22" s="1131">
        <f>SUBTOTAL(109,H14:H21)</f>
        <v>0</v>
      </c>
      <c r="I22" s="1117"/>
      <c r="J22" s="1131">
        <f>SUBTOTAL(109,J14:J21)</f>
        <v>17380958861</v>
      </c>
      <c r="K22" s="1117"/>
      <c r="L22" s="1131">
        <f>SUBTOTAL(109,L14:L21)</f>
        <v>-2050000</v>
      </c>
      <c r="M22" s="1117"/>
      <c r="N22" s="1131">
        <f>SUBTOTAL(109,N14:N21)</f>
        <v>0</v>
      </c>
      <c r="O22" s="1117"/>
      <c r="P22" s="1131">
        <f>SUBTOTAL(109,P14:P21)</f>
        <v>0</v>
      </c>
      <c r="Q22" s="1117"/>
      <c r="R22" s="1131">
        <f>SUBTOTAL(109,R14:R21)</f>
        <v>9212585483</v>
      </c>
      <c r="S22" s="1117"/>
      <c r="T22" s="1131">
        <f>SUBTOTAL(109,T14:T21)</f>
        <v>0</v>
      </c>
      <c r="U22" s="1117"/>
      <c r="V22" s="1131">
        <f>SUBTOTAL(109,V14:V21)</f>
        <v>0</v>
      </c>
      <c r="W22" s="1117"/>
      <c r="X22" s="1131">
        <f>SUBTOTAL(109,X14:X21)</f>
        <v>-1949420899</v>
      </c>
      <c r="Y22" s="1117"/>
      <c r="Z22" s="1131">
        <f>SUBTOTAL(109,Z14:Z21)</f>
        <v>0</v>
      </c>
      <c r="AA22" s="1118"/>
      <c r="AB22" s="1131">
        <f>SUM(AB14:AB21)</f>
        <v>46238078285</v>
      </c>
      <c r="AC22" s="1132"/>
      <c r="AD22" s="858"/>
      <c r="AE22" s="1120" t="s">
        <v>1364</v>
      </c>
      <c r="AF22" s="1085"/>
      <c r="AG22" s="1085"/>
      <c r="AH22" s="1133">
        <f>SUBTOTAL(109,AH14:AH21)</f>
        <v>20002050000</v>
      </c>
      <c r="AI22" s="1121"/>
      <c r="AJ22" s="1133">
        <f>SUBTOTAL(109,AJ14:AJ21)</f>
        <v>1593954840</v>
      </c>
      <c r="AK22" s="1121"/>
      <c r="AL22" s="1133">
        <f>SUBTOTAL(109,AL14:AL21)</f>
        <v>0</v>
      </c>
      <c r="AM22" s="1121"/>
      <c r="AN22" s="1133">
        <f>SUBTOTAL(109,AN14:AN21)</f>
        <v>17380958861</v>
      </c>
      <c r="AO22" s="1121"/>
      <c r="AP22" s="1133">
        <f>SUBTOTAL(109,AP14:AP21)</f>
        <v>-2050000</v>
      </c>
      <c r="AQ22" s="1121"/>
      <c r="AR22" s="1133">
        <f>SUBTOTAL(109,AR14:AR21)</f>
        <v>0</v>
      </c>
      <c r="AS22" s="1121"/>
      <c r="AT22" s="1133">
        <f>SUBTOTAL(109,AT14:AT21)</f>
        <v>0</v>
      </c>
      <c r="AU22" s="1121"/>
      <c r="AV22" s="1133">
        <f>SUBTOTAL(109,AV14:AV21)</f>
        <v>9212585483</v>
      </c>
      <c r="AW22" s="1121"/>
      <c r="AX22" s="1133">
        <f>SUBTOTAL(109,AX14:AX21)</f>
        <v>0</v>
      </c>
      <c r="AY22" s="1121"/>
      <c r="AZ22" s="1133">
        <f>SUBTOTAL(109,AZ14:AZ21)</f>
        <v>0</v>
      </c>
      <c r="BA22" s="1121"/>
      <c r="BB22" s="1133">
        <f>SUBTOTAL(109,BB14:BB21)</f>
        <v>-1949420899</v>
      </c>
      <c r="BC22" s="1121"/>
      <c r="BD22" s="1133">
        <f>SUBTOTAL(109,BD14:BD21)</f>
        <v>0</v>
      </c>
      <c r="BE22" s="1122"/>
      <c r="BF22" s="1133">
        <f>SUM(BF14:BF21)</f>
        <v>46238078285</v>
      </c>
      <c r="BG22" s="1134"/>
      <c r="BH22" s="859"/>
      <c r="BI22" s="1079"/>
      <c r="BJ22" s="1079"/>
    </row>
    <row r="23" spans="2:62" s="1078" customFormat="1" ht="15" customHeight="1" thickTop="1" x14ac:dyDescent="0.25">
      <c r="B23" s="821"/>
      <c r="C23" s="856"/>
      <c r="D23" s="1117"/>
      <c r="E23" s="1117"/>
      <c r="F23" s="1117"/>
      <c r="G23" s="1117"/>
      <c r="H23" s="1117"/>
      <c r="I23" s="1117"/>
      <c r="J23" s="1117"/>
      <c r="K23" s="1117"/>
      <c r="L23" s="1117"/>
      <c r="M23" s="1117"/>
      <c r="N23" s="1117"/>
      <c r="O23" s="1117"/>
      <c r="P23" s="1117"/>
      <c r="Q23" s="1117"/>
      <c r="R23" s="1117"/>
      <c r="S23" s="1117"/>
      <c r="T23" s="1117"/>
      <c r="U23" s="1117"/>
      <c r="V23" s="1117"/>
      <c r="W23" s="1117"/>
      <c r="X23" s="1117"/>
      <c r="Y23" s="1117"/>
      <c r="Z23" s="1117"/>
      <c r="AA23" s="1118"/>
      <c r="AB23" s="1117"/>
      <c r="AC23" s="1118"/>
      <c r="AD23" s="858"/>
      <c r="AE23" s="1120"/>
      <c r="AF23" s="1085"/>
      <c r="AG23" s="1085"/>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2"/>
      <c r="BF23" s="1121"/>
      <c r="BG23" s="1123"/>
      <c r="BH23" s="859"/>
      <c r="BI23" s="1079"/>
      <c r="BJ23" s="1079"/>
    </row>
    <row r="24" spans="2:62" s="1135" customFormat="1" ht="15" hidden="1" customHeight="1" x14ac:dyDescent="0.25">
      <c r="B24" s="823"/>
      <c r="C24" s="853" t="s">
        <v>1365</v>
      </c>
      <c r="D24" s="1124">
        <v>0</v>
      </c>
      <c r="E24" s="1125"/>
      <c r="F24" s="1124">
        <v>0</v>
      </c>
      <c r="G24" s="1125"/>
      <c r="H24" s="1124">
        <v>0</v>
      </c>
      <c r="I24" s="1125"/>
      <c r="J24" s="1124">
        <v>0</v>
      </c>
      <c r="K24" s="1125"/>
      <c r="L24" s="1124">
        <v>0</v>
      </c>
      <c r="M24" s="1125"/>
      <c r="N24" s="1124">
        <v>0</v>
      </c>
      <c r="O24" s="1125"/>
      <c r="P24" s="1124">
        <v>0</v>
      </c>
      <c r="Q24" s="1125"/>
      <c r="R24" s="1124">
        <v>0</v>
      </c>
      <c r="S24" s="1125"/>
      <c r="T24" s="1124">
        <v>0</v>
      </c>
      <c r="U24" s="1125"/>
      <c r="V24" s="1124">
        <v>0</v>
      </c>
      <c r="W24" s="1125"/>
      <c r="X24" s="1124">
        <v>0</v>
      </c>
      <c r="Y24" s="1125"/>
      <c r="Z24" s="1126">
        <v>0</v>
      </c>
      <c r="AA24" s="1126"/>
      <c r="AB24" s="1118">
        <v>0</v>
      </c>
      <c r="AC24" s="1126"/>
      <c r="AD24" s="851"/>
      <c r="AE24" s="1127" t="s">
        <v>1366</v>
      </c>
      <c r="AF24" s="1088"/>
      <c r="AG24" s="1088"/>
      <c r="AH24" s="1088">
        <f t="shared" ref="AH24:AW29" si="4">D24</f>
        <v>0</v>
      </c>
      <c r="AI24" s="1128">
        <f t="shared" si="4"/>
        <v>0</v>
      </c>
      <c r="AJ24" s="1088">
        <f t="shared" si="4"/>
        <v>0</v>
      </c>
      <c r="AK24" s="1128">
        <f t="shared" si="4"/>
        <v>0</v>
      </c>
      <c r="AL24" s="1088">
        <f t="shared" si="4"/>
        <v>0</v>
      </c>
      <c r="AM24" s="1128">
        <f t="shared" si="4"/>
        <v>0</v>
      </c>
      <c r="AN24" s="1088">
        <f t="shared" si="4"/>
        <v>0</v>
      </c>
      <c r="AO24" s="1128">
        <f t="shared" si="4"/>
        <v>0</v>
      </c>
      <c r="AP24" s="1088">
        <f t="shared" si="4"/>
        <v>0</v>
      </c>
      <c r="AQ24" s="1128">
        <f t="shared" si="4"/>
        <v>0</v>
      </c>
      <c r="AR24" s="1088">
        <f t="shared" si="4"/>
        <v>0</v>
      </c>
      <c r="AS24" s="1128">
        <f t="shared" si="4"/>
        <v>0</v>
      </c>
      <c r="AT24" s="1088">
        <f t="shared" si="4"/>
        <v>0</v>
      </c>
      <c r="AU24" s="1128">
        <f t="shared" si="4"/>
        <v>0</v>
      </c>
      <c r="AV24" s="1088">
        <f t="shared" si="4"/>
        <v>0</v>
      </c>
      <c r="AW24" s="1128">
        <f t="shared" si="4"/>
        <v>0</v>
      </c>
      <c r="AX24" s="1088">
        <f t="shared" ref="AR24:AX29" si="5">T24</f>
        <v>0</v>
      </c>
      <c r="AY24" s="1128"/>
      <c r="AZ24" s="1088">
        <f t="shared" ref="AZ24:BD29" si="6">V24</f>
        <v>0</v>
      </c>
      <c r="BA24" s="1128">
        <f t="shared" si="6"/>
        <v>0</v>
      </c>
      <c r="BB24" s="1088">
        <f t="shared" si="6"/>
        <v>0</v>
      </c>
      <c r="BC24" s="1128">
        <f t="shared" si="6"/>
        <v>0</v>
      </c>
      <c r="BD24" s="1129">
        <f t="shared" si="6"/>
        <v>0</v>
      </c>
      <c r="BE24" s="1129"/>
      <c r="BF24" s="1122">
        <f t="shared" ref="BF24:BF29" si="7">SUBTOTAL(109,AH24:BD24)</f>
        <v>0</v>
      </c>
      <c r="BG24" s="825"/>
      <c r="BH24" s="852"/>
      <c r="BI24" s="1136"/>
      <c r="BJ24" s="1136"/>
    </row>
    <row r="25" spans="2:62" s="1135" customFormat="1" ht="15" customHeight="1" x14ac:dyDescent="0.25">
      <c r="B25" s="823"/>
      <c r="C25" s="853" t="s">
        <v>2124</v>
      </c>
      <c r="D25" s="1125">
        <v>0</v>
      </c>
      <c r="E25" s="1125"/>
      <c r="F25" s="1125">
        <v>0</v>
      </c>
      <c r="G25" s="1125"/>
      <c r="H25" s="1125">
        <v>0</v>
      </c>
      <c r="I25" s="1125"/>
      <c r="J25" s="1125">
        <v>0</v>
      </c>
      <c r="K25" s="1125"/>
      <c r="L25" s="1125">
        <v>0</v>
      </c>
      <c r="M25" s="1125"/>
      <c r="N25" s="1125">
        <v>0</v>
      </c>
      <c r="O25" s="1125"/>
      <c r="P25" s="1125">
        <v>0</v>
      </c>
      <c r="Q25" s="1125"/>
      <c r="R25" s="1125">
        <v>0</v>
      </c>
      <c r="S25" s="1125"/>
      <c r="T25" s="1125">
        <v>0</v>
      </c>
      <c r="U25" s="1125"/>
      <c r="V25" s="1125">
        <v>0</v>
      </c>
      <c r="W25" s="1125"/>
      <c r="X25" s="1125">
        <v>2205590858</v>
      </c>
      <c r="Y25" s="1125"/>
      <c r="Z25" s="1125">
        <v>0</v>
      </c>
      <c r="AA25" s="1125"/>
      <c r="AB25" s="1126">
        <v>2205590858</v>
      </c>
      <c r="AC25" s="1125"/>
      <c r="AD25" s="850"/>
      <c r="AE25" s="1127" t="s">
        <v>2125</v>
      </c>
      <c r="AF25" s="1088"/>
      <c r="AG25" s="1088"/>
      <c r="AH25" s="1128">
        <f t="shared" si="4"/>
        <v>0</v>
      </c>
      <c r="AI25" s="1128">
        <f t="shared" si="4"/>
        <v>0</v>
      </c>
      <c r="AJ25" s="1128">
        <f t="shared" si="4"/>
        <v>0</v>
      </c>
      <c r="AK25" s="1128">
        <f t="shared" si="4"/>
        <v>0</v>
      </c>
      <c r="AL25" s="1128">
        <f t="shared" si="4"/>
        <v>0</v>
      </c>
      <c r="AM25" s="1128">
        <f t="shared" si="4"/>
        <v>0</v>
      </c>
      <c r="AN25" s="1128">
        <f t="shared" si="4"/>
        <v>0</v>
      </c>
      <c r="AO25" s="1128">
        <f t="shared" si="4"/>
        <v>0</v>
      </c>
      <c r="AP25" s="1128">
        <f t="shared" si="4"/>
        <v>0</v>
      </c>
      <c r="AQ25" s="1128">
        <f t="shared" si="4"/>
        <v>0</v>
      </c>
      <c r="AR25" s="1128">
        <f t="shared" si="5"/>
        <v>0</v>
      </c>
      <c r="AS25" s="1128">
        <f t="shared" si="5"/>
        <v>0</v>
      </c>
      <c r="AT25" s="1128">
        <f t="shared" si="5"/>
        <v>0</v>
      </c>
      <c r="AU25" s="1128">
        <f t="shared" si="5"/>
        <v>0</v>
      </c>
      <c r="AV25" s="1128">
        <f t="shared" si="5"/>
        <v>0</v>
      </c>
      <c r="AW25" s="1128">
        <f t="shared" si="5"/>
        <v>0</v>
      </c>
      <c r="AX25" s="1128">
        <f t="shared" si="5"/>
        <v>0</v>
      </c>
      <c r="AY25" s="1128"/>
      <c r="AZ25" s="1128">
        <f t="shared" si="6"/>
        <v>0</v>
      </c>
      <c r="BA25" s="1128">
        <f t="shared" si="6"/>
        <v>0</v>
      </c>
      <c r="BB25" s="1128">
        <f t="shared" si="6"/>
        <v>2205590858</v>
      </c>
      <c r="BC25" s="1128">
        <f t="shared" si="6"/>
        <v>0</v>
      </c>
      <c r="BD25" s="1128">
        <f t="shared" si="6"/>
        <v>0</v>
      </c>
      <c r="BE25" s="1128"/>
      <c r="BF25" s="1129">
        <f t="shared" si="7"/>
        <v>2205590858</v>
      </c>
      <c r="BG25" s="824"/>
      <c r="BH25" s="855"/>
      <c r="BI25" s="1136"/>
      <c r="BJ25" s="1136"/>
    </row>
    <row r="26" spans="2:62" s="1135" customFormat="1" ht="15" hidden="1" customHeight="1" x14ac:dyDescent="0.25">
      <c r="B26" s="848"/>
      <c r="C26" s="866" t="s">
        <v>1355</v>
      </c>
      <c r="D26" s="1125">
        <v>0</v>
      </c>
      <c r="E26" s="1125"/>
      <c r="F26" s="1125">
        <v>0</v>
      </c>
      <c r="G26" s="1125"/>
      <c r="H26" s="1125">
        <v>0</v>
      </c>
      <c r="I26" s="1125"/>
      <c r="J26" s="1125">
        <v>0</v>
      </c>
      <c r="K26" s="1125"/>
      <c r="L26" s="1125">
        <v>0</v>
      </c>
      <c r="M26" s="1125"/>
      <c r="N26" s="1125">
        <v>0</v>
      </c>
      <c r="O26" s="1125"/>
      <c r="P26" s="1125">
        <v>0</v>
      </c>
      <c r="Q26" s="1125"/>
      <c r="R26" s="1125">
        <v>0</v>
      </c>
      <c r="S26" s="1125"/>
      <c r="T26" s="1125">
        <v>0</v>
      </c>
      <c r="U26" s="1125"/>
      <c r="V26" s="1125">
        <v>0</v>
      </c>
      <c r="W26" s="1125"/>
      <c r="X26" s="1125">
        <v>0</v>
      </c>
      <c r="Y26" s="1125"/>
      <c r="Z26" s="1126">
        <v>0</v>
      </c>
      <c r="AA26" s="1126"/>
      <c r="AB26" s="1126">
        <v>0</v>
      </c>
      <c r="AC26" s="1126"/>
      <c r="AD26" s="851"/>
      <c r="AE26" s="1137" t="s">
        <v>1356</v>
      </c>
      <c r="AF26" s="1128"/>
      <c r="AG26" s="1128"/>
      <c r="AH26" s="1128">
        <f t="shared" si="4"/>
        <v>0</v>
      </c>
      <c r="AI26" s="1128">
        <f t="shared" si="4"/>
        <v>0</v>
      </c>
      <c r="AJ26" s="1128">
        <f t="shared" si="4"/>
        <v>0</v>
      </c>
      <c r="AK26" s="1128">
        <f t="shared" si="4"/>
        <v>0</v>
      </c>
      <c r="AL26" s="1128">
        <f t="shared" si="4"/>
        <v>0</v>
      </c>
      <c r="AM26" s="1128">
        <f t="shared" si="4"/>
        <v>0</v>
      </c>
      <c r="AN26" s="1128">
        <f t="shared" si="4"/>
        <v>0</v>
      </c>
      <c r="AO26" s="1128">
        <f t="shared" si="4"/>
        <v>0</v>
      </c>
      <c r="AP26" s="1128">
        <f t="shared" si="4"/>
        <v>0</v>
      </c>
      <c r="AQ26" s="1128">
        <f t="shared" si="4"/>
        <v>0</v>
      </c>
      <c r="AR26" s="1128">
        <f t="shared" si="5"/>
        <v>0</v>
      </c>
      <c r="AS26" s="1128">
        <f t="shared" si="5"/>
        <v>0</v>
      </c>
      <c r="AT26" s="1128">
        <f t="shared" si="5"/>
        <v>0</v>
      </c>
      <c r="AU26" s="1128">
        <f t="shared" si="5"/>
        <v>0</v>
      </c>
      <c r="AV26" s="1128">
        <f t="shared" si="5"/>
        <v>0</v>
      </c>
      <c r="AW26" s="1128">
        <f t="shared" si="5"/>
        <v>0</v>
      </c>
      <c r="AX26" s="1128">
        <f t="shared" si="5"/>
        <v>0</v>
      </c>
      <c r="AY26" s="1128"/>
      <c r="AZ26" s="1128">
        <f t="shared" si="6"/>
        <v>0</v>
      </c>
      <c r="BA26" s="1128">
        <f t="shared" si="6"/>
        <v>0</v>
      </c>
      <c r="BB26" s="1128">
        <f t="shared" si="6"/>
        <v>0</v>
      </c>
      <c r="BC26" s="1128">
        <f t="shared" si="6"/>
        <v>0</v>
      </c>
      <c r="BD26" s="1129">
        <f t="shared" si="6"/>
        <v>0</v>
      </c>
      <c r="BE26" s="1129"/>
      <c r="BF26" s="1129">
        <f t="shared" si="7"/>
        <v>0</v>
      </c>
      <c r="BG26" s="825"/>
      <c r="BH26" s="852"/>
      <c r="BI26" s="1136"/>
      <c r="BJ26" s="1136"/>
    </row>
    <row r="27" spans="2:62" s="1135" customFormat="1" ht="15" hidden="1" customHeight="1" x14ac:dyDescent="0.25">
      <c r="B27" s="848"/>
      <c r="C27" s="865" t="s">
        <v>1369</v>
      </c>
      <c r="D27" s="1125">
        <v>0</v>
      </c>
      <c r="E27" s="1125"/>
      <c r="F27" s="1125">
        <v>0</v>
      </c>
      <c r="G27" s="1125"/>
      <c r="H27" s="1125">
        <v>0</v>
      </c>
      <c r="I27" s="1125"/>
      <c r="J27" s="1125">
        <v>0</v>
      </c>
      <c r="K27" s="1125"/>
      <c r="L27" s="1125">
        <v>0</v>
      </c>
      <c r="M27" s="1125"/>
      <c r="N27" s="1125">
        <v>0</v>
      </c>
      <c r="O27" s="1125"/>
      <c r="P27" s="1125">
        <v>0</v>
      </c>
      <c r="Q27" s="1125"/>
      <c r="R27" s="1125">
        <v>0</v>
      </c>
      <c r="S27" s="1125"/>
      <c r="T27" s="1125">
        <v>0</v>
      </c>
      <c r="U27" s="1125"/>
      <c r="V27" s="1125">
        <v>0</v>
      </c>
      <c r="W27" s="1125"/>
      <c r="X27" s="1125">
        <v>0</v>
      </c>
      <c r="Y27" s="1125"/>
      <c r="Z27" s="1126">
        <v>0</v>
      </c>
      <c r="AA27" s="1126"/>
      <c r="AB27" s="1126">
        <v>0</v>
      </c>
      <c r="AC27" s="1126"/>
      <c r="AD27" s="851"/>
      <c r="AE27" s="1138" t="s">
        <v>1370</v>
      </c>
      <c r="AF27" s="1128"/>
      <c r="AG27" s="1128"/>
      <c r="AH27" s="1128">
        <f t="shared" si="4"/>
        <v>0</v>
      </c>
      <c r="AI27" s="1128">
        <f t="shared" si="4"/>
        <v>0</v>
      </c>
      <c r="AJ27" s="1128">
        <f t="shared" si="4"/>
        <v>0</v>
      </c>
      <c r="AK27" s="1128">
        <f t="shared" si="4"/>
        <v>0</v>
      </c>
      <c r="AL27" s="1128">
        <f t="shared" si="4"/>
        <v>0</v>
      </c>
      <c r="AM27" s="1128">
        <f t="shared" si="4"/>
        <v>0</v>
      </c>
      <c r="AN27" s="1128">
        <f t="shared" si="4"/>
        <v>0</v>
      </c>
      <c r="AO27" s="1128">
        <f t="shared" si="4"/>
        <v>0</v>
      </c>
      <c r="AP27" s="1128">
        <f t="shared" si="4"/>
        <v>0</v>
      </c>
      <c r="AQ27" s="1128">
        <f t="shared" si="4"/>
        <v>0</v>
      </c>
      <c r="AR27" s="1128">
        <f t="shared" si="5"/>
        <v>0</v>
      </c>
      <c r="AS27" s="1128">
        <f t="shared" si="5"/>
        <v>0</v>
      </c>
      <c r="AT27" s="1128">
        <f t="shared" si="5"/>
        <v>0</v>
      </c>
      <c r="AU27" s="1128">
        <f t="shared" si="5"/>
        <v>0</v>
      </c>
      <c r="AV27" s="1128">
        <f t="shared" si="5"/>
        <v>0</v>
      </c>
      <c r="AW27" s="1128">
        <f t="shared" si="5"/>
        <v>0</v>
      </c>
      <c r="AX27" s="1128">
        <f t="shared" si="5"/>
        <v>0</v>
      </c>
      <c r="AY27" s="1128"/>
      <c r="AZ27" s="1128">
        <f t="shared" si="6"/>
        <v>0</v>
      </c>
      <c r="BA27" s="1128">
        <f t="shared" si="6"/>
        <v>0</v>
      </c>
      <c r="BB27" s="1128">
        <f t="shared" si="6"/>
        <v>0</v>
      </c>
      <c r="BC27" s="1128">
        <f t="shared" si="6"/>
        <v>0</v>
      </c>
      <c r="BD27" s="1129">
        <f t="shared" si="6"/>
        <v>0</v>
      </c>
      <c r="BE27" s="1129"/>
      <c r="BF27" s="1129">
        <f t="shared" si="7"/>
        <v>0</v>
      </c>
      <c r="BG27" s="825"/>
      <c r="BH27" s="852"/>
      <c r="BI27" s="1136"/>
      <c r="BJ27" s="1136"/>
    </row>
    <row r="28" spans="2:62" s="1135" customFormat="1" ht="15" hidden="1" customHeight="1" x14ac:dyDescent="0.25">
      <c r="B28" s="848"/>
      <c r="C28" s="865" t="s">
        <v>1359</v>
      </c>
      <c r="D28" s="1124">
        <v>0</v>
      </c>
      <c r="E28" s="1125"/>
      <c r="F28" s="1124">
        <v>0</v>
      </c>
      <c r="G28" s="1125"/>
      <c r="H28" s="1124">
        <v>0</v>
      </c>
      <c r="I28" s="1125"/>
      <c r="J28" s="1124">
        <v>0</v>
      </c>
      <c r="K28" s="1125"/>
      <c r="L28" s="1124">
        <v>0</v>
      </c>
      <c r="M28" s="1125"/>
      <c r="N28" s="1124">
        <v>0</v>
      </c>
      <c r="O28" s="1125"/>
      <c r="P28" s="1124">
        <v>0</v>
      </c>
      <c r="Q28" s="1125"/>
      <c r="R28" s="1124">
        <v>0</v>
      </c>
      <c r="S28" s="1125"/>
      <c r="T28" s="1124">
        <v>0</v>
      </c>
      <c r="U28" s="1125"/>
      <c r="V28" s="1124">
        <v>0</v>
      </c>
      <c r="W28" s="1125"/>
      <c r="X28" s="1124">
        <v>0</v>
      </c>
      <c r="Y28" s="1125"/>
      <c r="Z28" s="1124">
        <v>0</v>
      </c>
      <c r="AA28" s="1125"/>
      <c r="AB28" s="1126">
        <v>0</v>
      </c>
      <c r="AC28" s="1124"/>
      <c r="AD28" s="851"/>
      <c r="AE28" s="1138" t="s">
        <v>1360</v>
      </c>
      <c r="AF28" s="1128"/>
      <c r="AG28" s="1128"/>
      <c r="AH28" s="1088">
        <f t="shared" si="4"/>
        <v>0</v>
      </c>
      <c r="AI28" s="1128">
        <f t="shared" si="4"/>
        <v>0</v>
      </c>
      <c r="AJ28" s="1088">
        <f t="shared" si="4"/>
        <v>0</v>
      </c>
      <c r="AK28" s="1128">
        <f t="shared" si="4"/>
        <v>0</v>
      </c>
      <c r="AL28" s="1088">
        <f t="shared" si="4"/>
        <v>0</v>
      </c>
      <c r="AM28" s="1128">
        <f t="shared" si="4"/>
        <v>0</v>
      </c>
      <c r="AN28" s="1088">
        <f t="shared" si="4"/>
        <v>0</v>
      </c>
      <c r="AO28" s="1128">
        <f t="shared" si="4"/>
        <v>0</v>
      </c>
      <c r="AP28" s="1088">
        <f t="shared" si="4"/>
        <v>0</v>
      </c>
      <c r="AQ28" s="1128">
        <f t="shared" si="4"/>
        <v>0</v>
      </c>
      <c r="AR28" s="1088">
        <f t="shared" si="5"/>
        <v>0</v>
      </c>
      <c r="AS28" s="1128">
        <f t="shared" si="5"/>
        <v>0</v>
      </c>
      <c r="AT28" s="1088">
        <f t="shared" si="5"/>
        <v>0</v>
      </c>
      <c r="AU28" s="1128">
        <f t="shared" si="5"/>
        <v>0</v>
      </c>
      <c r="AV28" s="1088">
        <f t="shared" si="5"/>
        <v>0</v>
      </c>
      <c r="AW28" s="1128">
        <f t="shared" si="5"/>
        <v>0</v>
      </c>
      <c r="AX28" s="1088">
        <f t="shared" si="5"/>
        <v>0</v>
      </c>
      <c r="AY28" s="1128"/>
      <c r="AZ28" s="1088">
        <f t="shared" si="6"/>
        <v>0</v>
      </c>
      <c r="BA28" s="1128">
        <f t="shared" si="6"/>
        <v>0</v>
      </c>
      <c r="BB28" s="1088">
        <f t="shared" si="6"/>
        <v>0</v>
      </c>
      <c r="BC28" s="1128">
        <f t="shared" si="6"/>
        <v>0</v>
      </c>
      <c r="BD28" s="1088">
        <f t="shared" si="6"/>
        <v>0</v>
      </c>
      <c r="BE28" s="1128"/>
      <c r="BF28" s="1129">
        <f t="shared" si="7"/>
        <v>0</v>
      </c>
      <c r="BG28" s="1130"/>
      <c r="BH28" s="852"/>
      <c r="BI28" s="1136"/>
      <c r="BJ28" s="1136"/>
    </row>
    <row r="29" spans="2:62" s="1135" customFormat="1" ht="15" hidden="1" customHeight="1" x14ac:dyDescent="0.25">
      <c r="B29" s="848"/>
      <c r="C29" s="866" t="s">
        <v>1361</v>
      </c>
      <c r="D29" s="1124">
        <v>0</v>
      </c>
      <c r="E29" s="1125"/>
      <c r="F29" s="1124">
        <v>0</v>
      </c>
      <c r="G29" s="1125"/>
      <c r="H29" s="1124">
        <v>0</v>
      </c>
      <c r="I29" s="1125"/>
      <c r="J29" s="1124">
        <v>0</v>
      </c>
      <c r="K29" s="1125"/>
      <c r="L29" s="1124">
        <v>0</v>
      </c>
      <c r="M29" s="1125"/>
      <c r="N29" s="1124">
        <v>0</v>
      </c>
      <c r="O29" s="1125"/>
      <c r="P29" s="1124">
        <v>0</v>
      </c>
      <c r="Q29" s="1125"/>
      <c r="R29" s="1124">
        <v>0</v>
      </c>
      <c r="S29" s="1125"/>
      <c r="T29" s="1124">
        <v>0</v>
      </c>
      <c r="U29" s="1125"/>
      <c r="V29" s="1124">
        <v>0</v>
      </c>
      <c r="W29" s="1125"/>
      <c r="X29" s="1124">
        <v>0</v>
      </c>
      <c r="Y29" s="1125"/>
      <c r="Z29" s="1126">
        <v>0</v>
      </c>
      <c r="AA29" s="1126"/>
      <c r="AB29" s="1126">
        <v>0</v>
      </c>
      <c r="AC29" s="1126"/>
      <c r="AD29" s="851"/>
      <c r="AE29" s="1137" t="s">
        <v>1362</v>
      </c>
      <c r="AF29" s="1128"/>
      <c r="AG29" s="1128"/>
      <c r="AH29" s="1088">
        <f t="shared" si="4"/>
        <v>0</v>
      </c>
      <c r="AI29" s="1128">
        <f t="shared" si="4"/>
        <v>0</v>
      </c>
      <c r="AJ29" s="1088">
        <f t="shared" si="4"/>
        <v>0</v>
      </c>
      <c r="AK29" s="1128">
        <f t="shared" si="4"/>
        <v>0</v>
      </c>
      <c r="AL29" s="1088">
        <f t="shared" si="4"/>
        <v>0</v>
      </c>
      <c r="AM29" s="1128">
        <f t="shared" si="4"/>
        <v>0</v>
      </c>
      <c r="AN29" s="1088">
        <f t="shared" si="4"/>
        <v>0</v>
      </c>
      <c r="AO29" s="1128">
        <f t="shared" si="4"/>
        <v>0</v>
      </c>
      <c r="AP29" s="1088">
        <f t="shared" si="4"/>
        <v>0</v>
      </c>
      <c r="AQ29" s="1128">
        <f t="shared" si="4"/>
        <v>0</v>
      </c>
      <c r="AR29" s="1088">
        <f t="shared" si="5"/>
        <v>0</v>
      </c>
      <c r="AS29" s="1128">
        <f t="shared" si="5"/>
        <v>0</v>
      </c>
      <c r="AT29" s="1088">
        <f t="shared" si="5"/>
        <v>0</v>
      </c>
      <c r="AU29" s="1128">
        <f t="shared" si="5"/>
        <v>0</v>
      </c>
      <c r="AV29" s="1088">
        <f t="shared" si="5"/>
        <v>0</v>
      </c>
      <c r="AW29" s="1128">
        <f t="shared" si="5"/>
        <v>0</v>
      </c>
      <c r="AX29" s="1088">
        <f t="shared" si="5"/>
        <v>0</v>
      </c>
      <c r="AY29" s="1128"/>
      <c r="AZ29" s="1088">
        <f t="shared" si="6"/>
        <v>0</v>
      </c>
      <c r="BA29" s="1128">
        <f t="shared" si="6"/>
        <v>0</v>
      </c>
      <c r="BB29" s="1088">
        <f t="shared" si="6"/>
        <v>0</v>
      </c>
      <c r="BC29" s="1128">
        <f t="shared" si="6"/>
        <v>0</v>
      </c>
      <c r="BD29" s="1129">
        <f t="shared" si="6"/>
        <v>0</v>
      </c>
      <c r="BE29" s="1129"/>
      <c r="BF29" s="1129">
        <f t="shared" si="7"/>
        <v>0</v>
      </c>
      <c r="BG29" s="825"/>
      <c r="BH29" s="852"/>
      <c r="BI29" s="1136"/>
      <c r="BJ29" s="1136"/>
    </row>
    <row r="30" spans="2:62" s="1135" customFormat="1" ht="15" customHeight="1" x14ac:dyDescent="0.25">
      <c r="B30" s="848"/>
      <c r="C30" s="866"/>
      <c r="D30" s="1124"/>
      <c r="E30" s="1125"/>
      <c r="F30" s="1124"/>
      <c r="G30" s="1125"/>
      <c r="H30" s="1124"/>
      <c r="I30" s="1125"/>
      <c r="J30" s="1124"/>
      <c r="K30" s="1125"/>
      <c r="L30" s="1124"/>
      <c r="M30" s="1125"/>
      <c r="N30" s="1124"/>
      <c r="O30" s="1125"/>
      <c r="P30" s="1124"/>
      <c r="Q30" s="1125"/>
      <c r="R30" s="1124"/>
      <c r="S30" s="1125"/>
      <c r="T30" s="1124"/>
      <c r="U30" s="1125"/>
      <c r="V30" s="1124"/>
      <c r="W30" s="1125"/>
      <c r="X30" s="1124"/>
      <c r="Y30" s="1125"/>
      <c r="Z30" s="1126"/>
      <c r="AA30" s="1126"/>
      <c r="AB30" s="1126"/>
      <c r="AC30" s="1126"/>
      <c r="AD30" s="851"/>
      <c r="AE30" s="1137"/>
      <c r="AF30" s="1128"/>
      <c r="AG30" s="1128"/>
      <c r="AH30" s="1088"/>
      <c r="AI30" s="1128"/>
      <c r="AJ30" s="1088"/>
      <c r="AK30" s="1128"/>
      <c r="AL30" s="1088"/>
      <c r="AM30" s="1128"/>
      <c r="AN30" s="1088"/>
      <c r="AO30" s="1128"/>
      <c r="AP30" s="1088"/>
      <c r="AQ30" s="1128"/>
      <c r="AR30" s="1088"/>
      <c r="AS30" s="1128"/>
      <c r="AT30" s="1088"/>
      <c r="AU30" s="1128"/>
      <c r="AV30" s="1088"/>
      <c r="AW30" s="1128"/>
      <c r="AX30" s="1088"/>
      <c r="AY30" s="1128"/>
      <c r="AZ30" s="1088"/>
      <c r="BA30" s="1128"/>
      <c r="BB30" s="1088"/>
      <c r="BC30" s="1128"/>
      <c r="BD30" s="1129"/>
      <c r="BE30" s="1129"/>
      <c r="BF30" s="1129"/>
      <c r="BG30" s="825"/>
      <c r="BH30" s="852"/>
      <c r="BI30" s="1136"/>
      <c r="BJ30" s="1136"/>
    </row>
    <row r="31" spans="2:62" s="1135" customFormat="1" ht="15" customHeight="1" thickBot="1" x14ac:dyDescent="0.3">
      <c r="B31" s="1139"/>
      <c r="C31" s="849" t="s">
        <v>2126</v>
      </c>
      <c r="D31" s="1131">
        <f>D22+SUBTOTAL(109,D23:D30)</f>
        <v>20002050000</v>
      </c>
      <c r="E31" s="1117"/>
      <c r="F31" s="1131">
        <f>F22+SUBTOTAL(109,F23:F30)</f>
        <v>1593954840</v>
      </c>
      <c r="G31" s="1117"/>
      <c r="H31" s="1131">
        <f>SUBTOTAL(109,H22:H30)</f>
        <v>0</v>
      </c>
      <c r="I31" s="1117"/>
      <c r="J31" s="1131">
        <f>J22+SUBTOTAL(109,J23:J30)</f>
        <v>17380958861</v>
      </c>
      <c r="K31" s="1117"/>
      <c r="L31" s="1131">
        <f>L22+SUBTOTAL(109,L23:L30)</f>
        <v>-2050000</v>
      </c>
      <c r="M31" s="1117"/>
      <c r="N31" s="1131">
        <f>SUBTOTAL(109,N22:N30)</f>
        <v>0</v>
      </c>
      <c r="O31" s="1117"/>
      <c r="P31" s="1131">
        <f>SUBTOTAL(109,P22:P30)</f>
        <v>0</v>
      </c>
      <c r="Q31" s="1117"/>
      <c r="R31" s="1131">
        <f>R22+SUBTOTAL(109,R23:R30)</f>
        <v>9212585483</v>
      </c>
      <c r="S31" s="1117"/>
      <c r="T31" s="1131">
        <f>SUBTOTAL(109,T22:T30)</f>
        <v>0</v>
      </c>
      <c r="U31" s="1117"/>
      <c r="V31" s="1131">
        <f>SUBTOTAL(109,V22:V30)</f>
        <v>0</v>
      </c>
      <c r="W31" s="1117"/>
      <c r="X31" s="1131">
        <f>X22+SUBTOTAL(109,X23:X30)</f>
        <v>256169959</v>
      </c>
      <c r="Y31" s="1117"/>
      <c r="Z31" s="1131">
        <f>SUBTOTAL(109,Z22:Z30)</f>
        <v>0</v>
      </c>
      <c r="AA31" s="1117"/>
      <c r="AB31" s="1131">
        <f>AB22+AB25+AB28+AB29</f>
        <v>48443669143</v>
      </c>
      <c r="AC31" s="1132"/>
      <c r="AD31" s="1119"/>
      <c r="AE31" s="1140" t="s">
        <v>2127</v>
      </c>
      <c r="AF31" s="1121"/>
      <c r="AG31" s="1121"/>
      <c r="AH31" s="1133">
        <f>AH22+SUBTOTAL(109,AH23:AH30)</f>
        <v>20002050000</v>
      </c>
      <c r="AI31" s="1121"/>
      <c r="AJ31" s="1133">
        <f>AJ22+SUBTOTAL(109,AJ23:AJ30)</f>
        <v>1593954840</v>
      </c>
      <c r="AK31" s="1121"/>
      <c r="AL31" s="1133">
        <f>AL22+SUBTOTAL(109,AL23:AL30)</f>
        <v>0</v>
      </c>
      <c r="AM31" s="1121"/>
      <c r="AN31" s="1133">
        <f>AN22+SUBTOTAL(109,AN23:AN30)</f>
        <v>17380958861</v>
      </c>
      <c r="AO31" s="1121"/>
      <c r="AP31" s="1133">
        <f>AP22+SUBTOTAL(109,AP23:AP30)</f>
        <v>-2050000</v>
      </c>
      <c r="AQ31" s="1121"/>
      <c r="AR31" s="1133">
        <f>AR22+SUBTOTAL(109,AR23:AR30)</f>
        <v>0</v>
      </c>
      <c r="AS31" s="1121"/>
      <c r="AT31" s="1133">
        <f>AT22+SUBTOTAL(109,AT23:AT30)</f>
        <v>0</v>
      </c>
      <c r="AU31" s="1121"/>
      <c r="AV31" s="1133">
        <f>AV22+SUBTOTAL(109,AV23:AV30)</f>
        <v>9212585483</v>
      </c>
      <c r="AW31" s="1121"/>
      <c r="AX31" s="1133">
        <f>AX22+SUBTOTAL(109,AX23:AX30)</f>
        <v>0</v>
      </c>
      <c r="AY31" s="1121"/>
      <c r="AZ31" s="1133">
        <f>AZ22+SUBTOTAL(109,AZ23:AZ30)</f>
        <v>0</v>
      </c>
      <c r="BA31" s="1121"/>
      <c r="BB31" s="1133">
        <f>BB22+SUBTOTAL(109,BB23:BB30)</f>
        <v>256169959</v>
      </c>
      <c r="BC31" s="1121"/>
      <c r="BD31" s="1133">
        <f>BD22+SUBTOTAL(109,BD23:BD30)</f>
        <v>0</v>
      </c>
      <c r="BE31" s="1122"/>
      <c r="BF31" s="1133">
        <f>BF22+SUM(BF23:BF30)</f>
        <v>48443669143</v>
      </c>
      <c r="BG31" s="1134"/>
      <c r="BH31" s="868"/>
      <c r="BI31" s="1136"/>
      <c r="BJ31" s="1136"/>
    </row>
    <row r="32" spans="2:62" s="1135" customFormat="1" ht="15" customHeight="1" thickTop="1" x14ac:dyDescent="0.25">
      <c r="B32" s="1139"/>
      <c r="C32" s="849"/>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8"/>
      <c r="AD32" s="1119"/>
      <c r="AE32" s="1140"/>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2"/>
      <c r="BF32" s="1121"/>
      <c r="BG32" s="1123"/>
      <c r="BH32" s="868"/>
      <c r="BI32" s="1136"/>
      <c r="BJ32" s="1136"/>
    </row>
    <row r="33" spans="1:62" s="1135" customFormat="1" ht="15" customHeight="1" x14ac:dyDescent="0.25">
      <c r="B33" s="1139"/>
      <c r="C33" s="1036" t="s">
        <v>2128</v>
      </c>
      <c r="D33" s="1117"/>
      <c r="E33" s="1117"/>
      <c r="F33" s="1117"/>
      <c r="G33" s="1117"/>
      <c r="H33" s="1117"/>
      <c r="I33" s="1117"/>
      <c r="J33" s="1117"/>
      <c r="K33" s="1117"/>
      <c r="L33" s="1117"/>
      <c r="M33" s="1117"/>
      <c r="N33" s="1117"/>
      <c r="O33" s="1117"/>
      <c r="P33" s="1117"/>
      <c r="Q33" s="1117"/>
      <c r="R33" s="1117"/>
      <c r="S33" s="1117"/>
      <c r="T33" s="1117"/>
      <c r="U33" s="1117"/>
      <c r="V33" s="1117"/>
      <c r="W33" s="1117"/>
      <c r="X33" s="1117"/>
      <c r="Y33" s="1117"/>
      <c r="Z33" s="1117"/>
      <c r="AA33" s="1117"/>
      <c r="AB33" s="1117"/>
      <c r="AC33" s="1118"/>
      <c r="AD33" s="1119"/>
      <c r="AE33" s="1140"/>
      <c r="AF33" s="1121"/>
      <c r="AG33" s="1121"/>
      <c r="AH33" s="1121"/>
      <c r="AI33" s="1121"/>
      <c r="AJ33" s="1121"/>
      <c r="AK33" s="1121"/>
      <c r="AL33" s="1121"/>
      <c r="AM33" s="1121"/>
      <c r="AN33" s="1121"/>
      <c r="AO33" s="1121"/>
      <c r="AP33" s="1121"/>
      <c r="AQ33" s="1121"/>
      <c r="AR33" s="1121"/>
      <c r="AS33" s="1121"/>
      <c r="AT33" s="1121"/>
      <c r="AU33" s="1121"/>
      <c r="AV33" s="1121"/>
      <c r="AW33" s="1121"/>
      <c r="AX33" s="1121"/>
      <c r="AY33" s="1121"/>
      <c r="AZ33" s="1121"/>
      <c r="BA33" s="1121"/>
      <c r="BB33" s="1121"/>
      <c r="BC33" s="1121"/>
      <c r="BD33" s="1121"/>
      <c r="BE33" s="1122"/>
      <c r="BF33" s="1121"/>
      <c r="BG33" s="1123"/>
      <c r="BH33" s="868"/>
      <c r="BI33" s="1136"/>
      <c r="BJ33" s="1136"/>
    </row>
    <row r="34" spans="1:62" s="1078" customFormat="1" ht="15" customHeight="1" x14ac:dyDescent="0.25">
      <c r="A34" s="1141"/>
      <c r="B34" s="823"/>
      <c r="C34" s="823"/>
      <c r="D34" s="1142"/>
      <c r="E34" s="1142"/>
      <c r="F34" s="1143" t="s">
        <v>2129</v>
      </c>
      <c r="G34" s="1144"/>
      <c r="H34" s="1144"/>
      <c r="I34" s="1144"/>
      <c r="J34" s="1145" t="str">
        <f>[4]Thuyet_minh!V1281</f>
        <v>Tỷ lệ</v>
      </c>
      <c r="K34" s="1144"/>
      <c r="L34" s="1143" t="s">
        <v>2130</v>
      </c>
      <c r="M34" s="1146"/>
      <c r="N34" s="1144"/>
      <c r="O34" s="1144"/>
      <c r="P34" s="1144"/>
      <c r="Q34" s="1146"/>
      <c r="R34" s="1145" t="str">
        <f>[4]Thuyet_minh!AG1281</f>
        <v>Tỷ lệ</v>
      </c>
      <c r="S34" s="1147"/>
      <c r="T34" s="1147"/>
      <c r="U34" s="1147"/>
      <c r="V34" s="1142"/>
      <c r="W34" s="1147"/>
      <c r="X34" s="1142"/>
      <c r="Y34" s="1082"/>
      <c r="Z34" s="1129"/>
      <c r="AA34" s="1129"/>
      <c r="AB34" s="1129"/>
      <c r="AC34" s="1129"/>
      <c r="AD34" s="1129"/>
      <c r="AE34" s="1148"/>
      <c r="AF34" s="1088"/>
      <c r="AG34" s="1088"/>
      <c r="AH34" s="1075"/>
      <c r="AI34" s="1082"/>
      <c r="AJ34" s="1075"/>
      <c r="AK34" s="1082"/>
      <c r="AL34" s="1075"/>
      <c r="AM34" s="1082"/>
      <c r="AN34" s="1075"/>
      <c r="AO34" s="1082"/>
      <c r="AP34" s="1075"/>
      <c r="AQ34" s="1082"/>
      <c r="AR34" s="1075"/>
      <c r="AS34" s="1082"/>
      <c r="AT34" s="1075"/>
      <c r="AU34" s="1082"/>
      <c r="AV34" s="1075"/>
      <c r="AW34" s="1082"/>
      <c r="AX34" s="1082"/>
      <c r="AY34" s="1082"/>
      <c r="AZ34" s="1075"/>
      <c r="BA34" s="1082"/>
      <c r="BB34" s="1075"/>
      <c r="BC34" s="1082"/>
      <c r="BD34" s="1129"/>
      <c r="BE34" s="1129"/>
      <c r="BF34" s="1129"/>
      <c r="BG34" s="825"/>
      <c r="BH34" s="825"/>
      <c r="BI34" s="1079"/>
      <c r="BJ34" s="1079"/>
    </row>
    <row r="35" spans="1:62" ht="12.75" x14ac:dyDescent="0.2">
      <c r="A35" s="1149"/>
      <c r="B35" s="1150"/>
      <c r="C35" s="1150"/>
      <c r="D35" s="1151"/>
      <c r="E35" s="1151"/>
      <c r="F35" s="1144" t="str">
        <f>[4]Thuyet_minh!O1282</f>
        <v>VND</v>
      </c>
      <c r="G35" s="1152"/>
      <c r="H35" s="1152"/>
      <c r="I35" s="1152"/>
      <c r="J35" s="1144" t="str">
        <f>[4]Thuyet_minh!V1282</f>
        <v>%</v>
      </c>
      <c r="K35" s="1152"/>
      <c r="L35" s="1144" t="str">
        <f>[4]Thuyet_minh!Z1282</f>
        <v>VND</v>
      </c>
      <c r="M35" s="1152"/>
      <c r="N35" s="1152"/>
      <c r="O35" s="1152"/>
      <c r="P35" s="1152"/>
      <c r="Q35" s="1153"/>
      <c r="R35" s="1144" t="str">
        <f>[4]Thuyet_minh!AG1282</f>
        <v>%</v>
      </c>
      <c r="S35" s="1151"/>
      <c r="T35" s="1151"/>
      <c r="U35" s="1151"/>
      <c r="V35" s="1151"/>
      <c r="W35" s="1154"/>
      <c r="X35" s="1151"/>
      <c r="Y35" s="1151"/>
      <c r="Z35" s="1151"/>
      <c r="AA35" s="1151"/>
      <c r="AB35" s="1151"/>
      <c r="AC35" s="1155"/>
      <c r="AD35" s="1129"/>
      <c r="AE35" s="1151"/>
      <c r="AF35" s="1151"/>
      <c r="AG35" s="1151"/>
      <c r="AH35" s="1151"/>
      <c r="AI35" s="1151"/>
      <c r="AJ35" s="1151"/>
      <c r="AK35" s="1151"/>
      <c r="AL35" s="1151"/>
      <c r="AM35" s="1151"/>
      <c r="AN35" s="1151"/>
      <c r="AO35" s="1151"/>
      <c r="AP35" s="1151"/>
      <c r="AQ35" s="1151"/>
      <c r="AR35" s="1151"/>
      <c r="AS35" s="1151"/>
      <c r="AT35" s="1151"/>
      <c r="AU35" s="1151"/>
      <c r="AV35" s="1151"/>
      <c r="AW35" s="1151"/>
      <c r="AX35" s="1151"/>
      <c r="AY35" s="1151"/>
      <c r="AZ35" s="1151"/>
      <c r="BA35" s="1151"/>
      <c r="BB35" s="1151"/>
      <c r="BC35" s="1151"/>
      <c r="BD35" s="1151"/>
      <c r="BE35" s="1151"/>
      <c r="BF35" s="1151"/>
      <c r="BG35" s="1156"/>
      <c r="BH35" s="825"/>
      <c r="BI35" s="1074"/>
      <c r="BJ35" s="1074"/>
    </row>
    <row r="36" spans="1:62" ht="12.75" x14ac:dyDescent="0.2">
      <c r="A36" s="1149"/>
      <c r="B36" s="1150"/>
      <c r="C36" s="1150"/>
      <c r="D36" s="1151"/>
      <c r="E36" s="1151"/>
      <c r="F36" s="1142"/>
      <c r="G36" s="1151"/>
      <c r="H36" s="1151"/>
      <c r="I36" s="1151"/>
      <c r="J36" s="1142"/>
      <c r="K36" s="1151"/>
      <c r="L36" s="1142"/>
      <c r="M36" s="1151"/>
      <c r="N36" s="1151"/>
      <c r="O36" s="1151"/>
      <c r="P36" s="1151"/>
      <c r="Q36" s="1154"/>
      <c r="R36" s="1142"/>
      <c r="S36" s="1151"/>
      <c r="T36" s="1151"/>
      <c r="U36" s="1151"/>
      <c r="V36" s="1151"/>
      <c r="W36" s="1154"/>
      <c r="X36" s="1151"/>
      <c r="Y36" s="1151"/>
      <c r="Z36" s="1151"/>
      <c r="AA36" s="1151"/>
      <c r="AB36" s="1151"/>
      <c r="AC36" s="1155"/>
      <c r="AD36" s="1129"/>
      <c r="AE36" s="1151"/>
      <c r="AF36" s="1151"/>
      <c r="AG36" s="1151"/>
      <c r="AH36" s="1151"/>
      <c r="AI36" s="1151"/>
      <c r="AJ36" s="1151"/>
      <c r="AK36" s="1151"/>
      <c r="AL36" s="1151"/>
      <c r="AM36" s="1151"/>
      <c r="AN36" s="1151"/>
      <c r="AO36" s="1151"/>
      <c r="AP36" s="1151"/>
      <c r="AQ36" s="1151"/>
      <c r="AR36" s="1151"/>
      <c r="AS36" s="1151"/>
      <c r="AT36" s="1151"/>
      <c r="AU36" s="1151"/>
      <c r="AV36" s="1151"/>
      <c r="AW36" s="1151"/>
      <c r="AX36" s="1151"/>
      <c r="AY36" s="1151"/>
      <c r="AZ36" s="1151"/>
      <c r="BA36" s="1151"/>
      <c r="BB36" s="1151"/>
      <c r="BC36" s="1151"/>
      <c r="BD36" s="1151"/>
      <c r="BE36" s="1151"/>
      <c r="BF36" s="1151"/>
      <c r="BG36" s="1156"/>
      <c r="BH36" s="825"/>
      <c r="BI36" s="1074"/>
      <c r="BJ36" s="1074"/>
    </row>
    <row r="37" spans="1:62" ht="15" customHeight="1" x14ac:dyDescent="0.2">
      <c r="A37" s="1149"/>
      <c r="B37" s="1150"/>
      <c r="C37" s="1150" t="str">
        <f>[4]Thuyet_minh!C1284</f>
        <v>Tổng Công ty Viglacera</v>
      </c>
      <c r="D37" s="1151"/>
      <c r="E37" s="1151"/>
      <c r="F37" s="1142">
        <v>4987120000</v>
      </c>
      <c r="G37" s="1151"/>
      <c r="H37" s="1151"/>
      <c r="I37" s="1151"/>
      <c r="J37" s="1157">
        <f>F37/$F$43*100</f>
        <v>24.933044362952796</v>
      </c>
      <c r="K37" s="1151"/>
      <c r="L37" s="1142">
        <v>4987120000</v>
      </c>
      <c r="M37" s="1151"/>
      <c r="N37" s="1151"/>
      <c r="O37" s="1151"/>
      <c r="P37" s="1151"/>
      <c r="Q37" s="1154"/>
      <c r="R37" s="1157">
        <f>L37/$L$43*100</f>
        <v>24.933044362952796</v>
      </c>
      <c r="S37" s="1151"/>
      <c r="T37" s="1151"/>
      <c r="U37" s="1151"/>
      <c r="V37" s="1151"/>
      <c r="W37" s="1154"/>
      <c r="X37" s="1151"/>
      <c r="Y37" s="1151"/>
      <c r="Z37" s="1151"/>
      <c r="AA37" s="1151"/>
      <c r="AB37" s="1151"/>
      <c r="AC37" s="1155"/>
      <c r="AD37" s="1129"/>
      <c r="AE37" s="1151"/>
      <c r="AF37" s="1151"/>
      <c r="AG37" s="1151"/>
      <c r="AH37" s="1151"/>
      <c r="AI37" s="1151"/>
      <c r="AJ37" s="1151"/>
      <c r="AK37" s="1151"/>
      <c r="AL37" s="1151"/>
      <c r="AM37" s="1151"/>
      <c r="AN37" s="1151"/>
      <c r="AO37" s="1151"/>
      <c r="AP37" s="1151"/>
      <c r="AQ37" s="1151"/>
      <c r="AR37" s="1151"/>
      <c r="AS37" s="1151"/>
      <c r="AT37" s="1151"/>
      <c r="AU37" s="1151"/>
      <c r="AV37" s="1151"/>
      <c r="AW37" s="1151"/>
      <c r="AX37" s="1151"/>
      <c r="AY37" s="1151"/>
      <c r="AZ37" s="1151"/>
      <c r="BA37" s="1151"/>
      <c r="BB37" s="1151"/>
      <c r="BC37" s="1151"/>
      <c r="BD37" s="1151"/>
      <c r="BE37" s="1151"/>
      <c r="BF37" s="1151"/>
      <c r="BG37" s="1156"/>
      <c r="BH37" s="825"/>
      <c r="BI37" s="1074"/>
      <c r="BJ37" s="1074"/>
    </row>
    <row r="38" spans="1:62" ht="15" hidden="1" customHeight="1" x14ac:dyDescent="0.2">
      <c r="A38" s="1149"/>
      <c r="B38" s="1150"/>
      <c r="C38" s="1141" t="str">
        <f>[4]Thuyet_minh!C1285</f>
        <v>Công ty Cổ phần  Chứng khoán Tân Việt</v>
      </c>
      <c r="D38" s="1151"/>
      <c r="E38" s="1151"/>
      <c r="F38" s="1142"/>
      <c r="G38" s="1151"/>
      <c r="H38" s="1151"/>
      <c r="I38" s="1151"/>
      <c r="J38" s="1157">
        <f>F38/$F$43*100</f>
        <v>0</v>
      </c>
      <c r="K38" s="1151"/>
      <c r="L38" s="1142"/>
      <c r="M38" s="1151"/>
      <c r="N38" s="1151"/>
      <c r="O38" s="1151"/>
      <c r="P38" s="1151"/>
      <c r="Q38" s="1154"/>
      <c r="R38" s="1157">
        <f>L38/$L$43*100</f>
        <v>0</v>
      </c>
      <c r="S38" s="1151"/>
      <c r="T38" s="1151"/>
      <c r="U38" s="1151"/>
      <c r="V38" s="1151"/>
      <c r="W38" s="1154"/>
      <c r="X38" s="1151"/>
      <c r="Y38" s="1151"/>
      <c r="Z38" s="1151"/>
      <c r="AA38" s="1151"/>
      <c r="AB38" s="1151"/>
      <c r="AC38" s="1155"/>
      <c r="AD38" s="1129"/>
      <c r="AE38" s="1151"/>
      <c r="AF38" s="1151"/>
      <c r="AG38" s="1151"/>
      <c r="AH38" s="1151"/>
      <c r="AI38" s="1151"/>
      <c r="AJ38" s="1151"/>
      <c r="AK38" s="1151"/>
      <c r="AL38" s="1151"/>
      <c r="AM38" s="1151"/>
      <c r="AN38" s="1151"/>
      <c r="AO38" s="1151"/>
      <c r="AP38" s="1151"/>
      <c r="AQ38" s="1151"/>
      <c r="AR38" s="1151"/>
      <c r="AS38" s="1151"/>
      <c r="AT38" s="1151"/>
      <c r="AU38" s="1151"/>
      <c r="AV38" s="1151"/>
      <c r="AW38" s="1151"/>
      <c r="AX38" s="1151"/>
      <c r="AY38" s="1151"/>
      <c r="AZ38" s="1151"/>
      <c r="BA38" s="1151"/>
      <c r="BB38" s="1151"/>
      <c r="BC38" s="1151"/>
      <c r="BD38" s="1151"/>
      <c r="BE38" s="1151"/>
      <c r="BF38" s="1151"/>
      <c r="BG38" s="1156"/>
      <c r="BH38" s="825"/>
      <c r="BI38" s="1074"/>
      <c r="BJ38" s="1074"/>
    </row>
    <row r="39" spans="1:62" ht="15" customHeight="1" x14ac:dyDescent="0.2">
      <c r="A39" s="1149"/>
      <c r="B39" s="1150"/>
      <c r="C39" s="1150" t="str">
        <f>[4]Thuyet_minh!C1286</f>
        <v>Ông Nguyễn Văn Cơ</v>
      </c>
      <c r="D39" s="1151"/>
      <c r="E39" s="1151"/>
      <c r="F39" s="1142">
        <f>192392*10000</f>
        <v>1923920000</v>
      </c>
      <c r="G39" s="1151"/>
      <c r="H39" s="1151"/>
      <c r="I39" s="1151"/>
      <c r="J39" s="1157">
        <f>F39/$F$43*100</f>
        <v>9.6186140920555641</v>
      </c>
      <c r="K39" s="1151"/>
      <c r="L39" s="1142">
        <v>1791070000</v>
      </c>
      <c r="M39" s="1151"/>
      <c r="N39" s="1151"/>
      <c r="O39" s="1151"/>
      <c r="P39" s="1151"/>
      <c r="Q39" s="1154"/>
      <c r="R39" s="1157">
        <f>L39/$L$43*100</f>
        <v>8.9544321707025034</v>
      </c>
      <c r="S39" s="1151"/>
      <c r="T39" s="1151"/>
      <c r="U39" s="1151"/>
      <c r="V39" s="1151"/>
      <c r="W39" s="1154"/>
      <c r="X39" s="1151"/>
      <c r="Y39" s="1151"/>
      <c r="Z39" s="1151"/>
      <c r="AA39" s="1151"/>
      <c r="AB39" s="1151"/>
      <c r="AC39" s="1155"/>
      <c r="AD39" s="1129"/>
      <c r="AE39" s="1151"/>
      <c r="AF39" s="1151"/>
      <c r="AG39" s="1151"/>
      <c r="AH39" s="1151"/>
      <c r="AI39" s="1151"/>
      <c r="AJ39" s="1151"/>
      <c r="AK39" s="1151"/>
      <c r="AL39" s="1151"/>
      <c r="AM39" s="1151"/>
      <c r="AN39" s="1151"/>
      <c r="AO39" s="1151"/>
      <c r="AP39" s="1151"/>
      <c r="AQ39" s="1151"/>
      <c r="AR39" s="1151"/>
      <c r="AS39" s="1151"/>
      <c r="AT39" s="1151"/>
      <c r="AU39" s="1151"/>
      <c r="AV39" s="1151"/>
      <c r="AW39" s="1151"/>
      <c r="AX39" s="1151"/>
      <c r="AY39" s="1151"/>
      <c r="AZ39" s="1151"/>
      <c r="BA39" s="1151"/>
      <c r="BB39" s="1151"/>
      <c r="BC39" s="1151"/>
      <c r="BD39" s="1151"/>
      <c r="BE39" s="1151"/>
      <c r="BF39" s="1151"/>
      <c r="BG39" s="1156"/>
      <c r="BH39" s="825"/>
      <c r="BI39" s="1074"/>
      <c r="BJ39" s="1074"/>
    </row>
    <row r="40" spans="1:62" ht="15" customHeight="1" x14ac:dyDescent="0.2">
      <c r="A40" s="1149"/>
      <c r="B40" s="1150"/>
      <c r="C40" s="1150" t="str">
        <f>[4]Thuyet_minh!C1287</f>
        <v>America LLC</v>
      </c>
      <c r="D40" s="1151"/>
      <c r="E40" s="1151"/>
      <c r="F40" s="1142">
        <f>407390*10000</f>
        <v>4073900000</v>
      </c>
      <c r="G40" s="1151"/>
      <c r="H40" s="1151"/>
      <c r="I40" s="1151"/>
      <c r="J40" s="1157">
        <f>F40/$F$43*100</f>
        <v>20.367412340235123</v>
      </c>
      <c r="K40" s="1151"/>
      <c r="L40" s="1142">
        <v>3212900000</v>
      </c>
      <c r="M40" s="1151"/>
      <c r="N40" s="1151"/>
      <c r="O40" s="1151"/>
      <c r="P40" s="1151"/>
      <c r="Q40" s="1154"/>
      <c r="R40" s="1157">
        <f>L40/$L$43*100</f>
        <v>16.062853557510355</v>
      </c>
      <c r="S40" s="1151"/>
      <c r="T40" s="1151"/>
      <c r="U40" s="1151"/>
      <c r="V40" s="1151"/>
      <c r="W40" s="1154"/>
      <c r="X40" s="1151"/>
      <c r="Y40" s="1151"/>
      <c r="Z40" s="1151"/>
      <c r="AA40" s="1151"/>
      <c r="AB40" s="1151"/>
      <c r="AC40" s="1155"/>
      <c r="AD40" s="1129"/>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c r="BD40" s="1151"/>
      <c r="BE40" s="1151"/>
      <c r="BF40" s="1151"/>
      <c r="BG40" s="1156"/>
      <c r="BH40" s="825"/>
      <c r="BI40" s="1074"/>
      <c r="BJ40" s="1074"/>
    </row>
    <row r="41" spans="1:62" ht="15" customHeight="1" x14ac:dyDescent="0.2">
      <c r="A41" s="1149"/>
      <c r="B41" s="1150"/>
      <c r="C41" s="1141" t="str">
        <f>[4]Thuyet_minh!C1288</f>
        <v>Các đối tượng khác</v>
      </c>
      <c r="D41" s="1151"/>
      <c r="E41" s="1151"/>
      <c r="F41" s="1142">
        <f>9016670000+440000</f>
        <v>9017110000</v>
      </c>
      <c r="G41" s="1151"/>
      <c r="H41" s="1151"/>
      <c r="I41" s="1151"/>
      <c r="J41" s="1157">
        <f>F41/$F$43*100</f>
        <v>45.080929204756515</v>
      </c>
      <c r="K41" s="1151"/>
      <c r="L41" s="1142">
        <f>9034520000+976440000</f>
        <v>10010960000</v>
      </c>
      <c r="M41" s="1151"/>
      <c r="N41" s="1151"/>
      <c r="O41" s="1151"/>
      <c r="P41" s="1151"/>
      <c r="Q41" s="1154"/>
      <c r="R41" s="1157">
        <f>L41/$L$43*100</f>
        <v>50.049669908834346</v>
      </c>
      <c r="S41" s="1151"/>
      <c r="T41" s="1151"/>
      <c r="U41" s="1151"/>
      <c r="V41" s="1151"/>
      <c r="W41" s="1154"/>
      <c r="X41" s="1151"/>
      <c r="Y41" s="1151"/>
      <c r="Z41" s="1151"/>
      <c r="AA41" s="1151"/>
      <c r="AB41" s="1151"/>
      <c r="AC41" s="1155"/>
      <c r="AD41" s="1129"/>
      <c r="AE41" s="1151"/>
      <c r="AF41" s="1151"/>
      <c r="AG41" s="1151"/>
      <c r="AH41" s="1151"/>
      <c r="AI41" s="1151"/>
      <c r="AJ41" s="1151"/>
      <c r="AK41" s="1151"/>
      <c r="AL41" s="1151"/>
      <c r="AM41" s="1151"/>
      <c r="AN41" s="1151"/>
      <c r="AO41" s="1151"/>
      <c r="AP41" s="1151"/>
      <c r="AQ41" s="1151"/>
      <c r="AR41" s="1151"/>
      <c r="AS41" s="1151"/>
      <c r="AT41" s="1151"/>
      <c r="AU41" s="1151"/>
      <c r="AV41" s="1151"/>
      <c r="AW41" s="1151"/>
      <c r="AX41" s="1151"/>
      <c r="AY41" s="1151"/>
      <c r="AZ41" s="1151"/>
      <c r="BA41" s="1151"/>
      <c r="BB41" s="1151"/>
      <c r="BC41" s="1151"/>
      <c r="BD41" s="1151"/>
      <c r="BE41" s="1151"/>
      <c r="BF41" s="1151"/>
      <c r="BG41" s="1156"/>
      <c r="BH41" s="825"/>
      <c r="BI41" s="1074"/>
      <c r="BJ41" s="1074"/>
    </row>
    <row r="42" spans="1:62" ht="12.75" x14ac:dyDescent="0.2">
      <c r="A42" s="1149"/>
      <c r="B42" s="1150"/>
      <c r="C42" s="1150"/>
      <c r="D42" s="1151"/>
      <c r="E42" s="1151"/>
      <c r="F42" s="1142"/>
      <c r="G42" s="1151"/>
      <c r="H42" s="1151"/>
      <c r="I42" s="1151"/>
      <c r="J42" s="1157"/>
      <c r="K42" s="1151"/>
      <c r="L42" s="1142"/>
      <c r="M42" s="1151"/>
      <c r="N42" s="1151"/>
      <c r="O42" s="1151"/>
      <c r="P42" s="1151"/>
      <c r="Q42" s="1154"/>
      <c r="R42" s="1142"/>
      <c r="S42" s="1151"/>
      <c r="T42" s="1151"/>
      <c r="U42" s="1151"/>
      <c r="V42" s="1151"/>
      <c r="W42" s="1154"/>
      <c r="X42" s="1151"/>
      <c r="Y42" s="1151"/>
      <c r="Z42" s="1151"/>
      <c r="AA42" s="1151"/>
      <c r="AB42" s="1151"/>
      <c r="AC42" s="1155"/>
      <c r="AD42" s="1129"/>
      <c r="AE42" s="1151"/>
      <c r="AF42" s="1151"/>
      <c r="AG42" s="1151"/>
      <c r="AH42" s="1151"/>
      <c r="AI42" s="1151"/>
      <c r="AJ42" s="1151"/>
      <c r="AK42" s="1151"/>
      <c r="AL42" s="1151"/>
      <c r="AM42" s="1151"/>
      <c r="AN42" s="1151"/>
      <c r="AO42" s="1151"/>
      <c r="AP42" s="1151"/>
      <c r="AQ42" s="1151"/>
      <c r="AR42" s="1151"/>
      <c r="AS42" s="1151"/>
      <c r="AT42" s="1151"/>
      <c r="AU42" s="1151"/>
      <c r="AV42" s="1151"/>
      <c r="AW42" s="1151"/>
      <c r="AX42" s="1151"/>
      <c r="AY42" s="1151"/>
      <c r="AZ42" s="1151"/>
      <c r="BA42" s="1151"/>
      <c r="BB42" s="1151"/>
      <c r="BC42" s="1151"/>
      <c r="BD42" s="1151"/>
      <c r="BE42" s="1151"/>
      <c r="BF42" s="1151"/>
      <c r="BG42" s="1156"/>
      <c r="BH42" s="825"/>
      <c r="BI42" s="1074"/>
      <c r="BJ42" s="1074"/>
    </row>
    <row r="43" spans="1:62" ht="15" customHeight="1" thickBot="1" x14ac:dyDescent="0.25">
      <c r="A43" s="1149"/>
      <c r="B43" s="1150"/>
      <c r="C43" s="1150"/>
      <c r="D43" s="1151"/>
      <c r="E43" s="1151"/>
      <c r="F43" s="1158">
        <f>SUBTOTAL(109,F37:F41)</f>
        <v>20002050000</v>
      </c>
      <c r="G43" s="1159"/>
      <c r="H43" s="1159"/>
      <c r="I43" s="1159"/>
      <c r="J43" s="1160">
        <f>SUBTOTAL(109,J37:J41)</f>
        <v>100</v>
      </c>
      <c r="K43" s="1159"/>
      <c r="L43" s="1158">
        <f>SUBTOTAL(109,L37:L41)</f>
        <v>20002050000</v>
      </c>
      <c r="M43" s="1159"/>
      <c r="N43" s="1159"/>
      <c r="O43" s="1159"/>
      <c r="P43" s="1159"/>
      <c r="Q43" s="1161"/>
      <c r="R43" s="1160">
        <f>SUBTOTAL(109,R37:R41)</f>
        <v>100</v>
      </c>
      <c r="S43" s="1151"/>
      <c r="T43" s="1151"/>
      <c r="U43" s="1151"/>
      <c r="V43" s="1151"/>
      <c r="W43" s="1154"/>
      <c r="X43" s="1151"/>
      <c r="Y43" s="1151"/>
      <c r="Z43" s="1151"/>
      <c r="AA43" s="1151"/>
      <c r="AB43" s="1151"/>
      <c r="AC43" s="1155"/>
      <c r="AD43" s="1129"/>
      <c r="AE43" s="1151"/>
      <c r="AF43" s="1151"/>
      <c r="AG43" s="1151"/>
      <c r="AH43" s="1151"/>
      <c r="AI43" s="1151"/>
      <c r="AJ43" s="1151"/>
      <c r="AK43" s="1151"/>
      <c r="AL43" s="1151"/>
      <c r="AM43" s="1151"/>
      <c r="AN43" s="1151"/>
      <c r="AO43" s="1151"/>
      <c r="AP43" s="1151"/>
      <c r="AQ43" s="1151"/>
      <c r="AR43" s="1151"/>
      <c r="AS43" s="1151"/>
      <c r="AT43" s="1151"/>
      <c r="AU43" s="1151"/>
      <c r="AV43" s="1151"/>
      <c r="AW43" s="1151"/>
      <c r="AX43" s="1151"/>
      <c r="AY43" s="1151"/>
      <c r="AZ43" s="1151"/>
      <c r="BA43" s="1151"/>
      <c r="BB43" s="1151"/>
      <c r="BC43" s="1151"/>
      <c r="BD43" s="1151"/>
      <c r="BE43" s="1151"/>
      <c r="BF43" s="1151"/>
      <c r="BG43" s="1156"/>
      <c r="BH43" s="825"/>
      <c r="BI43" s="1074"/>
      <c r="BJ43" s="1074"/>
    </row>
    <row r="44" spans="1:62" s="1135" customFormat="1" ht="15" customHeight="1" thickTop="1" x14ac:dyDescent="0.25">
      <c r="B44" s="1139"/>
      <c r="C44" s="849"/>
      <c r="D44" s="1117"/>
      <c r="E44" s="1117"/>
      <c r="F44" s="1117">
        <f>L43-F43</f>
        <v>0</v>
      </c>
      <c r="G44" s="1117"/>
      <c r="H44" s="1117"/>
      <c r="I44" s="1117"/>
      <c r="J44" s="1117"/>
      <c r="K44" s="1117"/>
      <c r="L44" s="1117"/>
      <c r="M44" s="1117"/>
      <c r="N44" s="1117"/>
      <c r="O44" s="1117"/>
      <c r="P44" s="1117"/>
      <c r="Q44" s="1117"/>
      <c r="R44" s="1117"/>
      <c r="S44" s="1117"/>
      <c r="T44" s="1117"/>
      <c r="U44" s="1117"/>
      <c r="V44" s="1117"/>
      <c r="W44" s="1117"/>
      <c r="X44" s="1117"/>
      <c r="Y44" s="1117"/>
      <c r="Z44" s="1117"/>
      <c r="AA44" s="1117"/>
      <c r="AB44" s="1117"/>
      <c r="AC44" s="1118"/>
      <c r="AD44" s="1119"/>
      <c r="AE44" s="1140"/>
      <c r="AF44" s="1121"/>
      <c r="AG44" s="1121"/>
      <c r="AH44" s="1121"/>
      <c r="AI44" s="1121"/>
      <c r="AJ44" s="1121"/>
      <c r="AK44" s="1121"/>
      <c r="AL44" s="1121"/>
      <c r="AM44" s="1121"/>
      <c r="AN44" s="1121"/>
      <c r="AO44" s="1121"/>
      <c r="AP44" s="1121"/>
      <c r="AQ44" s="1121"/>
      <c r="AR44" s="1121"/>
      <c r="AS44" s="1121"/>
      <c r="AT44" s="1121"/>
      <c r="AU44" s="1121"/>
      <c r="AV44" s="1121"/>
      <c r="AW44" s="1121"/>
      <c r="AX44" s="1121"/>
      <c r="AY44" s="1121"/>
      <c r="AZ44" s="1121"/>
      <c r="BA44" s="1121"/>
      <c r="BB44" s="1121"/>
      <c r="BC44" s="1121"/>
      <c r="BD44" s="1121"/>
      <c r="BE44" s="1122"/>
      <c r="BF44" s="1121"/>
      <c r="BG44" s="1123"/>
      <c r="BH44" s="868"/>
      <c r="BI44" s="1136"/>
      <c r="BJ44" s="1136"/>
    </row>
    <row r="45" spans="1:62" s="1078" customFormat="1" ht="4.5" customHeight="1" x14ac:dyDescent="0.25">
      <c r="A45" s="1141"/>
      <c r="B45" s="823"/>
      <c r="C45" s="823"/>
      <c r="D45" s="1075"/>
      <c r="E45" s="1075"/>
      <c r="F45" s="1075"/>
      <c r="G45" s="1075"/>
      <c r="H45" s="1075"/>
      <c r="I45" s="1075"/>
      <c r="J45" s="1075"/>
      <c r="K45" s="1075"/>
      <c r="L45" s="1075"/>
      <c r="M45" s="1082"/>
      <c r="N45" s="1075"/>
      <c r="O45" s="1075"/>
      <c r="P45" s="1075"/>
      <c r="Q45" s="1082"/>
      <c r="R45" s="1075"/>
      <c r="S45" s="1082"/>
      <c r="T45" s="1082"/>
      <c r="U45" s="1082"/>
      <c r="V45" s="1075"/>
      <c r="W45" s="1082"/>
      <c r="X45" s="1075"/>
      <c r="Y45" s="1082"/>
      <c r="Z45" s="1129"/>
      <c r="AA45" s="1129"/>
      <c r="AB45" s="1129"/>
      <c r="AC45" s="1129"/>
      <c r="AD45" s="1129"/>
      <c r="AE45" s="1148"/>
      <c r="AF45" s="1088"/>
      <c r="AG45" s="1088"/>
      <c r="AH45" s="1075"/>
      <c r="AI45" s="1082"/>
      <c r="AJ45" s="1075"/>
      <c r="AK45" s="1082"/>
      <c r="AL45" s="1075"/>
      <c r="AM45" s="1082"/>
      <c r="AN45" s="1075"/>
      <c r="AO45" s="1082"/>
      <c r="AP45" s="1075"/>
      <c r="AQ45" s="1082"/>
      <c r="AR45" s="1075"/>
      <c r="AS45" s="1082"/>
      <c r="AT45" s="1075"/>
      <c r="AU45" s="1082"/>
      <c r="AV45" s="1075"/>
      <c r="AW45" s="1082"/>
      <c r="AX45" s="1082"/>
      <c r="AY45" s="1082"/>
      <c r="AZ45" s="1075"/>
      <c r="BA45" s="1082"/>
      <c r="BB45" s="1075"/>
      <c r="BC45" s="1082"/>
      <c r="BD45" s="1129"/>
      <c r="BE45" s="1129"/>
      <c r="BF45" s="1129"/>
      <c r="BG45" s="825"/>
      <c r="BH45" s="825"/>
      <c r="BI45" s="1079"/>
      <c r="BJ45" s="1079"/>
    </row>
    <row r="46" spans="1:62" ht="12.75" hidden="1" x14ac:dyDescent="0.2">
      <c r="A46" s="1149" t="s">
        <v>2131</v>
      </c>
      <c r="B46" s="1150"/>
      <c r="C46" s="1150"/>
      <c r="D46" s="1151"/>
      <c r="E46" s="1151"/>
      <c r="F46" s="1151"/>
      <c r="G46" s="1151"/>
      <c r="H46" s="1151"/>
      <c r="I46" s="1151"/>
      <c r="J46" s="1151"/>
      <c r="K46" s="1151"/>
      <c r="L46" s="1151"/>
      <c r="M46" s="1151"/>
      <c r="N46" s="1151"/>
      <c r="O46" s="1151"/>
      <c r="P46" s="1151"/>
      <c r="Q46" s="1154"/>
      <c r="R46" s="1151"/>
      <c r="S46" s="1151"/>
      <c r="T46" s="1151"/>
      <c r="U46" s="1151"/>
      <c r="V46" s="1151"/>
      <c r="W46" s="1154"/>
      <c r="X46" s="1151"/>
      <c r="Y46" s="1151"/>
      <c r="Z46" s="1151"/>
      <c r="AA46" s="1151"/>
      <c r="AB46" s="1151"/>
      <c r="AC46" s="1155"/>
      <c r="AD46" s="1129"/>
      <c r="AE46" s="1151"/>
      <c r="AF46" s="1151"/>
      <c r="AG46" s="1151"/>
      <c r="AH46" s="1151"/>
      <c r="AI46" s="1151"/>
      <c r="AJ46" s="1151"/>
      <c r="AK46" s="1151"/>
      <c r="AL46" s="1151"/>
      <c r="AM46" s="1151"/>
      <c r="AN46" s="1151"/>
      <c r="AO46" s="1151"/>
      <c r="AP46" s="1151"/>
      <c r="AQ46" s="1151"/>
      <c r="AR46" s="1151"/>
      <c r="AS46" s="1151"/>
      <c r="AT46" s="1151"/>
      <c r="AU46" s="1151"/>
      <c r="AV46" s="1151"/>
      <c r="AW46" s="1151"/>
      <c r="AX46" s="1151"/>
      <c r="AY46" s="1151"/>
      <c r="AZ46" s="1151"/>
      <c r="BA46" s="1151"/>
      <c r="BB46" s="1151"/>
      <c r="BC46" s="1151"/>
      <c r="BD46" s="1151"/>
      <c r="BE46" s="1151"/>
      <c r="BF46" s="1151"/>
      <c r="BG46" s="1156"/>
      <c r="BH46" s="825"/>
      <c r="BI46" s="1074"/>
      <c r="BJ46" s="1074"/>
    </row>
    <row r="47" spans="1:62" ht="12.75" hidden="1" x14ac:dyDescent="0.2">
      <c r="A47" s="1156"/>
      <c r="B47" s="1156"/>
      <c r="C47" s="1156"/>
      <c r="D47" s="1155"/>
      <c r="E47" s="1155"/>
      <c r="F47" s="1155"/>
      <c r="G47" s="1155"/>
      <c r="H47" s="1155"/>
      <c r="I47" s="1155"/>
      <c r="J47" s="1155"/>
      <c r="K47" s="1155"/>
      <c r="L47" s="1155"/>
      <c r="M47" s="1155"/>
      <c r="N47" s="1155"/>
      <c r="O47" s="1155"/>
      <c r="P47" s="1155"/>
      <c r="Q47" s="1155"/>
      <c r="R47" s="1155"/>
      <c r="S47" s="1155"/>
      <c r="T47" s="1155"/>
      <c r="U47" s="1155"/>
      <c r="V47" s="1155"/>
      <c r="W47" s="1155"/>
      <c r="X47" s="1155"/>
      <c r="Y47" s="1155"/>
      <c r="Z47" s="1155"/>
      <c r="AA47" s="1155"/>
      <c r="AB47" s="1155"/>
      <c r="AC47" s="1155"/>
      <c r="AD47" s="1129"/>
      <c r="AE47" s="1155"/>
      <c r="AF47" s="1155"/>
      <c r="AG47" s="1155"/>
      <c r="AH47" s="1155"/>
      <c r="AI47" s="1155"/>
      <c r="AJ47" s="1155"/>
      <c r="AK47" s="1155"/>
      <c r="AL47" s="1155"/>
      <c r="AM47" s="1155"/>
      <c r="AN47" s="1155"/>
      <c r="AO47" s="1155"/>
      <c r="AP47" s="1155"/>
      <c r="AQ47" s="1155"/>
      <c r="AR47" s="1155"/>
      <c r="AS47" s="1155"/>
      <c r="AT47" s="1155"/>
      <c r="AU47" s="1155"/>
      <c r="AV47" s="1155"/>
      <c r="AW47" s="1155"/>
      <c r="AX47" s="1155"/>
      <c r="AY47" s="1155"/>
      <c r="AZ47" s="1155"/>
      <c r="BA47" s="1155"/>
      <c r="BB47" s="1155"/>
      <c r="BC47" s="1155"/>
      <c r="BD47" s="1155"/>
      <c r="BE47" s="1155"/>
      <c r="BF47" s="1155"/>
      <c r="BG47" s="1156"/>
      <c r="BH47" s="825"/>
      <c r="BI47" s="1074"/>
      <c r="BJ47" s="1074"/>
    </row>
    <row r="48" spans="1:62" ht="15" hidden="1" customHeight="1" x14ac:dyDescent="0.2">
      <c r="A48" s="878" t="s">
        <v>2132</v>
      </c>
      <c r="B48" s="878"/>
      <c r="C48" s="878"/>
      <c r="D48" s="1162">
        <f>D22-KT_CT411</f>
        <v>0</v>
      </c>
      <c r="E48" s="1162"/>
      <c r="F48" s="1162">
        <f>F22-KT_CT412</f>
        <v>0</v>
      </c>
      <c r="G48" s="1162"/>
      <c r="H48" s="1162">
        <f>H22-KT_CT413</f>
        <v>0</v>
      </c>
      <c r="I48" s="1162"/>
      <c r="J48" s="1162">
        <f>J22-KT_CT414</f>
        <v>0</v>
      </c>
      <c r="K48" s="1162"/>
      <c r="L48" s="1162">
        <f>L22-KT_CT415</f>
        <v>0</v>
      </c>
      <c r="M48" s="1162"/>
      <c r="N48" s="1162">
        <f>N22-KT_CT416</f>
        <v>0</v>
      </c>
      <c r="O48" s="1162"/>
      <c r="P48" s="1162">
        <f>P22-(KT_4131+KT_4132)</f>
        <v>0</v>
      </c>
      <c r="Q48" s="1162"/>
      <c r="R48" s="1162">
        <f>R22-KT_CT418</f>
        <v>0</v>
      </c>
      <c r="S48" s="1162"/>
      <c r="T48" s="1162">
        <f>T22-KT_CT419</f>
        <v>0</v>
      </c>
      <c r="U48" s="1162"/>
      <c r="V48" s="1162">
        <f>V22-KT_CT420</f>
        <v>0</v>
      </c>
      <c r="W48" s="1162"/>
      <c r="X48" s="1162">
        <f>X22-(KT_4211+KT_4212)</f>
        <v>0</v>
      </c>
      <c r="Y48" s="1162"/>
      <c r="Z48" s="1162">
        <f>Z22-KT_CT422</f>
        <v>0</v>
      </c>
      <c r="AA48" s="1163"/>
      <c r="AB48" s="1163">
        <f>SUM(D48:AA48)</f>
        <v>0</v>
      </c>
      <c r="AC48" s="1163"/>
      <c r="AE48" s="1164"/>
      <c r="AF48" s="1164"/>
      <c r="AG48" s="1164"/>
      <c r="AH48" s="1164"/>
      <c r="AI48" s="1164"/>
      <c r="AJ48" s="1164"/>
      <c r="AK48" s="1164"/>
      <c r="AL48" s="1164"/>
      <c r="AM48" s="1164"/>
      <c r="AN48" s="1164"/>
      <c r="AO48" s="1164"/>
      <c r="AP48" s="1164"/>
      <c r="AQ48" s="1164"/>
      <c r="AR48" s="1164"/>
      <c r="AS48" s="1164"/>
      <c r="AT48" s="1164"/>
      <c r="AU48" s="1164"/>
      <c r="AV48" s="1164"/>
      <c r="AW48" s="1164"/>
      <c r="AX48" s="1164"/>
      <c r="AY48" s="1164"/>
      <c r="AZ48" s="1164"/>
      <c r="BA48" s="1164"/>
      <c r="BB48" s="1164"/>
      <c r="BC48" s="1164"/>
      <c r="BD48" s="1165"/>
      <c r="BE48" s="1165"/>
      <c r="BF48" s="1165"/>
      <c r="BG48" s="1166"/>
      <c r="BI48" s="1074"/>
      <c r="BJ48" s="1074"/>
    </row>
    <row r="49" spans="1:62" ht="15" hidden="1" customHeight="1" x14ac:dyDescent="0.2">
      <c r="A49" s="878" t="s">
        <v>2133</v>
      </c>
      <c r="B49" s="878"/>
      <c r="C49" s="878"/>
      <c r="D49" s="1162">
        <f>D31-KN_CT411</f>
        <v>0</v>
      </c>
      <c r="E49" s="1162"/>
      <c r="F49" s="1162">
        <f>F31-KN_CT412</f>
        <v>0</v>
      </c>
      <c r="G49" s="1162"/>
      <c r="H49" s="1162">
        <f>H31-KN_CT413</f>
        <v>0</v>
      </c>
      <c r="I49" s="1162"/>
      <c r="J49" s="1162">
        <f>J31-KN_CT414</f>
        <v>0</v>
      </c>
      <c r="K49" s="1162"/>
      <c r="L49" s="1162">
        <f>L31-KN_CT415</f>
        <v>0</v>
      </c>
      <c r="M49" s="1162"/>
      <c r="N49" s="1162">
        <f>N31-KT_CT416</f>
        <v>0</v>
      </c>
      <c r="O49" s="1162"/>
      <c r="P49" s="1162">
        <f>P31-(KN_4131+KN_4132)</f>
        <v>0</v>
      </c>
      <c r="Q49" s="1162"/>
      <c r="R49" s="1162">
        <f>R31-KN_CT418</f>
        <v>0</v>
      </c>
      <c r="S49" s="1162"/>
      <c r="T49" s="1162">
        <f>T31-KN_CT419</f>
        <v>0</v>
      </c>
      <c r="U49" s="1162"/>
      <c r="V49" s="1162">
        <f>V31-KN_CT420</f>
        <v>0</v>
      </c>
      <c r="W49" s="1162"/>
      <c r="X49" s="1162">
        <f>X31-(KN_4211+KN_4212)</f>
        <v>0</v>
      </c>
      <c r="Y49" s="1162"/>
      <c r="Z49" s="1162">
        <f>Z31-KN_CT422</f>
        <v>0</v>
      </c>
      <c r="AA49" s="1163"/>
      <c r="AB49" s="1163">
        <f>SUM(D49:AA49)</f>
        <v>0</v>
      </c>
      <c r="AC49" s="1163"/>
      <c r="AE49" s="1164"/>
      <c r="AF49" s="1164"/>
      <c r="AG49" s="1164"/>
      <c r="AH49" s="1164"/>
      <c r="AI49" s="1164"/>
      <c r="AJ49" s="1164"/>
      <c r="AK49" s="1164"/>
      <c r="AL49" s="1164"/>
      <c r="AM49" s="1164"/>
      <c r="AN49" s="1164"/>
      <c r="AO49" s="1164"/>
      <c r="AP49" s="1164"/>
      <c r="AQ49" s="1164"/>
      <c r="AR49" s="1164"/>
      <c r="AS49" s="1164"/>
      <c r="AT49" s="1164"/>
      <c r="AU49" s="1164"/>
      <c r="AV49" s="1164"/>
      <c r="AW49" s="1164"/>
      <c r="AX49" s="1164"/>
      <c r="AY49" s="1164"/>
      <c r="AZ49" s="1164"/>
      <c r="BA49" s="1164"/>
      <c r="BB49" s="1164"/>
      <c r="BC49" s="1164"/>
      <c r="BD49" s="1165"/>
      <c r="BE49" s="1165"/>
      <c r="BF49" s="1165"/>
      <c r="BG49" s="1166"/>
      <c r="BI49" s="1074"/>
      <c r="BJ49" s="1074"/>
    </row>
    <row r="50" spans="1:62" ht="15" hidden="1" customHeight="1" x14ac:dyDescent="0.2">
      <c r="BI50" s="1074"/>
      <c r="BJ50" s="1074"/>
    </row>
    <row r="51" spans="1:62" ht="15" hidden="1" customHeight="1" x14ac:dyDescent="0.25">
      <c r="A51" s="1167" t="s">
        <v>2134</v>
      </c>
      <c r="BI51" s="1074"/>
      <c r="BJ51" s="1074"/>
    </row>
    <row r="52" spans="1:62" ht="15" hidden="1" customHeight="1" x14ac:dyDescent="0.2">
      <c r="BI52" s="1074"/>
      <c r="BJ52" s="1074"/>
    </row>
  </sheetData>
  <sheetProtection formatCells="0" formatColumns="0" formatRows="0" autoFilter="0" pivotTables="0"/>
  <conditionalFormatting sqref="AH48:BG49 D48:AC49">
    <cfRule type="cellIs" dxfId="5" priority="17" stopIfTrue="1" operator="notEqual">
      <formula>0</formula>
    </cfRule>
  </conditionalFormatting>
  <conditionalFormatting sqref="AC20 AC29 AH20:AW20 AH29:AW29 AC27 AC18 AH18:AW18 D18:S18 D29:S29 D27:S27 AH27:AW27 D20:S20 U20:AA20 U18:AA18 U27:AA27 U29:AA29 AY18:BE18 AY20:BE20 AY27:BE27 AY29:BE29">
    <cfRule type="cellIs" dxfId="4" priority="6" operator="greaterThan">
      <formula>0</formula>
    </cfRule>
  </conditionalFormatting>
  <conditionalFormatting sqref="T18 T20">
    <cfRule type="cellIs" dxfId="3" priority="5" operator="greaterThan">
      <formula>0</formula>
    </cfRule>
  </conditionalFormatting>
  <conditionalFormatting sqref="T29 T27">
    <cfRule type="cellIs" dxfId="2" priority="4" operator="greaterThan">
      <formula>0</formula>
    </cfRule>
  </conditionalFormatting>
  <conditionalFormatting sqref="AX20 AX18">
    <cfRule type="cellIs" dxfId="1" priority="3" operator="greaterThan">
      <formula>0</formula>
    </cfRule>
  </conditionalFormatting>
  <conditionalFormatting sqref="AX29 AX27">
    <cfRule type="cellIs" dxfId="0" priority="2" operator="greaterThan">
      <formula>0</formula>
    </cfRule>
  </conditionalFormatting>
  <printOptions horizontalCentered="1"/>
  <pageMargins left="0.78740157480314998" right="0.5" top="0.511811023622047" bottom="0.74803149606299202" header="0.196850393700787" footer="0.47244094488188998"/>
  <pageSetup paperSize="9" firstPageNumber="16" orientation="landscape" useFirstPageNumber="1" r:id="rId1"/>
  <headerFooter>
    <oddFooter>&amp;R&amp;10&amp;P</oddFooter>
  </headerFooter>
  <drawing r:id="rId2"/>
  <legacyDrawing r:id="rId3"/>
  <controls>
    <mc:AlternateContent xmlns:mc="http://schemas.openxmlformats.org/markup-compatibility/2006">
      <mc:Choice Requires="x14">
        <control shapeId="7169" r:id="rId4" name="togLock">
          <controlPr defaultSize="0" print="0" autoFill="0" autoLine="0" r:id="rId5">
            <anchor moveWithCells="1" sizeWithCells="1">
              <from>
                <xdr:col>60</xdr:col>
                <xdr:colOff>0</xdr:colOff>
                <xdr:row>2</xdr:row>
                <xdr:rowOff>123825</xdr:rowOff>
              </from>
              <to>
                <xdr:col>60</xdr:col>
                <xdr:colOff>0</xdr:colOff>
                <xdr:row>4</xdr:row>
                <xdr:rowOff>133350</xdr:rowOff>
              </to>
            </anchor>
          </controlPr>
        </control>
      </mc:Choice>
      <mc:Fallback>
        <control shapeId="7169" r:id="rId4" name="togLock"/>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110</vt:i4>
      </vt:variant>
    </vt:vector>
  </HeadingPairs>
  <TitlesOfParts>
    <vt:vector size="117" baseType="lpstr">
      <vt:lpstr>CDKT (2)</vt:lpstr>
      <vt:lpstr>KQKD (3)</vt:lpstr>
      <vt:lpstr>LCGT</vt:lpstr>
      <vt:lpstr>Thuyet_minh</vt:lpstr>
      <vt:lpstr>TM_TSCDHH</vt:lpstr>
      <vt:lpstr>TM_VAY</vt:lpstr>
      <vt:lpstr>TM_VCSH</vt:lpstr>
      <vt:lpstr>KHBDSDT</vt:lpstr>
      <vt:lpstr>KHTSHH</vt:lpstr>
      <vt:lpstr>KT_LCGT</vt:lpstr>
      <vt:lpstr>LCGT</vt:lpstr>
      <vt:lpstr>'CDKT (2)'!Print_Area</vt:lpstr>
      <vt:lpstr>TM_TSCDHH!Print_Area</vt:lpstr>
      <vt:lpstr>TM_VAY!Print_Area</vt:lpstr>
      <vt:lpstr>TM_VCSH!Print_Area</vt:lpstr>
      <vt:lpstr>'CDKT (2)'!Print_Titles</vt:lpstr>
      <vt:lpstr>LCGT!Print_Titles</vt:lpstr>
      <vt:lpstr>Thuyet_minh!Print_Titles</vt:lpstr>
      <vt:lpstr>TM_TSCDHH!Print_Titles</vt:lpstr>
      <vt:lpstr>TM_VAY!Print_Titles</vt:lpstr>
      <vt:lpstr>TM_VCSH!Print_Titles</vt:lpstr>
      <vt:lpstr>STT_BCBoPhan</vt:lpstr>
      <vt:lpstr>STT_BCBoPhan1</vt:lpstr>
      <vt:lpstr>STT_BDSDT</vt:lpstr>
      <vt:lpstr>STT_BDSDT1</vt:lpstr>
      <vt:lpstr>STT_BenLQ1</vt:lpstr>
      <vt:lpstr>STT_CCTC</vt:lpstr>
      <vt:lpstr>STT_CCTC1</vt:lpstr>
      <vt:lpstr>STT_ChenhLechTG</vt:lpstr>
      <vt:lpstr>STT_ChenhLechTG1</vt:lpstr>
      <vt:lpstr>STT_ChiPhiKhac</vt:lpstr>
      <vt:lpstr>STT_ChiPhiKhac1</vt:lpstr>
      <vt:lpstr>STT_ChiPhiPhaiTra</vt:lpstr>
      <vt:lpstr>STT_ChiPhiPhaiTra1</vt:lpstr>
      <vt:lpstr>STT_ChiPhiTC</vt:lpstr>
      <vt:lpstr>STT_ChiPhiTC1</vt:lpstr>
      <vt:lpstr>STT_CKDTTaiChinh1</vt:lpstr>
      <vt:lpstr>STT_CLDanhGiaLaiTS</vt:lpstr>
      <vt:lpstr>STT_CLDanhGiaLaiTS1</vt:lpstr>
      <vt:lpstr>STT_CPBH</vt:lpstr>
      <vt:lpstr>STT_CPBH1</vt:lpstr>
      <vt:lpstr>STT_CPQLDN</vt:lpstr>
      <vt:lpstr>STT_CPQLDN1</vt:lpstr>
      <vt:lpstr>STT_CPThueTNHH</vt:lpstr>
      <vt:lpstr>STT_CPThueTNHH1</vt:lpstr>
      <vt:lpstr>STT_CPTraTruoc</vt:lpstr>
      <vt:lpstr>STT_CPTraTruoc1</vt:lpstr>
      <vt:lpstr>STT_CPUuDaiNPT</vt:lpstr>
      <vt:lpstr>STT_CPUuDaiNPT1</vt:lpstr>
      <vt:lpstr>STT_DoanhThu</vt:lpstr>
      <vt:lpstr>STT_DoanhThu1</vt:lpstr>
      <vt:lpstr>STT_DoanhThuCTH</vt:lpstr>
      <vt:lpstr>STT_DoanhThuCTH1</vt:lpstr>
      <vt:lpstr>STT_DoanhThuTC</vt:lpstr>
      <vt:lpstr>STT_DoanhThuTC1</vt:lpstr>
      <vt:lpstr>STT_DPPhaiTra</vt:lpstr>
      <vt:lpstr>STT_DPPhaiTra1</vt:lpstr>
      <vt:lpstr>STT_GiamTruDT</vt:lpstr>
      <vt:lpstr>STT_GiamTruDT1</vt:lpstr>
      <vt:lpstr>STT_GiaVon</vt:lpstr>
      <vt:lpstr>STT_GiaVon1</vt:lpstr>
      <vt:lpstr>STT_HangTonKho</vt:lpstr>
      <vt:lpstr>STT_HangTonKho1</vt:lpstr>
      <vt:lpstr>STT_LaiCBTrenCP</vt:lpstr>
      <vt:lpstr>STT_LaiCBTrenCP1</vt:lpstr>
      <vt:lpstr>STT_LaiSGTrenCP</vt:lpstr>
      <vt:lpstr>STT_LaiSGTrenCP1</vt:lpstr>
      <vt:lpstr>STT_NguoimuaTTT</vt:lpstr>
      <vt:lpstr>STT_NguoimuaTTT1</vt:lpstr>
      <vt:lpstr>STT_NguonKP</vt:lpstr>
      <vt:lpstr>STT_NguonKP1</vt:lpstr>
      <vt:lpstr>STT_NoXau</vt:lpstr>
      <vt:lpstr>STT_NoXau1</vt:lpstr>
      <vt:lpstr>STT_PhaiThuKH</vt:lpstr>
      <vt:lpstr>STT_PhaiThuKH1</vt:lpstr>
      <vt:lpstr>STT_PhaiThuKhac</vt:lpstr>
      <vt:lpstr>STT_PhaiThuKhac1</vt:lpstr>
      <vt:lpstr>STT_PhaiThuNoiBo</vt:lpstr>
      <vt:lpstr>STT_PhaiThuNoiBo1</vt:lpstr>
      <vt:lpstr>STT_PhaiTraKhac1</vt:lpstr>
      <vt:lpstr>STT_PhaiTraNguoiBan</vt:lpstr>
      <vt:lpstr>STT_PhaiTraNguoiBan1</vt:lpstr>
      <vt:lpstr>STT_PhaiTraNoiBo</vt:lpstr>
      <vt:lpstr>STT_PhaiTraNoiBo1</vt:lpstr>
      <vt:lpstr>STT_SoLieuSS</vt:lpstr>
      <vt:lpstr>STT_SoLieuSS1</vt:lpstr>
      <vt:lpstr>STT_TAISANDD</vt:lpstr>
      <vt:lpstr>STT_TAISANDD1</vt:lpstr>
      <vt:lpstr>STT_ThueTNHoanLai</vt:lpstr>
      <vt:lpstr>STT_ThueTNHoanLai1</vt:lpstr>
      <vt:lpstr>STT_ThuevaCacKhoanPN</vt:lpstr>
      <vt:lpstr>STT_ThuevaCacKhoanPN1</vt:lpstr>
      <vt:lpstr>STT_ThuNhapKhac</vt:lpstr>
      <vt:lpstr>STT_ThuNhapKhac1</vt:lpstr>
      <vt:lpstr>STT_Tien</vt:lpstr>
      <vt:lpstr>STT_Tien1</vt:lpstr>
      <vt:lpstr>STT_TraiPhieuPhatHanh1</vt:lpstr>
      <vt:lpstr>STT_TraTruocNguoiBan</vt:lpstr>
      <vt:lpstr>STT_TraTruocNguoiBan1</vt:lpstr>
      <vt:lpstr>STT_TSCDHH</vt:lpstr>
      <vt:lpstr>STT_TSCDHH1</vt:lpstr>
      <vt:lpstr>STT_TSCDTTC</vt:lpstr>
      <vt:lpstr>STT_TSCDTTC1</vt:lpstr>
      <vt:lpstr>STT_TSCDVH</vt:lpstr>
      <vt:lpstr>STT_TSCDVH1</vt:lpstr>
      <vt:lpstr>STT_TSKhac</vt:lpstr>
      <vt:lpstr>STT_TSKhac1</vt:lpstr>
      <vt:lpstr>STT_TSThieu</vt:lpstr>
      <vt:lpstr>STT_TSThieu1</vt:lpstr>
      <vt:lpstr>STT_VayvaNoThueTC</vt:lpstr>
      <vt:lpstr>STT_VayvaNoThueTC1</vt:lpstr>
      <vt:lpstr>STT_VCSH</vt:lpstr>
      <vt:lpstr>STT_VCSH1</vt:lpstr>
      <vt:lpstr>TM_TSCDHH_E</vt:lpstr>
      <vt:lpstr>TM_TSCDHH_V</vt:lpstr>
      <vt:lpstr>TM_VCSH</vt:lpstr>
      <vt:lpstr>TM_VCSH_E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2018-01-19T07:13:12Z</cp:lastPrinted>
  <dcterms:created xsi:type="dcterms:W3CDTF">2018-01-17T11:48:27Z</dcterms:created>
  <dcterms:modified xsi:type="dcterms:W3CDTF">2018-01-19T07:23:19Z</dcterms:modified>
</cp:coreProperties>
</file>